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tables/table10.xml" ContentType="application/vnd.openxmlformats-officedocument.spreadsheetml.table+xml"/>
  <Override PartName="/xl/slicers/slicer2.xml" ContentType="application/vnd.ms-excel.slicer+xml"/>
  <Override PartName="/xl/drawings/drawing5.xml" ContentType="application/vnd.openxmlformats-officedocument.drawing+xml"/>
  <Override PartName="/xl/tables/table11.xml" ContentType="application/vnd.openxmlformats-officedocument.spreadsheetml.table+xml"/>
  <Override PartName="/xl/slicers/slicer3.xml" ContentType="application/vnd.ms-excel.slicer+xml"/>
  <Override PartName="/xl/drawings/drawing6.xml" ContentType="application/vnd.openxmlformats-officedocument.drawing+xml"/>
  <Override PartName="/xl/tables/table12.xml" ContentType="application/vnd.openxmlformats-officedocument.spreadsheetml.table+xml"/>
  <Override PartName="/xl/tables/table13.xml" ContentType="application/vnd.openxmlformats-officedocument.spreadsheetml.table+xml"/>
  <Override PartName="/xl/slicers/slicer4.xml" ContentType="application/vnd.ms-excel.slicer+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7.xml" ContentType="application/vnd.openxmlformats-officedocument.drawing+xml"/>
  <Override PartName="/xl/tables/table17.xml" ContentType="application/vnd.openxmlformats-officedocument.spreadsheetml.table+xml"/>
  <Override PartName="/xl/slicers/slicer5.xml" ContentType="application/vnd.ms-excel.slicer+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showInkAnnotation="0" codeName="ThisWorkbook"/>
  <mc:AlternateContent xmlns:mc="http://schemas.openxmlformats.org/markup-compatibility/2006">
    <mc:Choice Requires="x15">
      <x15ac:absPath xmlns:x15ac="http://schemas.microsoft.com/office/spreadsheetml/2010/11/ac" url="C:\Users\Blake\Dropbox\R2Labs\Blake\Reminder Walker\equipment\shopping\"/>
    </mc:Choice>
  </mc:AlternateContent>
  <bookViews>
    <workbookView xWindow="0" yWindow="23100" windowWidth="25200" windowHeight="11496" tabRatio="915" activeTab="6" xr2:uid="{00000000-000D-0000-FFFF-FFFF00000000}"/>
  </bookViews>
  <sheets>
    <sheet name="OrganizedList" sheetId="23" r:id="rId1"/>
    <sheet name="Category Lookup" sheetId="2" r:id="rId2"/>
    <sheet name="FilterSpecs" sheetId="24" r:id="rId3"/>
    <sheet name="Distance Priority" sheetId="52" r:id="rId4"/>
    <sheet name="RawList" sheetId="6" r:id="rId5"/>
    <sheet name="Mouser" sheetId="54" r:id="rId6"/>
    <sheet name="Initial Order" sheetId="55" r:id="rId7"/>
    <sheet name="Primary" sheetId="11" r:id="rId8"/>
    <sheet name="Secondary" sheetId="8" r:id="rId9"/>
    <sheet name="Advanced&amp;Optional" sheetId="12" r:id="rId10"/>
    <sheet name="SmartHome&amp;IoT" sheetId="26" r:id="rId11"/>
    <sheet name="Hardware" sheetId="18" r:id="rId12"/>
    <sheet name="LowLevel" sheetId="16" r:id="rId13"/>
    <sheet name="Tools" sheetId="13" r:id="rId14"/>
    <sheet name="Sheet1" sheetId="53" r:id="rId15"/>
    <sheet name="Alternatives&amp;Extras" sheetId="28" r:id="rId16"/>
    <sheet name="ItemQty" sheetId="39" r:id="rId17"/>
    <sheet name="Connectors" sheetId="51" r:id="rId18"/>
    <sheet name="DesignSpecs" sheetId="4" r:id="rId19"/>
    <sheet name="PO List" sheetId="1" r:id="rId20"/>
    <sheet name="SlicerInfo" sheetId="42" r:id="rId21"/>
    <sheet name="SlicerInfoTable" sheetId="40" r:id="rId22"/>
  </sheets>
  <externalReferences>
    <externalReference r:id="rId23"/>
  </externalReferences>
  <definedNames>
    <definedName name="_xlnm._FilterDatabase" localSheetId="19" hidden="1">'PO List'!$B$1:$J$3</definedName>
    <definedName name="_xlcn.LinkedTable_EquipmentTable1" hidden="1">EquipmentTable[]</definedName>
    <definedName name="ColumnTitle1" localSheetId="9">Equipment[[#Headers],[Item '#]]</definedName>
    <definedName name="ColumnTitle1" localSheetId="11">Equipment[[#Headers],[Item '#]]</definedName>
    <definedName name="ColumnTitle1" localSheetId="6">Equipment[[#Headers],[Item '#]]</definedName>
    <definedName name="ColumnTitle1" localSheetId="12">Equipment[[#Headers],[Item '#]]</definedName>
    <definedName name="ColumnTitle1" localSheetId="5">Equipment[[#Headers],[Item '#]]</definedName>
    <definedName name="ColumnTitle1" localSheetId="7">Equipment[[#Headers],[Item '#]]</definedName>
    <definedName name="ColumnTitle1" localSheetId="13">Equipment[[#Headers],[Item '#]]</definedName>
    <definedName name="ColumnTitle1">Equipment[[#Headers],[Item '#]]</definedName>
    <definedName name="ColumnTitle2" localSheetId="9">CategoryLookup[[#Headers],[Category]]</definedName>
    <definedName name="ColumnTitle2" localSheetId="11">CategoryLookup[[#Headers],[Category]]</definedName>
    <definedName name="ColumnTitle2" localSheetId="6">CategoryLookup[[#Headers],[Category]]</definedName>
    <definedName name="ColumnTitle2" localSheetId="12">CategoryLookup[[#Headers],[Category]]</definedName>
    <definedName name="ColumnTitle2" localSheetId="5">CategoryLookup[[#Headers],[Category]]</definedName>
    <definedName name="ColumnTitle2" localSheetId="7">CategoryLookup[[#Headers],[Category]]</definedName>
    <definedName name="ColumnTitle2" localSheetId="13">CategoryLookup[[#Headers],[Category]]</definedName>
    <definedName name="ColumnTitle2">CategoryLookup[[#Headers],[Category]]</definedName>
    <definedName name="EquipmentList" localSheetId="6">EquipmentTable[]</definedName>
    <definedName name="EquipmentList" localSheetId="5">EquipmentTable[]</definedName>
    <definedName name="EquipmentList">EquipmentTable[]</definedName>
    <definedName name="EquipmentLookupDescriptions" localSheetId="6">CategoryTypeDescriptions[Group]</definedName>
    <definedName name="EquipmentLookupDescriptions" localSheetId="5">CategoryTypeDescriptions[Group]</definedName>
    <definedName name="EquipmentLookupDescriptions">CategoryTypeDescriptions[Group]</definedName>
    <definedName name="_xlnm.Print_Titles" localSheetId="1">'Category Lookup'!$3:$3</definedName>
    <definedName name="_xlnm.Print_Titles" localSheetId="19">'PO List'!$6:$6</definedName>
    <definedName name="RoomList" localSheetId="9">CategoryLookup[]</definedName>
    <definedName name="RoomList" localSheetId="11">CategoryLookup[]</definedName>
    <definedName name="RoomList" localSheetId="6">CategoryLookup[]</definedName>
    <definedName name="RoomList" localSheetId="12">CategoryLookup[]</definedName>
    <definedName name="RoomList" localSheetId="5">CategoryLookup[]</definedName>
    <definedName name="RoomList" localSheetId="7">CategoryLookup[]</definedName>
    <definedName name="RoomList" localSheetId="13">CategoryLookup[]</definedName>
    <definedName name="RoomList">CategoryLookup[]</definedName>
    <definedName name="RowTitleRegion1..E2">'PO List'!$B$2</definedName>
    <definedName name="Separating" localSheetId="11">Equipment[[#Headers],[Item '#]]</definedName>
    <definedName name="Separating" localSheetId="6">Equipment[[#Headers],[Item '#]]</definedName>
    <definedName name="Separating" localSheetId="12">Equipment[[#Headers],[Item '#]]</definedName>
    <definedName name="Separating" localSheetId="5">Equipment[[#Headers],[Item '#]]</definedName>
    <definedName name="Separating">Equipment[[#Headers],[Item '#]]</definedName>
    <definedName name="Slicer_____0_?_T_F">#N/A</definedName>
    <definedName name="Slicer_Category">#N/A</definedName>
    <definedName name="Slicer_Category1">#N/A</definedName>
    <definedName name="Slicer_Category2">#N/A</definedName>
    <definedName name="Slicer_Equipment_Category">#N/A</definedName>
    <definedName name="Slicer_Equipment_Type">#N/A</definedName>
    <definedName name="Slicer_Initial">#N/A</definedName>
    <definedName name="Slicer_Initial1">#N/A</definedName>
    <definedName name="Slicer_Quantity">#N/A</definedName>
    <definedName name="Slicer_Quantity1">#N/A</definedName>
    <definedName name="Slicer_Quantity2">#N/A</definedName>
    <definedName name="Slicer_Room__area">#N/A</definedName>
    <definedName name="Slicer_Tag">#N/A</definedName>
    <definedName name="Slicer_Tag1">#N/A</definedName>
    <definedName name="Slicer_Tag2">#N/A</definedName>
    <definedName name="Slicer_Type">#N/A</definedName>
    <definedName name="Slicer_Type1">#N/A</definedName>
    <definedName name="Slicer_Type11">#N/A</definedName>
    <definedName name="Slicer_Type2">#N/A</definedName>
    <definedName name="Slicer_Vendor">#N/A</definedName>
    <definedName name="Slicer_Vendor1">#N/A</definedName>
    <definedName name="Slicer_Vendor11">#N/A</definedName>
    <definedName name="Slicer_Vendor2">#N/A</definedName>
  </definedNames>
  <calcPr calcId="171027"/>
  <fileRecoveryPr autoRecover="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5:slicerCaches>
    </ext>
    <ext xmlns:x15="http://schemas.microsoft.com/office/spreadsheetml/2010/11/main" uri="{FCE2AD5D-F65C-4FA6-A056-5C36A1767C68}">
      <x15:dataModel>
        <x15:modelTables>
          <x15:modelTable id="EquipmentTable" name="EquipmentTable" connection="LinkedTable_EquipmentTable"/>
        </x15:modelTables>
      </x15:dataModel>
    </ext>
  </extLst>
</workbook>
</file>

<file path=xl/calcChain.xml><?xml version="1.0" encoding="utf-8"?>
<calcChain xmlns="http://schemas.openxmlformats.org/spreadsheetml/2006/main">
  <c r="A613" i="55" l="1"/>
  <c r="Z36" i="55"/>
  <c r="Z68" i="55"/>
  <c r="Z100" i="55"/>
  <c r="Z132" i="55"/>
  <c r="Z177" i="55"/>
  <c r="Z209" i="55"/>
  <c r="Z241" i="55"/>
  <c r="Z273" i="55"/>
  <c r="Z305" i="55"/>
  <c r="Z337" i="55"/>
  <c r="Z404" i="55"/>
  <c r="Z436" i="55"/>
  <c r="Z468" i="55"/>
  <c r="Z500" i="55"/>
  <c r="Z532" i="55"/>
  <c r="Z564" i="55"/>
  <c r="Z596" i="55"/>
  <c r="A614" i="55"/>
  <c r="A615" i="55"/>
  <c r="A616" i="55"/>
  <c r="A617" i="55"/>
  <c r="A618" i="55"/>
  <c r="A619" i="55"/>
  <c r="A620" i="55"/>
  <c r="Y14" i="55"/>
  <c r="Y15" i="55"/>
  <c r="Y16" i="55"/>
  <c r="Y17" i="55"/>
  <c r="Y18" i="55"/>
  <c r="Y19" i="55"/>
  <c r="Y20" i="55"/>
  <c r="Y21" i="55"/>
  <c r="Y22" i="55"/>
  <c r="Y23" i="55"/>
  <c r="Y24" i="55"/>
  <c r="Y25" i="55"/>
  <c r="Y26" i="55"/>
  <c r="Y27" i="55"/>
  <c r="Y28" i="55"/>
  <c r="Y29" i="55"/>
  <c r="Y30" i="55"/>
  <c r="Y31" i="55"/>
  <c r="Y32" i="55"/>
  <c r="Y33" i="55"/>
  <c r="Y34" i="55"/>
  <c r="Y35" i="55"/>
  <c r="Y36" i="55"/>
  <c r="Y37" i="55"/>
  <c r="Y38" i="55"/>
  <c r="Y39" i="55"/>
  <c r="Y40" i="55"/>
  <c r="Y41" i="55"/>
  <c r="Y42" i="55"/>
  <c r="Y43" i="55"/>
  <c r="Y44" i="55"/>
  <c r="Y45" i="55"/>
  <c r="Y46" i="55"/>
  <c r="Y47" i="55"/>
  <c r="Y48" i="55"/>
  <c r="Y49" i="55"/>
  <c r="Y50" i="55"/>
  <c r="Y51" i="55"/>
  <c r="Y52" i="55"/>
  <c r="Y53" i="55"/>
  <c r="Y54" i="55"/>
  <c r="Y55" i="55"/>
  <c r="Y56" i="55"/>
  <c r="Y57" i="55"/>
  <c r="Y58" i="55"/>
  <c r="Y59" i="55"/>
  <c r="Y60" i="55"/>
  <c r="Y61" i="55"/>
  <c r="Y62" i="55"/>
  <c r="Y63" i="55"/>
  <c r="Y64" i="55"/>
  <c r="Y65" i="55"/>
  <c r="Y66" i="55"/>
  <c r="Y67" i="55"/>
  <c r="Y68" i="55"/>
  <c r="Y69" i="55"/>
  <c r="Y70" i="55"/>
  <c r="Y71" i="55"/>
  <c r="Y72" i="55"/>
  <c r="Y73" i="55"/>
  <c r="Y74" i="55"/>
  <c r="Y75" i="55"/>
  <c r="Y76" i="55"/>
  <c r="Y77" i="55"/>
  <c r="Y78" i="55"/>
  <c r="Y79" i="55"/>
  <c r="Y80" i="55"/>
  <c r="Y81" i="55"/>
  <c r="Y82" i="55"/>
  <c r="Y83" i="55"/>
  <c r="Y84" i="55"/>
  <c r="Y85" i="55"/>
  <c r="Y86" i="55"/>
  <c r="Y87" i="55"/>
  <c r="Y88" i="55"/>
  <c r="Y89" i="55"/>
  <c r="Y90" i="55"/>
  <c r="Y91" i="55"/>
  <c r="Y92" i="55"/>
  <c r="Y93" i="55"/>
  <c r="Y94" i="55"/>
  <c r="Y95" i="55"/>
  <c r="Y96" i="55"/>
  <c r="Y97" i="55"/>
  <c r="Y98" i="55"/>
  <c r="Y99" i="55"/>
  <c r="Y100" i="55"/>
  <c r="Y101" i="55"/>
  <c r="Y102" i="55"/>
  <c r="Y103" i="55"/>
  <c r="Y104" i="55"/>
  <c r="Y105" i="55"/>
  <c r="Y106" i="55"/>
  <c r="Y107" i="55"/>
  <c r="Y108" i="55"/>
  <c r="Y109" i="55"/>
  <c r="Y110" i="55"/>
  <c r="Y111" i="55"/>
  <c r="Y112" i="55"/>
  <c r="Y113" i="55"/>
  <c r="Y114" i="55"/>
  <c r="Y115" i="55"/>
  <c r="Y116" i="55"/>
  <c r="Y117" i="55"/>
  <c r="Y118" i="55"/>
  <c r="Y119" i="55"/>
  <c r="Y120" i="55"/>
  <c r="Y121" i="55"/>
  <c r="Y122" i="55"/>
  <c r="Y123" i="55"/>
  <c r="Y124" i="55"/>
  <c r="Y125" i="55"/>
  <c r="Y126" i="55"/>
  <c r="Y127" i="55"/>
  <c r="Y128" i="55"/>
  <c r="Y129" i="55"/>
  <c r="Y130" i="55"/>
  <c r="Y131" i="55"/>
  <c r="Y132" i="55"/>
  <c r="Y133" i="55"/>
  <c r="Y134" i="55"/>
  <c r="Y135" i="55"/>
  <c r="Y136" i="55"/>
  <c r="Y137" i="55"/>
  <c r="Y138" i="55"/>
  <c r="Y139" i="55"/>
  <c r="Y140" i="55"/>
  <c r="Y141" i="55"/>
  <c r="Y142" i="55"/>
  <c r="Y143" i="55"/>
  <c r="Y144" i="55"/>
  <c r="Y145" i="55"/>
  <c r="Y146" i="55"/>
  <c r="Y147" i="55"/>
  <c r="Y148" i="55"/>
  <c r="Y149" i="55"/>
  <c r="Y150" i="55"/>
  <c r="Y151" i="55"/>
  <c r="Y152" i="55"/>
  <c r="Y154" i="55"/>
  <c r="Y155" i="55"/>
  <c r="Y156" i="55"/>
  <c r="Y157" i="55"/>
  <c r="Y158" i="55"/>
  <c r="Y159" i="55"/>
  <c r="Y160" i="55"/>
  <c r="Y161" i="55"/>
  <c r="Y162" i="55"/>
  <c r="Y163" i="55"/>
  <c r="Y164" i="55"/>
  <c r="Y165" i="55"/>
  <c r="Y166" i="55"/>
  <c r="Y167" i="55"/>
  <c r="Y168" i="55"/>
  <c r="Y169" i="55"/>
  <c r="Y170" i="55"/>
  <c r="Y171" i="55"/>
  <c r="Y172" i="55"/>
  <c r="Y173" i="55"/>
  <c r="Y174" i="55"/>
  <c r="Y175" i="55"/>
  <c r="Y176" i="55"/>
  <c r="Y177" i="55"/>
  <c r="Y178" i="55"/>
  <c r="Y179" i="55"/>
  <c r="Y180" i="55"/>
  <c r="Y181" i="55"/>
  <c r="Y182" i="55"/>
  <c r="Y183" i="55"/>
  <c r="Y184" i="55"/>
  <c r="Y185" i="55"/>
  <c r="Y186" i="55"/>
  <c r="Y187" i="55"/>
  <c r="Y188" i="55"/>
  <c r="Y189" i="55"/>
  <c r="Y190" i="55"/>
  <c r="Y191" i="55"/>
  <c r="Y192" i="55"/>
  <c r="Y193" i="55"/>
  <c r="Y194" i="55"/>
  <c r="Y195" i="55"/>
  <c r="Y196" i="55"/>
  <c r="Y197" i="55"/>
  <c r="Y198" i="55"/>
  <c r="Y199" i="55"/>
  <c r="Y200" i="55"/>
  <c r="Y201" i="55"/>
  <c r="Y202" i="55"/>
  <c r="Y203" i="55"/>
  <c r="Y204" i="55"/>
  <c r="Y205" i="55"/>
  <c r="Y206" i="55"/>
  <c r="Y207" i="55"/>
  <c r="Y208" i="55"/>
  <c r="Y209" i="55"/>
  <c r="Y210" i="55"/>
  <c r="Y211" i="55"/>
  <c r="Y212" i="55"/>
  <c r="Y213" i="55"/>
  <c r="Y214" i="55"/>
  <c r="Y215" i="55"/>
  <c r="Y216" i="55"/>
  <c r="Y217" i="55"/>
  <c r="Y218" i="55"/>
  <c r="Y219" i="55"/>
  <c r="Y220" i="55"/>
  <c r="Y221" i="55"/>
  <c r="Y222" i="55"/>
  <c r="Y223" i="55"/>
  <c r="Y224" i="55"/>
  <c r="Y225" i="55"/>
  <c r="Y226" i="55"/>
  <c r="Y227" i="55"/>
  <c r="Y228" i="55"/>
  <c r="Y229" i="55"/>
  <c r="Y230" i="55"/>
  <c r="Y231" i="55"/>
  <c r="Y232" i="55"/>
  <c r="Y233" i="55"/>
  <c r="Y234" i="55"/>
  <c r="Y235" i="55"/>
  <c r="Y236" i="55"/>
  <c r="Y237" i="55"/>
  <c r="Y238" i="55"/>
  <c r="Y239" i="55"/>
  <c r="Y240" i="55"/>
  <c r="Y241" i="55"/>
  <c r="Y242" i="55"/>
  <c r="Y243" i="55"/>
  <c r="Y244" i="55"/>
  <c r="Y245" i="55"/>
  <c r="Y246" i="55"/>
  <c r="Y247" i="55"/>
  <c r="Y248" i="55"/>
  <c r="Y249" i="55"/>
  <c r="Y250" i="55"/>
  <c r="Y251" i="55"/>
  <c r="Y252" i="55"/>
  <c r="Y253" i="55"/>
  <c r="Y254" i="55"/>
  <c r="Y255" i="55"/>
  <c r="Y256" i="55"/>
  <c r="Y257" i="55"/>
  <c r="Y258" i="55"/>
  <c r="Y259" i="55"/>
  <c r="Y260" i="55"/>
  <c r="Y261" i="55"/>
  <c r="Y262" i="55"/>
  <c r="Y263" i="55"/>
  <c r="Y264" i="55"/>
  <c r="Y265" i="55"/>
  <c r="Y266" i="55"/>
  <c r="Y267" i="55"/>
  <c r="Y268" i="55"/>
  <c r="Y269" i="55"/>
  <c r="Y270" i="55"/>
  <c r="Y271" i="55"/>
  <c r="Y272" i="55"/>
  <c r="Y273" i="55"/>
  <c r="Y274" i="55"/>
  <c r="Y275" i="55"/>
  <c r="Y276" i="55"/>
  <c r="Y277" i="55"/>
  <c r="Y278" i="55"/>
  <c r="Y279" i="55"/>
  <c r="Y280" i="55"/>
  <c r="Y281" i="55"/>
  <c r="Y282" i="55"/>
  <c r="Y283" i="55"/>
  <c r="Y284" i="55"/>
  <c r="Y285" i="55"/>
  <c r="Y286" i="55"/>
  <c r="Y287" i="55"/>
  <c r="Y288" i="55"/>
  <c r="Y289" i="55"/>
  <c r="Y290" i="55"/>
  <c r="Y291" i="55"/>
  <c r="Y292" i="55"/>
  <c r="Y293" i="55"/>
  <c r="Y294" i="55"/>
  <c r="Y295" i="55"/>
  <c r="Y296" i="55"/>
  <c r="Y297" i="55"/>
  <c r="Y298" i="55"/>
  <c r="Y299" i="55"/>
  <c r="Y300" i="55"/>
  <c r="Y301" i="55"/>
  <c r="Y302" i="55"/>
  <c r="Y303" i="55"/>
  <c r="Y304" i="55"/>
  <c r="Y305" i="55"/>
  <c r="Y306" i="55"/>
  <c r="Y307" i="55"/>
  <c r="Y308" i="55"/>
  <c r="Y309" i="55"/>
  <c r="Y310" i="55"/>
  <c r="Y311" i="55"/>
  <c r="Y312" i="55"/>
  <c r="Y313" i="55"/>
  <c r="Y314" i="55"/>
  <c r="Y315" i="55"/>
  <c r="Y316" i="55"/>
  <c r="Y317" i="55"/>
  <c r="Y318" i="55"/>
  <c r="Y319" i="55"/>
  <c r="Y320" i="55"/>
  <c r="Y321" i="55"/>
  <c r="Y322" i="55"/>
  <c r="Y323" i="55"/>
  <c r="Y324" i="55"/>
  <c r="Y325" i="55"/>
  <c r="Y326" i="55"/>
  <c r="Y327" i="55"/>
  <c r="Y328" i="55"/>
  <c r="Y329" i="55"/>
  <c r="Y330" i="55"/>
  <c r="Y331" i="55"/>
  <c r="Y332" i="55"/>
  <c r="Y333" i="55"/>
  <c r="Y334" i="55"/>
  <c r="Y335" i="55"/>
  <c r="Y336" i="55"/>
  <c r="Y337" i="55"/>
  <c r="Y338" i="55"/>
  <c r="Y339" i="55"/>
  <c r="Y340" i="55"/>
  <c r="Y341" i="55"/>
  <c r="Y342" i="55"/>
  <c r="Y343" i="55"/>
  <c r="Y344" i="55"/>
  <c r="Y345" i="55"/>
  <c r="Y346" i="55"/>
  <c r="Y347" i="55"/>
  <c r="Y348" i="55"/>
  <c r="Y349" i="55"/>
  <c r="Y350" i="55"/>
  <c r="Y351" i="55"/>
  <c r="Y352" i="55"/>
  <c r="Y353" i="55"/>
  <c r="Y354" i="55"/>
  <c r="Y355" i="55"/>
  <c r="Y356" i="55"/>
  <c r="Y357" i="55"/>
  <c r="Y358" i="55"/>
  <c r="Y359" i="55"/>
  <c r="Y360" i="55"/>
  <c r="Y361" i="55"/>
  <c r="Y362" i="55"/>
  <c r="Y363" i="55"/>
  <c r="Y364" i="55"/>
  <c r="Y365" i="55"/>
  <c r="Y366" i="55"/>
  <c r="Y367" i="55"/>
  <c r="Y368" i="55"/>
  <c r="Y369" i="55"/>
  <c r="Y370" i="55"/>
  <c r="Y371" i="55"/>
  <c r="Y372" i="55"/>
  <c r="Y373" i="55"/>
  <c r="Y374" i="55"/>
  <c r="Y375" i="55"/>
  <c r="Y376" i="55"/>
  <c r="Y377" i="55"/>
  <c r="Y378" i="55"/>
  <c r="Y379" i="55"/>
  <c r="Y380" i="55"/>
  <c r="Y381" i="55"/>
  <c r="Y382" i="55"/>
  <c r="Y383" i="55"/>
  <c r="Y384" i="55"/>
  <c r="Y385" i="55"/>
  <c r="Y386" i="55"/>
  <c r="Y387" i="55"/>
  <c r="Y388" i="55"/>
  <c r="Y389" i="55"/>
  <c r="Y390" i="55"/>
  <c r="Y391" i="55"/>
  <c r="Y392" i="55"/>
  <c r="Y393" i="55"/>
  <c r="Y394" i="55"/>
  <c r="Y395" i="55"/>
  <c r="Y396" i="55"/>
  <c r="Y397" i="55"/>
  <c r="Y398" i="55"/>
  <c r="Y399" i="55"/>
  <c r="Y400" i="55"/>
  <c r="Y401" i="55"/>
  <c r="Y402" i="55"/>
  <c r="Y403" i="55"/>
  <c r="Y404" i="55"/>
  <c r="Y405" i="55"/>
  <c r="Y406" i="55"/>
  <c r="Y407" i="55"/>
  <c r="Y408" i="55"/>
  <c r="Y409" i="55"/>
  <c r="Y410" i="55"/>
  <c r="Y411" i="55"/>
  <c r="Y412" i="55"/>
  <c r="Y413" i="55"/>
  <c r="Y414" i="55"/>
  <c r="Y415" i="55"/>
  <c r="Y416" i="55"/>
  <c r="Y417" i="55"/>
  <c r="Y418" i="55"/>
  <c r="Y419" i="55"/>
  <c r="Y420" i="55"/>
  <c r="Y421" i="55"/>
  <c r="Y422" i="55"/>
  <c r="Y423" i="55"/>
  <c r="Y424" i="55"/>
  <c r="Y425" i="55"/>
  <c r="Y426" i="55"/>
  <c r="Y427" i="55"/>
  <c r="Y428" i="55"/>
  <c r="Y429" i="55"/>
  <c r="Y430" i="55"/>
  <c r="Y431" i="55"/>
  <c r="Y432" i="55"/>
  <c r="Y433" i="55"/>
  <c r="Y434" i="55"/>
  <c r="Y435" i="55"/>
  <c r="Y436" i="55"/>
  <c r="Y437" i="55"/>
  <c r="Y438" i="55"/>
  <c r="Y439" i="55"/>
  <c r="Y440" i="55"/>
  <c r="Y441" i="55"/>
  <c r="Y442" i="55"/>
  <c r="Y443" i="55"/>
  <c r="Y444" i="55"/>
  <c r="Y445" i="55"/>
  <c r="Y446" i="55"/>
  <c r="Y447" i="55"/>
  <c r="Y448" i="55"/>
  <c r="Y449" i="55"/>
  <c r="Y450" i="55"/>
  <c r="Y451" i="55"/>
  <c r="Y452" i="55"/>
  <c r="Y453" i="55"/>
  <c r="Y454" i="55"/>
  <c r="Y455" i="55"/>
  <c r="Y456" i="55"/>
  <c r="Y457" i="55"/>
  <c r="Y458" i="55"/>
  <c r="Y459" i="55"/>
  <c r="Y460" i="55"/>
  <c r="Y461" i="55"/>
  <c r="Y462" i="55"/>
  <c r="Y463" i="55"/>
  <c r="Y464" i="55"/>
  <c r="Y465" i="55"/>
  <c r="Y466" i="55"/>
  <c r="Y467" i="55"/>
  <c r="Y468" i="55"/>
  <c r="Y469" i="55"/>
  <c r="Y470" i="55"/>
  <c r="Y471" i="55"/>
  <c r="Y472" i="55"/>
  <c r="Y473" i="55"/>
  <c r="Y474" i="55"/>
  <c r="Y475" i="55"/>
  <c r="Y476" i="55"/>
  <c r="Y477" i="55"/>
  <c r="Y478" i="55"/>
  <c r="Y479" i="55"/>
  <c r="Y480" i="55"/>
  <c r="Y481" i="55"/>
  <c r="Y482" i="55"/>
  <c r="Y483" i="55"/>
  <c r="Y484" i="55"/>
  <c r="Y485" i="55"/>
  <c r="Y486" i="55"/>
  <c r="Y487" i="55"/>
  <c r="Y488" i="55"/>
  <c r="Y489" i="55"/>
  <c r="Y490" i="55"/>
  <c r="Y491" i="55"/>
  <c r="Y492" i="55"/>
  <c r="Y493" i="55"/>
  <c r="Y494" i="55"/>
  <c r="Y495" i="55"/>
  <c r="Y496" i="55"/>
  <c r="Y497" i="55"/>
  <c r="Y498" i="55"/>
  <c r="Y499" i="55"/>
  <c r="Y500" i="55"/>
  <c r="Y501" i="55"/>
  <c r="Y502" i="55"/>
  <c r="Y503" i="55"/>
  <c r="Y504" i="55"/>
  <c r="Y505" i="55"/>
  <c r="Y506" i="55"/>
  <c r="Y507" i="55"/>
  <c r="Y508" i="55"/>
  <c r="Y509" i="55"/>
  <c r="Y510" i="55"/>
  <c r="Y511" i="55"/>
  <c r="Y512" i="55"/>
  <c r="Y513" i="55"/>
  <c r="Y514" i="55"/>
  <c r="Y515" i="55"/>
  <c r="Y516" i="55"/>
  <c r="Y517" i="55"/>
  <c r="Y518" i="55"/>
  <c r="Y519" i="55"/>
  <c r="Y520" i="55"/>
  <c r="Y521" i="55"/>
  <c r="Y522" i="55"/>
  <c r="Y523" i="55"/>
  <c r="Y524" i="55"/>
  <c r="Y525" i="55"/>
  <c r="Y526" i="55"/>
  <c r="Y527" i="55"/>
  <c r="Y528" i="55"/>
  <c r="Y529" i="55"/>
  <c r="Y530" i="55"/>
  <c r="Y531" i="55"/>
  <c r="Y532" i="55"/>
  <c r="Y533" i="55"/>
  <c r="Y534" i="55"/>
  <c r="Y535" i="55"/>
  <c r="Y536" i="55"/>
  <c r="Y537" i="55"/>
  <c r="Y538" i="55"/>
  <c r="Y539" i="55"/>
  <c r="Y540" i="55"/>
  <c r="Y541" i="55"/>
  <c r="Y542" i="55"/>
  <c r="Y543" i="55"/>
  <c r="Y544" i="55"/>
  <c r="Y545" i="55"/>
  <c r="Y546" i="55"/>
  <c r="Y547" i="55"/>
  <c r="Y548" i="55"/>
  <c r="Y549" i="55"/>
  <c r="Y550" i="55"/>
  <c r="Y551" i="55"/>
  <c r="Y552" i="55"/>
  <c r="Y553" i="55"/>
  <c r="Y554" i="55"/>
  <c r="Y555" i="55"/>
  <c r="Y556" i="55"/>
  <c r="Y557" i="55"/>
  <c r="Y558" i="55"/>
  <c r="Y559" i="55"/>
  <c r="Y560" i="55"/>
  <c r="Y561" i="55"/>
  <c r="Y562" i="55"/>
  <c r="Y563" i="55"/>
  <c r="Y564" i="55"/>
  <c r="Y565" i="55"/>
  <c r="Y566" i="55"/>
  <c r="Y567" i="55"/>
  <c r="Y568" i="55"/>
  <c r="Y569" i="55"/>
  <c r="Y570" i="55"/>
  <c r="Y571" i="55"/>
  <c r="Y572" i="55"/>
  <c r="Y573" i="55"/>
  <c r="Y574" i="55"/>
  <c r="Y575" i="55"/>
  <c r="Y576" i="55"/>
  <c r="Y577" i="55"/>
  <c r="Y578" i="55"/>
  <c r="Y579" i="55"/>
  <c r="Y580" i="55"/>
  <c r="Y581" i="55"/>
  <c r="Y582" i="55"/>
  <c r="Y583" i="55"/>
  <c r="Y584" i="55"/>
  <c r="Y585" i="55"/>
  <c r="Y586" i="55"/>
  <c r="Y587" i="55"/>
  <c r="Y588" i="55"/>
  <c r="Y589" i="55"/>
  <c r="Y590" i="55"/>
  <c r="Y591" i="55"/>
  <c r="Y592" i="55"/>
  <c r="Y593" i="55"/>
  <c r="Y594" i="55"/>
  <c r="Y595" i="55"/>
  <c r="Y596" i="55"/>
  <c r="Y597" i="55"/>
  <c r="Y598" i="55"/>
  <c r="Y599" i="55"/>
  <c r="Y600" i="55"/>
  <c r="Y601" i="55"/>
  <c r="Y602" i="55"/>
  <c r="Y603" i="55"/>
  <c r="Y604" i="55"/>
  <c r="Y605" i="55"/>
  <c r="Y606" i="55"/>
  <c r="Y607" i="55"/>
  <c r="Y608" i="55"/>
  <c r="U350" i="55"/>
  <c r="X350" i="55" s="1"/>
  <c r="Z350" i="55" s="1"/>
  <c r="W350" i="55"/>
  <c r="V350" i="55"/>
  <c r="E391" i="54"/>
  <c r="V385" i="55"/>
  <c r="W385" i="55"/>
  <c r="U385" i="55"/>
  <c r="V386" i="55"/>
  <c r="W386" i="55"/>
  <c r="F386" i="55" s="1"/>
  <c r="U386" i="55"/>
  <c r="F319" i="55"/>
  <c r="N319" i="55" s="1"/>
  <c r="S319" i="55"/>
  <c r="T319" i="55"/>
  <c r="D319" i="55" s="1"/>
  <c r="Q319" i="55" s="1"/>
  <c r="X319" i="55"/>
  <c r="Z319" i="55" s="1"/>
  <c r="D153" i="55"/>
  <c r="Q153" i="55" s="1"/>
  <c r="F153" i="55"/>
  <c r="N153" i="55" s="1"/>
  <c r="L153" i="55"/>
  <c r="Y153" i="55" s="1"/>
  <c r="S153" i="55"/>
  <c r="T153" i="55"/>
  <c r="X153" i="55"/>
  <c r="Z153" i="55" s="1"/>
  <c r="D152" i="55"/>
  <c r="Q152" i="55" s="1"/>
  <c r="F152" i="55"/>
  <c r="N152" i="55" s="1"/>
  <c r="S152" i="55"/>
  <c r="T152" i="55"/>
  <c r="X152" i="55"/>
  <c r="Z152" i="55" s="1"/>
  <c r="T14" i="55"/>
  <c r="T15" i="55"/>
  <c r="T16" i="55"/>
  <c r="T17" i="55"/>
  <c r="T18" i="55"/>
  <c r="T19" i="55"/>
  <c r="T20" i="55"/>
  <c r="T21" i="55"/>
  <c r="T22" i="55"/>
  <c r="T23" i="55"/>
  <c r="T24" i="55"/>
  <c r="T25" i="55"/>
  <c r="T26" i="55"/>
  <c r="T27" i="55"/>
  <c r="T28" i="55"/>
  <c r="T29" i="55"/>
  <c r="T30" i="55"/>
  <c r="T31" i="55"/>
  <c r="T32" i="55"/>
  <c r="T33" i="55"/>
  <c r="T34" i="55"/>
  <c r="T35" i="55"/>
  <c r="T36" i="55"/>
  <c r="T37" i="55"/>
  <c r="T38" i="55"/>
  <c r="T39" i="55"/>
  <c r="T40" i="55"/>
  <c r="T41" i="55"/>
  <c r="T42" i="55"/>
  <c r="T43" i="55"/>
  <c r="T44" i="55"/>
  <c r="T45" i="55"/>
  <c r="T46" i="55"/>
  <c r="T47" i="55"/>
  <c r="T48" i="55"/>
  <c r="T49" i="55"/>
  <c r="T50" i="55"/>
  <c r="T51" i="55"/>
  <c r="T52" i="55"/>
  <c r="T53" i="55"/>
  <c r="T54" i="55"/>
  <c r="T55" i="55"/>
  <c r="T56" i="55"/>
  <c r="T57" i="55"/>
  <c r="T58" i="55"/>
  <c r="T59" i="55"/>
  <c r="T60" i="55"/>
  <c r="T61" i="55"/>
  <c r="T62" i="55"/>
  <c r="T63" i="55"/>
  <c r="T64" i="55"/>
  <c r="T65" i="55"/>
  <c r="T66" i="55"/>
  <c r="T67" i="55"/>
  <c r="T68" i="55"/>
  <c r="T69" i="55"/>
  <c r="T70" i="55"/>
  <c r="T71" i="55"/>
  <c r="T72" i="55"/>
  <c r="T73" i="55"/>
  <c r="T74" i="55"/>
  <c r="T75" i="55"/>
  <c r="T76" i="55"/>
  <c r="T77" i="55"/>
  <c r="T78" i="55"/>
  <c r="T79" i="55"/>
  <c r="T80" i="55"/>
  <c r="T81" i="55"/>
  <c r="T82" i="55"/>
  <c r="T83" i="55"/>
  <c r="T84" i="55"/>
  <c r="T85" i="55"/>
  <c r="T86" i="55"/>
  <c r="T87" i="55"/>
  <c r="T88" i="55"/>
  <c r="T89" i="55"/>
  <c r="T90" i="55"/>
  <c r="T91" i="55"/>
  <c r="T92" i="55"/>
  <c r="T93" i="55"/>
  <c r="T94" i="55"/>
  <c r="T95" i="55"/>
  <c r="T96" i="55"/>
  <c r="T97" i="55"/>
  <c r="T98" i="55"/>
  <c r="T99" i="55"/>
  <c r="T100" i="55"/>
  <c r="T101" i="55"/>
  <c r="T102" i="55"/>
  <c r="T103" i="55"/>
  <c r="T104" i="55"/>
  <c r="T105" i="55"/>
  <c r="T106" i="55"/>
  <c r="T107" i="55"/>
  <c r="T108" i="55"/>
  <c r="T109" i="55"/>
  <c r="T110" i="55"/>
  <c r="T111" i="55"/>
  <c r="T112" i="55"/>
  <c r="T113" i="55"/>
  <c r="T114" i="55"/>
  <c r="T115" i="55"/>
  <c r="T116" i="55"/>
  <c r="T117" i="55"/>
  <c r="T118" i="55"/>
  <c r="T119" i="55"/>
  <c r="T120" i="55"/>
  <c r="T121" i="55"/>
  <c r="T122" i="55"/>
  <c r="T123" i="55"/>
  <c r="T124" i="55"/>
  <c r="T125" i="55"/>
  <c r="T126" i="55"/>
  <c r="T127" i="55"/>
  <c r="T128" i="55"/>
  <c r="T129" i="55"/>
  <c r="T130" i="55"/>
  <c r="T131" i="55"/>
  <c r="T132" i="55"/>
  <c r="D132" i="55" s="1"/>
  <c r="Q132" i="55" s="1"/>
  <c r="T133" i="55"/>
  <c r="T134" i="55"/>
  <c r="T135" i="55"/>
  <c r="T136" i="55"/>
  <c r="T137" i="55"/>
  <c r="T138" i="55"/>
  <c r="T139" i="55"/>
  <c r="T140" i="55"/>
  <c r="T141" i="55"/>
  <c r="T142" i="55"/>
  <c r="T143" i="55"/>
  <c r="T144" i="55"/>
  <c r="T145" i="55"/>
  <c r="T146" i="55"/>
  <c r="T147" i="55"/>
  <c r="T148" i="55"/>
  <c r="T149" i="55"/>
  <c r="T150" i="55"/>
  <c r="T151" i="55"/>
  <c r="T154" i="55"/>
  <c r="T155" i="55"/>
  <c r="T156" i="55"/>
  <c r="T157" i="55"/>
  <c r="T158" i="55"/>
  <c r="T159" i="55"/>
  <c r="T160" i="55"/>
  <c r="T161" i="55"/>
  <c r="T162" i="55"/>
  <c r="T163" i="55"/>
  <c r="T164" i="55"/>
  <c r="T165" i="55"/>
  <c r="T166" i="55"/>
  <c r="T167" i="55"/>
  <c r="T168" i="55"/>
  <c r="T169" i="55"/>
  <c r="T170" i="55"/>
  <c r="T171" i="55"/>
  <c r="T172" i="55"/>
  <c r="T173" i="55"/>
  <c r="T174" i="55"/>
  <c r="T175" i="55"/>
  <c r="T176" i="55"/>
  <c r="T177" i="55"/>
  <c r="T178" i="55"/>
  <c r="T179" i="55"/>
  <c r="T180" i="55"/>
  <c r="T181" i="55"/>
  <c r="T182" i="55"/>
  <c r="T183" i="55"/>
  <c r="T184" i="55"/>
  <c r="T185" i="55"/>
  <c r="T186" i="55"/>
  <c r="T187" i="55"/>
  <c r="T188" i="55"/>
  <c r="T189" i="55"/>
  <c r="T190" i="55"/>
  <c r="T191" i="55"/>
  <c r="T192" i="55"/>
  <c r="T193" i="55"/>
  <c r="T194" i="55"/>
  <c r="T195" i="55"/>
  <c r="T196" i="55"/>
  <c r="T197" i="55"/>
  <c r="T198" i="55"/>
  <c r="T199" i="55"/>
  <c r="T200" i="55"/>
  <c r="T201" i="55"/>
  <c r="T202" i="55"/>
  <c r="T203" i="55"/>
  <c r="T204" i="55"/>
  <c r="T205" i="55"/>
  <c r="T206" i="55"/>
  <c r="T207" i="55"/>
  <c r="T208" i="55"/>
  <c r="T209" i="55"/>
  <c r="T210" i="55"/>
  <c r="T211" i="55"/>
  <c r="T212" i="55"/>
  <c r="T213" i="55"/>
  <c r="T214" i="55"/>
  <c r="T215" i="55"/>
  <c r="T216" i="55"/>
  <c r="T217" i="55"/>
  <c r="T218" i="55"/>
  <c r="T219" i="55"/>
  <c r="T220" i="55"/>
  <c r="T221" i="55"/>
  <c r="T222" i="55"/>
  <c r="T223" i="55"/>
  <c r="T224" i="55"/>
  <c r="T225" i="55"/>
  <c r="T226" i="55"/>
  <c r="T227" i="55"/>
  <c r="T228" i="55"/>
  <c r="T229" i="55"/>
  <c r="T230" i="55"/>
  <c r="T231" i="55"/>
  <c r="T232" i="55"/>
  <c r="T233" i="55"/>
  <c r="T234" i="55"/>
  <c r="T235" i="55"/>
  <c r="T236" i="55"/>
  <c r="T237" i="55"/>
  <c r="T238" i="55"/>
  <c r="T239" i="55"/>
  <c r="T240" i="55"/>
  <c r="T241" i="55"/>
  <c r="T242" i="55"/>
  <c r="T243" i="55"/>
  <c r="T244" i="55"/>
  <c r="T245" i="55"/>
  <c r="T246" i="55"/>
  <c r="T247" i="55"/>
  <c r="T248" i="55"/>
  <c r="T249" i="55"/>
  <c r="T250" i="55"/>
  <c r="T251" i="55"/>
  <c r="T252" i="55"/>
  <c r="T253" i="55"/>
  <c r="T254" i="55"/>
  <c r="T255" i="55"/>
  <c r="T256" i="55"/>
  <c r="T257" i="55"/>
  <c r="T258" i="55"/>
  <c r="T259" i="55"/>
  <c r="T260" i="55"/>
  <c r="T261" i="55"/>
  <c r="T262" i="55"/>
  <c r="T263" i="55"/>
  <c r="T264" i="55"/>
  <c r="T265" i="55"/>
  <c r="T266" i="55"/>
  <c r="T267" i="55"/>
  <c r="T268" i="55"/>
  <c r="T269" i="55"/>
  <c r="T270" i="55"/>
  <c r="T271" i="55"/>
  <c r="T272" i="55"/>
  <c r="T273" i="55"/>
  <c r="T274" i="55"/>
  <c r="T275" i="55"/>
  <c r="T276" i="55"/>
  <c r="T277" i="55"/>
  <c r="T278" i="55"/>
  <c r="T279" i="55"/>
  <c r="T280" i="55"/>
  <c r="T281" i="55"/>
  <c r="T282" i="55"/>
  <c r="T283" i="55"/>
  <c r="T284" i="55"/>
  <c r="T285" i="55"/>
  <c r="T286" i="55"/>
  <c r="T287" i="55"/>
  <c r="T288" i="55"/>
  <c r="T289" i="55"/>
  <c r="T290" i="55"/>
  <c r="T291" i="55"/>
  <c r="T292" i="55"/>
  <c r="T293" i="55"/>
  <c r="T294" i="55"/>
  <c r="T295" i="55"/>
  <c r="T296" i="55"/>
  <c r="T297" i="55"/>
  <c r="T298" i="55"/>
  <c r="T299" i="55"/>
  <c r="T300" i="55"/>
  <c r="T301" i="55"/>
  <c r="T302" i="55"/>
  <c r="T303" i="55"/>
  <c r="T304" i="55"/>
  <c r="T305" i="55"/>
  <c r="T306" i="55"/>
  <c r="T307" i="55"/>
  <c r="T308" i="55"/>
  <c r="T309" i="55"/>
  <c r="T310" i="55"/>
  <c r="T311" i="55"/>
  <c r="T312" i="55"/>
  <c r="T313" i="55"/>
  <c r="T314" i="55"/>
  <c r="T315" i="55"/>
  <c r="T316" i="55"/>
  <c r="T317" i="55"/>
  <c r="T318" i="55"/>
  <c r="T320" i="55"/>
  <c r="T321" i="55"/>
  <c r="T322" i="55"/>
  <c r="T323" i="55"/>
  <c r="T324" i="55"/>
  <c r="T325" i="55"/>
  <c r="T326" i="55"/>
  <c r="T327" i="55"/>
  <c r="T328" i="55"/>
  <c r="T329" i="55"/>
  <c r="T330" i="55"/>
  <c r="T331" i="55"/>
  <c r="T332" i="55"/>
  <c r="T333" i="55"/>
  <c r="T334" i="55"/>
  <c r="T335" i="55"/>
  <c r="T336" i="55"/>
  <c r="T337" i="55"/>
  <c r="T338" i="55"/>
  <c r="T339" i="55"/>
  <c r="T340" i="55"/>
  <c r="T341" i="55"/>
  <c r="T342" i="55"/>
  <c r="T343" i="55"/>
  <c r="T344" i="55"/>
  <c r="T345" i="55"/>
  <c r="T346" i="55"/>
  <c r="T347" i="55"/>
  <c r="T348" i="55"/>
  <c r="T349" i="55"/>
  <c r="T350" i="55"/>
  <c r="T351" i="55"/>
  <c r="T352" i="55"/>
  <c r="T353" i="55"/>
  <c r="T354" i="55"/>
  <c r="T355" i="55"/>
  <c r="T356" i="55"/>
  <c r="T357" i="55"/>
  <c r="T358" i="55"/>
  <c r="T359" i="55"/>
  <c r="T360" i="55"/>
  <c r="T361" i="55"/>
  <c r="T362" i="55"/>
  <c r="T363" i="55"/>
  <c r="T364" i="55"/>
  <c r="T365" i="55"/>
  <c r="T366" i="55"/>
  <c r="T367" i="55"/>
  <c r="T368" i="55"/>
  <c r="T369" i="55"/>
  <c r="T370" i="55"/>
  <c r="T371" i="55"/>
  <c r="T372" i="55"/>
  <c r="T373" i="55"/>
  <c r="T374" i="55"/>
  <c r="T375" i="55"/>
  <c r="T376" i="55"/>
  <c r="T377" i="55"/>
  <c r="T378" i="55"/>
  <c r="T379" i="55"/>
  <c r="T380" i="55"/>
  <c r="T381" i="55"/>
  <c r="T382" i="55"/>
  <c r="T383" i="55"/>
  <c r="T384" i="55"/>
  <c r="T385" i="55"/>
  <c r="T386" i="55"/>
  <c r="T387" i="55"/>
  <c r="T388" i="55"/>
  <c r="T389" i="55"/>
  <c r="T390" i="55"/>
  <c r="T391" i="55"/>
  <c r="T392" i="55"/>
  <c r="T393" i="55"/>
  <c r="T394" i="55"/>
  <c r="T395" i="55"/>
  <c r="T396" i="55"/>
  <c r="T397" i="55"/>
  <c r="T398" i="55"/>
  <c r="T399" i="55"/>
  <c r="T400" i="55"/>
  <c r="T401" i="55"/>
  <c r="T402" i="55"/>
  <c r="T403" i="55"/>
  <c r="T404" i="55"/>
  <c r="T405" i="55"/>
  <c r="T406" i="55"/>
  <c r="T407" i="55"/>
  <c r="T408" i="55"/>
  <c r="T409" i="55"/>
  <c r="T410" i="55"/>
  <c r="T411" i="55"/>
  <c r="T412" i="55"/>
  <c r="T413" i="55"/>
  <c r="T414" i="55"/>
  <c r="T415" i="55"/>
  <c r="T416" i="55"/>
  <c r="T417" i="55"/>
  <c r="T418" i="55"/>
  <c r="T419" i="55"/>
  <c r="T420" i="55"/>
  <c r="T421" i="55"/>
  <c r="T422" i="55"/>
  <c r="T423" i="55"/>
  <c r="T424" i="55"/>
  <c r="T425" i="55"/>
  <c r="T426" i="55"/>
  <c r="T427" i="55"/>
  <c r="T428" i="55"/>
  <c r="T429" i="55"/>
  <c r="T430" i="55"/>
  <c r="T431" i="55"/>
  <c r="T432" i="55"/>
  <c r="T433" i="55"/>
  <c r="T434" i="55"/>
  <c r="T435" i="55"/>
  <c r="T436" i="55"/>
  <c r="T437" i="55"/>
  <c r="T438" i="55"/>
  <c r="T439" i="55"/>
  <c r="T440" i="55"/>
  <c r="T441" i="55"/>
  <c r="T442" i="55"/>
  <c r="T443" i="55"/>
  <c r="T444" i="55"/>
  <c r="T445" i="55"/>
  <c r="T446" i="55"/>
  <c r="T447" i="55"/>
  <c r="T448" i="55"/>
  <c r="T449" i="55"/>
  <c r="T450" i="55"/>
  <c r="T451" i="55"/>
  <c r="T452" i="55"/>
  <c r="T453" i="55"/>
  <c r="T454" i="55"/>
  <c r="T455" i="55"/>
  <c r="T456" i="55"/>
  <c r="T457" i="55"/>
  <c r="T458" i="55"/>
  <c r="T459" i="55"/>
  <c r="T460" i="55"/>
  <c r="T461" i="55"/>
  <c r="T462" i="55"/>
  <c r="T463" i="55"/>
  <c r="T464" i="55"/>
  <c r="T465" i="55"/>
  <c r="T466" i="55"/>
  <c r="T467" i="55"/>
  <c r="T468" i="55"/>
  <c r="T469" i="55"/>
  <c r="T470" i="55"/>
  <c r="T471" i="55"/>
  <c r="T472" i="55"/>
  <c r="T473" i="55"/>
  <c r="T474" i="55"/>
  <c r="T475" i="55"/>
  <c r="T476" i="55"/>
  <c r="T477" i="55"/>
  <c r="T478" i="55"/>
  <c r="T479" i="55"/>
  <c r="T480" i="55"/>
  <c r="T481" i="55"/>
  <c r="T482" i="55"/>
  <c r="T483" i="55"/>
  <c r="T484" i="55"/>
  <c r="T485" i="55"/>
  <c r="T486" i="55"/>
  <c r="T487" i="55"/>
  <c r="T488" i="55"/>
  <c r="T489" i="55"/>
  <c r="T490" i="55"/>
  <c r="T491" i="55"/>
  <c r="T492" i="55"/>
  <c r="T493" i="55"/>
  <c r="T494" i="55"/>
  <c r="T495" i="55"/>
  <c r="T496" i="55"/>
  <c r="T497" i="55"/>
  <c r="T498" i="55"/>
  <c r="T499" i="55"/>
  <c r="T500" i="55"/>
  <c r="T501" i="55"/>
  <c r="T502" i="55"/>
  <c r="T503" i="55"/>
  <c r="T504" i="55"/>
  <c r="T505" i="55"/>
  <c r="T506" i="55"/>
  <c r="T507" i="55"/>
  <c r="T508" i="55"/>
  <c r="T509" i="55"/>
  <c r="T510" i="55"/>
  <c r="T511" i="55"/>
  <c r="T512" i="55"/>
  <c r="T513" i="55"/>
  <c r="T514" i="55"/>
  <c r="T515" i="55"/>
  <c r="T516" i="55"/>
  <c r="T517" i="55"/>
  <c r="T518" i="55"/>
  <c r="T519" i="55"/>
  <c r="T520" i="55"/>
  <c r="T521" i="55"/>
  <c r="T522" i="55"/>
  <c r="T523" i="55"/>
  <c r="T524" i="55"/>
  <c r="T525" i="55"/>
  <c r="T526" i="55"/>
  <c r="T527" i="55"/>
  <c r="T528" i="55"/>
  <c r="T529" i="55"/>
  <c r="T530" i="55"/>
  <c r="T531" i="55"/>
  <c r="T532" i="55"/>
  <c r="T533" i="55"/>
  <c r="T534" i="55"/>
  <c r="T535" i="55"/>
  <c r="T536" i="55"/>
  <c r="T537" i="55"/>
  <c r="T538" i="55"/>
  <c r="T539" i="55"/>
  <c r="T540" i="55"/>
  <c r="T541" i="55"/>
  <c r="T542" i="55"/>
  <c r="T543" i="55"/>
  <c r="T544" i="55"/>
  <c r="T545" i="55"/>
  <c r="T546" i="55"/>
  <c r="T547" i="55"/>
  <c r="T548" i="55"/>
  <c r="T549" i="55"/>
  <c r="T550" i="55"/>
  <c r="T551" i="55"/>
  <c r="T552" i="55"/>
  <c r="T553" i="55"/>
  <c r="T554" i="55"/>
  <c r="T555" i="55"/>
  <c r="T556" i="55"/>
  <c r="T557" i="55"/>
  <c r="T558" i="55"/>
  <c r="T559" i="55"/>
  <c r="T560" i="55"/>
  <c r="T561" i="55"/>
  <c r="T562" i="55"/>
  <c r="T563" i="55"/>
  <c r="T564" i="55"/>
  <c r="T565" i="55"/>
  <c r="T566" i="55"/>
  <c r="T567" i="55"/>
  <c r="T568" i="55"/>
  <c r="T569" i="55"/>
  <c r="T570" i="55"/>
  <c r="T571" i="55"/>
  <c r="T572" i="55"/>
  <c r="T573" i="55"/>
  <c r="T574" i="55"/>
  <c r="T575" i="55"/>
  <c r="T576" i="55"/>
  <c r="T577" i="55"/>
  <c r="T578" i="55"/>
  <c r="T579" i="55"/>
  <c r="T580" i="55"/>
  <c r="T581" i="55"/>
  <c r="T582" i="55"/>
  <c r="T583" i="55"/>
  <c r="T584" i="55"/>
  <c r="T585" i="55"/>
  <c r="T586" i="55"/>
  <c r="T587" i="55"/>
  <c r="T588" i="55"/>
  <c r="T589" i="55"/>
  <c r="T590" i="55"/>
  <c r="T591" i="55"/>
  <c r="T592" i="55"/>
  <c r="T593" i="55"/>
  <c r="T594" i="55"/>
  <c r="T595" i="55"/>
  <c r="T596" i="55"/>
  <c r="T597" i="55"/>
  <c r="T598" i="55"/>
  <c r="T599" i="55"/>
  <c r="T600" i="55"/>
  <c r="T601" i="55"/>
  <c r="T602" i="55"/>
  <c r="T603" i="55"/>
  <c r="T604" i="55"/>
  <c r="T605" i="55"/>
  <c r="T606" i="55"/>
  <c r="T607" i="55"/>
  <c r="T608" i="55"/>
  <c r="D168" i="55"/>
  <c r="Q168" i="55" s="1"/>
  <c r="F168" i="55"/>
  <c r="N168" i="55" s="1"/>
  <c r="X168" i="55"/>
  <c r="Z168" i="55" s="1"/>
  <c r="D169" i="55"/>
  <c r="Q169" i="55" s="1"/>
  <c r="F169" i="55"/>
  <c r="N169" i="55" s="1"/>
  <c r="S169" i="55"/>
  <c r="X169" i="55"/>
  <c r="Z169" i="55" s="1"/>
  <c r="D170" i="55"/>
  <c r="Q170" i="55" s="1"/>
  <c r="F170" i="55"/>
  <c r="N170" i="55" s="1"/>
  <c r="S170" i="55"/>
  <c r="X170" i="55"/>
  <c r="Z170" i="55" s="1"/>
  <c r="X15" i="55"/>
  <c r="Z15" i="55" s="1"/>
  <c r="X16" i="55"/>
  <c r="Z16" i="55" s="1"/>
  <c r="X17" i="55"/>
  <c r="Z17" i="55" s="1"/>
  <c r="X18" i="55"/>
  <c r="Z18" i="55" s="1"/>
  <c r="X19" i="55"/>
  <c r="Z19" i="55" s="1"/>
  <c r="X20" i="55"/>
  <c r="Z20" i="55" s="1"/>
  <c r="X21" i="55"/>
  <c r="Z21" i="55" s="1"/>
  <c r="X22" i="55"/>
  <c r="Z22" i="55" s="1"/>
  <c r="X23" i="55"/>
  <c r="Z23" i="55" s="1"/>
  <c r="X24" i="55"/>
  <c r="Z24" i="55" s="1"/>
  <c r="X25" i="55"/>
  <c r="Z25" i="55" s="1"/>
  <c r="X26" i="55"/>
  <c r="Z26" i="55" s="1"/>
  <c r="X27" i="55"/>
  <c r="Z27" i="55" s="1"/>
  <c r="X28" i="55"/>
  <c r="Z28" i="55" s="1"/>
  <c r="X29" i="55"/>
  <c r="Z29" i="55" s="1"/>
  <c r="X30" i="55"/>
  <c r="Z30" i="55" s="1"/>
  <c r="X31" i="55"/>
  <c r="Z31" i="55" s="1"/>
  <c r="X32" i="55"/>
  <c r="Z32" i="55" s="1"/>
  <c r="X33" i="55"/>
  <c r="Z33" i="55" s="1"/>
  <c r="X34" i="55"/>
  <c r="Z34" i="55" s="1"/>
  <c r="X35" i="55"/>
  <c r="Z35" i="55" s="1"/>
  <c r="X36" i="55"/>
  <c r="X37" i="55"/>
  <c r="Z37" i="55" s="1"/>
  <c r="X38" i="55"/>
  <c r="Z38" i="55" s="1"/>
  <c r="X39" i="55"/>
  <c r="Z39" i="55" s="1"/>
  <c r="X40" i="55"/>
  <c r="Z40" i="55" s="1"/>
  <c r="X41" i="55"/>
  <c r="Z41" i="55" s="1"/>
  <c r="X42" i="55"/>
  <c r="Z42" i="55" s="1"/>
  <c r="X43" i="55"/>
  <c r="Z43" i="55" s="1"/>
  <c r="X44" i="55"/>
  <c r="Z44" i="55" s="1"/>
  <c r="X45" i="55"/>
  <c r="Z45" i="55" s="1"/>
  <c r="X46" i="55"/>
  <c r="Z46" i="55" s="1"/>
  <c r="X47" i="55"/>
  <c r="Z47" i="55" s="1"/>
  <c r="X48" i="55"/>
  <c r="Z48" i="55" s="1"/>
  <c r="X49" i="55"/>
  <c r="Z49" i="55" s="1"/>
  <c r="X50" i="55"/>
  <c r="Z50" i="55" s="1"/>
  <c r="X51" i="55"/>
  <c r="Z51" i="55" s="1"/>
  <c r="X52" i="55"/>
  <c r="Z52" i="55" s="1"/>
  <c r="X53" i="55"/>
  <c r="Z53" i="55" s="1"/>
  <c r="X54" i="55"/>
  <c r="Z54" i="55" s="1"/>
  <c r="X55" i="55"/>
  <c r="Z55" i="55" s="1"/>
  <c r="X56" i="55"/>
  <c r="Z56" i="55" s="1"/>
  <c r="X57" i="55"/>
  <c r="Z57" i="55" s="1"/>
  <c r="X58" i="55"/>
  <c r="Z58" i="55" s="1"/>
  <c r="X59" i="55"/>
  <c r="Z59" i="55" s="1"/>
  <c r="X60" i="55"/>
  <c r="Z60" i="55" s="1"/>
  <c r="X61" i="55"/>
  <c r="Z61" i="55" s="1"/>
  <c r="X62" i="55"/>
  <c r="Z62" i="55" s="1"/>
  <c r="X63" i="55"/>
  <c r="Z63" i="55" s="1"/>
  <c r="X64" i="55"/>
  <c r="Z64" i="55" s="1"/>
  <c r="X65" i="55"/>
  <c r="Z65" i="55" s="1"/>
  <c r="X66" i="55"/>
  <c r="Z66" i="55" s="1"/>
  <c r="X67" i="55"/>
  <c r="Z67" i="55" s="1"/>
  <c r="X68" i="55"/>
  <c r="X69" i="55"/>
  <c r="Z69" i="55" s="1"/>
  <c r="X70" i="55"/>
  <c r="Z70" i="55" s="1"/>
  <c r="X71" i="55"/>
  <c r="Z71" i="55" s="1"/>
  <c r="X72" i="55"/>
  <c r="Z72" i="55" s="1"/>
  <c r="X73" i="55"/>
  <c r="Z73" i="55" s="1"/>
  <c r="X74" i="55"/>
  <c r="Z74" i="55" s="1"/>
  <c r="X75" i="55"/>
  <c r="Z75" i="55" s="1"/>
  <c r="X76" i="55"/>
  <c r="Z76" i="55" s="1"/>
  <c r="X77" i="55"/>
  <c r="Z77" i="55" s="1"/>
  <c r="X78" i="55"/>
  <c r="Z78" i="55" s="1"/>
  <c r="X79" i="55"/>
  <c r="Z79" i="55" s="1"/>
  <c r="X80" i="55"/>
  <c r="Z80" i="55" s="1"/>
  <c r="X81" i="55"/>
  <c r="Z81" i="55" s="1"/>
  <c r="X82" i="55"/>
  <c r="Z82" i="55" s="1"/>
  <c r="X83" i="55"/>
  <c r="Z83" i="55" s="1"/>
  <c r="X84" i="55"/>
  <c r="Z84" i="55" s="1"/>
  <c r="X85" i="55"/>
  <c r="Z85" i="55" s="1"/>
  <c r="X86" i="55"/>
  <c r="Z86" i="55" s="1"/>
  <c r="X87" i="55"/>
  <c r="Z87" i="55" s="1"/>
  <c r="X88" i="55"/>
  <c r="Z88" i="55" s="1"/>
  <c r="X89" i="55"/>
  <c r="Z89" i="55" s="1"/>
  <c r="X90" i="55"/>
  <c r="Z90" i="55" s="1"/>
  <c r="X91" i="55"/>
  <c r="Z91" i="55" s="1"/>
  <c r="X92" i="55"/>
  <c r="Z92" i="55" s="1"/>
  <c r="X93" i="55"/>
  <c r="Z93" i="55" s="1"/>
  <c r="X94" i="55"/>
  <c r="Z94" i="55" s="1"/>
  <c r="X95" i="55"/>
  <c r="Z95" i="55" s="1"/>
  <c r="X96" i="55"/>
  <c r="Z96" i="55" s="1"/>
  <c r="X97" i="55"/>
  <c r="Z97" i="55" s="1"/>
  <c r="X98" i="55"/>
  <c r="Z98" i="55" s="1"/>
  <c r="X99" i="55"/>
  <c r="Z99" i="55" s="1"/>
  <c r="X100" i="55"/>
  <c r="X101" i="55"/>
  <c r="Z101" i="55" s="1"/>
  <c r="X102" i="55"/>
  <c r="Z102" i="55" s="1"/>
  <c r="X103" i="55"/>
  <c r="Z103" i="55" s="1"/>
  <c r="X104" i="55"/>
  <c r="Z104" i="55" s="1"/>
  <c r="X105" i="55"/>
  <c r="Z105" i="55" s="1"/>
  <c r="X106" i="55"/>
  <c r="Z106" i="55" s="1"/>
  <c r="X107" i="55"/>
  <c r="Z107" i="55" s="1"/>
  <c r="X108" i="55"/>
  <c r="Z108" i="55" s="1"/>
  <c r="X109" i="55"/>
  <c r="Z109" i="55" s="1"/>
  <c r="X110" i="55"/>
  <c r="Z110" i="55" s="1"/>
  <c r="X111" i="55"/>
  <c r="Z111" i="55" s="1"/>
  <c r="X112" i="55"/>
  <c r="Z112" i="55" s="1"/>
  <c r="X113" i="55"/>
  <c r="Z113" i="55" s="1"/>
  <c r="X114" i="55"/>
  <c r="Z114" i="55" s="1"/>
  <c r="X115" i="55"/>
  <c r="Z115" i="55" s="1"/>
  <c r="X116" i="55"/>
  <c r="Z116" i="55" s="1"/>
  <c r="X117" i="55"/>
  <c r="Z117" i="55" s="1"/>
  <c r="X118" i="55"/>
  <c r="Z118" i="55" s="1"/>
  <c r="X119" i="55"/>
  <c r="Z119" i="55" s="1"/>
  <c r="X120" i="55"/>
  <c r="Z120" i="55" s="1"/>
  <c r="X121" i="55"/>
  <c r="Z121" i="55" s="1"/>
  <c r="X122" i="55"/>
  <c r="Z122" i="55" s="1"/>
  <c r="X123" i="55"/>
  <c r="Z123" i="55" s="1"/>
  <c r="X124" i="55"/>
  <c r="Z124" i="55" s="1"/>
  <c r="X125" i="55"/>
  <c r="Z125" i="55" s="1"/>
  <c r="X126" i="55"/>
  <c r="Z126" i="55" s="1"/>
  <c r="X127" i="55"/>
  <c r="Z127" i="55" s="1"/>
  <c r="X128" i="55"/>
  <c r="Z128" i="55" s="1"/>
  <c r="X129" i="55"/>
  <c r="Z129" i="55" s="1"/>
  <c r="X130" i="55"/>
  <c r="Z130" i="55" s="1"/>
  <c r="X131" i="55"/>
  <c r="Z131" i="55" s="1"/>
  <c r="X132" i="55"/>
  <c r="X133" i="55"/>
  <c r="Z133" i="55" s="1"/>
  <c r="X134" i="55"/>
  <c r="Z134" i="55" s="1"/>
  <c r="X135" i="55"/>
  <c r="Z135" i="55" s="1"/>
  <c r="X136" i="55"/>
  <c r="Z136" i="55" s="1"/>
  <c r="X137" i="55"/>
  <c r="Z137" i="55" s="1"/>
  <c r="X138" i="55"/>
  <c r="Z138" i="55" s="1"/>
  <c r="X139" i="55"/>
  <c r="Z139" i="55" s="1"/>
  <c r="X140" i="55"/>
  <c r="Z140" i="55" s="1"/>
  <c r="X141" i="55"/>
  <c r="Z141" i="55" s="1"/>
  <c r="X142" i="55"/>
  <c r="Z142" i="55" s="1"/>
  <c r="X143" i="55"/>
  <c r="Z143" i="55" s="1"/>
  <c r="X144" i="55"/>
  <c r="Z144" i="55" s="1"/>
  <c r="X145" i="55"/>
  <c r="Z145" i="55" s="1"/>
  <c r="X146" i="55"/>
  <c r="Z146" i="55" s="1"/>
  <c r="X147" i="55"/>
  <c r="Z147" i="55" s="1"/>
  <c r="X148" i="55"/>
  <c r="Z148" i="55" s="1"/>
  <c r="X149" i="55"/>
  <c r="Z149" i="55" s="1"/>
  <c r="X150" i="55"/>
  <c r="Z150" i="55" s="1"/>
  <c r="X151" i="55"/>
  <c r="Z151" i="55" s="1"/>
  <c r="X154" i="55"/>
  <c r="Z154" i="55" s="1"/>
  <c r="X155" i="55"/>
  <c r="Z155" i="55" s="1"/>
  <c r="X156" i="55"/>
  <c r="Z156" i="55" s="1"/>
  <c r="X157" i="55"/>
  <c r="Z157" i="55" s="1"/>
  <c r="X158" i="55"/>
  <c r="Z158" i="55" s="1"/>
  <c r="X159" i="55"/>
  <c r="Z159" i="55" s="1"/>
  <c r="X160" i="55"/>
  <c r="Z160" i="55" s="1"/>
  <c r="X161" i="55"/>
  <c r="Z161" i="55" s="1"/>
  <c r="X162" i="55"/>
  <c r="Z162" i="55" s="1"/>
  <c r="X163" i="55"/>
  <c r="Z163" i="55" s="1"/>
  <c r="X164" i="55"/>
  <c r="Z164" i="55" s="1"/>
  <c r="X165" i="55"/>
  <c r="Z165" i="55" s="1"/>
  <c r="X166" i="55"/>
  <c r="Z166" i="55" s="1"/>
  <c r="X167" i="55"/>
  <c r="Z167" i="55" s="1"/>
  <c r="X171" i="55"/>
  <c r="Z171" i="55" s="1"/>
  <c r="X172" i="55"/>
  <c r="Z172" i="55" s="1"/>
  <c r="X173" i="55"/>
  <c r="Z173" i="55" s="1"/>
  <c r="X174" i="55"/>
  <c r="Z174" i="55" s="1"/>
  <c r="X175" i="55"/>
  <c r="Z175" i="55" s="1"/>
  <c r="X176" i="55"/>
  <c r="Z176" i="55" s="1"/>
  <c r="X177" i="55"/>
  <c r="X178" i="55"/>
  <c r="Z178" i="55" s="1"/>
  <c r="X179" i="55"/>
  <c r="Z179" i="55" s="1"/>
  <c r="X180" i="55"/>
  <c r="Z180" i="55" s="1"/>
  <c r="X181" i="55"/>
  <c r="Z181" i="55" s="1"/>
  <c r="X182" i="55"/>
  <c r="Z182" i="55" s="1"/>
  <c r="X183" i="55"/>
  <c r="Z183" i="55" s="1"/>
  <c r="X184" i="55"/>
  <c r="Z184" i="55" s="1"/>
  <c r="X185" i="55"/>
  <c r="Z185" i="55" s="1"/>
  <c r="X186" i="55"/>
  <c r="Z186" i="55" s="1"/>
  <c r="X187" i="55"/>
  <c r="Z187" i="55" s="1"/>
  <c r="X188" i="55"/>
  <c r="Z188" i="55" s="1"/>
  <c r="X189" i="55"/>
  <c r="Z189" i="55" s="1"/>
  <c r="X190" i="55"/>
  <c r="Z190" i="55" s="1"/>
  <c r="X191" i="55"/>
  <c r="Z191" i="55" s="1"/>
  <c r="X192" i="55"/>
  <c r="Z192" i="55" s="1"/>
  <c r="X193" i="55"/>
  <c r="Z193" i="55" s="1"/>
  <c r="X194" i="55"/>
  <c r="Z194" i="55" s="1"/>
  <c r="X195" i="55"/>
  <c r="Z195" i="55" s="1"/>
  <c r="X196" i="55"/>
  <c r="Z196" i="55" s="1"/>
  <c r="X197" i="55"/>
  <c r="Z197" i="55" s="1"/>
  <c r="X198" i="55"/>
  <c r="Z198" i="55" s="1"/>
  <c r="X199" i="55"/>
  <c r="Z199" i="55" s="1"/>
  <c r="X200" i="55"/>
  <c r="Z200" i="55" s="1"/>
  <c r="X201" i="55"/>
  <c r="Z201" i="55" s="1"/>
  <c r="X202" i="55"/>
  <c r="Z202" i="55" s="1"/>
  <c r="X203" i="55"/>
  <c r="Z203" i="55" s="1"/>
  <c r="X204" i="55"/>
  <c r="Z204" i="55" s="1"/>
  <c r="X205" i="55"/>
  <c r="Z205" i="55" s="1"/>
  <c r="X206" i="55"/>
  <c r="Z206" i="55" s="1"/>
  <c r="X207" i="55"/>
  <c r="Z207" i="55" s="1"/>
  <c r="X208" i="55"/>
  <c r="Z208" i="55" s="1"/>
  <c r="X209" i="55"/>
  <c r="X210" i="55"/>
  <c r="Z210" i="55" s="1"/>
  <c r="X211" i="55"/>
  <c r="Z211" i="55" s="1"/>
  <c r="X212" i="55"/>
  <c r="Z212" i="55" s="1"/>
  <c r="X213" i="55"/>
  <c r="Z213" i="55" s="1"/>
  <c r="X214" i="55"/>
  <c r="Z214" i="55" s="1"/>
  <c r="X215" i="55"/>
  <c r="Z215" i="55" s="1"/>
  <c r="X216" i="55"/>
  <c r="Z216" i="55" s="1"/>
  <c r="X217" i="55"/>
  <c r="Z217" i="55" s="1"/>
  <c r="X218" i="55"/>
  <c r="Z218" i="55" s="1"/>
  <c r="X219" i="55"/>
  <c r="Z219" i="55" s="1"/>
  <c r="X220" i="55"/>
  <c r="Z220" i="55" s="1"/>
  <c r="X221" i="55"/>
  <c r="Z221" i="55" s="1"/>
  <c r="X222" i="55"/>
  <c r="Z222" i="55" s="1"/>
  <c r="X223" i="55"/>
  <c r="Z223" i="55" s="1"/>
  <c r="X224" i="55"/>
  <c r="Z224" i="55" s="1"/>
  <c r="X225" i="55"/>
  <c r="Z225" i="55" s="1"/>
  <c r="X226" i="55"/>
  <c r="Z226" i="55" s="1"/>
  <c r="X227" i="55"/>
  <c r="Z227" i="55" s="1"/>
  <c r="X228" i="55"/>
  <c r="Z228" i="55" s="1"/>
  <c r="X229" i="55"/>
  <c r="Z229" i="55" s="1"/>
  <c r="X230" i="55"/>
  <c r="Z230" i="55" s="1"/>
  <c r="X231" i="55"/>
  <c r="Z231" i="55" s="1"/>
  <c r="X232" i="55"/>
  <c r="Z232" i="55" s="1"/>
  <c r="X233" i="55"/>
  <c r="Z233" i="55" s="1"/>
  <c r="X234" i="55"/>
  <c r="Z234" i="55" s="1"/>
  <c r="X235" i="55"/>
  <c r="Z235" i="55" s="1"/>
  <c r="X236" i="55"/>
  <c r="Z236" i="55" s="1"/>
  <c r="X237" i="55"/>
  <c r="Z237" i="55" s="1"/>
  <c r="X238" i="55"/>
  <c r="Z238" i="55" s="1"/>
  <c r="X239" i="55"/>
  <c r="Z239" i="55" s="1"/>
  <c r="X240" i="55"/>
  <c r="Z240" i="55" s="1"/>
  <c r="X241" i="55"/>
  <c r="X242" i="55"/>
  <c r="Z242" i="55" s="1"/>
  <c r="X243" i="55"/>
  <c r="Z243" i="55" s="1"/>
  <c r="X244" i="55"/>
  <c r="Z244" i="55" s="1"/>
  <c r="X245" i="55"/>
  <c r="Z245" i="55" s="1"/>
  <c r="X246" i="55"/>
  <c r="Z246" i="55" s="1"/>
  <c r="X247" i="55"/>
  <c r="Z247" i="55" s="1"/>
  <c r="X248" i="55"/>
  <c r="Z248" i="55" s="1"/>
  <c r="X249" i="55"/>
  <c r="Z249" i="55" s="1"/>
  <c r="X250" i="55"/>
  <c r="Z250" i="55" s="1"/>
  <c r="X251" i="55"/>
  <c r="Z251" i="55" s="1"/>
  <c r="X252" i="55"/>
  <c r="Z252" i="55" s="1"/>
  <c r="X253" i="55"/>
  <c r="Z253" i="55" s="1"/>
  <c r="X254" i="55"/>
  <c r="Z254" i="55" s="1"/>
  <c r="X255" i="55"/>
  <c r="Z255" i="55" s="1"/>
  <c r="X256" i="55"/>
  <c r="Z256" i="55" s="1"/>
  <c r="X257" i="55"/>
  <c r="Z257" i="55" s="1"/>
  <c r="X258" i="55"/>
  <c r="Z258" i="55" s="1"/>
  <c r="X259" i="55"/>
  <c r="Z259" i="55" s="1"/>
  <c r="X260" i="55"/>
  <c r="Z260" i="55" s="1"/>
  <c r="X261" i="55"/>
  <c r="Z261" i="55" s="1"/>
  <c r="X262" i="55"/>
  <c r="Z262" i="55" s="1"/>
  <c r="X263" i="55"/>
  <c r="Z263" i="55" s="1"/>
  <c r="X264" i="55"/>
  <c r="Z264" i="55" s="1"/>
  <c r="X265" i="55"/>
  <c r="Z265" i="55" s="1"/>
  <c r="X266" i="55"/>
  <c r="Z266" i="55" s="1"/>
  <c r="X267" i="55"/>
  <c r="Z267" i="55" s="1"/>
  <c r="X268" i="55"/>
  <c r="Z268" i="55" s="1"/>
  <c r="X269" i="55"/>
  <c r="Z269" i="55" s="1"/>
  <c r="X270" i="55"/>
  <c r="Z270" i="55" s="1"/>
  <c r="X271" i="55"/>
  <c r="Z271" i="55" s="1"/>
  <c r="X272" i="55"/>
  <c r="Z272" i="55" s="1"/>
  <c r="X273" i="55"/>
  <c r="X274" i="55"/>
  <c r="Z274" i="55" s="1"/>
  <c r="X275" i="55"/>
  <c r="Z275" i="55" s="1"/>
  <c r="X276" i="55"/>
  <c r="Z276" i="55" s="1"/>
  <c r="X277" i="55"/>
  <c r="Z277" i="55" s="1"/>
  <c r="X278" i="55"/>
  <c r="Z278" i="55" s="1"/>
  <c r="X279" i="55"/>
  <c r="Z279" i="55" s="1"/>
  <c r="X280" i="55"/>
  <c r="Z280" i="55" s="1"/>
  <c r="X281" i="55"/>
  <c r="Z281" i="55" s="1"/>
  <c r="X282" i="55"/>
  <c r="Z282" i="55" s="1"/>
  <c r="X283" i="55"/>
  <c r="Z283" i="55" s="1"/>
  <c r="X284" i="55"/>
  <c r="Z284" i="55" s="1"/>
  <c r="X285" i="55"/>
  <c r="Z285" i="55" s="1"/>
  <c r="X286" i="55"/>
  <c r="Z286" i="55" s="1"/>
  <c r="X287" i="55"/>
  <c r="Z287" i="55" s="1"/>
  <c r="X288" i="55"/>
  <c r="Z288" i="55" s="1"/>
  <c r="X289" i="55"/>
  <c r="Z289" i="55" s="1"/>
  <c r="X290" i="55"/>
  <c r="Z290" i="55" s="1"/>
  <c r="X291" i="55"/>
  <c r="Z291" i="55" s="1"/>
  <c r="X292" i="55"/>
  <c r="Z292" i="55" s="1"/>
  <c r="X293" i="55"/>
  <c r="Z293" i="55" s="1"/>
  <c r="X294" i="55"/>
  <c r="Z294" i="55" s="1"/>
  <c r="X295" i="55"/>
  <c r="Z295" i="55" s="1"/>
  <c r="X296" i="55"/>
  <c r="Z296" i="55" s="1"/>
  <c r="X297" i="55"/>
  <c r="Z297" i="55" s="1"/>
  <c r="X298" i="55"/>
  <c r="Z298" i="55" s="1"/>
  <c r="X299" i="55"/>
  <c r="Z299" i="55" s="1"/>
  <c r="X300" i="55"/>
  <c r="Z300" i="55" s="1"/>
  <c r="X301" i="55"/>
  <c r="Z301" i="55" s="1"/>
  <c r="X302" i="55"/>
  <c r="Z302" i="55" s="1"/>
  <c r="X303" i="55"/>
  <c r="Z303" i="55" s="1"/>
  <c r="X304" i="55"/>
  <c r="Z304" i="55" s="1"/>
  <c r="X305" i="55"/>
  <c r="X306" i="55"/>
  <c r="Z306" i="55" s="1"/>
  <c r="X307" i="55"/>
  <c r="Z307" i="55" s="1"/>
  <c r="X308" i="55"/>
  <c r="Z308" i="55" s="1"/>
  <c r="X309" i="55"/>
  <c r="Z309" i="55" s="1"/>
  <c r="X310" i="55"/>
  <c r="Z310" i="55" s="1"/>
  <c r="X311" i="55"/>
  <c r="Z311" i="55" s="1"/>
  <c r="X312" i="55"/>
  <c r="Z312" i="55" s="1"/>
  <c r="X313" i="55"/>
  <c r="Z313" i="55" s="1"/>
  <c r="X314" i="55"/>
  <c r="Z314" i="55" s="1"/>
  <c r="X315" i="55"/>
  <c r="Z315" i="55" s="1"/>
  <c r="X316" i="55"/>
  <c r="Z316" i="55" s="1"/>
  <c r="X317" i="55"/>
  <c r="Z317" i="55" s="1"/>
  <c r="X318" i="55"/>
  <c r="Z318" i="55" s="1"/>
  <c r="X320" i="55"/>
  <c r="Z320" i="55" s="1"/>
  <c r="X321" i="55"/>
  <c r="Z321" i="55" s="1"/>
  <c r="X322" i="55"/>
  <c r="Z322" i="55" s="1"/>
  <c r="X323" i="55"/>
  <c r="Z323" i="55" s="1"/>
  <c r="X324" i="55"/>
  <c r="Z324" i="55" s="1"/>
  <c r="X325" i="55"/>
  <c r="Z325" i="55" s="1"/>
  <c r="X326" i="55"/>
  <c r="Z326" i="55" s="1"/>
  <c r="X327" i="55"/>
  <c r="Z327" i="55" s="1"/>
  <c r="X328" i="55"/>
  <c r="Z328" i="55" s="1"/>
  <c r="X329" i="55"/>
  <c r="Z329" i="55" s="1"/>
  <c r="X330" i="55"/>
  <c r="Z330" i="55" s="1"/>
  <c r="X331" i="55"/>
  <c r="Z331" i="55" s="1"/>
  <c r="X332" i="55"/>
  <c r="Z332" i="55" s="1"/>
  <c r="X333" i="55"/>
  <c r="Z333" i="55" s="1"/>
  <c r="X334" i="55"/>
  <c r="Z334" i="55" s="1"/>
  <c r="X335" i="55"/>
  <c r="Z335" i="55" s="1"/>
  <c r="X336" i="55"/>
  <c r="Z336" i="55" s="1"/>
  <c r="X337" i="55"/>
  <c r="X338" i="55"/>
  <c r="Z338" i="55" s="1"/>
  <c r="X339" i="55"/>
  <c r="Z339" i="55" s="1"/>
  <c r="X340" i="55"/>
  <c r="Z340" i="55" s="1"/>
  <c r="X341" i="55"/>
  <c r="Z341" i="55" s="1"/>
  <c r="X342" i="55"/>
  <c r="Z342" i="55" s="1"/>
  <c r="X343" i="55"/>
  <c r="Z343" i="55" s="1"/>
  <c r="X344" i="55"/>
  <c r="Z344" i="55" s="1"/>
  <c r="X345" i="55"/>
  <c r="Z345" i="55" s="1"/>
  <c r="X346" i="55"/>
  <c r="Z346" i="55" s="1"/>
  <c r="X347" i="55"/>
  <c r="Z347" i="55" s="1"/>
  <c r="X348" i="55"/>
  <c r="Z348" i="55" s="1"/>
  <c r="X349" i="55"/>
  <c r="Z349" i="55" s="1"/>
  <c r="X351" i="55"/>
  <c r="Z351" i="55" s="1"/>
  <c r="X352" i="55"/>
  <c r="Z352" i="55" s="1"/>
  <c r="X353" i="55"/>
  <c r="Z353" i="55" s="1"/>
  <c r="X354" i="55"/>
  <c r="Z354" i="55" s="1"/>
  <c r="X355" i="55"/>
  <c r="Z355" i="55" s="1"/>
  <c r="X356" i="55"/>
  <c r="Z356" i="55" s="1"/>
  <c r="X357" i="55"/>
  <c r="Z357" i="55" s="1"/>
  <c r="X358" i="55"/>
  <c r="Z358" i="55" s="1"/>
  <c r="X359" i="55"/>
  <c r="Z359" i="55" s="1"/>
  <c r="X360" i="55"/>
  <c r="Z360" i="55" s="1"/>
  <c r="X361" i="55"/>
  <c r="Z361" i="55" s="1"/>
  <c r="X362" i="55"/>
  <c r="Z362" i="55" s="1"/>
  <c r="X363" i="55"/>
  <c r="Z363" i="55" s="1"/>
  <c r="X364" i="55"/>
  <c r="Z364" i="55" s="1"/>
  <c r="X365" i="55"/>
  <c r="Z365" i="55" s="1"/>
  <c r="X366" i="55"/>
  <c r="Z366" i="55" s="1"/>
  <c r="X367" i="55"/>
  <c r="Z367" i="55" s="1"/>
  <c r="X368" i="55"/>
  <c r="Z368" i="55" s="1"/>
  <c r="X369" i="55"/>
  <c r="Z369" i="55" s="1"/>
  <c r="X370" i="55"/>
  <c r="Z370" i="55" s="1"/>
  <c r="X371" i="55"/>
  <c r="Z371" i="55" s="1"/>
  <c r="X372" i="55"/>
  <c r="Z372" i="55" s="1"/>
  <c r="X373" i="55"/>
  <c r="Z373" i="55" s="1"/>
  <c r="X374" i="55"/>
  <c r="Z374" i="55" s="1"/>
  <c r="X375" i="55"/>
  <c r="Z375" i="55" s="1"/>
  <c r="X376" i="55"/>
  <c r="Z376" i="55" s="1"/>
  <c r="X377" i="55"/>
  <c r="Z377" i="55" s="1"/>
  <c r="X378" i="55"/>
  <c r="Z378" i="55" s="1"/>
  <c r="X379" i="55"/>
  <c r="Z379" i="55" s="1"/>
  <c r="X380" i="55"/>
  <c r="Z380" i="55" s="1"/>
  <c r="X381" i="55"/>
  <c r="Z381" i="55" s="1"/>
  <c r="X382" i="55"/>
  <c r="Z382" i="55" s="1"/>
  <c r="X383" i="55"/>
  <c r="Z383" i="55" s="1"/>
  <c r="X384" i="55"/>
  <c r="Z384" i="55" s="1"/>
  <c r="X387" i="55"/>
  <c r="Z387" i="55" s="1"/>
  <c r="X388" i="55"/>
  <c r="Z388" i="55" s="1"/>
  <c r="X389" i="55"/>
  <c r="Z389" i="55" s="1"/>
  <c r="X390" i="55"/>
  <c r="Z390" i="55" s="1"/>
  <c r="X391" i="55"/>
  <c r="Z391" i="55" s="1"/>
  <c r="X392" i="55"/>
  <c r="Z392" i="55" s="1"/>
  <c r="X393" i="55"/>
  <c r="Z393" i="55" s="1"/>
  <c r="X394" i="55"/>
  <c r="Z394" i="55" s="1"/>
  <c r="X395" i="55"/>
  <c r="Z395" i="55" s="1"/>
  <c r="X396" i="55"/>
  <c r="Z396" i="55" s="1"/>
  <c r="X397" i="55"/>
  <c r="Z397" i="55" s="1"/>
  <c r="X398" i="55"/>
  <c r="Z398" i="55" s="1"/>
  <c r="X399" i="55"/>
  <c r="Z399" i="55" s="1"/>
  <c r="X400" i="55"/>
  <c r="Z400" i="55" s="1"/>
  <c r="X401" i="55"/>
  <c r="Z401" i="55" s="1"/>
  <c r="X402" i="55"/>
  <c r="Z402" i="55" s="1"/>
  <c r="X403" i="55"/>
  <c r="Z403" i="55" s="1"/>
  <c r="X404" i="55"/>
  <c r="X405" i="55"/>
  <c r="Z405" i="55" s="1"/>
  <c r="X406" i="55"/>
  <c r="Z406" i="55" s="1"/>
  <c r="X407" i="55"/>
  <c r="Z407" i="55" s="1"/>
  <c r="X408" i="55"/>
  <c r="Z408" i="55" s="1"/>
  <c r="X409" i="55"/>
  <c r="Z409" i="55" s="1"/>
  <c r="X410" i="55"/>
  <c r="Z410" i="55" s="1"/>
  <c r="X411" i="55"/>
  <c r="Z411" i="55" s="1"/>
  <c r="X412" i="55"/>
  <c r="Z412" i="55" s="1"/>
  <c r="X413" i="55"/>
  <c r="Z413" i="55" s="1"/>
  <c r="X414" i="55"/>
  <c r="Z414" i="55" s="1"/>
  <c r="X415" i="55"/>
  <c r="Z415" i="55" s="1"/>
  <c r="X416" i="55"/>
  <c r="Z416" i="55" s="1"/>
  <c r="X417" i="55"/>
  <c r="Z417" i="55" s="1"/>
  <c r="X418" i="55"/>
  <c r="Z418" i="55" s="1"/>
  <c r="X419" i="55"/>
  <c r="Z419" i="55" s="1"/>
  <c r="X420" i="55"/>
  <c r="Z420" i="55" s="1"/>
  <c r="X421" i="55"/>
  <c r="Z421" i="55" s="1"/>
  <c r="X422" i="55"/>
  <c r="Z422" i="55" s="1"/>
  <c r="X423" i="55"/>
  <c r="Z423" i="55" s="1"/>
  <c r="X424" i="55"/>
  <c r="Z424" i="55" s="1"/>
  <c r="X425" i="55"/>
  <c r="Z425" i="55" s="1"/>
  <c r="X426" i="55"/>
  <c r="Z426" i="55" s="1"/>
  <c r="X427" i="55"/>
  <c r="Z427" i="55" s="1"/>
  <c r="X428" i="55"/>
  <c r="Z428" i="55" s="1"/>
  <c r="X429" i="55"/>
  <c r="Z429" i="55" s="1"/>
  <c r="X430" i="55"/>
  <c r="Z430" i="55" s="1"/>
  <c r="X431" i="55"/>
  <c r="Z431" i="55" s="1"/>
  <c r="X432" i="55"/>
  <c r="Z432" i="55" s="1"/>
  <c r="X433" i="55"/>
  <c r="Z433" i="55" s="1"/>
  <c r="X434" i="55"/>
  <c r="Z434" i="55" s="1"/>
  <c r="X435" i="55"/>
  <c r="Z435" i="55" s="1"/>
  <c r="X436" i="55"/>
  <c r="X437" i="55"/>
  <c r="Z437" i="55" s="1"/>
  <c r="X438" i="55"/>
  <c r="Z438" i="55" s="1"/>
  <c r="X439" i="55"/>
  <c r="Z439" i="55" s="1"/>
  <c r="X440" i="55"/>
  <c r="Z440" i="55" s="1"/>
  <c r="X441" i="55"/>
  <c r="Z441" i="55" s="1"/>
  <c r="X442" i="55"/>
  <c r="Z442" i="55" s="1"/>
  <c r="X443" i="55"/>
  <c r="Z443" i="55" s="1"/>
  <c r="X444" i="55"/>
  <c r="Z444" i="55" s="1"/>
  <c r="X445" i="55"/>
  <c r="Z445" i="55" s="1"/>
  <c r="X446" i="55"/>
  <c r="Z446" i="55" s="1"/>
  <c r="X447" i="55"/>
  <c r="Z447" i="55" s="1"/>
  <c r="X448" i="55"/>
  <c r="Z448" i="55" s="1"/>
  <c r="X449" i="55"/>
  <c r="Z449" i="55" s="1"/>
  <c r="X450" i="55"/>
  <c r="Z450" i="55" s="1"/>
  <c r="X451" i="55"/>
  <c r="Z451" i="55" s="1"/>
  <c r="X452" i="55"/>
  <c r="Z452" i="55" s="1"/>
  <c r="X453" i="55"/>
  <c r="Z453" i="55" s="1"/>
  <c r="X454" i="55"/>
  <c r="Z454" i="55" s="1"/>
  <c r="X455" i="55"/>
  <c r="Z455" i="55" s="1"/>
  <c r="X456" i="55"/>
  <c r="Z456" i="55" s="1"/>
  <c r="X457" i="55"/>
  <c r="Z457" i="55" s="1"/>
  <c r="X458" i="55"/>
  <c r="Z458" i="55" s="1"/>
  <c r="X459" i="55"/>
  <c r="Z459" i="55" s="1"/>
  <c r="X460" i="55"/>
  <c r="Z460" i="55" s="1"/>
  <c r="X461" i="55"/>
  <c r="Z461" i="55" s="1"/>
  <c r="X462" i="55"/>
  <c r="Z462" i="55" s="1"/>
  <c r="X463" i="55"/>
  <c r="Z463" i="55" s="1"/>
  <c r="X464" i="55"/>
  <c r="Z464" i="55" s="1"/>
  <c r="X465" i="55"/>
  <c r="Z465" i="55" s="1"/>
  <c r="X466" i="55"/>
  <c r="Z466" i="55" s="1"/>
  <c r="X467" i="55"/>
  <c r="Z467" i="55" s="1"/>
  <c r="X468" i="55"/>
  <c r="X469" i="55"/>
  <c r="Z469" i="55" s="1"/>
  <c r="X470" i="55"/>
  <c r="Z470" i="55" s="1"/>
  <c r="X471" i="55"/>
  <c r="Z471" i="55" s="1"/>
  <c r="X472" i="55"/>
  <c r="Z472" i="55" s="1"/>
  <c r="X473" i="55"/>
  <c r="Z473" i="55" s="1"/>
  <c r="X474" i="55"/>
  <c r="Z474" i="55" s="1"/>
  <c r="X475" i="55"/>
  <c r="Z475" i="55" s="1"/>
  <c r="X476" i="55"/>
  <c r="Z476" i="55" s="1"/>
  <c r="X477" i="55"/>
  <c r="Z477" i="55" s="1"/>
  <c r="X478" i="55"/>
  <c r="Z478" i="55" s="1"/>
  <c r="X479" i="55"/>
  <c r="Z479" i="55" s="1"/>
  <c r="X480" i="55"/>
  <c r="Z480" i="55" s="1"/>
  <c r="X481" i="55"/>
  <c r="Z481" i="55" s="1"/>
  <c r="X482" i="55"/>
  <c r="Z482" i="55" s="1"/>
  <c r="X483" i="55"/>
  <c r="Z483" i="55" s="1"/>
  <c r="X484" i="55"/>
  <c r="Z484" i="55" s="1"/>
  <c r="X485" i="55"/>
  <c r="Z485" i="55" s="1"/>
  <c r="X486" i="55"/>
  <c r="Z486" i="55" s="1"/>
  <c r="X487" i="55"/>
  <c r="Z487" i="55" s="1"/>
  <c r="X488" i="55"/>
  <c r="Z488" i="55" s="1"/>
  <c r="X489" i="55"/>
  <c r="Z489" i="55" s="1"/>
  <c r="X490" i="55"/>
  <c r="Z490" i="55" s="1"/>
  <c r="X491" i="55"/>
  <c r="Z491" i="55" s="1"/>
  <c r="X492" i="55"/>
  <c r="Z492" i="55" s="1"/>
  <c r="X493" i="55"/>
  <c r="Z493" i="55" s="1"/>
  <c r="X494" i="55"/>
  <c r="Z494" i="55" s="1"/>
  <c r="X495" i="55"/>
  <c r="Z495" i="55" s="1"/>
  <c r="X496" i="55"/>
  <c r="Z496" i="55" s="1"/>
  <c r="X497" i="55"/>
  <c r="Z497" i="55" s="1"/>
  <c r="X498" i="55"/>
  <c r="Z498" i="55" s="1"/>
  <c r="X499" i="55"/>
  <c r="Z499" i="55" s="1"/>
  <c r="X500" i="55"/>
  <c r="X501" i="55"/>
  <c r="Z501" i="55" s="1"/>
  <c r="X502" i="55"/>
  <c r="Z502" i="55" s="1"/>
  <c r="X503" i="55"/>
  <c r="Z503" i="55" s="1"/>
  <c r="X504" i="55"/>
  <c r="Z504" i="55" s="1"/>
  <c r="X505" i="55"/>
  <c r="Z505" i="55" s="1"/>
  <c r="X506" i="55"/>
  <c r="Z506" i="55" s="1"/>
  <c r="X507" i="55"/>
  <c r="Z507" i="55" s="1"/>
  <c r="X508" i="55"/>
  <c r="Z508" i="55" s="1"/>
  <c r="X509" i="55"/>
  <c r="Z509" i="55" s="1"/>
  <c r="X510" i="55"/>
  <c r="Z510" i="55" s="1"/>
  <c r="X511" i="55"/>
  <c r="Z511" i="55" s="1"/>
  <c r="X512" i="55"/>
  <c r="Z512" i="55" s="1"/>
  <c r="X513" i="55"/>
  <c r="Z513" i="55" s="1"/>
  <c r="X514" i="55"/>
  <c r="Z514" i="55" s="1"/>
  <c r="X515" i="55"/>
  <c r="Z515" i="55" s="1"/>
  <c r="X516" i="55"/>
  <c r="Z516" i="55" s="1"/>
  <c r="X517" i="55"/>
  <c r="Z517" i="55" s="1"/>
  <c r="X518" i="55"/>
  <c r="Z518" i="55" s="1"/>
  <c r="X519" i="55"/>
  <c r="Z519" i="55" s="1"/>
  <c r="X520" i="55"/>
  <c r="Z520" i="55" s="1"/>
  <c r="X521" i="55"/>
  <c r="Z521" i="55" s="1"/>
  <c r="X522" i="55"/>
  <c r="Z522" i="55" s="1"/>
  <c r="X523" i="55"/>
  <c r="Z523" i="55" s="1"/>
  <c r="X524" i="55"/>
  <c r="Z524" i="55" s="1"/>
  <c r="X525" i="55"/>
  <c r="Z525" i="55" s="1"/>
  <c r="X526" i="55"/>
  <c r="Z526" i="55" s="1"/>
  <c r="X527" i="55"/>
  <c r="Z527" i="55" s="1"/>
  <c r="X528" i="55"/>
  <c r="Z528" i="55" s="1"/>
  <c r="X529" i="55"/>
  <c r="Z529" i="55" s="1"/>
  <c r="X530" i="55"/>
  <c r="Z530" i="55" s="1"/>
  <c r="X531" i="55"/>
  <c r="Z531" i="55" s="1"/>
  <c r="X532" i="55"/>
  <c r="X533" i="55"/>
  <c r="Z533" i="55" s="1"/>
  <c r="X534" i="55"/>
  <c r="Z534" i="55" s="1"/>
  <c r="X535" i="55"/>
  <c r="Z535" i="55" s="1"/>
  <c r="X536" i="55"/>
  <c r="Z536" i="55" s="1"/>
  <c r="X537" i="55"/>
  <c r="Z537" i="55" s="1"/>
  <c r="X538" i="55"/>
  <c r="Z538" i="55" s="1"/>
  <c r="X539" i="55"/>
  <c r="Z539" i="55" s="1"/>
  <c r="X540" i="55"/>
  <c r="Z540" i="55" s="1"/>
  <c r="X541" i="55"/>
  <c r="Z541" i="55" s="1"/>
  <c r="X542" i="55"/>
  <c r="Z542" i="55" s="1"/>
  <c r="X543" i="55"/>
  <c r="Z543" i="55" s="1"/>
  <c r="X544" i="55"/>
  <c r="Z544" i="55" s="1"/>
  <c r="X545" i="55"/>
  <c r="Z545" i="55" s="1"/>
  <c r="X546" i="55"/>
  <c r="Z546" i="55" s="1"/>
  <c r="X547" i="55"/>
  <c r="Z547" i="55" s="1"/>
  <c r="X548" i="55"/>
  <c r="Z548" i="55" s="1"/>
  <c r="X549" i="55"/>
  <c r="Z549" i="55" s="1"/>
  <c r="X550" i="55"/>
  <c r="Z550" i="55" s="1"/>
  <c r="X551" i="55"/>
  <c r="Z551" i="55" s="1"/>
  <c r="X552" i="55"/>
  <c r="Z552" i="55" s="1"/>
  <c r="X553" i="55"/>
  <c r="Z553" i="55" s="1"/>
  <c r="X554" i="55"/>
  <c r="Z554" i="55" s="1"/>
  <c r="X555" i="55"/>
  <c r="Z555" i="55" s="1"/>
  <c r="X556" i="55"/>
  <c r="Z556" i="55" s="1"/>
  <c r="X557" i="55"/>
  <c r="Z557" i="55" s="1"/>
  <c r="X558" i="55"/>
  <c r="Z558" i="55" s="1"/>
  <c r="X559" i="55"/>
  <c r="Z559" i="55" s="1"/>
  <c r="X560" i="55"/>
  <c r="Z560" i="55" s="1"/>
  <c r="X561" i="55"/>
  <c r="Z561" i="55" s="1"/>
  <c r="X562" i="55"/>
  <c r="Z562" i="55" s="1"/>
  <c r="X563" i="55"/>
  <c r="Z563" i="55" s="1"/>
  <c r="X564" i="55"/>
  <c r="X565" i="55"/>
  <c r="Z565" i="55" s="1"/>
  <c r="X566" i="55"/>
  <c r="Z566" i="55" s="1"/>
  <c r="X567" i="55"/>
  <c r="Z567" i="55" s="1"/>
  <c r="X568" i="55"/>
  <c r="Z568" i="55" s="1"/>
  <c r="X569" i="55"/>
  <c r="Z569" i="55" s="1"/>
  <c r="X570" i="55"/>
  <c r="Z570" i="55" s="1"/>
  <c r="X571" i="55"/>
  <c r="Z571" i="55" s="1"/>
  <c r="X572" i="55"/>
  <c r="Z572" i="55" s="1"/>
  <c r="X573" i="55"/>
  <c r="Z573" i="55" s="1"/>
  <c r="X574" i="55"/>
  <c r="Z574" i="55" s="1"/>
  <c r="X575" i="55"/>
  <c r="Z575" i="55" s="1"/>
  <c r="X576" i="55"/>
  <c r="Z576" i="55" s="1"/>
  <c r="X577" i="55"/>
  <c r="Z577" i="55" s="1"/>
  <c r="X578" i="55"/>
  <c r="Z578" i="55" s="1"/>
  <c r="X579" i="55"/>
  <c r="Z579" i="55" s="1"/>
  <c r="X580" i="55"/>
  <c r="Z580" i="55" s="1"/>
  <c r="X581" i="55"/>
  <c r="Z581" i="55" s="1"/>
  <c r="X582" i="55"/>
  <c r="Z582" i="55" s="1"/>
  <c r="X583" i="55"/>
  <c r="Z583" i="55" s="1"/>
  <c r="X584" i="55"/>
  <c r="Z584" i="55" s="1"/>
  <c r="X585" i="55"/>
  <c r="Z585" i="55" s="1"/>
  <c r="X586" i="55"/>
  <c r="Z586" i="55" s="1"/>
  <c r="X587" i="55"/>
  <c r="Z587" i="55" s="1"/>
  <c r="X588" i="55"/>
  <c r="Z588" i="55" s="1"/>
  <c r="X589" i="55"/>
  <c r="Z589" i="55" s="1"/>
  <c r="X590" i="55"/>
  <c r="Z590" i="55" s="1"/>
  <c r="X591" i="55"/>
  <c r="Z591" i="55" s="1"/>
  <c r="X592" i="55"/>
  <c r="Z592" i="55" s="1"/>
  <c r="X593" i="55"/>
  <c r="Z593" i="55" s="1"/>
  <c r="X594" i="55"/>
  <c r="Z594" i="55" s="1"/>
  <c r="X595" i="55"/>
  <c r="Z595" i="55" s="1"/>
  <c r="X596" i="55"/>
  <c r="X597" i="55"/>
  <c r="Z597" i="55" s="1"/>
  <c r="X598" i="55"/>
  <c r="Z598" i="55" s="1"/>
  <c r="X599" i="55"/>
  <c r="Z599" i="55" s="1"/>
  <c r="X600" i="55"/>
  <c r="Z600" i="55" s="1"/>
  <c r="X601" i="55"/>
  <c r="Z601" i="55" s="1"/>
  <c r="X602" i="55"/>
  <c r="Z602" i="55" s="1"/>
  <c r="X603" i="55"/>
  <c r="Z603" i="55" s="1"/>
  <c r="X604" i="55"/>
  <c r="Z604" i="55" s="1"/>
  <c r="X605" i="55"/>
  <c r="Z605" i="55" s="1"/>
  <c r="X606" i="55"/>
  <c r="Z606" i="55" s="1"/>
  <c r="X607" i="55"/>
  <c r="Z607" i="55" s="1"/>
  <c r="X608" i="55"/>
  <c r="Z608" i="55" s="1"/>
  <c r="F14" i="55"/>
  <c r="F15" i="55"/>
  <c r="F16" i="55"/>
  <c r="F17" i="55"/>
  <c r="F18" i="55"/>
  <c r="N18" i="55" s="1"/>
  <c r="F19" i="55"/>
  <c r="F20" i="55"/>
  <c r="F21" i="55"/>
  <c r="F22" i="55"/>
  <c r="N22" i="55" s="1"/>
  <c r="F23" i="55"/>
  <c r="F24" i="55"/>
  <c r="F25" i="55"/>
  <c r="F26" i="55"/>
  <c r="N26" i="55" s="1"/>
  <c r="F27" i="55"/>
  <c r="F28" i="55"/>
  <c r="F29" i="55"/>
  <c r="F30" i="55"/>
  <c r="N30" i="55" s="1"/>
  <c r="F31" i="55"/>
  <c r="F32" i="55"/>
  <c r="F33" i="55"/>
  <c r="F34" i="55"/>
  <c r="N34" i="55" s="1"/>
  <c r="F35" i="55"/>
  <c r="F36" i="55"/>
  <c r="F37" i="55"/>
  <c r="F38" i="55"/>
  <c r="N38" i="55" s="1"/>
  <c r="F39" i="55"/>
  <c r="F40" i="55"/>
  <c r="F41" i="55"/>
  <c r="F42" i="55"/>
  <c r="N42" i="55" s="1"/>
  <c r="F43" i="55"/>
  <c r="F44" i="55"/>
  <c r="F45" i="55"/>
  <c r="F46" i="55"/>
  <c r="N46" i="55" s="1"/>
  <c r="F47" i="55"/>
  <c r="F48" i="55"/>
  <c r="F49" i="55"/>
  <c r="F50" i="55"/>
  <c r="N50" i="55" s="1"/>
  <c r="F51" i="55"/>
  <c r="F52" i="55"/>
  <c r="F53" i="55"/>
  <c r="F54" i="55"/>
  <c r="N54" i="55" s="1"/>
  <c r="F55" i="55"/>
  <c r="F56" i="55"/>
  <c r="F57" i="55"/>
  <c r="F58" i="55"/>
  <c r="N58" i="55" s="1"/>
  <c r="F59" i="55"/>
  <c r="F60" i="55"/>
  <c r="F61" i="55"/>
  <c r="F62" i="55"/>
  <c r="N62" i="55" s="1"/>
  <c r="F63" i="55"/>
  <c r="F64" i="55"/>
  <c r="F65" i="55"/>
  <c r="F66" i="55"/>
  <c r="N66" i="55" s="1"/>
  <c r="F67" i="55"/>
  <c r="F68" i="55"/>
  <c r="F69" i="55"/>
  <c r="F70" i="55"/>
  <c r="N70" i="55" s="1"/>
  <c r="F71" i="55"/>
  <c r="F72" i="55"/>
  <c r="F73" i="55"/>
  <c r="F74" i="55"/>
  <c r="N74" i="55" s="1"/>
  <c r="F75" i="55"/>
  <c r="F76" i="55"/>
  <c r="F77" i="55"/>
  <c r="F78" i="55"/>
  <c r="N78" i="55" s="1"/>
  <c r="F79" i="55"/>
  <c r="F80" i="55"/>
  <c r="F81" i="55"/>
  <c r="F82" i="55"/>
  <c r="N82" i="55" s="1"/>
  <c r="F83" i="55"/>
  <c r="F84" i="55"/>
  <c r="F85" i="55"/>
  <c r="F86" i="55"/>
  <c r="N86" i="55" s="1"/>
  <c r="F87" i="55"/>
  <c r="F88" i="55"/>
  <c r="F89" i="55"/>
  <c r="F90" i="55"/>
  <c r="N90" i="55" s="1"/>
  <c r="F91" i="55"/>
  <c r="F92" i="55"/>
  <c r="F93" i="55"/>
  <c r="F94" i="55"/>
  <c r="N94" i="55" s="1"/>
  <c r="F95" i="55"/>
  <c r="F96" i="55"/>
  <c r="F97" i="55"/>
  <c r="F98" i="55"/>
  <c r="N98" i="55" s="1"/>
  <c r="F99" i="55"/>
  <c r="F100" i="55"/>
  <c r="F101" i="55"/>
  <c r="F102" i="55"/>
  <c r="N102" i="55" s="1"/>
  <c r="F103" i="55"/>
  <c r="F104" i="55"/>
  <c r="F105" i="55"/>
  <c r="F106" i="55"/>
  <c r="N106" i="55" s="1"/>
  <c r="F107" i="55"/>
  <c r="F108" i="55"/>
  <c r="F109" i="55"/>
  <c r="F110" i="55"/>
  <c r="N110" i="55" s="1"/>
  <c r="F111" i="55"/>
  <c r="F112" i="55"/>
  <c r="F113" i="55"/>
  <c r="F114" i="55"/>
  <c r="N114" i="55" s="1"/>
  <c r="F115" i="55"/>
  <c r="F116" i="55"/>
  <c r="F117" i="55"/>
  <c r="F118" i="55"/>
  <c r="N118" i="55" s="1"/>
  <c r="F119" i="55"/>
  <c r="F120" i="55"/>
  <c r="F121" i="55"/>
  <c r="F122" i="55"/>
  <c r="N122" i="55" s="1"/>
  <c r="F123" i="55"/>
  <c r="F124" i="55"/>
  <c r="F125" i="55"/>
  <c r="F126" i="55"/>
  <c r="N126" i="55" s="1"/>
  <c r="F127" i="55"/>
  <c r="F128" i="55"/>
  <c r="F129" i="55"/>
  <c r="F130" i="55"/>
  <c r="N130" i="55" s="1"/>
  <c r="F131" i="55"/>
  <c r="F132" i="55"/>
  <c r="F133" i="55"/>
  <c r="F134" i="55"/>
  <c r="N134" i="55" s="1"/>
  <c r="F135" i="55"/>
  <c r="F136" i="55"/>
  <c r="F137" i="55"/>
  <c r="F138" i="55"/>
  <c r="N138" i="55" s="1"/>
  <c r="F139" i="55"/>
  <c r="F140" i="55"/>
  <c r="F141" i="55"/>
  <c r="F142" i="55"/>
  <c r="N142" i="55" s="1"/>
  <c r="F143" i="55"/>
  <c r="F144" i="55"/>
  <c r="F145" i="55"/>
  <c r="F146" i="55"/>
  <c r="N146" i="55" s="1"/>
  <c r="F147" i="55"/>
  <c r="F148" i="55"/>
  <c r="F149" i="55"/>
  <c r="F150" i="55"/>
  <c r="N150" i="55" s="1"/>
  <c r="F151" i="55"/>
  <c r="F154" i="55"/>
  <c r="F155" i="55"/>
  <c r="F156" i="55"/>
  <c r="N156" i="55" s="1"/>
  <c r="F157" i="55"/>
  <c r="F158" i="55"/>
  <c r="F159" i="55"/>
  <c r="F160" i="55"/>
  <c r="N160" i="55" s="1"/>
  <c r="F161" i="55"/>
  <c r="F162" i="55"/>
  <c r="F163" i="55"/>
  <c r="F164" i="55"/>
  <c r="N164" i="55" s="1"/>
  <c r="F165" i="55"/>
  <c r="F166" i="55"/>
  <c r="F167" i="55"/>
  <c r="F171" i="55"/>
  <c r="N171" i="55" s="1"/>
  <c r="F172" i="55"/>
  <c r="F173" i="55"/>
  <c r="F174" i="55"/>
  <c r="F175" i="55"/>
  <c r="N175" i="55" s="1"/>
  <c r="F176" i="55"/>
  <c r="F177" i="55"/>
  <c r="F178" i="55"/>
  <c r="F179" i="55"/>
  <c r="N179" i="55" s="1"/>
  <c r="F180" i="55"/>
  <c r="F181" i="55"/>
  <c r="F182" i="55"/>
  <c r="F183" i="55"/>
  <c r="N183" i="55" s="1"/>
  <c r="F184" i="55"/>
  <c r="F185" i="55"/>
  <c r="F186" i="55"/>
  <c r="F187" i="55"/>
  <c r="N187" i="55" s="1"/>
  <c r="F188" i="55"/>
  <c r="F189" i="55"/>
  <c r="F190" i="55"/>
  <c r="F191" i="55"/>
  <c r="N191" i="55" s="1"/>
  <c r="F192" i="55"/>
  <c r="F193" i="55"/>
  <c r="F194" i="55"/>
  <c r="F195" i="55"/>
  <c r="N195" i="55" s="1"/>
  <c r="F196" i="55"/>
  <c r="F197" i="55"/>
  <c r="F198" i="55"/>
  <c r="F199" i="55"/>
  <c r="N199" i="55" s="1"/>
  <c r="F200" i="55"/>
  <c r="F201" i="55"/>
  <c r="F202" i="55"/>
  <c r="F203" i="55"/>
  <c r="N203" i="55" s="1"/>
  <c r="F204" i="55"/>
  <c r="F205" i="55"/>
  <c r="F206" i="55"/>
  <c r="F207" i="55"/>
  <c r="N207" i="55" s="1"/>
  <c r="F208" i="55"/>
  <c r="F209" i="55"/>
  <c r="F210" i="55"/>
  <c r="F211" i="55"/>
  <c r="N211" i="55" s="1"/>
  <c r="F212" i="55"/>
  <c r="F213" i="55"/>
  <c r="F214" i="55"/>
  <c r="F215" i="55"/>
  <c r="N215" i="55" s="1"/>
  <c r="F216" i="55"/>
  <c r="F217" i="55"/>
  <c r="F218" i="55"/>
  <c r="F219" i="55"/>
  <c r="N219" i="55" s="1"/>
  <c r="F220" i="55"/>
  <c r="F221" i="55"/>
  <c r="F222" i="55"/>
  <c r="F223" i="55"/>
  <c r="N223" i="55" s="1"/>
  <c r="F224" i="55"/>
  <c r="F225" i="55"/>
  <c r="F226" i="55"/>
  <c r="F227" i="55"/>
  <c r="N227" i="55" s="1"/>
  <c r="F228" i="55"/>
  <c r="F229" i="55"/>
  <c r="F230" i="55"/>
  <c r="F231" i="55"/>
  <c r="N231" i="55" s="1"/>
  <c r="F232" i="55"/>
  <c r="F233" i="55"/>
  <c r="F234" i="55"/>
  <c r="F235" i="55"/>
  <c r="N235" i="55" s="1"/>
  <c r="F236" i="55"/>
  <c r="F237" i="55"/>
  <c r="F238" i="55"/>
  <c r="F239" i="55"/>
  <c r="N239" i="55" s="1"/>
  <c r="F240" i="55"/>
  <c r="F241" i="55"/>
  <c r="F242" i="55"/>
  <c r="F243" i="55"/>
  <c r="N243" i="55" s="1"/>
  <c r="F244" i="55"/>
  <c r="F245" i="55"/>
  <c r="F246" i="55"/>
  <c r="F247" i="55"/>
  <c r="N247" i="55" s="1"/>
  <c r="F248" i="55"/>
  <c r="F249" i="55"/>
  <c r="F250" i="55"/>
  <c r="F251" i="55"/>
  <c r="N251" i="55" s="1"/>
  <c r="F252" i="55"/>
  <c r="F253" i="55"/>
  <c r="F254" i="55"/>
  <c r="F255" i="55"/>
  <c r="N255" i="55" s="1"/>
  <c r="F256" i="55"/>
  <c r="F257" i="55"/>
  <c r="F258" i="55"/>
  <c r="F259" i="55"/>
  <c r="N259" i="55" s="1"/>
  <c r="F260" i="55"/>
  <c r="F261" i="55"/>
  <c r="F262" i="55"/>
  <c r="F263" i="55"/>
  <c r="N263" i="55" s="1"/>
  <c r="F264" i="55"/>
  <c r="F265" i="55"/>
  <c r="F266" i="55"/>
  <c r="F267" i="55"/>
  <c r="N267" i="55" s="1"/>
  <c r="F268" i="55"/>
  <c r="F269" i="55"/>
  <c r="F270" i="55"/>
  <c r="F271" i="55"/>
  <c r="N271" i="55" s="1"/>
  <c r="F272" i="55"/>
  <c r="F273" i="55"/>
  <c r="F274" i="55"/>
  <c r="F275" i="55"/>
  <c r="N275" i="55" s="1"/>
  <c r="F276" i="55"/>
  <c r="F277" i="55"/>
  <c r="F278" i="55"/>
  <c r="F279" i="55"/>
  <c r="N279" i="55" s="1"/>
  <c r="F280" i="55"/>
  <c r="F281" i="55"/>
  <c r="F282" i="55"/>
  <c r="F283" i="55"/>
  <c r="N283" i="55" s="1"/>
  <c r="F284" i="55"/>
  <c r="F285" i="55"/>
  <c r="F286" i="55"/>
  <c r="F287" i="55"/>
  <c r="N287" i="55" s="1"/>
  <c r="F288" i="55"/>
  <c r="F289" i="55"/>
  <c r="F290" i="55"/>
  <c r="F291" i="55"/>
  <c r="N291" i="55" s="1"/>
  <c r="F292" i="55"/>
  <c r="F293" i="55"/>
  <c r="F294" i="55"/>
  <c r="F295" i="55"/>
  <c r="N295" i="55" s="1"/>
  <c r="F296" i="55"/>
  <c r="F297" i="55"/>
  <c r="F298" i="55"/>
  <c r="F299" i="55"/>
  <c r="N299" i="55" s="1"/>
  <c r="F300" i="55"/>
  <c r="F301" i="55"/>
  <c r="F302" i="55"/>
  <c r="F303" i="55"/>
  <c r="N303" i="55" s="1"/>
  <c r="F304" i="55"/>
  <c r="F305" i="55"/>
  <c r="F306" i="55"/>
  <c r="F307" i="55"/>
  <c r="N307" i="55" s="1"/>
  <c r="F308" i="55"/>
  <c r="F309" i="55"/>
  <c r="F310" i="55"/>
  <c r="F311" i="55"/>
  <c r="N311" i="55" s="1"/>
  <c r="F312" i="55"/>
  <c r="F313" i="55"/>
  <c r="F314" i="55"/>
  <c r="F315" i="55"/>
  <c r="N315" i="55" s="1"/>
  <c r="F316" i="55"/>
  <c r="F317" i="55"/>
  <c r="F318" i="55"/>
  <c r="F320" i="55"/>
  <c r="N320" i="55" s="1"/>
  <c r="F321" i="55"/>
  <c r="F322" i="55"/>
  <c r="F323" i="55"/>
  <c r="F324" i="55"/>
  <c r="N324" i="55" s="1"/>
  <c r="F325" i="55"/>
  <c r="F326" i="55"/>
  <c r="F327" i="55"/>
  <c r="F328" i="55"/>
  <c r="N328" i="55" s="1"/>
  <c r="F329" i="55"/>
  <c r="F330" i="55"/>
  <c r="F331" i="55"/>
  <c r="F332" i="55"/>
  <c r="N332" i="55" s="1"/>
  <c r="F333" i="55"/>
  <c r="F334" i="55"/>
  <c r="F335" i="55"/>
  <c r="F336" i="55"/>
  <c r="N336" i="55" s="1"/>
  <c r="F337" i="55"/>
  <c r="F338" i="55"/>
  <c r="F339" i="55"/>
  <c r="F340" i="55"/>
  <c r="N340" i="55" s="1"/>
  <c r="F341" i="55"/>
  <c r="F342" i="55"/>
  <c r="F343" i="55"/>
  <c r="F344" i="55"/>
  <c r="N344" i="55" s="1"/>
  <c r="F345" i="55"/>
  <c r="F346" i="55"/>
  <c r="F347" i="55"/>
  <c r="F348" i="55"/>
  <c r="N348" i="55" s="1"/>
  <c r="F349" i="55"/>
  <c r="F350" i="55"/>
  <c r="F351" i="55"/>
  <c r="F352" i="55"/>
  <c r="N352" i="55" s="1"/>
  <c r="F353" i="55"/>
  <c r="F354" i="55"/>
  <c r="F355" i="55"/>
  <c r="F356" i="55"/>
  <c r="N356" i="55" s="1"/>
  <c r="F357" i="55"/>
  <c r="F358" i="55"/>
  <c r="F359" i="55"/>
  <c r="F360" i="55"/>
  <c r="N360" i="55" s="1"/>
  <c r="F361" i="55"/>
  <c r="F362" i="55"/>
  <c r="F363" i="55"/>
  <c r="F364" i="55"/>
  <c r="N364" i="55" s="1"/>
  <c r="F365" i="55"/>
  <c r="F366" i="55"/>
  <c r="F367" i="55"/>
  <c r="F368" i="55"/>
  <c r="N368" i="55" s="1"/>
  <c r="F369" i="55"/>
  <c r="F370" i="55"/>
  <c r="F371" i="55"/>
  <c r="F372" i="55"/>
  <c r="N372" i="55" s="1"/>
  <c r="F373" i="55"/>
  <c r="F374" i="55"/>
  <c r="F375" i="55"/>
  <c r="F376" i="55"/>
  <c r="N376" i="55" s="1"/>
  <c r="F377" i="55"/>
  <c r="F378" i="55"/>
  <c r="F379" i="55"/>
  <c r="F380" i="55"/>
  <c r="N380" i="55" s="1"/>
  <c r="F381" i="55"/>
  <c r="F382" i="55"/>
  <c r="F383" i="55"/>
  <c r="F384" i="55"/>
  <c r="N384" i="55" s="1"/>
  <c r="F387" i="55"/>
  <c r="F388" i="55"/>
  <c r="N388" i="55" s="1"/>
  <c r="F389" i="55"/>
  <c r="F390" i="55"/>
  <c r="F391" i="55"/>
  <c r="F392" i="55"/>
  <c r="N392" i="55" s="1"/>
  <c r="F393" i="55"/>
  <c r="F394" i="55"/>
  <c r="F395" i="55"/>
  <c r="F396" i="55"/>
  <c r="N396" i="55" s="1"/>
  <c r="F397" i="55"/>
  <c r="F398" i="55"/>
  <c r="F399" i="55"/>
  <c r="F400" i="55"/>
  <c r="N400" i="55" s="1"/>
  <c r="F401" i="55"/>
  <c r="F402" i="55"/>
  <c r="F403" i="55"/>
  <c r="F404" i="55"/>
  <c r="N404" i="55" s="1"/>
  <c r="F405" i="55"/>
  <c r="F406" i="55"/>
  <c r="F407" i="55"/>
  <c r="F408" i="55"/>
  <c r="N408" i="55" s="1"/>
  <c r="F409" i="55"/>
  <c r="F410" i="55"/>
  <c r="F411" i="55"/>
  <c r="F412" i="55"/>
  <c r="N412" i="55" s="1"/>
  <c r="F413" i="55"/>
  <c r="F414" i="55"/>
  <c r="F415" i="55"/>
  <c r="F416" i="55"/>
  <c r="N416" i="55" s="1"/>
  <c r="F417" i="55"/>
  <c r="F418" i="55"/>
  <c r="F419" i="55"/>
  <c r="F420" i="55"/>
  <c r="N420" i="55" s="1"/>
  <c r="F421" i="55"/>
  <c r="F422" i="55"/>
  <c r="F423" i="55"/>
  <c r="F424" i="55"/>
  <c r="N424" i="55" s="1"/>
  <c r="F425" i="55"/>
  <c r="F426" i="55"/>
  <c r="F427" i="55"/>
  <c r="F428" i="55"/>
  <c r="N428" i="55" s="1"/>
  <c r="F429" i="55"/>
  <c r="F430" i="55"/>
  <c r="F431" i="55"/>
  <c r="F432" i="55"/>
  <c r="N432" i="55" s="1"/>
  <c r="F433" i="55"/>
  <c r="F434" i="55"/>
  <c r="F435" i="55"/>
  <c r="F436" i="55"/>
  <c r="N436" i="55" s="1"/>
  <c r="F437" i="55"/>
  <c r="F438" i="55"/>
  <c r="F439" i="55"/>
  <c r="F440" i="55"/>
  <c r="N440" i="55" s="1"/>
  <c r="F441" i="55"/>
  <c r="F442" i="55"/>
  <c r="F443" i="55"/>
  <c r="F444" i="55"/>
  <c r="N444" i="55" s="1"/>
  <c r="F445" i="55"/>
  <c r="F446" i="55"/>
  <c r="F447" i="55"/>
  <c r="F448" i="55"/>
  <c r="N448" i="55" s="1"/>
  <c r="F449" i="55"/>
  <c r="F450" i="55"/>
  <c r="F451" i="55"/>
  <c r="F452" i="55"/>
  <c r="N452" i="55" s="1"/>
  <c r="F453" i="55"/>
  <c r="F454" i="55"/>
  <c r="F455" i="55"/>
  <c r="F456" i="55"/>
  <c r="N456" i="55" s="1"/>
  <c r="F457" i="55"/>
  <c r="F458" i="55"/>
  <c r="F459" i="55"/>
  <c r="F460" i="55"/>
  <c r="N460" i="55" s="1"/>
  <c r="F461" i="55"/>
  <c r="F462" i="55"/>
  <c r="F463" i="55"/>
  <c r="F464" i="55"/>
  <c r="N464" i="55" s="1"/>
  <c r="F465" i="55"/>
  <c r="F466" i="55"/>
  <c r="F467" i="55"/>
  <c r="F468" i="55"/>
  <c r="N468" i="55" s="1"/>
  <c r="F469" i="55"/>
  <c r="F470" i="55"/>
  <c r="F471" i="55"/>
  <c r="F472" i="55"/>
  <c r="N472" i="55" s="1"/>
  <c r="F473" i="55"/>
  <c r="F474" i="55"/>
  <c r="F475" i="55"/>
  <c r="F476" i="55"/>
  <c r="N476" i="55" s="1"/>
  <c r="F477" i="55"/>
  <c r="F478" i="55"/>
  <c r="F479" i="55"/>
  <c r="F480" i="55"/>
  <c r="N480" i="55" s="1"/>
  <c r="F481" i="55"/>
  <c r="F482" i="55"/>
  <c r="F483" i="55"/>
  <c r="F484" i="55"/>
  <c r="N484" i="55" s="1"/>
  <c r="F485" i="55"/>
  <c r="F486" i="55"/>
  <c r="F487" i="55"/>
  <c r="F488" i="55"/>
  <c r="N488" i="55" s="1"/>
  <c r="F489" i="55"/>
  <c r="F490" i="55"/>
  <c r="F491" i="55"/>
  <c r="F492" i="55"/>
  <c r="N492" i="55" s="1"/>
  <c r="F493" i="55"/>
  <c r="F494" i="55"/>
  <c r="F495" i="55"/>
  <c r="F496" i="55"/>
  <c r="N496" i="55" s="1"/>
  <c r="F497" i="55"/>
  <c r="F498" i="55"/>
  <c r="F499" i="55"/>
  <c r="F500" i="55"/>
  <c r="N500" i="55" s="1"/>
  <c r="F501" i="55"/>
  <c r="F502" i="55"/>
  <c r="F503" i="55"/>
  <c r="F504" i="55"/>
  <c r="N504" i="55" s="1"/>
  <c r="F505" i="55"/>
  <c r="F506" i="55"/>
  <c r="F507" i="55"/>
  <c r="F508" i="55"/>
  <c r="N508" i="55" s="1"/>
  <c r="F509" i="55"/>
  <c r="F510" i="55"/>
  <c r="F511" i="55"/>
  <c r="F512" i="55"/>
  <c r="N512" i="55" s="1"/>
  <c r="F513" i="55"/>
  <c r="F514" i="55"/>
  <c r="F515" i="55"/>
  <c r="F516" i="55"/>
  <c r="N516" i="55" s="1"/>
  <c r="F517" i="55"/>
  <c r="F518" i="55"/>
  <c r="F519" i="55"/>
  <c r="F520" i="55"/>
  <c r="N520" i="55" s="1"/>
  <c r="F521" i="55"/>
  <c r="F522" i="55"/>
  <c r="F523" i="55"/>
  <c r="F524" i="55"/>
  <c r="N524" i="55" s="1"/>
  <c r="F525" i="55"/>
  <c r="F526" i="55"/>
  <c r="F527" i="55"/>
  <c r="F528" i="55"/>
  <c r="N528" i="55" s="1"/>
  <c r="F529" i="55"/>
  <c r="F530" i="55"/>
  <c r="F531" i="55"/>
  <c r="F532" i="55"/>
  <c r="N532" i="55" s="1"/>
  <c r="F533" i="55"/>
  <c r="F534" i="55"/>
  <c r="F535" i="55"/>
  <c r="F536" i="55"/>
  <c r="N536" i="55" s="1"/>
  <c r="F537" i="55"/>
  <c r="F538" i="55"/>
  <c r="F539" i="55"/>
  <c r="F540" i="55"/>
  <c r="N540" i="55" s="1"/>
  <c r="F541" i="55"/>
  <c r="F542" i="55"/>
  <c r="F543" i="55"/>
  <c r="F544" i="55"/>
  <c r="N544" i="55" s="1"/>
  <c r="F545" i="55"/>
  <c r="F546" i="55"/>
  <c r="F547" i="55"/>
  <c r="F548" i="55"/>
  <c r="N548" i="55" s="1"/>
  <c r="F549" i="55"/>
  <c r="F550" i="55"/>
  <c r="F551" i="55"/>
  <c r="F552" i="55"/>
  <c r="N552" i="55" s="1"/>
  <c r="F553" i="55"/>
  <c r="F554" i="55"/>
  <c r="F555" i="55"/>
  <c r="F556" i="55"/>
  <c r="N556" i="55" s="1"/>
  <c r="F557" i="55"/>
  <c r="F558" i="55"/>
  <c r="F559" i="55"/>
  <c r="F560" i="55"/>
  <c r="N560" i="55" s="1"/>
  <c r="F561" i="55"/>
  <c r="F562" i="55"/>
  <c r="F563" i="55"/>
  <c r="F564" i="55"/>
  <c r="N564" i="55" s="1"/>
  <c r="F565" i="55"/>
  <c r="F566" i="55"/>
  <c r="F567" i="55"/>
  <c r="F568" i="55"/>
  <c r="N568" i="55" s="1"/>
  <c r="F569" i="55"/>
  <c r="F570" i="55"/>
  <c r="F571" i="55"/>
  <c r="F572" i="55"/>
  <c r="N572" i="55" s="1"/>
  <c r="F573" i="55"/>
  <c r="F574" i="55"/>
  <c r="F575" i="55"/>
  <c r="F576" i="55"/>
  <c r="N576" i="55" s="1"/>
  <c r="F577" i="55"/>
  <c r="F578" i="55"/>
  <c r="F579" i="55"/>
  <c r="F580" i="55"/>
  <c r="N580" i="55" s="1"/>
  <c r="F581" i="55"/>
  <c r="F582" i="55"/>
  <c r="F583" i="55"/>
  <c r="F584" i="55"/>
  <c r="N584" i="55" s="1"/>
  <c r="F585" i="55"/>
  <c r="F586" i="55"/>
  <c r="F587" i="55"/>
  <c r="F588" i="55"/>
  <c r="N588" i="55" s="1"/>
  <c r="F589" i="55"/>
  <c r="F590" i="55"/>
  <c r="F591" i="55"/>
  <c r="F592" i="55"/>
  <c r="N592" i="55" s="1"/>
  <c r="F593" i="55"/>
  <c r="F594" i="55"/>
  <c r="F595" i="55"/>
  <c r="F596" i="55"/>
  <c r="N596" i="55" s="1"/>
  <c r="F597" i="55"/>
  <c r="F598" i="55"/>
  <c r="F599" i="55"/>
  <c r="F600" i="55"/>
  <c r="N600" i="55" s="1"/>
  <c r="F601" i="55"/>
  <c r="F602" i="55"/>
  <c r="F603" i="55"/>
  <c r="F604" i="55"/>
  <c r="N604" i="55" s="1"/>
  <c r="F605" i="55"/>
  <c r="F606" i="55"/>
  <c r="F607" i="55"/>
  <c r="F608" i="55"/>
  <c r="N608" i="55" s="1"/>
  <c r="X14" i="55"/>
  <c r="Z14" i="55" s="1"/>
  <c r="A610" i="55"/>
  <c r="O609" i="55"/>
  <c r="M609" i="55"/>
  <c r="K609" i="55"/>
  <c r="B609" i="55"/>
  <c r="S608" i="55"/>
  <c r="D608" i="55"/>
  <c r="Q608" i="55" s="1"/>
  <c r="S607" i="55"/>
  <c r="D607" i="55"/>
  <c r="Q607" i="55" s="1"/>
  <c r="S606" i="55"/>
  <c r="D606" i="55"/>
  <c r="Q606" i="55" s="1"/>
  <c r="S605" i="55"/>
  <c r="D605" i="55"/>
  <c r="Q605" i="55" s="1"/>
  <c r="S604" i="55"/>
  <c r="D604" i="55"/>
  <c r="Q604" i="55" s="1"/>
  <c r="S603" i="55"/>
  <c r="D603" i="55"/>
  <c r="Q603" i="55" s="1"/>
  <c r="S602" i="55"/>
  <c r="D602" i="55"/>
  <c r="Q602" i="55" s="1"/>
  <c r="S601" i="55"/>
  <c r="D601" i="55"/>
  <c r="Q601" i="55" s="1"/>
  <c r="S600" i="55"/>
  <c r="D600" i="55"/>
  <c r="Q600" i="55" s="1"/>
  <c r="S599" i="55"/>
  <c r="D599" i="55"/>
  <c r="Q599" i="55" s="1"/>
  <c r="S598" i="55"/>
  <c r="D598" i="55"/>
  <c r="Q598" i="55" s="1"/>
  <c r="S597" i="55"/>
  <c r="D597" i="55"/>
  <c r="Q597" i="55" s="1"/>
  <c r="S596" i="55"/>
  <c r="D596" i="55"/>
  <c r="Q596" i="55" s="1"/>
  <c r="S595" i="55"/>
  <c r="D595" i="55"/>
  <c r="Q595" i="55" s="1"/>
  <c r="S594" i="55"/>
  <c r="D594" i="55"/>
  <c r="Q594" i="55" s="1"/>
  <c r="S593" i="55"/>
  <c r="D593" i="55"/>
  <c r="Q593" i="55" s="1"/>
  <c r="S592" i="55"/>
  <c r="D592" i="55"/>
  <c r="Q592" i="55" s="1"/>
  <c r="S591" i="55"/>
  <c r="D591" i="55"/>
  <c r="Q591" i="55" s="1"/>
  <c r="S590" i="55"/>
  <c r="D590" i="55"/>
  <c r="Q590" i="55" s="1"/>
  <c r="S589" i="55"/>
  <c r="D589" i="55"/>
  <c r="Q589" i="55" s="1"/>
  <c r="S588" i="55"/>
  <c r="D588" i="55"/>
  <c r="Q588" i="55" s="1"/>
  <c r="S587" i="55"/>
  <c r="D587" i="55"/>
  <c r="Q587" i="55" s="1"/>
  <c r="S586" i="55"/>
  <c r="D586" i="55"/>
  <c r="Q586" i="55" s="1"/>
  <c r="S585" i="55"/>
  <c r="D585" i="55"/>
  <c r="Q585" i="55" s="1"/>
  <c r="S584" i="55"/>
  <c r="D584" i="55"/>
  <c r="Q584" i="55" s="1"/>
  <c r="S583" i="55"/>
  <c r="D583" i="55"/>
  <c r="Q583" i="55" s="1"/>
  <c r="S582" i="55"/>
  <c r="D582" i="55"/>
  <c r="Q582" i="55" s="1"/>
  <c r="S581" i="55"/>
  <c r="D581" i="55"/>
  <c r="Q581" i="55" s="1"/>
  <c r="S580" i="55"/>
  <c r="D580" i="55"/>
  <c r="Q580" i="55" s="1"/>
  <c r="S579" i="55"/>
  <c r="D579" i="55"/>
  <c r="Q579" i="55" s="1"/>
  <c r="S578" i="55"/>
  <c r="D578" i="55"/>
  <c r="Q578" i="55" s="1"/>
  <c r="S577" i="55"/>
  <c r="D577" i="55"/>
  <c r="Q577" i="55" s="1"/>
  <c r="S576" i="55"/>
  <c r="D576" i="55"/>
  <c r="Q576" i="55" s="1"/>
  <c r="S575" i="55"/>
  <c r="D575" i="55"/>
  <c r="Q575" i="55" s="1"/>
  <c r="S574" i="55"/>
  <c r="D574" i="55"/>
  <c r="Q574" i="55" s="1"/>
  <c r="S573" i="55"/>
  <c r="D573" i="55"/>
  <c r="Q573" i="55" s="1"/>
  <c r="S572" i="55"/>
  <c r="D572" i="55"/>
  <c r="Q572" i="55" s="1"/>
  <c r="S571" i="55"/>
  <c r="D571" i="55"/>
  <c r="Q571" i="55" s="1"/>
  <c r="S570" i="55"/>
  <c r="D570" i="55"/>
  <c r="Q570" i="55" s="1"/>
  <c r="S569" i="55"/>
  <c r="D569" i="55"/>
  <c r="Q569" i="55" s="1"/>
  <c r="S568" i="55"/>
  <c r="D568" i="55"/>
  <c r="Q568" i="55" s="1"/>
  <c r="S567" i="55"/>
  <c r="D567" i="55"/>
  <c r="Q567" i="55" s="1"/>
  <c r="S566" i="55"/>
  <c r="D566" i="55"/>
  <c r="Q566" i="55" s="1"/>
  <c r="S565" i="55"/>
  <c r="D565" i="55"/>
  <c r="Q565" i="55" s="1"/>
  <c r="S564" i="55"/>
  <c r="D564" i="55"/>
  <c r="Q564" i="55" s="1"/>
  <c r="S563" i="55"/>
  <c r="D563" i="55"/>
  <c r="Q563" i="55" s="1"/>
  <c r="S562" i="55"/>
  <c r="D562" i="55"/>
  <c r="Q562" i="55" s="1"/>
  <c r="S561" i="55"/>
  <c r="D561" i="55"/>
  <c r="Q561" i="55" s="1"/>
  <c r="S560" i="55"/>
  <c r="D560" i="55"/>
  <c r="Q560" i="55" s="1"/>
  <c r="S559" i="55"/>
  <c r="D559" i="55"/>
  <c r="Q559" i="55" s="1"/>
  <c r="S558" i="55"/>
  <c r="D558" i="55"/>
  <c r="Q558" i="55" s="1"/>
  <c r="S557" i="55"/>
  <c r="D557" i="55"/>
  <c r="Q557" i="55" s="1"/>
  <c r="S556" i="55"/>
  <c r="D556" i="55"/>
  <c r="Q556" i="55" s="1"/>
  <c r="S555" i="55"/>
  <c r="D555" i="55"/>
  <c r="Q555" i="55" s="1"/>
  <c r="S554" i="55"/>
  <c r="D554" i="55"/>
  <c r="Q554" i="55" s="1"/>
  <c r="S553" i="55"/>
  <c r="D553" i="55"/>
  <c r="Q553" i="55" s="1"/>
  <c r="S552" i="55"/>
  <c r="D552" i="55"/>
  <c r="Q552" i="55" s="1"/>
  <c r="S551" i="55"/>
  <c r="D551" i="55"/>
  <c r="Q551" i="55" s="1"/>
  <c r="S550" i="55"/>
  <c r="D550" i="55"/>
  <c r="Q550" i="55" s="1"/>
  <c r="S549" i="55"/>
  <c r="D549" i="55"/>
  <c r="Q549" i="55" s="1"/>
  <c r="S548" i="55"/>
  <c r="D548" i="55"/>
  <c r="Q548" i="55" s="1"/>
  <c r="S547" i="55"/>
  <c r="D547" i="55"/>
  <c r="Q547" i="55" s="1"/>
  <c r="S546" i="55"/>
  <c r="D546" i="55"/>
  <c r="Q546" i="55" s="1"/>
  <c r="S545" i="55"/>
  <c r="D545" i="55"/>
  <c r="Q545" i="55" s="1"/>
  <c r="S544" i="55"/>
  <c r="D544" i="55"/>
  <c r="Q544" i="55" s="1"/>
  <c r="S543" i="55"/>
  <c r="D543" i="55"/>
  <c r="Q543" i="55" s="1"/>
  <c r="S542" i="55"/>
  <c r="D542" i="55"/>
  <c r="Q542" i="55" s="1"/>
  <c r="S541" i="55"/>
  <c r="D541" i="55"/>
  <c r="Q541" i="55" s="1"/>
  <c r="S540" i="55"/>
  <c r="D540" i="55"/>
  <c r="Q540" i="55" s="1"/>
  <c r="S539" i="55"/>
  <c r="D539" i="55"/>
  <c r="Q539" i="55" s="1"/>
  <c r="S538" i="55"/>
  <c r="D538" i="55"/>
  <c r="Q538" i="55" s="1"/>
  <c r="S537" i="55"/>
  <c r="D537" i="55"/>
  <c r="Q537" i="55" s="1"/>
  <c r="S536" i="55"/>
  <c r="D536" i="55"/>
  <c r="Q536" i="55" s="1"/>
  <c r="S535" i="55"/>
  <c r="D535" i="55"/>
  <c r="Q535" i="55" s="1"/>
  <c r="S534" i="55"/>
  <c r="D534" i="55"/>
  <c r="Q534" i="55" s="1"/>
  <c r="S533" i="55"/>
  <c r="D533" i="55"/>
  <c r="Q533" i="55" s="1"/>
  <c r="S532" i="55"/>
  <c r="D532" i="55"/>
  <c r="Q532" i="55" s="1"/>
  <c r="S531" i="55"/>
  <c r="D531" i="55"/>
  <c r="Q531" i="55" s="1"/>
  <c r="S530" i="55"/>
  <c r="D530" i="55"/>
  <c r="Q530" i="55" s="1"/>
  <c r="S529" i="55"/>
  <c r="D529" i="55"/>
  <c r="Q529" i="55" s="1"/>
  <c r="S528" i="55"/>
  <c r="D528" i="55"/>
  <c r="Q528" i="55" s="1"/>
  <c r="S527" i="55"/>
  <c r="D527" i="55"/>
  <c r="Q527" i="55" s="1"/>
  <c r="S526" i="55"/>
  <c r="D526" i="55"/>
  <c r="Q526" i="55" s="1"/>
  <c r="S525" i="55"/>
  <c r="D525" i="55"/>
  <c r="Q525" i="55" s="1"/>
  <c r="S524" i="55"/>
  <c r="D524" i="55"/>
  <c r="Q524" i="55" s="1"/>
  <c r="S523" i="55"/>
  <c r="D523" i="55"/>
  <c r="Q523" i="55" s="1"/>
  <c r="S522" i="55"/>
  <c r="D522" i="55"/>
  <c r="Q522" i="55" s="1"/>
  <c r="S521" i="55"/>
  <c r="D521" i="55"/>
  <c r="Q521" i="55" s="1"/>
  <c r="S520" i="55"/>
  <c r="D520" i="55"/>
  <c r="Q520" i="55" s="1"/>
  <c r="S519" i="55"/>
  <c r="D519" i="55"/>
  <c r="Q519" i="55" s="1"/>
  <c r="S518" i="55"/>
  <c r="D518" i="55"/>
  <c r="Q518" i="55" s="1"/>
  <c r="S517" i="55"/>
  <c r="D517" i="55"/>
  <c r="Q517" i="55" s="1"/>
  <c r="S516" i="55"/>
  <c r="D516" i="55"/>
  <c r="Q516" i="55" s="1"/>
  <c r="S515" i="55"/>
  <c r="D515" i="55"/>
  <c r="Q515" i="55" s="1"/>
  <c r="S514" i="55"/>
  <c r="D514" i="55"/>
  <c r="Q514" i="55" s="1"/>
  <c r="S513" i="55"/>
  <c r="D513" i="55"/>
  <c r="Q513" i="55" s="1"/>
  <c r="S512" i="55"/>
  <c r="D512" i="55"/>
  <c r="Q512" i="55" s="1"/>
  <c r="S511" i="55"/>
  <c r="D511" i="55"/>
  <c r="Q511" i="55" s="1"/>
  <c r="S510" i="55"/>
  <c r="D510" i="55"/>
  <c r="Q510" i="55" s="1"/>
  <c r="S509" i="55"/>
  <c r="D509" i="55"/>
  <c r="Q509" i="55" s="1"/>
  <c r="S508" i="55"/>
  <c r="D508" i="55"/>
  <c r="Q508" i="55" s="1"/>
  <c r="S507" i="55"/>
  <c r="D507" i="55"/>
  <c r="Q507" i="55" s="1"/>
  <c r="S506" i="55"/>
  <c r="D506" i="55"/>
  <c r="Q506" i="55" s="1"/>
  <c r="S505" i="55"/>
  <c r="D505" i="55"/>
  <c r="Q505" i="55" s="1"/>
  <c r="S504" i="55"/>
  <c r="D504" i="55"/>
  <c r="Q504" i="55" s="1"/>
  <c r="S503" i="55"/>
  <c r="D503" i="55"/>
  <c r="Q503" i="55" s="1"/>
  <c r="S502" i="55"/>
  <c r="D502" i="55"/>
  <c r="Q502" i="55" s="1"/>
  <c r="S501" i="55"/>
  <c r="D501" i="55"/>
  <c r="Q501" i="55" s="1"/>
  <c r="S500" i="55"/>
  <c r="D500" i="55"/>
  <c r="Q500" i="55" s="1"/>
  <c r="S499" i="55"/>
  <c r="D499" i="55"/>
  <c r="Q499" i="55" s="1"/>
  <c r="S498" i="55"/>
  <c r="D498" i="55"/>
  <c r="Q498" i="55" s="1"/>
  <c r="S497" i="55"/>
  <c r="D497" i="55"/>
  <c r="Q497" i="55" s="1"/>
  <c r="S496" i="55"/>
  <c r="D496" i="55"/>
  <c r="Q496" i="55" s="1"/>
  <c r="S495" i="55"/>
  <c r="D495" i="55"/>
  <c r="Q495" i="55" s="1"/>
  <c r="S494" i="55"/>
  <c r="D494" i="55"/>
  <c r="Q494" i="55" s="1"/>
  <c r="S493" i="55"/>
  <c r="D493" i="55"/>
  <c r="Q493" i="55" s="1"/>
  <c r="S492" i="55"/>
  <c r="D492" i="55"/>
  <c r="Q492" i="55" s="1"/>
  <c r="S491" i="55"/>
  <c r="D491" i="55"/>
  <c r="Q491" i="55" s="1"/>
  <c r="S490" i="55"/>
  <c r="D490" i="55"/>
  <c r="Q490" i="55" s="1"/>
  <c r="S489" i="55"/>
  <c r="D489" i="55"/>
  <c r="Q489" i="55" s="1"/>
  <c r="S488" i="55"/>
  <c r="D488" i="55"/>
  <c r="Q488" i="55" s="1"/>
  <c r="S487" i="55"/>
  <c r="D487" i="55"/>
  <c r="Q487" i="55" s="1"/>
  <c r="S486" i="55"/>
  <c r="D486" i="55"/>
  <c r="Q486" i="55" s="1"/>
  <c r="S485" i="55"/>
  <c r="D485" i="55"/>
  <c r="Q485" i="55" s="1"/>
  <c r="S484" i="55"/>
  <c r="D484" i="55"/>
  <c r="Q484" i="55" s="1"/>
  <c r="S483" i="55"/>
  <c r="D483" i="55"/>
  <c r="Q483" i="55" s="1"/>
  <c r="S482" i="55"/>
  <c r="D482" i="55"/>
  <c r="Q482" i="55" s="1"/>
  <c r="S481" i="55"/>
  <c r="D481" i="55"/>
  <c r="Q481" i="55" s="1"/>
  <c r="S480" i="55"/>
  <c r="D480" i="55"/>
  <c r="Q480" i="55" s="1"/>
  <c r="S479" i="55"/>
  <c r="D479" i="55"/>
  <c r="Q479" i="55" s="1"/>
  <c r="S478" i="55"/>
  <c r="D478" i="55"/>
  <c r="Q478" i="55" s="1"/>
  <c r="S477" i="55"/>
  <c r="D477" i="55"/>
  <c r="Q477" i="55" s="1"/>
  <c r="S476" i="55"/>
  <c r="D476" i="55"/>
  <c r="Q476" i="55" s="1"/>
  <c r="S475" i="55"/>
  <c r="D475" i="55"/>
  <c r="Q475" i="55" s="1"/>
  <c r="S474" i="55"/>
  <c r="D474" i="55"/>
  <c r="Q474" i="55" s="1"/>
  <c r="S473" i="55"/>
  <c r="D473" i="55"/>
  <c r="Q473" i="55" s="1"/>
  <c r="S472" i="55"/>
  <c r="D472" i="55"/>
  <c r="Q472" i="55" s="1"/>
  <c r="S471" i="55"/>
  <c r="D471" i="55"/>
  <c r="Q471" i="55" s="1"/>
  <c r="S470" i="55"/>
  <c r="D470" i="55"/>
  <c r="Q470" i="55" s="1"/>
  <c r="S469" i="55"/>
  <c r="D469" i="55"/>
  <c r="Q469" i="55" s="1"/>
  <c r="S468" i="55"/>
  <c r="D468" i="55"/>
  <c r="Q468" i="55" s="1"/>
  <c r="S467" i="55"/>
  <c r="D467" i="55"/>
  <c r="Q467" i="55" s="1"/>
  <c r="S466" i="55"/>
  <c r="D466" i="55"/>
  <c r="Q466" i="55" s="1"/>
  <c r="S465" i="55"/>
  <c r="D465" i="55"/>
  <c r="Q465" i="55" s="1"/>
  <c r="S464" i="55"/>
  <c r="D464" i="55"/>
  <c r="Q464" i="55" s="1"/>
  <c r="S463" i="55"/>
  <c r="D463" i="55"/>
  <c r="Q463" i="55" s="1"/>
  <c r="S462" i="55"/>
  <c r="D462" i="55"/>
  <c r="Q462" i="55" s="1"/>
  <c r="S461" i="55"/>
  <c r="D461" i="55"/>
  <c r="Q461" i="55" s="1"/>
  <c r="S460" i="55"/>
  <c r="D460" i="55"/>
  <c r="Q460" i="55" s="1"/>
  <c r="S459" i="55"/>
  <c r="D459" i="55"/>
  <c r="Q459" i="55" s="1"/>
  <c r="S458" i="55"/>
  <c r="D458" i="55"/>
  <c r="Q458" i="55" s="1"/>
  <c r="S457" i="55"/>
  <c r="D457" i="55"/>
  <c r="Q457" i="55" s="1"/>
  <c r="S456" i="55"/>
  <c r="D456" i="55"/>
  <c r="Q456" i="55" s="1"/>
  <c r="S455" i="55"/>
  <c r="D455" i="55"/>
  <c r="Q455" i="55" s="1"/>
  <c r="S454" i="55"/>
  <c r="D454" i="55"/>
  <c r="Q454" i="55" s="1"/>
  <c r="S453" i="55"/>
  <c r="D453" i="55"/>
  <c r="Q453" i="55" s="1"/>
  <c r="S452" i="55"/>
  <c r="D452" i="55"/>
  <c r="Q452" i="55" s="1"/>
  <c r="S451" i="55"/>
  <c r="D451" i="55"/>
  <c r="Q451" i="55" s="1"/>
  <c r="S450" i="55"/>
  <c r="D450" i="55"/>
  <c r="Q450" i="55" s="1"/>
  <c r="S449" i="55"/>
  <c r="D449" i="55"/>
  <c r="Q449" i="55" s="1"/>
  <c r="S448" i="55"/>
  <c r="D448" i="55"/>
  <c r="Q448" i="55" s="1"/>
  <c r="S447" i="55"/>
  <c r="D447" i="55"/>
  <c r="Q447" i="55" s="1"/>
  <c r="S446" i="55"/>
  <c r="D446" i="55"/>
  <c r="Q446" i="55" s="1"/>
  <c r="S445" i="55"/>
  <c r="D445" i="55"/>
  <c r="Q445" i="55" s="1"/>
  <c r="S444" i="55"/>
  <c r="D444" i="55"/>
  <c r="Q444" i="55" s="1"/>
  <c r="S443" i="55"/>
  <c r="D443" i="55"/>
  <c r="Q443" i="55" s="1"/>
  <c r="S442" i="55"/>
  <c r="D442" i="55"/>
  <c r="Q442" i="55" s="1"/>
  <c r="S441" i="55"/>
  <c r="D441" i="55"/>
  <c r="Q441" i="55" s="1"/>
  <c r="S440" i="55"/>
  <c r="D440" i="55"/>
  <c r="Q440" i="55" s="1"/>
  <c r="S439" i="55"/>
  <c r="D439" i="55"/>
  <c r="Q439" i="55" s="1"/>
  <c r="S438" i="55"/>
  <c r="D438" i="55"/>
  <c r="Q438" i="55" s="1"/>
  <c r="S437" i="55"/>
  <c r="D437" i="55"/>
  <c r="Q437" i="55" s="1"/>
  <c r="S436" i="55"/>
  <c r="D436" i="55"/>
  <c r="Q436" i="55" s="1"/>
  <c r="S435" i="55"/>
  <c r="D435" i="55"/>
  <c r="Q435" i="55" s="1"/>
  <c r="S434" i="55"/>
  <c r="D434" i="55"/>
  <c r="Q434" i="55" s="1"/>
  <c r="S433" i="55"/>
  <c r="D433" i="55"/>
  <c r="Q433" i="55" s="1"/>
  <c r="S432" i="55"/>
  <c r="D432" i="55"/>
  <c r="Q432" i="55" s="1"/>
  <c r="S431" i="55"/>
  <c r="D431" i="55"/>
  <c r="Q431" i="55" s="1"/>
  <c r="S430" i="55"/>
  <c r="D430" i="55"/>
  <c r="Q430" i="55" s="1"/>
  <c r="S429" i="55"/>
  <c r="D429" i="55"/>
  <c r="Q429" i="55" s="1"/>
  <c r="S428" i="55"/>
  <c r="D428" i="55"/>
  <c r="Q428" i="55" s="1"/>
  <c r="S427" i="55"/>
  <c r="D427" i="55"/>
  <c r="Q427" i="55" s="1"/>
  <c r="S426" i="55"/>
  <c r="D426" i="55"/>
  <c r="Q426" i="55" s="1"/>
  <c r="S425" i="55"/>
  <c r="D425" i="55"/>
  <c r="Q425" i="55" s="1"/>
  <c r="S424" i="55"/>
  <c r="D424" i="55"/>
  <c r="Q424" i="55" s="1"/>
  <c r="S423" i="55"/>
  <c r="D423" i="55"/>
  <c r="Q423" i="55" s="1"/>
  <c r="S422" i="55"/>
  <c r="D422" i="55"/>
  <c r="Q422" i="55" s="1"/>
  <c r="S421" i="55"/>
  <c r="D421" i="55"/>
  <c r="Q421" i="55" s="1"/>
  <c r="S420" i="55"/>
  <c r="D420" i="55"/>
  <c r="Q420" i="55" s="1"/>
  <c r="S419" i="55"/>
  <c r="D419" i="55"/>
  <c r="Q419" i="55" s="1"/>
  <c r="S418" i="55"/>
  <c r="D418" i="55"/>
  <c r="Q418" i="55" s="1"/>
  <c r="S417" i="55"/>
  <c r="D417" i="55"/>
  <c r="Q417" i="55" s="1"/>
  <c r="S416" i="55"/>
  <c r="D416" i="55"/>
  <c r="Q416" i="55" s="1"/>
  <c r="S415" i="55"/>
  <c r="D415" i="55"/>
  <c r="Q415" i="55" s="1"/>
  <c r="S414" i="55"/>
  <c r="D414" i="55"/>
  <c r="Q414" i="55" s="1"/>
  <c r="S413" i="55"/>
  <c r="D413" i="55"/>
  <c r="Q413" i="55" s="1"/>
  <c r="S412" i="55"/>
  <c r="D412" i="55"/>
  <c r="Q412" i="55" s="1"/>
  <c r="S411" i="55"/>
  <c r="D411" i="55"/>
  <c r="Q411" i="55" s="1"/>
  <c r="S410" i="55"/>
  <c r="D410" i="55"/>
  <c r="Q410" i="55" s="1"/>
  <c r="S409" i="55"/>
  <c r="D409" i="55"/>
  <c r="Q409" i="55" s="1"/>
  <c r="S408" i="55"/>
  <c r="D408" i="55"/>
  <c r="Q408" i="55" s="1"/>
  <c r="S407" i="55"/>
  <c r="D407" i="55"/>
  <c r="Q407" i="55" s="1"/>
  <c r="S406" i="55"/>
  <c r="D406" i="55"/>
  <c r="Q406" i="55" s="1"/>
  <c r="S405" i="55"/>
  <c r="D405" i="55"/>
  <c r="Q405" i="55" s="1"/>
  <c r="S404" i="55"/>
  <c r="D404" i="55"/>
  <c r="Q404" i="55" s="1"/>
  <c r="S403" i="55"/>
  <c r="D403" i="55"/>
  <c r="Q403" i="55" s="1"/>
  <c r="S402" i="55"/>
  <c r="D402" i="55"/>
  <c r="Q402" i="55" s="1"/>
  <c r="S401" i="55"/>
  <c r="D401" i="55"/>
  <c r="Q401" i="55" s="1"/>
  <c r="S400" i="55"/>
  <c r="D400" i="55"/>
  <c r="Q400" i="55" s="1"/>
  <c r="S399" i="55"/>
  <c r="D399" i="55"/>
  <c r="Q399" i="55" s="1"/>
  <c r="S398" i="55"/>
  <c r="D398" i="55"/>
  <c r="Q398" i="55" s="1"/>
  <c r="S397" i="55"/>
  <c r="D397" i="55"/>
  <c r="Q397" i="55" s="1"/>
  <c r="S396" i="55"/>
  <c r="D396" i="55"/>
  <c r="Q396" i="55" s="1"/>
  <c r="S395" i="55"/>
  <c r="D395" i="55"/>
  <c r="Q395" i="55" s="1"/>
  <c r="S394" i="55"/>
  <c r="D394" i="55"/>
  <c r="Q394" i="55" s="1"/>
  <c r="S393" i="55"/>
  <c r="D393" i="55"/>
  <c r="Q393" i="55" s="1"/>
  <c r="S392" i="55"/>
  <c r="D392" i="55"/>
  <c r="Q392" i="55" s="1"/>
  <c r="S391" i="55"/>
  <c r="D391" i="55"/>
  <c r="Q391" i="55" s="1"/>
  <c r="S390" i="55"/>
  <c r="D390" i="55"/>
  <c r="Q390" i="55" s="1"/>
  <c r="S389" i="55"/>
  <c r="D389" i="55"/>
  <c r="Q389" i="55" s="1"/>
  <c r="S388" i="55"/>
  <c r="D388" i="55"/>
  <c r="Q388" i="55" s="1"/>
  <c r="S387" i="55"/>
  <c r="D387" i="55"/>
  <c r="Q387" i="55" s="1"/>
  <c r="S386" i="55"/>
  <c r="D386" i="55"/>
  <c r="Q386" i="55" s="1"/>
  <c r="S385" i="55"/>
  <c r="D385" i="55"/>
  <c r="Q385" i="55" s="1"/>
  <c r="S384" i="55"/>
  <c r="D384" i="55"/>
  <c r="Q384" i="55" s="1"/>
  <c r="S383" i="55"/>
  <c r="D383" i="55"/>
  <c r="Q383" i="55" s="1"/>
  <c r="S382" i="55"/>
  <c r="D382" i="55"/>
  <c r="Q382" i="55" s="1"/>
  <c r="S381" i="55"/>
  <c r="D381" i="55"/>
  <c r="Q381" i="55" s="1"/>
  <c r="S380" i="55"/>
  <c r="D380" i="55"/>
  <c r="Q380" i="55" s="1"/>
  <c r="S379" i="55"/>
  <c r="D379" i="55"/>
  <c r="Q379" i="55" s="1"/>
  <c r="S378" i="55"/>
  <c r="D378" i="55"/>
  <c r="Q378" i="55" s="1"/>
  <c r="S377" i="55"/>
  <c r="D377" i="55"/>
  <c r="Q377" i="55" s="1"/>
  <c r="S376" i="55"/>
  <c r="D376" i="55"/>
  <c r="Q376" i="55" s="1"/>
  <c r="S375" i="55"/>
  <c r="D375" i="55"/>
  <c r="Q375" i="55" s="1"/>
  <c r="S374" i="55"/>
  <c r="D374" i="55"/>
  <c r="Q374" i="55" s="1"/>
  <c r="S373" i="55"/>
  <c r="D373" i="55"/>
  <c r="Q373" i="55" s="1"/>
  <c r="S372" i="55"/>
  <c r="D372" i="55"/>
  <c r="Q372" i="55" s="1"/>
  <c r="S371" i="55"/>
  <c r="D371" i="55"/>
  <c r="Q371" i="55" s="1"/>
  <c r="S370" i="55"/>
  <c r="D370" i="55"/>
  <c r="Q370" i="55" s="1"/>
  <c r="S369" i="55"/>
  <c r="D369" i="55"/>
  <c r="Q369" i="55" s="1"/>
  <c r="S368" i="55"/>
  <c r="D368" i="55"/>
  <c r="Q368" i="55" s="1"/>
  <c r="S367" i="55"/>
  <c r="D367" i="55"/>
  <c r="Q367" i="55" s="1"/>
  <c r="S366" i="55"/>
  <c r="D366" i="55"/>
  <c r="Q366" i="55" s="1"/>
  <c r="S365" i="55"/>
  <c r="D365" i="55"/>
  <c r="Q365" i="55" s="1"/>
  <c r="S364" i="55"/>
  <c r="D364" i="55"/>
  <c r="Q364" i="55" s="1"/>
  <c r="S363" i="55"/>
  <c r="D363" i="55"/>
  <c r="Q363" i="55" s="1"/>
  <c r="S362" i="55"/>
  <c r="D362" i="55"/>
  <c r="Q362" i="55" s="1"/>
  <c r="S361" i="55"/>
  <c r="D361" i="55"/>
  <c r="Q361" i="55" s="1"/>
  <c r="S360" i="55"/>
  <c r="D360" i="55"/>
  <c r="Q360" i="55" s="1"/>
  <c r="S359" i="55"/>
  <c r="D359" i="55"/>
  <c r="Q359" i="55" s="1"/>
  <c r="S358" i="55"/>
  <c r="D358" i="55"/>
  <c r="Q358" i="55" s="1"/>
  <c r="S357" i="55"/>
  <c r="D357" i="55"/>
  <c r="Q357" i="55" s="1"/>
  <c r="S356" i="55"/>
  <c r="D356" i="55"/>
  <c r="Q356" i="55" s="1"/>
  <c r="S355" i="55"/>
  <c r="D355" i="55"/>
  <c r="Q355" i="55" s="1"/>
  <c r="S354" i="55"/>
  <c r="D354" i="55"/>
  <c r="Q354" i="55" s="1"/>
  <c r="S353" i="55"/>
  <c r="D353" i="55"/>
  <c r="Q353" i="55" s="1"/>
  <c r="S352" i="55"/>
  <c r="D352" i="55"/>
  <c r="Q352" i="55" s="1"/>
  <c r="S351" i="55"/>
  <c r="D351" i="55"/>
  <c r="Q351" i="55" s="1"/>
  <c r="S350" i="55"/>
  <c r="D350" i="55"/>
  <c r="Q350" i="55" s="1"/>
  <c r="S349" i="55"/>
  <c r="D349" i="55"/>
  <c r="Q349" i="55" s="1"/>
  <c r="S348" i="55"/>
  <c r="D348" i="55"/>
  <c r="Q348" i="55" s="1"/>
  <c r="S347" i="55"/>
  <c r="D347" i="55"/>
  <c r="Q347" i="55" s="1"/>
  <c r="S346" i="55"/>
  <c r="D346" i="55"/>
  <c r="Q346" i="55" s="1"/>
  <c r="S345" i="55"/>
  <c r="D345" i="55"/>
  <c r="Q345" i="55" s="1"/>
  <c r="S344" i="55"/>
  <c r="D344" i="55"/>
  <c r="Q344" i="55" s="1"/>
  <c r="S343" i="55"/>
  <c r="D343" i="55"/>
  <c r="Q343" i="55" s="1"/>
  <c r="S342" i="55"/>
  <c r="D342" i="55"/>
  <c r="Q342" i="55" s="1"/>
  <c r="S341" i="55"/>
  <c r="D341" i="55"/>
  <c r="Q341" i="55" s="1"/>
  <c r="S340" i="55"/>
  <c r="D340" i="55"/>
  <c r="Q340" i="55" s="1"/>
  <c r="S339" i="55"/>
  <c r="D339" i="55"/>
  <c r="Q339" i="55" s="1"/>
  <c r="S338" i="55"/>
  <c r="D338" i="55"/>
  <c r="Q338" i="55" s="1"/>
  <c r="S337" i="55"/>
  <c r="D337" i="55"/>
  <c r="Q337" i="55" s="1"/>
  <c r="S336" i="55"/>
  <c r="D336" i="55"/>
  <c r="Q336" i="55" s="1"/>
  <c r="S335" i="55"/>
  <c r="D335" i="55"/>
  <c r="Q335" i="55" s="1"/>
  <c r="S334" i="55"/>
  <c r="D334" i="55"/>
  <c r="Q334" i="55" s="1"/>
  <c r="S333" i="55"/>
  <c r="D333" i="55"/>
  <c r="Q333" i="55" s="1"/>
  <c r="S332" i="55"/>
  <c r="D332" i="55"/>
  <c r="Q332" i="55" s="1"/>
  <c r="S331" i="55"/>
  <c r="D331" i="55"/>
  <c r="Q331" i="55" s="1"/>
  <c r="S330" i="55"/>
  <c r="D330" i="55"/>
  <c r="Q330" i="55" s="1"/>
  <c r="S329" i="55"/>
  <c r="D329" i="55"/>
  <c r="Q329" i="55" s="1"/>
  <c r="S328" i="55"/>
  <c r="D328" i="55"/>
  <c r="Q328" i="55" s="1"/>
  <c r="S327" i="55"/>
  <c r="D327" i="55"/>
  <c r="Q327" i="55" s="1"/>
  <c r="S326" i="55"/>
  <c r="D326" i="55"/>
  <c r="Q326" i="55" s="1"/>
  <c r="S325" i="55"/>
  <c r="D325" i="55"/>
  <c r="Q325" i="55" s="1"/>
  <c r="S324" i="55"/>
  <c r="D324" i="55"/>
  <c r="Q324" i="55" s="1"/>
  <c r="S323" i="55"/>
  <c r="D323" i="55"/>
  <c r="Q323" i="55" s="1"/>
  <c r="S322" i="55"/>
  <c r="D322" i="55"/>
  <c r="Q322" i="55" s="1"/>
  <c r="S321" i="55"/>
  <c r="D321" i="55"/>
  <c r="Q321" i="55" s="1"/>
  <c r="S320" i="55"/>
  <c r="D320" i="55"/>
  <c r="Q320" i="55" s="1"/>
  <c r="S318" i="55"/>
  <c r="D318" i="55"/>
  <c r="Q318" i="55" s="1"/>
  <c r="S317" i="55"/>
  <c r="D317" i="55"/>
  <c r="Q317" i="55" s="1"/>
  <c r="S316" i="55"/>
  <c r="D316" i="55"/>
  <c r="Q316" i="55" s="1"/>
  <c r="S315" i="55"/>
  <c r="D315" i="55"/>
  <c r="Q315" i="55" s="1"/>
  <c r="S314" i="55"/>
  <c r="D314" i="55"/>
  <c r="Q314" i="55" s="1"/>
  <c r="S313" i="55"/>
  <c r="D313" i="55"/>
  <c r="Q313" i="55" s="1"/>
  <c r="S312" i="55"/>
  <c r="D312" i="55"/>
  <c r="Q312" i="55" s="1"/>
  <c r="S311" i="55"/>
  <c r="D311" i="55"/>
  <c r="Q311" i="55" s="1"/>
  <c r="S310" i="55"/>
  <c r="D310" i="55"/>
  <c r="Q310" i="55" s="1"/>
  <c r="S309" i="55"/>
  <c r="D309" i="55"/>
  <c r="Q309" i="55" s="1"/>
  <c r="S308" i="55"/>
  <c r="D308" i="55"/>
  <c r="Q308" i="55" s="1"/>
  <c r="S307" i="55"/>
  <c r="D307" i="55"/>
  <c r="Q307" i="55" s="1"/>
  <c r="S306" i="55"/>
  <c r="D306" i="55"/>
  <c r="Q306" i="55" s="1"/>
  <c r="S305" i="55"/>
  <c r="D305" i="55"/>
  <c r="Q305" i="55" s="1"/>
  <c r="S304" i="55"/>
  <c r="D304" i="55"/>
  <c r="Q304" i="55" s="1"/>
  <c r="S303" i="55"/>
  <c r="D303" i="55"/>
  <c r="Q303" i="55" s="1"/>
  <c r="S302" i="55"/>
  <c r="D302" i="55"/>
  <c r="Q302" i="55" s="1"/>
  <c r="S301" i="55"/>
  <c r="D301" i="55"/>
  <c r="Q301" i="55" s="1"/>
  <c r="S300" i="55"/>
  <c r="D300" i="55"/>
  <c r="Q300" i="55" s="1"/>
  <c r="S299" i="55"/>
  <c r="D299" i="55"/>
  <c r="Q299" i="55" s="1"/>
  <c r="S298" i="55"/>
  <c r="D298" i="55"/>
  <c r="Q298" i="55" s="1"/>
  <c r="S297" i="55"/>
  <c r="D297" i="55"/>
  <c r="Q297" i="55" s="1"/>
  <c r="S296" i="55"/>
  <c r="D296" i="55"/>
  <c r="Q296" i="55" s="1"/>
  <c r="S295" i="55"/>
  <c r="D295" i="55"/>
  <c r="Q295" i="55" s="1"/>
  <c r="S294" i="55"/>
  <c r="D294" i="55"/>
  <c r="Q294" i="55" s="1"/>
  <c r="S293" i="55"/>
  <c r="D293" i="55"/>
  <c r="Q293" i="55" s="1"/>
  <c r="S292" i="55"/>
  <c r="D292" i="55"/>
  <c r="Q292" i="55" s="1"/>
  <c r="S291" i="55"/>
  <c r="D291" i="55"/>
  <c r="Q291" i="55" s="1"/>
  <c r="S290" i="55"/>
  <c r="D290" i="55"/>
  <c r="Q290" i="55" s="1"/>
  <c r="S289" i="55"/>
  <c r="D289" i="55"/>
  <c r="Q289" i="55" s="1"/>
  <c r="S288" i="55"/>
  <c r="D288" i="55"/>
  <c r="Q288" i="55" s="1"/>
  <c r="S287" i="55"/>
  <c r="D287" i="55"/>
  <c r="Q287" i="55" s="1"/>
  <c r="S286" i="55"/>
  <c r="D286" i="55"/>
  <c r="Q286" i="55" s="1"/>
  <c r="S285" i="55"/>
  <c r="D285" i="55"/>
  <c r="Q285" i="55" s="1"/>
  <c r="S284" i="55"/>
  <c r="D284" i="55"/>
  <c r="Q284" i="55" s="1"/>
  <c r="S283" i="55"/>
  <c r="D283" i="55"/>
  <c r="Q283" i="55" s="1"/>
  <c r="S282" i="55"/>
  <c r="D282" i="55"/>
  <c r="Q282" i="55" s="1"/>
  <c r="S281" i="55"/>
  <c r="D281" i="55"/>
  <c r="Q281" i="55" s="1"/>
  <c r="S280" i="55"/>
  <c r="D280" i="55"/>
  <c r="Q280" i="55" s="1"/>
  <c r="S279" i="55"/>
  <c r="D279" i="55"/>
  <c r="Q279" i="55" s="1"/>
  <c r="S278" i="55"/>
  <c r="D278" i="55"/>
  <c r="Q278" i="55" s="1"/>
  <c r="S277" i="55"/>
  <c r="D277" i="55"/>
  <c r="Q277" i="55" s="1"/>
  <c r="S276" i="55"/>
  <c r="D276" i="55"/>
  <c r="Q276" i="55" s="1"/>
  <c r="S275" i="55"/>
  <c r="D275" i="55"/>
  <c r="Q275" i="55" s="1"/>
  <c r="S274" i="55"/>
  <c r="D274" i="55"/>
  <c r="Q274" i="55" s="1"/>
  <c r="S273" i="55"/>
  <c r="D273" i="55"/>
  <c r="Q273" i="55" s="1"/>
  <c r="S272" i="55"/>
  <c r="D272" i="55"/>
  <c r="Q272" i="55" s="1"/>
  <c r="S271" i="55"/>
  <c r="D271" i="55"/>
  <c r="Q271" i="55" s="1"/>
  <c r="S270" i="55"/>
  <c r="D270" i="55"/>
  <c r="Q270" i="55" s="1"/>
  <c r="S269" i="55"/>
  <c r="D269" i="55"/>
  <c r="Q269" i="55" s="1"/>
  <c r="S268" i="55"/>
  <c r="D268" i="55"/>
  <c r="Q268" i="55" s="1"/>
  <c r="S267" i="55"/>
  <c r="D267" i="55"/>
  <c r="Q267" i="55" s="1"/>
  <c r="S266" i="55"/>
  <c r="D266" i="55"/>
  <c r="Q266" i="55" s="1"/>
  <c r="S265" i="55"/>
  <c r="D265" i="55"/>
  <c r="Q265" i="55" s="1"/>
  <c r="S264" i="55"/>
  <c r="D264" i="55"/>
  <c r="Q264" i="55" s="1"/>
  <c r="S263" i="55"/>
  <c r="D263" i="55"/>
  <c r="Q263" i="55" s="1"/>
  <c r="S262" i="55"/>
  <c r="D262" i="55"/>
  <c r="Q262" i="55" s="1"/>
  <c r="S261" i="55"/>
  <c r="D261" i="55"/>
  <c r="Q261" i="55" s="1"/>
  <c r="S260" i="55"/>
  <c r="D260" i="55"/>
  <c r="Q260" i="55" s="1"/>
  <c r="S259" i="55"/>
  <c r="D259" i="55"/>
  <c r="Q259" i="55" s="1"/>
  <c r="S258" i="55"/>
  <c r="D258" i="55"/>
  <c r="Q258" i="55" s="1"/>
  <c r="S257" i="55"/>
  <c r="D257" i="55"/>
  <c r="Q257" i="55" s="1"/>
  <c r="S256" i="55"/>
  <c r="D256" i="55"/>
  <c r="Q256" i="55" s="1"/>
  <c r="S255" i="55"/>
  <c r="D255" i="55"/>
  <c r="Q255" i="55" s="1"/>
  <c r="S254" i="55"/>
  <c r="D254" i="55"/>
  <c r="Q254" i="55" s="1"/>
  <c r="S253" i="55"/>
  <c r="D253" i="55"/>
  <c r="Q253" i="55" s="1"/>
  <c r="S252" i="55"/>
  <c r="D252" i="55"/>
  <c r="Q252" i="55" s="1"/>
  <c r="S251" i="55"/>
  <c r="D251" i="55"/>
  <c r="Q251" i="55" s="1"/>
  <c r="S250" i="55"/>
  <c r="D250" i="55"/>
  <c r="Q250" i="55" s="1"/>
  <c r="S249" i="55"/>
  <c r="D249" i="55"/>
  <c r="Q249" i="55" s="1"/>
  <c r="S248" i="55"/>
  <c r="D248" i="55"/>
  <c r="Q248" i="55" s="1"/>
  <c r="S247" i="55"/>
  <c r="D247" i="55"/>
  <c r="Q247" i="55" s="1"/>
  <c r="S246" i="55"/>
  <c r="D246" i="55"/>
  <c r="Q246" i="55" s="1"/>
  <c r="S245" i="55"/>
  <c r="D245" i="55"/>
  <c r="Q245" i="55" s="1"/>
  <c r="S244" i="55"/>
  <c r="D244" i="55"/>
  <c r="Q244" i="55" s="1"/>
  <c r="S243" i="55"/>
  <c r="D243" i="55"/>
  <c r="Q243" i="55" s="1"/>
  <c r="S242" i="55"/>
  <c r="D242" i="55"/>
  <c r="Q242" i="55" s="1"/>
  <c r="S241" i="55"/>
  <c r="D241" i="55"/>
  <c r="Q241" i="55" s="1"/>
  <c r="S240" i="55"/>
  <c r="D240" i="55"/>
  <c r="Q240" i="55" s="1"/>
  <c r="S239" i="55"/>
  <c r="D239" i="55"/>
  <c r="Q239" i="55" s="1"/>
  <c r="S238" i="55"/>
  <c r="D238" i="55"/>
  <c r="Q238" i="55" s="1"/>
  <c r="S237" i="55"/>
  <c r="D237" i="55"/>
  <c r="Q237" i="55" s="1"/>
  <c r="S236" i="55"/>
  <c r="D236" i="55"/>
  <c r="Q236" i="55" s="1"/>
  <c r="S235" i="55"/>
  <c r="D235" i="55"/>
  <c r="Q235" i="55" s="1"/>
  <c r="S234" i="55"/>
  <c r="D234" i="55"/>
  <c r="Q234" i="55" s="1"/>
  <c r="S233" i="55"/>
  <c r="D233" i="55"/>
  <c r="Q233" i="55" s="1"/>
  <c r="S232" i="55"/>
  <c r="D232" i="55"/>
  <c r="Q232" i="55" s="1"/>
  <c r="S231" i="55"/>
  <c r="D231" i="55"/>
  <c r="Q231" i="55" s="1"/>
  <c r="S230" i="55"/>
  <c r="D230" i="55"/>
  <c r="Q230" i="55" s="1"/>
  <c r="S229" i="55"/>
  <c r="D229" i="55"/>
  <c r="Q229" i="55" s="1"/>
  <c r="S228" i="55"/>
  <c r="D228" i="55"/>
  <c r="Q228" i="55" s="1"/>
  <c r="S227" i="55"/>
  <c r="D227" i="55"/>
  <c r="Q227" i="55" s="1"/>
  <c r="S226" i="55"/>
  <c r="D226" i="55"/>
  <c r="Q226" i="55" s="1"/>
  <c r="S225" i="55"/>
  <c r="D225" i="55"/>
  <c r="Q225" i="55" s="1"/>
  <c r="S224" i="55"/>
  <c r="D224" i="55"/>
  <c r="Q224" i="55" s="1"/>
  <c r="S223" i="55"/>
  <c r="D223" i="55"/>
  <c r="Q223" i="55" s="1"/>
  <c r="S222" i="55"/>
  <c r="D222" i="55"/>
  <c r="Q222" i="55" s="1"/>
  <c r="S221" i="55"/>
  <c r="D221" i="55"/>
  <c r="Q221" i="55" s="1"/>
  <c r="S220" i="55"/>
  <c r="D220" i="55"/>
  <c r="Q220" i="55" s="1"/>
  <c r="S219" i="55"/>
  <c r="D219" i="55"/>
  <c r="Q219" i="55" s="1"/>
  <c r="S218" i="55"/>
  <c r="D218" i="55"/>
  <c r="Q218" i="55" s="1"/>
  <c r="S217" i="55"/>
  <c r="D217" i="55"/>
  <c r="Q217" i="55" s="1"/>
  <c r="S216" i="55"/>
  <c r="D216" i="55"/>
  <c r="Q216" i="55" s="1"/>
  <c r="S215" i="55"/>
  <c r="D215" i="55"/>
  <c r="Q215" i="55" s="1"/>
  <c r="S214" i="55"/>
  <c r="D214" i="55"/>
  <c r="Q214" i="55" s="1"/>
  <c r="S213" i="55"/>
  <c r="D213" i="55"/>
  <c r="Q213" i="55" s="1"/>
  <c r="S212" i="55"/>
  <c r="D212" i="55"/>
  <c r="Q212" i="55" s="1"/>
  <c r="S211" i="55"/>
  <c r="D211" i="55"/>
  <c r="Q211" i="55" s="1"/>
  <c r="S210" i="55"/>
  <c r="D210" i="55"/>
  <c r="Q210" i="55" s="1"/>
  <c r="S209" i="55"/>
  <c r="D209" i="55"/>
  <c r="Q209" i="55" s="1"/>
  <c r="S208" i="55"/>
  <c r="D208" i="55"/>
  <c r="Q208" i="55" s="1"/>
  <c r="S207" i="55"/>
  <c r="D207" i="55"/>
  <c r="Q207" i="55" s="1"/>
  <c r="S206" i="55"/>
  <c r="D206" i="55"/>
  <c r="Q206" i="55" s="1"/>
  <c r="S205" i="55"/>
  <c r="D205" i="55"/>
  <c r="Q205" i="55" s="1"/>
  <c r="S204" i="55"/>
  <c r="D204" i="55"/>
  <c r="Q204" i="55" s="1"/>
  <c r="S203" i="55"/>
  <c r="D203" i="55"/>
  <c r="Q203" i="55" s="1"/>
  <c r="S202" i="55"/>
  <c r="D202" i="55"/>
  <c r="Q202" i="55" s="1"/>
  <c r="S201" i="55"/>
  <c r="D201" i="55"/>
  <c r="Q201" i="55" s="1"/>
  <c r="S200" i="55"/>
  <c r="D200" i="55"/>
  <c r="Q200" i="55" s="1"/>
  <c r="S199" i="55"/>
  <c r="D199" i="55"/>
  <c r="Q199" i="55" s="1"/>
  <c r="S198" i="55"/>
  <c r="D198" i="55"/>
  <c r="Q198" i="55" s="1"/>
  <c r="S197" i="55"/>
  <c r="D197" i="55"/>
  <c r="Q197" i="55" s="1"/>
  <c r="S196" i="55"/>
  <c r="D196" i="55"/>
  <c r="Q196" i="55" s="1"/>
  <c r="S195" i="55"/>
  <c r="D195" i="55"/>
  <c r="Q195" i="55" s="1"/>
  <c r="S194" i="55"/>
  <c r="D194" i="55"/>
  <c r="Q194" i="55" s="1"/>
  <c r="S193" i="55"/>
  <c r="D193" i="55"/>
  <c r="Q193" i="55" s="1"/>
  <c r="S192" i="55"/>
  <c r="D192" i="55"/>
  <c r="Q192" i="55" s="1"/>
  <c r="S191" i="55"/>
  <c r="D191" i="55"/>
  <c r="Q191" i="55" s="1"/>
  <c r="S190" i="55"/>
  <c r="D190" i="55"/>
  <c r="Q190" i="55" s="1"/>
  <c r="S189" i="55"/>
  <c r="D189" i="55"/>
  <c r="Q189" i="55" s="1"/>
  <c r="S188" i="55"/>
  <c r="D188" i="55"/>
  <c r="Q188" i="55" s="1"/>
  <c r="S187" i="55"/>
  <c r="D187" i="55"/>
  <c r="Q187" i="55" s="1"/>
  <c r="S186" i="55"/>
  <c r="D186" i="55"/>
  <c r="Q186" i="55" s="1"/>
  <c r="S185" i="55"/>
  <c r="D185" i="55"/>
  <c r="Q185" i="55" s="1"/>
  <c r="S184" i="55"/>
  <c r="D184" i="55"/>
  <c r="Q184" i="55" s="1"/>
  <c r="S183" i="55"/>
  <c r="D183" i="55"/>
  <c r="Q183" i="55" s="1"/>
  <c r="S182" i="55"/>
  <c r="D182" i="55"/>
  <c r="Q182" i="55" s="1"/>
  <c r="S181" i="55"/>
  <c r="D181" i="55"/>
  <c r="Q181" i="55" s="1"/>
  <c r="S180" i="55"/>
  <c r="D180" i="55"/>
  <c r="Q180" i="55" s="1"/>
  <c r="S179" i="55"/>
  <c r="D179" i="55"/>
  <c r="Q179" i="55" s="1"/>
  <c r="S178" i="55"/>
  <c r="D178" i="55"/>
  <c r="Q178" i="55" s="1"/>
  <c r="S177" i="55"/>
  <c r="D177" i="55"/>
  <c r="Q177" i="55" s="1"/>
  <c r="S176" i="55"/>
  <c r="D176" i="55"/>
  <c r="Q176" i="55" s="1"/>
  <c r="S175" i="55"/>
  <c r="D175" i="55"/>
  <c r="Q175" i="55" s="1"/>
  <c r="S174" i="55"/>
  <c r="D174" i="55"/>
  <c r="Q174" i="55" s="1"/>
  <c r="S173" i="55"/>
  <c r="D173" i="55"/>
  <c r="Q173" i="55" s="1"/>
  <c r="S172" i="55"/>
  <c r="D172" i="55"/>
  <c r="Q172" i="55" s="1"/>
  <c r="S171" i="55"/>
  <c r="D171" i="55"/>
  <c r="Q171" i="55" s="1"/>
  <c r="S167" i="55"/>
  <c r="D167" i="55"/>
  <c r="Q167" i="55" s="1"/>
  <c r="S166" i="55"/>
  <c r="D166" i="55"/>
  <c r="Q166" i="55" s="1"/>
  <c r="S165" i="55"/>
  <c r="D165" i="55"/>
  <c r="Q165" i="55" s="1"/>
  <c r="S164" i="55"/>
  <c r="D164" i="55"/>
  <c r="Q164" i="55" s="1"/>
  <c r="S163" i="55"/>
  <c r="D163" i="55"/>
  <c r="Q163" i="55" s="1"/>
  <c r="S162" i="55"/>
  <c r="D162" i="55"/>
  <c r="Q162" i="55" s="1"/>
  <c r="S161" i="55"/>
  <c r="D161" i="55"/>
  <c r="Q161" i="55" s="1"/>
  <c r="S160" i="55"/>
  <c r="D160" i="55"/>
  <c r="Q160" i="55" s="1"/>
  <c r="S159" i="55"/>
  <c r="D159" i="55"/>
  <c r="Q159" i="55" s="1"/>
  <c r="S158" i="55"/>
  <c r="D158" i="55"/>
  <c r="Q158" i="55" s="1"/>
  <c r="S157" i="55"/>
  <c r="D157" i="55"/>
  <c r="Q157" i="55" s="1"/>
  <c r="S156" i="55"/>
  <c r="D156" i="55"/>
  <c r="Q156" i="55" s="1"/>
  <c r="S155" i="55"/>
  <c r="D155" i="55"/>
  <c r="Q155" i="55" s="1"/>
  <c r="S154" i="55"/>
  <c r="D154" i="55"/>
  <c r="Q154" i="55" s="1"/>
  <c r="S151" i="55"/>
  <c r="D151" i="55"/>
  <c r="Q151" i="55" s="1"/>
  <c r="S150" i="55"/>
  <c r="D150" i="55"/>
  <c r="Q150" i="55" s="1"/>
  <c r="S149" i="55"/>
  <c r="D149" i="55"/>
  <c r="Q149" i="55" s="1"/>
  <c r="S148" i="55"/>
  <c r="D148" i="55"/>
  <c r="Q148" i="55" s="1"/>
  <c r="S147" i="55"/>
  <c r="D147" i="55"/>
  <c r="Q147" i="55" s="1"/>
  <c r="S146" i="55"/>
  <c r="D146" i="55"/>
  <c r="Q146" i="55" s="1"/>
  <c r="S145" i="55"/>
  <c r="D145" i="55"/>
  <c r="Q145" i="55" s="1"/>
  <c r="S144" i="55"/>
  <c r="D144" i="55"/>
  <c r="Q144" i="55" s="1"/>
  <c r="S143" i="55"/>
  <c r="D143" i="55"/>
  <c r="Q143" i="55" s="1"/>
  <c r="S142" i="55"/>
  <c r="D142" i="55"/>
  <c r="Q142" i="55" s="1"/>
  <c r="S141" i="55"/>
  <c r="D141" i="55"/>
  <c r="Q141" i="55" s="1"/>
  <c r="S140" i="55"/>
  <c r="D140" i="55"/>
  <c r="Q140" i="55" s="1"/>
  <c r="S139" i="55"/>
  <c r="D139" i="55"/>
  <c r="Q139" i="55" s="1"/>
  <c r="S138" i="55"/>
  <c r="D138" i="55"/>
  <c r="Q138" i="55" s="1"/>
  <c r="S137" i="55"/>
  <c r="D137" i="55"/>
  <c r="Q137" i="55" s="1"/>
  <c r="S136" i="55"/>
  <c r="D136" i="55"/>
  <c r="Q136" i="55" s="1"/>
  <c r="S135" i="55"/>
  <c r="D135" i="55"/>
  <c r="Q135" i="55" s="1"/>
  <c r="S134" i="55"/>
  <c r="D134" i="55"/>
  <c r="Q134" i="55" s="1"/>
  <c r="S133" i="55"/>
  <c r="D133" i="55"/>
  <c r="Q133" i="55" s="1"/>
  <c r="S132" i="55"/>
  <c r="S131" i="55"/>
  <c r="D131" i="55"/>
  <c r="Q131" i="55" s="1"/>
  <c r="S130" i="55"/>
  <c r="D130" i="55"/>
  <c r="Q130" i="55" s="1"/>
  <c r="S129" i="55"/>
  <c r="D129" i="55"/>
  <c r="Q129" i="55" s="1"/>
  <c r="S128" i="55"/>
  <c r="D128" i="55"/>
  <c r="Q128" i="55" s="1"/>
  <c r="S127" i="55"/>
  <c r="D127" i="55"/>
  <c r="Q127" i="55" s="1"/>
  <c r="S126" i="55"/>
  <c r="D126" i="55"/>
  <c r="Q126" i="55" s="1"/>
  <c r="S125" i="55"/>
  <c r="D125" i="55"/>
  <c r="Q125" i="55" s="1"/>
  <c r="S124" i="55"/>
  <c r="D124" i="55"/>
  <c r="Q124" i="55" s="1"/>
  <c r="S123" i="55"/>
  <c r="D123" i="55"/>
  <c r="Q123" i="55" s="1"/>
  <c r="S122" i="55"/>
  <c r="D122" i="55"/>
  <c r="Q122" i="55" s="1"/>
  <c r="S121" i="55"/>
  <c r="D121" i="55"/>
  <c r="Q121" i="55" s="1"/>
  <c r="S120" i="55"/>
  <c r="D120" i="55"/>
  <c r="Q120" i="55" s="1"/>
  <c r="S119" i="55"/>
  <c r="D119" i="55"/>
  <c r="Q119" i="55" s="1"/>
  <c r="S118" i="55"/>
  <c r="D118" i="55"/>
  <c r="Q118" i="55" s="1"/>
  <c r="S117" i="55"/>
  <c r="D117" i="55"/>
  <c r="Q117" i="55" s="1"/>
  <c r="S116" i="55"/>
  <c r="D116" i="55"/>
  <c r="Q116" i="55" s="1"/>
  <c r="S115" i="55"/>
  <c r="D115" i="55"/>
  <c r="Q115" i="55" s="1"/>
  <c r="S114" i="55"/>
  <c r="D114" i="55"/>
  <c r="Q114" i="55" s="1"/>
  <c r="S113" i="55"/>
  <c r="D113" i="55"/>
  <c r="Q113" i="55" s="1"/>
  <c r="S112" i="55"/>
  <c r="D112" i="55"/>
  <c r="Q112" i="55" s="1"/>
  <c r="S111" i="55"/>
  <c r="D111" i="55"/>
  <c r="Q111" i="55" s="1"/>
  <c r="S110" i="55"/>
  <c r="D110" i="55"/>
  <c r="Q110" i="55" s="1"/>
  <c r="S109" i="55"/>
  <c r="D109" i="55"/>
  <c r="Q109" i="55" s="1"/>
  <c r="S108" i="55"/>
  <c r="D108" i="55"/>
  <c r="Q108" i="55" s="1"/>
  <c r="S107" i="55"/>
  <c r="D107" i="55"/>
  <c r="Q107" i="55" s="1"/>
  <c r="S106" i="55"/>
  <c r="D106" i="55"/>
  <c r="Q106" i="55" s="1"/>
  <c r="S105" i="55"/>
  <c r="D105" i="55"/>
  <c r="Q105" i="55" s="1"/>
  <c r="S104" i="55"/>
  <c r="D104" i="55"/>
  <c r="Q104" i="55" s="1"/>
  <c r="S103" i="55"/>
  <c r="D103" i="55"/>
  <c r="Q103" i="55" s="1"/>
  <c r="S102" i="55"/>
  <c r="D102" i="55"/>
  <c r="Q102" i="55" s="1"/>
  <c r="S101" i="55"/>
  <c r="D101" i="55"/>
  <c r="Q101" i="55" s="1"/>
  <c r="S100" i="55"/>
  <c r="D100" i="55"/>
  <c r="Q100" i="55" s="1"/>
  <c r="S99" i="55"/>
  <c r="D99" i="55"/>
  <c r="Q99" i="55" s="1"/>
  <c r="S98" i="55"/>
  <c r="D98" i="55"/>
  <c r="Q98" i="55" s="1"/>
  <c r="S97" i="55"/>
  <c r="D97" i="55"/>
  <c r="Q97" i="55" s="1"/>
  <c r="S96" i="55"/>
  <c r="D96" i="55"/>
  <c r="Q96" i="55" s="1"/>
  <c r="S95" i="55"/>
  <c r="D95" i="55"/>
  <c r="Q95" i="55" s="1"/>
  <c r="S94" i="55"/>
  <c r="D94" i="55"/>
  <c r="Q94" i="55" s="1"/>
  <c r="S93" i="55"/>
  <c r="D93" i="55"/>
  <c r="Q93" i="55" s="1"/>
  <c r="S92" i="55"/>
  <c r="D92" i="55"/>
  <c r="Q92" i="55" s="1"/>
  <c r="S91" i="55"/>
  <c r="D91" i="55"/>
  <c r="Q91" i="55" s="1"/>
  <c r="S90" i="55"/>
  <c r="D90" i="55"/>
  <c r="Q90" i="55" s="1"/>
  <c r="S89" i="55"/>
  <c r="D89" i="55"/>
  <c r="Q89" i="55" s="1"/>
  <c r="S88" i="55"/>
  <c r="D88" i="55"/>
  <c r="Q88" i="55" s="1"/>
  <c r="S87" i="55"/>
  <c r="D87" i="55"/>
  <c r="Q87" i="55" s="1"/>
  <c r="S86" i="55"/>
  <c r="D86" i="55"/>
  <c r="Q86" i="55" s="1"/>
  <c r="S85" i="55"/>
  <c r="D85" i="55"/>
  <c r="Q85" i="55" s="1"/>
  <c r="S84" i="55"/>
  <c r="D84" i="55"/>
  <c r="Q84" i="55" s="1"/>
  <c r="S83" i="55"/>
  <c r="D83" i="55"/>
  <c r="Q83" i="55" s="1"/>
  <c r="S82" i="55"/>
  <c r="D82" i="55"/>
  <c r="Q82" i="55" s="1"/>
  <c r="S81" i="55"/>
  <c r="D81" i="55"/>
  <c r="Q81" i="55" s="1"/>
  <c r="S80" i="55"/>
  <c r="D80" i="55"/>
  <c r="Q80" i="55" s="1"/>
  <c r="S79" i="55"/>
  <c r="D79" i="55"/>
  <c r="Q79" i="55" s="1"/>
  <c r="S78" i="55"/>
  <c r="D78" i="55"/>
  <c r="Q78" i="55" s="1"/>
  <c r="S77" i="55"/>
  <c r="D77" i="55"/>
  <c r="Q77" i="55" s="1"/>
  <c r="S76" i="55"/>
  <c r="D76" i="55"/>
  <c r="Q76" i="55" s="1"/>
  <c r="S75" i="55"/>
  <c r="D75" i="55"/>
  <c r="Q75" i="55" s="1"/>
  <c r="S74" i="55"/>
  <c r="D74" i="55"/>
  <c r="Q74" i="55" s="1"/>
  <c r="S73" i="55"/>
  <c r="D73" i="55"/>
  <c r="Q73" i="55" s="1"/>
  <c r="S72" i="55"/>
  <c r="D72" i="55"/>
  <c r="Q72" i="55" s="1"/>
  <c r="S71" i="55"/>
  <c r="D71" i="55"/>
  <c r="Q71" i="55" s="1"/>
  <c r="S70" i="55"/>
  <c r="D70" i="55"/>
  <c r="Q70" i="55" s="1"/>
  <c r="S69" i="55"/>
  <c r="D69" i="55"/>
  <c r="Q69" i="55" s="1"/>
  <c r="S68" i="55"/>
  <c r="D68" i="55"/>
  <c r="Q68" i="55" s="1"/>
  <c r="S67" i="55"/>
  <c r="D67" i="55"/>
  <c r="Q67" i="55" s="1"/>
  <c r="S66" i="55"/>
  <c r="D66" i="55"/>
  <c r="Q66" i="55" s="1"/>
  <c r="S65" i="55"/>
  <c r="D65" i="55"/>
  <c r="Q65" i="55" s="1"/>
  <c r="S64" i="55"/>
  <c r="D64" i="55"/>
  <c r="Q64" i="55" s="1"/>
  <c r="S63" i="55"/>
  <c r="D63" i="55"/>
  <c r="Q63" i="55" s="1"/>
  <c r="S62" i="55"/>
  <c r="D62" i="55"/>
  <c r="Q62" i="55" s="1"/>
  <c r="S61" i="55"/>
  <c r="D61" i="55"/>
  <c r="Q61" i="55" s="1"/>
  <c r="S60" i="55"/>
  <c r="D60" i="55"/>
  <c r="Q60" i="55" s="1"/>
  <c r="S59" i="55"/>
  <c r="D59" i="55"/>
  <c r="Q59" i="55" s="1"/>
  <c r="S58" i="55"/>
  <c r="D58" i="55"/>
  <c r="Q58" i="55" s="1"/>
  <c r="S57" i="55"/>
  <c r="D57" i="55"/>
  <c r="Q57" i="55" s="1"/>
  <c r="S56" i="55"/>
  <c r="D56" i="55"/>
  <c r="Q56" i="55" s="1"/>
  <c r="S55" i="55"/>
  <c r="D55" i="55"/>
  <c r="Q55" i="55" s="1"/>
  <c r="S54" i="55"/>
  <c r="D54" i="55"/>
  <c r="Q54" i="55" s="1"/>
  <c r="S53" i="55"/>
  <c r="D53" i="55"/>
  <c r="Q53" i="55" s="1"/>
  <c r="S52" i="55"/>
  <c r="D52" i="55"/>
  <c r="Q52" i="55" s="1"/>
  <c r="S51" i="55"/>
  <c r="D51" i="55"/>
  <c r="Q51" i="55" s="1"/>
  <c r="S50" i="55"/>
  <c r="D50" i="55"/>
  <c r="Q50" i="55" s="1"/>
  <c r="S49" i="55"/>
  <c r="D49" i="55"/>
  <c r="Q49" i="55" s="1"/>
  <c r="S48" i="55"/>
  <c r="D48" i="55"/>
  <c r="Q48" i="55" s="1"/>
  <c r="S47" i="55"/>
  <c r="D47" i="55"/>
  <c r="Q47" i="55" s="1"/>
  <c r="S46" i="55"/>
  <c r="D46" i="55"/>
  <c r="Q46" i="55" s="1"/>
  <c r="S45" i="55"/>
  <c r="D45" i="55"/>
  <c r="Q45" i="55" s="1"/>
  <c r="S44" i="55"/>
  <c r="D44" i="55"/>
  <c r="Q44" i="55" s="1"/>
  <c r="S43" i="55"/>
  <c r="D43" i="55"/>
  <c r="Q43" i="55" s="1"/>
  <c r="S42" i="55"/>
  <c r="D42" i="55"/>
  <c r="Q42" i="55" s="1"/>
  <c r="S41" i="55"/>
  <c r="D41" i="55"/>
  <c r="Q41" i="55" s="1"/>
  <c r="S40" i="55"/>
  <c r="D40" i="55"/>
  <c r="Q40" i="55" s="1"/>
  <c r="S39" i="55"/>
  <c r="D39" i="55"/>
  <c r="Q39" i="55" s="1"/>
  <c r="S38" i="55"/>
  <c r="D38" i="55"/>
  <c r="Q38" i="55" s="1"/>
  <c r="S37" i="55"/>
  <c r="D37" i="55"/>
  <c r="Q37" i="55" s="1"/>
  <c r="S36" i="55"/>
  <c r="D36" i="55"/>
  <c r="Q36" i="55" s="1"/>
  <c r="S35" i="55"/>
  <c r="D35" i="55"/>
  <c r="Q35" i="55" s="1"/>
  <c r="S34" i="55"/>
  <c r="D34" i="55"/>
  <c r="Q34" i="55" s="1"/>
  <c r="S33" i="55"/>
  <c r="D33" i="55"/>
  <c r="Q33" i="55" s="1"/>
  <c r="S32" i="55"/>
  <c r="D32" i="55"/>
  <c r="Q32" i="55" s="1"/>
  <c r="S31" i="55"/>
  <c r="D31" i="55"/>
  <c r="Q31" i="55" s="1"/>
  <c r="S30" i="55"/>
  <c r="D30" i="55"/>
  <c r="Q30" i="55" s="1"/>
  <c r="S29" i="55"/>
  <c r="D29" i="55"/>
  <c r="Q29" i="55" s="1"/>
  <c r="S28" i="55"/>
  <c r="D28" i="55"/>
  <c r="Q28" i="55" s="1"/>
  <c r="S27" i="55"/>
  <c r="D27" i="55"/>
  <c r="Q27" i="55" s="1"/>
  <c r="S26" i="55"/>
  <c r="D26" i="55"/>
  <c r="Q26" i="55" s="1"/>
  <c r="S25" i="55"/>
  <c r="D25" i="55"/>
  <c r="Q25" i="55" s="1"/>
  <c r="S24" i="55"/>
  <c r="D24" i="55"/>
  <c r="Q24" i="55" s="1"/>
  <c r="S23" i="55"/>
  <c r="D23" i="55"/>
  <c r="Q23" i="55" s="1"/>
  <c r="S22" i="55"/>
  <c r="D22" i="55"/>
  <c r="Q22" i="55" s="1"/>
  <c r="S21" i="55"/>
  <c r="D21" i="55"/>
  <c r="Q21" i="55" s="1"/>
  <c r="S20" i="55"/>
  <c r="D20" i="55"/>
  <c r="Q20" i="55" s="1"/>
  <c r="S19" i="55"/>
  <c r="D19" i="55"/>
  <c r="Q19" i="55" s="1"/>
  <c r="S18" i="55"/>
  <c r="D18" i="55"/>
  <c r="Q18" i="55" s="1"/>
  <c r="S17" i="55"/>
  <c r="D17" i="55"/>
  <c r="Q17" i="55" s="1"/>
  <c r="S16" i="55"/>
  <c r="D16" i="55"/>
  <c r="Q16" i="55" s="1"/>
  <c r="S15" i="55"/>
  <c r="D15" i="55"/>
  <c r="Q15" i="55" s="1"/>
  <c r="S14" i="55"/>
  <c r="P14" i="55"/>
  <c r="P15" i="55" s="1"/>
  <c r="P16" i="55" s="1"/>
  <c r="P17" i="55" s="1"/>
  <c r="P18" i="55" s="1"/>
  <c r="P19" i="55" s="1"/>
  <c r="P20" i="55" s="1"/>
  <c r="P21" i="55" s="1"/>
  <c r="P22" i="55" s="1"/>
  <c r="P23" i="55" s="1"/>
  <c r="P24" i="55" s="1"/>
  <c r="P25" i="55" s="1"/>
  <c r="P26" i="55" s="1"/>
  <c r="P27" i="55" s="1"/>
  <c r="P28" i="55" s="1"/>
  <c r="P29" i="55" s="1"/>
  <c r="P30" i="55" s="1"/>
  <c r="P31" i="55" s="1"/>
  <c r="P32" i="55" s="1"/>
  <c r="P33" i="55" s="1"/>
  <c r="P34" i="55" s="1"/>
  <c r="P35" i="55" s="1"/>
  <c r="P36" i="55" s="1"/>
  <c r="P37" i="55" s="1"/>
  <c r="P38" i="55" s="1"/>
  <c r="P39" i="55" s="1"/>
  <c r="P40" i="55" s="1"/>
  <c r="P41" i="55" s="1"/>
  <c r="P42" i="55" s="1"/>
  <c r="P43" i="55" s="1"/>
  <c r="P44" i="55" s="1"/>
  <c r="P45" i="55" s="1"/>
  <c r="P46" i="55" s="1"/>
  <c r="P47" i="55" s="1"/>
  <c r="P48" i="55" s="1"/>
  <c r="P49" i="55" s="1"/>
  <c r="P50" i="55" s="1"/>
  <c r="P51" i="55" s="1"/>
  <c r="P52" i="55" s="1"/>
  <c r="P53" i="55" s="1"/>
  <c r="P54" i="55" s="1"/>
  <c r="P55" i="55" s="1"/>
  <c r="P56" i="55" s="1"/>
  <c r="P57" i="55" s="1"/>
  <c r="P58" i="55" s="1"/>
  <c r="P59" i="55" s="1"/>
  <c r="P60" i="55" s="1"/>
  <c r="P61" i="55" s="1"/>
  <c r="P62" i="55" s="1"/>
  <c r="P63" i="55" s="1"/>
  <c r="P64" i="55" s="1"/>
  <c r="P65" i="55" s="1"/>
  <c r="P66" i="55" s="1"/>
  <c r="P67" i="55" s="1"/>
  <c r="P68" i="55" s="1"/>
  <c r="P69" i="55" s="1"/>
  <c r="P70" i="55" s="1"/>
  <c r="P71" i="55" s="1"/>
  <c r="P72" i="55" s="1"/>
  <c r="P73" i="55" s="1"/>
  <c r="P74" i="55" s="1"/>
  <c r="P75" i="55" s="1"/>
  <c r="P76" i="55" s="1"/>
  <c r="P77" i="55" s="1"/>
  <c r="P78" i="55" s="1"/>
  <c r="P79" i="55" s="1"/>
  <c r="P80" i="55" s="1"/>
  <c r="P81" i="55" s="1"/>
  <c r="P82" i="55" s="1"/>
  <c r="P83" i="55" s="1"/>
  <c r="P84" i="55" s="1"/>
  <c r="P85" i="55" s="1"/>
  <c r="P86" i="55" s="1"/>
  <c r="P87" i="55" s="1"/>
  <c r="P88" i="55" s="1"/>
  <c r="P89" i="55" s="1"/>
  <c r="P90" i="55" s="1"/>
  <c r="P91" i="55" s="1"/>
  <c r="P92" i="55" s="1"/>
  <c r="P93" i="55" s="1"/>
  <c r="P94" i="55" s="1"/>
  <c r="P95" i="55" s="1"/>
  <c r="P96" i="55" s="1"/>
  <c r="P97" i="55" s="1"/>
  <c r="P98" i="55" s="1"/>
  <c r="P99" i="55" s="1"/>
  <c r="P100" i="55" s="1"/>
  <c r="P101" i="55" s="1"/>
  <c r="P102" i="55" s="1"/>
  <c r="P103" i="55" s="1"/>
  <c r="P104" i="55" s="1"/>
  <c r="P105" i="55" s="1"/>
  <c r="P106" i="55" s="1"/>
  <c r="P107" i="55" s="1"/>
  <c r="P108" i="55" s="1"/>
  <c r="P109" i="55" s="1"/>
  <c r="P110" i="55" s="1"/>
  <c r="P111" i="55" s="1"/>
  <c r="P112" i="55" s="1"/>
  <c r="P113" i="55" s="1"/>
  <c r="P114" i="55" s="1"/>
  <c r="P115" i="55" s="1"/>
  <c r="P116" i="55" s="1"/>
  <c r="P117" i="55" s="1"/>
  <c r="P118" i="55" s="1"/>
  <c r="P119" i="55" s="1"/>
  <c r="P120" i="55" s="1"/>
  <c r="P121" i="55" s="1"/>
  <c r="P122" i="55" s="1"/>
  <c r="P123" i="55" s="1"/>
  <c r="P124" i="55" s="1"/>
  <c r="P125" i="55" s="1"/>
  <c r="P126" i="55" s="1"/>
  <c r="P127" i="55" s="1"/>
  <c r="P128" i="55" s="1"/>
  <c r="P129" i="55" s="1"/>
  <c r="P130" i="55" s="1"/>
  <c r="P131" i="55" s="1"/>
  <c r="P132" i="55" s="1"/>
  <c r="P133" i="55" s="1"/>
  <c r="P134" i="55" s="1"/>
  <c r="P135" i="55" s="1"/>
  <c r="P136" i="55" s="1"/>
  <c r="P137" i="55" s="1"/>
  <c r="P138" i="55" s="1"/>
  <c r="P139" i="55" s="1"/>
  <c r="P140" i="55" s="1"/>
  <c r="P141" i="55" s="1"/>
  <c r="P142" i="55" s="1"/>
  <c r="P143" i="55" s="1"/>
  <c r="P144" i="55" s="1"/>
  <c r="P145" i="55" s="1"/>
  <c r="P146" i="55" s="1"/>
  <c r="P147" i="55" s="1"/>
  <c r="P148" i="55" s="1"/>
  <c r="P149" i="55" s="1"/>
  <c r="P150" i="55" s="1"/>
  <c r="P151" i="55" s="1"/>
  <c r="P154" i="55" s="1"/>
  <c r="P155" i="55" s="1"/>
  <c r="P156" i="55" s="1"/>
  <c r="P157" i="55" s="1"/>
  <c r="P158" i="55" s="1"/>
  <c r="P159" i="55" s="1"/>
  <c r="P160" i="55" s="1"/>
  <c r="P161" i="55" s="1"/>
  <c r="P162" i="55" s="1"/>
  <c r="P163" i="55" s="1"/>
  <c r="P164" i="55" s="1"/>
  <c r="P165" i="55" s="1"/>
  <c r="P166" i="55" s="1"/>
  <c r="P167" i="55" s="1"/>
  <c r="P171" i="55" s="1"/>
  <c r="P172" i="55" s="1"/>
  <c r="P173" i="55" s="1"/>
  <c r="P174" i="55" s="1"/>
  <c r="P175" i="55" s="1"/>
  <c r="P176" i="55" s="1"/>
  <c r="P177" i="55" s="1"/>
  <c r="P178" i="55" s="1"/>
  <c r="P179" i="55" s="1"/>
  <c r="P180" i="55" s="1"/>
  <c r="P181" i="55" s="1"/>
  <c r="P182" i="55" s="1"/>
  <c r="P183" i="55" s="1"/>
  <c r="P184" i="55" s="1"/>
  <c r="P185" i="55" s="1"/>
  <c r="P186" i="55" s="1"/>
  <c r="P187" i="55" s="1"/>
  <c r="P188" i="55" s="1"/>
  <c r="P189" i="55" s="1"/>
  <c r="P190" i="55" s="1"/>
  <c r="P191" i="55" s="1"/>
  <c r="P192" i="55" s="1"/>
  <c r="P193" i="55" s="1"/>
  <c r="P194" i="55" s="1"/>
  <c r="P195" i="55" s="1"/>
  <c r="P196" i="55" s="1"/>
  <c r="P197" i="55" s="1"/>
  <c r="P198" i="55" s="1"/>
  <c r="P199" i="55" s="1"/>
  <c r="P200" i="55" s="1"/>
  <c r="P201" i="55" s="1"/>
  <c r="P202" i="55" s="1"/>
  <c r="P203" i="55" s="1"/>
  <c r="P204" i="55" s="1"/>
  <c r="P205" i="55" s="1"/>
  <c r="P206" i="55" s="1"/>
  <c r="P207" i="55" s="1"/>
  <c r="P208" i="55" s="1"/>
  <c r="P209" i="55" s="1"/>
  <c r="P210" i="55" s="1"/>
  <c r="P211" i="55" s="1"/>
  <c r="P212" i="55" s="1"/>
  <c r="P213" i="55" s="1"/>
  <c r="P214" i="55" s="1"/>
  <c r="P215" i="55" s="1"/>
  <c r="P216" i="55" s="1"/>
  <c r="P217" i="55" s="1"/>
  <c r="P218" i="55" s="1"/>
  <c r="P219" i="55" s="1"/>
  <c r="P220" i="55" s="1"/>
  <c r="P221" i="55" s="1"/>
  <c r="P222" i="55" s="1"/>
  <c r="P223" i="55" s="1"/>
  <c r="P224" i="55" s="1"/>
  <c r="P225" i="55" s="1"/>
  <c r="P226" i="55" s="1"/>
  <c r="P227" i="55" s="1"/>
  <c r="P228" i="55" s="1"/>
  <c r="P229" i="55" s="1"/>
  <c r="P230" i="55" s="1"/>
  <c r="P231" i="55" s="1"/>
  <c r="P232" i="55" s="1"/>
  <c r="P233" i="55" s="1"/>
  <c r="P234" i="55" s="1"/>
  <c r="P235" i="55" s="1"/>
  <c r="P236" i="55" s="1"/>
  <c r="P237" i="55" s="1"/>
  <c r="P238" i="55" s="1"/>
  <c r="P239" i="55" s="1"/>
  <c r="P240" i="55" s="1"/>
  <c r="P241" i="55" s="1"/>
  <c r="P242" i="55" s="1"/>
  <c r="P243" i="55" s="1"/>
  <c r="P244" i="55" s="1"/>
  <c r="P245" i="55" s="1"/>
  <c r="P246" i="55" s="1"/>
  <c r="P247" i="55" s="1"/>
  <c r="P248" i="55" s="1"/>
  <c r="P249" i="55" s="1"/>
  <c r="P250" i="55" s="1"/>
  <c r="P251" i="55" s="1"/>
  <c r="P252" i="55" s="1"/>
  <c r="P253" i="55" s="1"/>
  <c r="P254" i="55" s="1"/>
  <c r="P255" i="55" s="1"/>
  <c r="P256" i="55" s="1"/>
  <c r="P257" i="55" s="1"/>
  <c r="P258" i="55" s="1"/>
  <c r="P259" i="55" s="1"/>
  <c r="P260" i="55" s="1"/>
  <c r="P261" i="55" s="1"/>
  <c r="P262" i="55" s="1"/>
  <c r="P263" i="55" s="1"/>
  <c r="P264" i="55" s="1"/>
  <c r="P265" i="55" s="1"/>
  <c r="P266" i="55" s="1"/>
  <c r="P267" i="55" s="1"/>
  <c r="P268" i="55" s="1"/>
  <c r="P269" i="55" s="1"/>
  <c r="P270" i="55" s="1"/>
  <c r="P271" i="55" s="1"/>
  <c r="P272" i="55" s="1"/>
  <c r="P273" i="55" s="1"/>
  <c r="P274" i="55" s="1"/>
  <c r="P275" i="55" s="1"/>
  <c r="P276" i="55" s="1"/>
  <c r="P277" i="55" s="1"/>
  <c r="P278" i="55" s="1"/>
  <c r="P279" i="55" s="1"/>
  <c r="P280" i="55" s="1"/>
  <c r="P281" i="55" s="1"/>
  <c r="P282" i="55" s="1"/>
  <c r="P283" i="55" s="1"/>
  <c r="P284" i="55" s="1"/>
  <c r="P285" i="55" s="1"/>
  <c r="P286" i="55" s="1"/>
  <c r="P287" i="55" s="1"/>
  <c r="P288" i="55" s="1"/>
  <c r="P289" i="55" s="1"/>
  <c r="P290" i="55" s="1"/>
  <c r="P291" i="55" s="1"/>
  <c r="P292" i="55" s="1"/>
  <c r="P293" i="55" s="1"/>
  <c r="P294" i="55" s="1"/>
  <c r="P295" i="55" s="1"/>
  <c r="P296" i="55" s="1"/>
  <c r="P297" i="55" s="1"/>
  <c r="P298" i="55" s="1"/>
  <c r="P299" i="55" s="1"/>
  <c r="P300" i="55" s="1"/>
  <c r="P301" i="55" s="1"/>
  <c r="P302" i="55" s="1"/>
  <c r="P303" i="55" s="1"/>
  <c r="P304" i="55" s="1"/>
  <c r="P305" i="55" s="1"/>
  <c r="P306" i="55" s="1"/>
  <c r="P307" i="55" s="1"/>
  <c r="P308" i="55" s="1"/>
  <c r="P309" i="55" s="1"/>
  <c r="P310" i="55" s="1"/>
  <c r="P311" i="55" s="1"/>
  <c r="P312" i="55" s="1"/>
  <c r="P313" i="55" s="1"/>
  <c r="P314" i="55" s="1"/>
  <c r="P315" i="55" s="1"/>
  <c r="P316" i="55" s="1"/>
  <c r="P317" i="55" s="1"/>
  <c r="P318" i="55" s="1"/>
  <c r="P320" i="55" s="1"/>
  <c r="P321" i="55" s="1"/>
  <c r="P322" i="55" s="1"/>
  <c r="P323" i="55" s="1"/>
  <c r="P324" i="55" s="1"/>
  <c r="P325" i="55" s="1"/>
  <c r="P326" i="55" s="1"/>
  <c r="P327" i="55" s="1"/>
  <c r="P328" i="55" s="1"/>
  <c r="P329" i="55" s="1"/>
  <c r="P330" i="55" s="1"/>
  <c r="P331" i="55" s="1"/>
  <c r="P332" i="55" s="1"/>
  <c r="P333" i="55" s="1"/>
  <c r="P334" i="55" s="1"/>
  <c r="P335" i="55" s="1"/>
  <c r="P336" i="55" s="1"/>
  <c r="P337" i="55" s="1"/>
  <c r="P338" i="55" s="1"/>
  <c r="P339" i="55" s="1"/>
  <c r="P340" i="55" s="1"/>
  <c r="P341" i="55" s="1"/>
  <c r="P342" i="55" s="1"/>
  <c r="P343" i="55" s="1"/>
  <c r="P344" i="55" s="1"/>
  <c r="P345" i="55" s="1"/>
  <c r="P346" i="55" s="1"/>
  <c r="P347" i="55" s="1"/>
  <c r="P348" i="55" s="1"/>
  <c r="P349" i="55" s="1"/>
  <c r="P350" i="55" s="1"/>
  <c r="P351" i="55" s="1"/>
  <c r="P352" i="55" s="1"/>
  <c r="P353" i="55" s="1"/>
  <c r="P354" i="55" s="1"/>
  <c r="P355" i="55" s="1"/>
  <c r="P356" i="55" s="1"/>
  <c r="P357" i="55" s="1"/>
  <c r="P358" i="55" s="1"/>
  <c r="P359" i="55" s="1"/>
  <c r="P360" i="55" s="1"/>
  <c r="P361" i="55" s="1"/>
  <c r="P362" i="55" s="1"/>
  <c r="P363" i="55" s="1"/>
  <c r="P364" i="55" s="1"/>
  <c r="P365" i="55" s="1"/>
  <c r="P366" i="55" s="1"/>
  <c r="P367" i="55" s="1"/>
  <c r="P368" i="55" s="1"/>
  <c r="P369" i="55" s="1"/>
  <c r="P370" i="55" s="1"/>
  <c r="P371" i="55" s="1"/>
  <c r="P372" i="55" s="1"/>
  <c r="P373" i="55" s="1"/>
  <c r="P374" i="55" s="1"/>
  <c r="P375" i="55" s="1"/>
  <c r="P376" i="55" s="1"/>
  <c r="P377" i="55" s="1"/>
  <c r="P378" i="55" s="1"/>
  <c r="P379" i="55" s="1"/>
  <c r="P380" i="55" s="1"/>
  <c r="P381" i="55" s="1"/>
  <c r="P382" i="55" s="1"/>
  <c r="P383" i="55" s="1"/>
  <c r="P384" i="55" s="1"/>
  <c r="P385" i="55" s="1"/>
  <c r="P386" i="55" s="1"/>
  <c r="P387" i="55" s="1"/>
  <c r="P388" i="55" s="1"/>
  <c r="P389" i="55" s="1"/>
  <c r="P390" i="55" s="1"/>
  <c r="P391" i="55" s="1"/>
  <c r="P392" i="55" s="1"/>
  <c r="P393" i="55" s="1"/>
  <c r="P394" i="55" s="1"/>
  <c r="P395" i="55" s="1"/>
  <c r="P396" i="55" s="1"/>
  <c r="P397" i="55" s="1"/>
  <c r="P398" i="55" s="1"/>
  <c r="P399" i="55" s="1"/>
  <c r="P400" i="55" s="1"/>
  <c r="P401" i="55" s="1"/>
  <c r="P402" i="55" s="1"/>
  <c r="P403" i="55" s="1"/>
  <c r="P404" i="55" s="1"/>
  <c r="P405" i="55" s="1"/>
  <c r="P406" i="55" s="1"/>
  <c r="P407" i="55" s="1"/>
  <c r="P408" i="55" s="1"/>
  <c r="P409" i="55" s="1"/>
  <c r="P410" i="55" s="1"/>
  <c r="P411" i="55" s="1"/>
  <c r="P412" i="55" s="1"/>
  <c r="P413" i="55" s="1"/>
  <c r="P414" i="55" s="1"/>
  <c r="P415" i="55" s="1"/>
  <c r="P416" i="55" s="1"/>
  <c r="P417" i="55" s="1"/>
  <c r="P418" i="55" s="1"/>
  <c r="P419" i="55" s="1"/>
  <c r="P420" i="55" s="1"/>
  <c r="P421" i="55" s="1"/>
  <c r="P422" i="55" s="1"/>
  <c r="P423" i="55" s="1"/>
  <c r="P424" i="55" s="1"/>
  <c r="P425" i="55" s="1"/>
  <c r="P426" i="55" s="1"/>
  <c r="P427" i="55" s="1"/>
  <c r="P428" i="55" s="1"/>
  <c r="P429" i="55" s="1"/>
  <c r="P430" i="55" s="1"/>
  <c r="P431" i="55" s="1"/>
  <c r="P432" i="55" s="1"/>
  <c r="P433" i="55" s="1"/>
  <c r="P434" i="55" s="1"/>
  <c r="P435" i="55" s="1"/>
  <c r="P436" i="55" s="1"/>
  <c r="P437" i="55" s="1"/>
  <c r="P438" i="55" s="1"/>
  <c r="P439" i="55" s="1"/>
  <c r="P440" i="55" s="1"/>
  <c r="P441" i="55" s="1"/>
  <c r="P442" i="55" s="1"/>
  <c r="P443" i="55" s="1"/>
  <c r="P444" i="55" s="1"/>
  <c r="P445" i="55" s="1"/>
  <c r="P446" i="55" s="1"/>
  <c r="P447" i="55" s="1"/>
  <c r="P448" i="55" s="1"/>
  <c r="P449" i="55" s="1"/>
  <c r="P450" i="55" s="1"/>
  <c r="P451" i="55" s="1"/>
  <c r="P452" i="55" s="1"/>
  <c r="P453" i="55" s="1"/>
  <c r="P454" i="55" s="1"/>
  <c r="P455" i="55" s="1"/>
  <c r="P456" i="55" s="1"/>
  <c r="P457" i="55" s="1"/>
  <c r="P458" i="55" s="1"/>
  <c r="P459" i="55" s="1"/>
  <c r="P460" i="55" s="1"/>
  <c r="P461" i="55" s="1"/>
  <c r="P462" i="55" s="1"/>
  <c r="P463" i="55" s="1"/>
  <c r="P464" i="55" s="1"/>
  <c r="P465" i="55" s="1"/>
  <c r="P466" i="55" s="1"/>
  <c r="P467" i="55" s="1"/>
  <c r="P468" i="55" s="1"/>
  <c r="P469" i="55" s="1"/>
  <c r="P470" i="55" s="1"/>
  <c r="P471" i="55" s="1"/>
  <c r="P472" i="55" s="1"/>
  <c r="P473" i="55" s="1"/>
  <c r="P474" i="55" s="1"/>
  <c r="P475" i="55" s="1"/>
  <c r="P476" i="55" s="1"/>
  <c r="P477" i="55" s="1"/>
  <c r="P478" i="55" s="1"/>
  <c r="P479" i="55" s="1"/>
  <c r="P480" i="55" s="1"/>
  <c r="P481" i="55" s="1"/>
  <c r="P482" i="55" s="1"/>
  <c r="P483" i="55" s="1"/>
  <c r="P484" i="55" s="1"/>
  <c r="P485" i="55" s="1"/>
  <c r="P486" i="55" s="1"/>
  <c r="P487" i="55" s="1"/>
  <c r="P488" i="55" s="1"/>
  <c r="P489" i="55" s="1"/>
  <c r="P490" i="55" s="1"/>
  <c r="P491" i="55" s="1"/>
  <c r="P492" i="55" s="1"/>
  <c r="P493" i="55" s="1"/>
  <c r="P494" i="55" s="1"/>
  <c r="P495" i="55" s="1"/>
  <c r="P496" i="55" s="1"/>
  <c r="P497" i="55" s="1"/>
  <c r="P498" i="55" s="1"/>
  <c r="P499" i="55" s="1"/>
  <c r="P500" i="55" s="1"/>
  <c r="P501" i="55" s="1"/>
  <c r="P502" i="55" s="1"/>
  <c r="P503" i="55" s="1"/>
  <c r="P504" i="55" s="1"/>
  <c r="P505" i="55" s="1"/>
  <c r="P506" i="55" s="1"/>
  <c r="P507" i="55" s="1"/>
  <c r="P508" i="55" s="1"/>
  <c r="P509" i="55" s="1"/>
  <c r="P510" i="55" s="1"/>
  <c r="P511" i="55" s="1"/>
  <c r="P512" i="55" s="1"/>
  <c r="P513" i="55" s="1"/>
  <c r="P514" i="55" s="1"/>
  <c r="P515" i="55" s="1"/>
  <c r="P516" i="55" s="1"/>
  <c r="P517" i="55" s="1"/>
  <c r="P518" i="55" s="1"/>
  <c r="P519" i="55" s="1"/>
  <c r="P520" i="55" s="1"/>
  <c r="P521" i="55" s="1"/>
  <c r="P522" i="55" s="1"/>
  <c r="P523" i="55" s="1"/>
  <c r="P524" i="55" s="1"/>
  <c r="P525" i="55" s="1"/>
  <c r="P526" i="55" s="1"/>
  <c r="P527" i="55" s="1"/>
  <c r="P528" i="55" s="1"/>
  <c r="P529" i="55" s="1"/>
  <c r="P530" i="55" s="1"/>
  <c r="P531" i="55" s="1"/>
  <c r="P532" i="55" s="1"/>
  <c r="P533" i="55" s="1"/>
  <c r="P534" i="55" s="1"/>
  <c r="P535" i="55" s="1"/>
  <c r="P536" i="55" s="1"/>
  <c r="P537" i="55" s="1"/>
  <c r="P538" i="55" s="1"/>
  <c r="P539" i="55" s="1"/>
  <c r="P540" i="55" s="1"/>
  <c r="P541" i="55" s="1"/>
  <c r="P542" i="55" s="1"/>
  <c r="P543" i="55" s="1"/>
  <c r="P544" i="55" s="1"/>
  <c r="P545" i="55" s="1"/>
  <c r="P546" i="55" s="1"/>
  <c r="P547" i="55" s="1"/>
  <c r="P548" i="55" s="1"/>
  <c r="P549" i="55" s="1"/>
  <c r="P550" i="55" s="1"/>
  <c r="P551" i="55" s="1"/>
  <c r="P552" i="55" s="1"/>
  <c r="P553" i="55" s="1"/>
  <c r="P554" i="55" s="1"/>
  <c r="P555" i="55" s="1"/>
  <c r="P556" i="55" s="1"/>
  <c r="P557" i="55" s="1"/>
  <c r="P558" i="55" s="1"/>
  <c r="P559" i="55" s="1"/>
  <c r="P560" i="55" s="1"/>
  <c r="P561" i="55" s="1"/>
  <c r="P562" i="55" s="1"/>
  <c r="P563" i="55" s="1"/>
  <c r="P564" i="55" s="1"/>
  <c r="P565" i="55" s="1"/>
  <c r="P566" i="55" s="1"/>
  <c r="P567" i="55" s="1"/>
  <c r="P568" i="55" s="1"/>
  <c r="P569" i="55" s="1"/>
  <c r="P570" i="55" s="1"/>
  <c r="P571" i="55" s="1"/>
  <c r="P572" i="55" s="1"/>
  <c r="P573" i="55" s="1"/>
  <c r="P574" i="55" s="1"/>
  <c r="P575" i="55" s="1"/>
  <c r="P576" i="55" s="1"/>
  <c r="P577" i="55" s="1"/>
  <c r="P578" i="55" s="1"/>
  <c r="P579" i="55" s="1"/>
  <c r="P580" i="55" s="1"/>
  <c r="P581" i="55" s="1"/>
  <c r="P582" i="55" s="1"/>
  <c r="P583" i="55" s="1"/>
  <c r="P584" i="55" s="1"/>
  <c r="P585" i="55" s="1"/>
  <c r="P586" i="55" s="1"/>
  <c r="P587" i="55" s="1"/>
  <c r="P588" i="55" s="1"/>
  <c r="P589" i="55" s="1"/>
  <c r="P590" i="55" s="1"/>
  <c r="P591" i="55" s="1"/>
  <c r="P592" i="55" s="1"/>
  <c r="P593" i="55" s="1"/>
  <c r="P594" i="55" s="1"/>
  <c r="P595" i="55" s="1"/>
  <c r="P596" i="55" s="1"/>
  <c r="P597" i="55" s="1"/>
  <c r="P598" i="55" s="1"/>
  <c r="P599" i="55" s="1"/>
  <c r="P600" i="55" s="1"/>
  <c r="P601" i="55" s="1"/>
  <c r="P602" i="55" s="1"/>
  <c r="P603" i="55" s="1"/>
  <c r="P604" i="55" s="1"/>
  <c r="P605" i="55" s="1"/>
  <c r="P606" i="55" s="1"/>
  <c r="P607" i="55" s="1"/>
  <c r="P608" i="55" s="1"/>
  <c r="D14" i="55"/>
  <c r="Q14" i="55" s="1"/>
  <c r="C617" i="55" l="1"/>
  <c r="C616" i="55"/>
  <c r="C620" i="55"/>
  <c r="C618" i="55"/>
  <c r="C613" i="55"/>
  <c r="C615" i="55"/>
  <c r="C614" i="55"/>
  <c r="Y609" i="55"/>
  <c r="E143" i="55"/>
  <c r="E135" i="55"/>
  <c r="E127" i="55"/>
  <c r="E119" i="55"/>
  <c r="E111" i="55"/>
  <c r="E103" i="55"/>
  <c r="E95" i="55"/>
  <c r="E87" i="55"/>
  <c r="E79" i="55"/>
  <c r="E71" i="55"/>
  <c r="E63" i="55"/>
  <c r="E55" i="55"/>
  <c r="E47" i="55"/>
  <c r="E39" i="55"/>
  <c r="E31" i="55"/>
  <c r="E23" i="55"/>
  <c r="E15" i="55"/>
  <c r="E144" i="55"/>
  <c r="E136" i="55"/>
  <c r="E128" i="55"/>
  <c r="E120" i="55"/>
  <c r="E112" i="55"/>
  <c r="E104" i="55"/>
  <c r="E96" i="55"/>
  <c r="E88" i="55"/>
  <c r="E80" i="55"/>
  <c r="E72" i="55"/>
  <c r="E64" i="55"/>
  <c r="E56" i="55"/>
  <c r="E48" i="55"/>
  <c r="E40" i="55"/>
  <c r="E32" i="55"/>
  <c r="E24" i="55"/>
  <c r="E16" i="55"/>
  <c r="E606" i="55"/>
  <c r="E598" i="55"/>
  <c r="E590" i="55"/>
  <c r="E582" i="55"/>
  <c r="E605" i="55"/>
  <c r="E597" i="55"/>
  <c r="E589" i="55"/>
  <c r="E581" i="55"/>
  <c r="X385" i="55"/>
  <c r="Z385" i="55" s="1"/>
  <c r="C619" i="55" s="1"/>
  <c r="X386" i="55"/>
  <c r="Z386" i="55" s="1"/>
  <c r="F385" i="55"/>
  <c r="N385" i="55" s="1"/>
  <c r="E607" i="55"/>
  <c r="E599" i="55"/>
  <c r="E591" i="55"/>
  <c r="E583" i="55"/>
  <c r="E575" i="55"/>
  <c r="E567" i="55"/>
  <c r="E559" i="55"/>
  <c r="E551" i="55"/>
  <c r="E543" i="55"/>
  <c r="E535" i="55"/>
  <c r="E527" i="55"/>
  <c r="E519" i="55"/>
  <c r="E511" i="55"/>
  <c r="E503" i="55"/>
  <c r="E495" i="55"/>
  <c r="E487" i="55"/>
  <c r="E479" i="55"/>
  <c r="E471" i="55"/>
  <c r="E463" i="55"/>
  <c r="E455" i="55"/>
  <c r="E447" i="55"/>
  <c r="E439" i="55"/>
  <c r="E431" i="55"/>
  <c r="E423" i="55"/>
  <c r="E415" i="55"/>
  <c r="E407" i="55"/>
  <c r="E399" i="55"/>
  <c r="E391" i="55"/>
  <c r="E145" i="55"/>
  <c r="E137" i="55"/>
  <c r="E129" i="55"/>
  <c r="E121" i="55"/>
  <c r="E113" i="55"/>
  <c r="E105" i="55"/>
  <c r="P319" i="55"/>
  <c r="E97" i="55"/>
  <c r="E89" i="55"/>
  <c r="E81" i="55"/>
  <c r="E73" i="55"/>
  <c r="E65" i="55"/>
  <c r="E57" i="55"/>
  <c r="E49" i="55"/>
  <c r="E41" i="55"/>
  <c r="E33" i="55"/>
  <c r="E25" i="55"/>
  <c r="E17" i="55"/>
  <c r="E574" i="55"/>
  <c r="E573" i="55"/>
  <c r="E565" i="55"/>
  <c r="E557" i="55"/>
  <c r="E549" i="55"/>
  <c r="E541" i="55"/>
  <c r="E533" i="55"/>
  <c r="E525" i="55"/>
  <c r="E517" i="55"/>
  <c r="E509" i="55"/>
  <c r="E501" i="55"/>
  <c r="E493" i="55"/>
  <c r="E485" i="55"/>
  <c r="E477" i="55"/>
  <c r="E469" i="55"/>
  <c r="E461" i="55"/>
  <c r="E453" i="55"/>
  <c r="E445" i="55"/>
  <c r="E437" i="55"/>
  <c r="E429" i="55"/>
  <c r="E421" i="55"/>
  <c r="E413" i="55"/>
  <c r="E405" i="55"/>
  <c r="E397" i="55"/>
  <c r="E389" i="55"/>
  <c r="E381" i="55"/>
  <c r="E373" i="55"/>
  <c r="E566" i="55"/>
  <c r="E558" i="55"/>
  <c r="E550" i="55"/>
  <c r="E542" i="55"/>
  <c r="E534" i="55"/>
  <c r="E526" i="55"/>
  <c r="E518" i="55"/>
  <c r="E510" i="55"/>
  <c r="E502" i="55"/>
  <c r="E494" i="55"/>
  <c r="E486" i="55"/>
  <c r="E478" i="55"/>
  <c r="E470" i="55"/>
  <c r="E462" i="55"/>
  <c r="E454" i="55"/>
  <c r="E446" i="55"/>
  <c r="E438" i="55"/>
  <c r="E430" i="55"/>
  <c r="E422" i="55"/>
  <c r="E414" i="55"/>
  <c r="E406" i="55"/>
  <c r="E398" i="55"/>
  <c r="E390" i="55"/>
  <c r="E382" i="55"/>
  <c r="E374" i="55"/>
  <c r="E366" i="55"/>
  <c r="E358" i="55"/>
  <c r="E350" i="55"/>
  <c r="E342" i="55"/>
  <c r="E334" i="55"/>
  <c r="E326" i="55"/>
  <c r="E383" i="55"/>
  <c r="E375" i="55"/>
  <c r="E365" i="55"/>
  <c r="E357" i="55"/>
  <c r="E349" i="55"/>
  <c r="E341" i="55"/>
  <c r="E333" i="55"/>
  <c r="E325" i="55"/>
  <c r="E367" i="55"/>
  <c r="E359" i="55"/>
  <c r="E351" i="55"/>
  <c r="E343" i="55"/>
  <c r="E335" i="55"/>
  <c r="E327" i="55"/>
  <c r="E318" i="55"/>
  <c r="E310" i="55"/>
  <c r="E302" i="55"/>
  <c r="E294" i="55"/>
  <c r="E286" i="55"/>
  <c r="E278" i="55"/>
  <c r="E270" i="55"/>
  <c r="E262" i="55"/>
  <c r="E254" i="55"/>
  <c r="E246" i="55"/>
  <c r="E238" i="55"/>
  <c r="E230" i="55"/>
  <c r="E222" i="55"/>
  <c r="E214" i="55"/>
  <c r="E206" i="55"/>
  <c r="E198" i="55"/>
  <c r="E190" i="55"/>
  <c r="E182" i="55"/>
  <c r="E174" i="55"/>
  <c r="E163" i="55"/>
  <c r="E155" i="55"/>
  <c r="E319" i="55"/>
  <c r="E316" i="55"/>
  <c r="E308" i="55"/>
  <c r="E300" i="55"/>
  <c r="E292" i="55"/>
  <c r="E284" i="55"/>
  <c r="E276" i="55"/>
  <c r="E268" i="55"/>
  <c r="E260" i="55"/>
  <c r="E252" i="55"/>
  <c r="E244" i="55"/>
  <c r="E236" i="55"/>
  <c r="E228" i="55"/>
  <c r="E220" i="55"/>
  <c r="E212" i="55"/>
  <c r="E204" i="55"/>
  <c r="E196" i="55"/>
  <c r="E188" i="55"/>
  <c r="E180" i="55"/>
  <c r="E172" i="55"/>
  <c r="E317" i="55"/>
  <c r="E309" i="55"/>
  <c r="E301" i="55"/>
  <c r="E293" i="55"/>
  <c r="E285" i="55"/>
  <c r="E277" i="55"/>
  <c r="E269" i="55"/>
  <c r="E261" i="55"/>
  <c r="E253" i="55"/>
  <c r="E245" i="55"/>
  <c r="E237" i="55"/>
  <c r="E229" i="55"/>
  <c r="E221" i="55"/>
  <c r="E213" i="55"/>
  <c r="E205" i="55"/>
  <c r="E197" i="55"/>
  <c r="E189" i="55"/>
  <c r="E181" i="55"/>
  <c r="E173" i="55"/>
  <c r="E162" i="55"/>
  <c r="E151" i="55"/>
  <c r="E154" i="55"/>
  <c r="E153" i="55"/>
  <c r="E161" i="55"/>
  <c r="E152" i="55"/>
  <c r="P152" i="55"/>
  <c r="P153" i="55" s="1"/>
  <c r="E169" i="55"/>
  <c r="E170" i="55"/>
  <c r="E168" i="55"/>
  <c r="E603" i="55"/>
  <c r="E595" i="55"/>
  <c r="E587" i="55"/>
  <c r="E579" i="55"/>
  <c r="E571" i="55"/>
  <c r="E563" i="55"/>
  <c r="E555" i="55"/>
  <c r="E547" i="55"/>
  <c r="E539" i="55"/>
  <c r="E531" i="55"/>
  <c r="E523" i="55"/>
  <c r="E515" i="55"/>
  <c r="E507" i="55"/>
  <c r="E499" i="55"/>
  <c r="E491" i="55"/>
  <c r="E483" i="55"/>
  <c r="E475" i="55"/>
  <c r="E467" i="55"/>
  <c r="E459" i="55"/>
  <c r="E451" i="55"/>
  <c r="E443" i="55"/>
  <c r="E435" i="55"/>
  <c r="E427" i="55"/>
  <c r="E419" i="55"/>
  <c r="E411" i="55"/>
  <c r="E403" i="55"/>
  <c r="E395" i="55"/>
  <c r="E387" i="55"/>
  <c r="E379" i="55"/>
  <c r="E371" i="55"/>
  <c r="E363" i="55"/>
  <c r="E355" i="55"/>
  <c r="E347" i="55"/>
  <c r="E339" i="55"/>
  <c r="E331" i="55"/>
  <c r="E323" i="55"/>
  <c r="E314" i="55"/>
  <c r="E306" i="55"/>
  <c r="E298" i="55"/>
  <c r="E290" i="55"/>
  <c r="E282" i="55"/>
  <c r="E274" i="55"/>
  <c r="E266" i="55"/>
  <c r="E258" i="55"/>
  <c r="E250" i="55"/>
  <c r="E242" i="55"/>
  <c r="E234" i="55"/>
  <c r="E226" i="55"/>
  <c r="E218" i="55"/>
  <c r="E210" i="55"/>
  <c r="E202" i="55"/>
  <c r="E194" i="55"/>
  <c r="E186" i="55"/>
  <c r="E178" i="55"/>
  <c r="E167" i="55"/>
  <c r="E159" i="55"/>
  <c r="E149" i="55"/>
  <c r="E141" i="55"/>
  <c r="E133" i="55"/>
  <c r="E125" i="55"/>
  <c r="E117" i="55"/>
  <c r="E109" i="55"/>
  <c r="E101" i="55"/>
  <c r="E93" i="55"/>
  <c r="E85" i="55"/>
  <c r="E77" i="55"/>
  <c r="E69" i="55"/>
  <c r="E61" i="55"/>
  <c r="E53" i="55"/>
  <c r="E45" i="55"/>
  <c r="E37" i="55"/>
  <c r="E29" i="55"/>
  <c r="E21" i="55"/>
  <c r="P168" i="55"/>
  <c r="P169" i="55"/>
  <c r="E602" i="55"/>
  <c r="E594" i="55"/>
  <c r="E586" i="55"/>
  <c r="E578" i="55"/>
  <c r="E570" i="55"/>
  <c r="E562" i="55"/>
  <c r="E554" i="55"/>
  <c r="E546" i="55"/>
  <c r="E538" i="55"/>
  <c r="E530" i="55"/>
  <c r="E522" i="55"/>
  <c r="E514" i="55"/>
  <c r="E506" i="55"/>
  <c r="E498" i="55"/>
  <c r="E490" i="55"/>
  <c r="E482" i="55"/>
  <c r="E474" i="55"/>
  <c r="E466" i="55"/>
  <c r="E458" i="55"/>
  <c r="E450" i="55"/>
  <c r="E442" i="55"/>
  <c r="E434" i="55"/>
  <c r="E426" i="55"/>
  <c r="E418" i="55"/>
  <c r="E410" i="55"/>
  <c r="E402" i="55"/>
  <c r="E394" i="55"/>
  <c r="E386" i="55"/>
  <c r="E378" i="55"/>
  <c r="E370" i="55"/>
  <c r="E362" i="55"/>
  <c r="E354" i="55"/>
  <c r="E346" i="55"/>
  <c r="E338" i="55"/>
  <c r="E330" i="55"/>
  <c r="E322" i="55"/>
  <c r="E313" i="55"/>
  <c r="E305" i="55"/>
  <c r="E297" i="55"/>
  <c r="E289" i="55"/>
  <c r="E281" i="55"/>
  <c r="E273" i="55"/>
  <c r="E265" i="55"/>
  <c r="E257" i="55"/>
  <c r="E249" i="55"/>
  <c r="E241" i="55"/>
  <c r="E233" i="55"/>
  <c r="E225" i="55"/>
  <c r="E217" i="55"/>
  <c r="E209" i="55"/>
  <c r="E201" i="55"/>
  <c r="E193" i="55"/>
  <c r="E185" i="55"/>
  <c r="E177" i="55"/>
  <c r="E166" i="55"/>
  <c r="E158" i="55"/>
  <c r="E148" i="55"/>
  <c r="E140" i="55"/>
  <c r="E132" i="55"/>
  <c r="E124" i="55"/>
  <c r="E116" i="55"/>
  <c r="E108" i="55"/>
  <c r="E100" i="55"/>
  <c r="E92" i="55"/>
  <c r="E84" i="55"/>
  <c r="E76" i="55"/>
  <c r="E68" i="55"/>
  <c r="E60" i="55"/>
  <c r="E52" i="55"/>
  <c r="E44" i="55"/>
  <c r="E36" i="55"/>
  <c r="E28" i="55"/>
  <c r="E20" i="55"/>
  <c r="P170" i="55"/>
  <c r="E601" i="55"/>
  <c r="E593" i="55"/>
  <c r="E585" i="55"/>
  <c r="E577" i="55"/>
  <c r="E569" i="55"/>
  <c r="E561" i="55"/>
  <c r="E553" i="55"/>
  <c r="E545" i="55"/>
  <c r="E537" i="55"/>
  <c r="E529" i="55"/>
  <c r="E521" i="55"/>
  <c r="E513" i="55"/>
  <c r="E505" i="55"/>
  <c r="E497" i="55"/>
  <c r="E489" i="55"/>
  <c r="E481" i="55"/>
  <c r="E473" i="55"/>
  <c r="E465" i="55"/>
  <c r="E457" i="55"/>
  <c r="E449" i="55"/>
  <c r="E441" i="55"/>
  <c r="E433" i="55"/>
  <c r="E425" i="55"/>
  <c r="E417" i="55"/>
  <c r="E409" i="55"/>
  <c r="E401" i="55"/>
  <c r="E393" i="55"/>
  <c r="E385" i="55"/>
  <c r="E377" i="55"/>
  <c r="E369" i="55"/>
  <c r="E361" i="55"/>
  <c r="E353" i="55"/>
  <c r="E345" i="55"/>
  <c r="E337" i="55"/>
  <c r="E329" i="55"/>
  <c r="E321" i="55"/>
  <c r="E312" i="55"/>
  <c r="E304" i="55"/>
  <c r="E296" i="55"/>
  <c r="E288" i="55"/>
  <c r="E280" i="55"/>
  <c r="E272" i="55"/>
  <c r="E264" i="55"/>
  <c r="E256" i="55"/>
  <c r="E248" i="55"/>
  <c r="E240" i="55"/>
  <c r="E232" i="55"/>
  <c r="E224" i="55"/>
  <c r="E216" i="55"/>
  <c r="E208" i="55"/>
  <c r="E200" i="55"/>
  <c r="E192" i="55"/>
  <c r="E184" i="55"/>
  <c r="E176" i="55"/>
  <c r="E165" i="55"/>
  <c r="E157" i="55"/>
  <c r="E147" i="55"/>
  <c r="E139" i="55"/>
  <c r="E131" i="55"/>
  <c r="E123" i="55"/>
  <c r="E115" i="55"/>
  <c r="E107" i="55"/>
  <c r="E99" i="55"/>
  <c r="E91" i="55"/>
  <c r="E83" i="55"/>
  <c r="E75" i="55"/>
  <c r="E67" i="55"/>
  <c r="E59" i="55"/>
  <c r="E51" i="55"/>
  <c r="E43" i="55"/>
  <c r="E35" i="55"/>
  <c r="E27" i="55"/>
  <c r="E19" i="55"/>
  <c r="E14" i="55"/>
  <c r="N603" i="55"/>
  <c r="N595" i="55"/>
  <c r="N587" i="55"/>
  <c r="N579" i="55"/>
  <c r="N571" i="55"/>
  <c r="N563" i="55"/>
  <c r="N555" i="55"/>
  <c r="N547" i="55"/>
  <c r="N539" i="55"/>
  <c r="N531" i="55"/>
  <c r="N523" i="55"/>
  <c r="N515" i="55"/>
  <c r="N507" i="55"/>
  <c r="N499" i="55"/>
  <c r="N491" i="55"/>
  <c r="N483" i="55"/>
  <c r="N475" i="55"/>
  <c r="N467" i="55"/>
  <c r="N459" i="55"/>
  <c r="N451" i="55"/>
  <c r="N443" i="55"/>
  <c r="N435" i="55"/>
  <c r="N427" i="55"/>
  <c r="N419" i="55"/>
  <c r="N411" i="55"/>
  <c r="N403" i="55"/>
  <c r="N395" i="55"/>
  <c r="N387" i="55"/>
  <c r="N379" i="55"/>
  <c r="N371" i="55"/>
  <c r="N363" i="55"/>
  <c r="N355" i="55"/>
  <c r="N347" i="55"/>
  <c r="N339" i="55"/>
  <c r="N331" i="55"/>
  <c r="N323" i="55"/>
  <c r="N314" i="55"/>
  <c r="N306" i="55"/>
  <c r="N298" i="55"/>
  <c r="N290" i="55"/>
  <c r="N282" i="55"/>
  <c r="N274" i="55"/>
  <c r="N266" i="55"/>
  <c r="N258" i="55"/>
  <c r="N250" i="55"/>
  <c r="N242" i="55"/>
  <c r="B616" i="55" s="1"/>
  <c r="N234" i="55"/>
  <c r="N226" i="55"/>
  <c r="N218" i="55"/>
  <c r="N210" i="55"/>
  <c r="N202" i="55"/>
  <c r="N194" i="55"/>
  <c r="N186" i="55"/>
  <c r="N178" i="55"/>
  <c r="N167" i="55"/>
  <c r="N159" i="55"/>
  <c r="N149" i="55"/>
  <c r="N141" i="55"/>
  <c r="N133" i="55"/>
  <c r="N125" i="55"/>
  <c r="N117" i="55"/>
  <c r="N109" i="55"/>
  <c r="N101" i="55"/>
  <c r="N93" i="55"/>
  <c r="N85" i="55"/>
  <c r="N77" i="55"/>
  <c r="N69" i="55"/>
  <c r="N61" i="55"/>
  <c r="N53" i="55"/>
  <c r="N45" i="55"/>
  <c r="N37" i="55"/>
  <c r="N29" i="55"/>
  <c r="N21" i="55"/>
  <c r="N602" i="55"/>
  <c r="N594" i="55"/>
  <c r="N586" i="55"/>
  <c r="N578" i="55"/>
  <c r="N570" i="55"/>
  <c r="N562" i="55"/>
  <c r="N554" i="55"/>
  <c r="N546" i="55"/>
  <c r="N538" i="55"/>
  <c r="N530" i="55"/>
  <c r="N522" i="55"/>
  <c r="N514" i="55"/>
  <c r="N506" i="55"/>
  <c r="N498" i="55"/>
  <c r="N490" i="55"/>
  <c r="N482" i="55"/>
  <c r="N474" i="55"/>
  <c r="N466" i="55"/>
  <c r="N458" i="55"/>
  <c r="N450" i="55"/>
  <c r="N442" i="55"/>
  <c r="N434" i="55"/>
  <c r="N426" i="55"/>
  <c r="N418" i="55"/>
  <c r="N410" i="55"/>
  <c r="N402" i="55"/>
  <c r="N394" i="55"/>
  <c r="N386" i="55"/>
  <c r="N378" i="55"/>
  <c r="N370" i="55"/>
  <c r="N362" i="55"/>
  <c r="N354" i="55"/>
  <c r="N346" i="55"/>
  <c r="N338" i="55"/>
  <c r="N330" i="55"/>
  <c r="N322" i="55"/>
  <c r="N313" i="55"/>
  <c r="N305" i="55"/>
  <c r="N297" i="55"/>
  <c r="N289" i="55"/>
  <c r="N281" i="55"/>
  <c r="N273" i="55"/>
  <c r="N265" i="55"/>
  <c r="N257" i="55"/>
  <c r="N249" i="55"/>
  <c r="N241" i="55"/>
  <c r="N233" i="55"/>
  <c r="N225" i="55"/>
  <c r="N217" i="55"/>
  <c r="N209" i="55"/>
  <c r="N201" i="55"/>
  <c r="N193" i="55"/>
  <c r="N185" i="55"/>
  <c r="N177" i="55"/>
  <c r="N166" i="55"/>
  <c r="N158" i="55"/>
  <c r="N148" i="55"/>
  <c r="N140" i="55"/>
  <c r="N132" i="55"/>
  <c r="N124" i="55"/>
  <c r="N116" i="55"/>
  <c r="N108" i="55"/>
  <c r="N100" i="55"/>
  <c r="N92" i="55"/>
  <c r="N84" i="55"/>
  <c r="N76" i="55"/>
  <c r="N68" i="55"/>
  <c r="N60" i="55"/>
  <c r="N52" i="55"/>
  <c r="N44" i="55"/>
  <c r="N36" i="55"/>
  <c r="N28" i="55"/>
  <c r="N20" i="55"/>
  <c r="N14" i="55"/>
  <c r="N601" i="55"/>
  <c r="N593" i="55"/>
  <c r="N585" i="55"/>
  <c r="N577" i="55"/>
  <c r="N569" i="55"/>
  <c r="N561" i="55"/>
  <c r="N553" i="55"/>
  <c r="N545" i="55"/>
  <c r="N537" i="55"/>
  <c r="N529" i="55"/>
  <c r="N521" i="55"/>
  <c r="N513" i="55"/>
  <c r="N505" i="55"/>
  <c r="N497" i="55"/>
  <c r="N489" i="55"/>
  <c r="N481" i="55"/>
  <c r="N473" i="55"/>
  <c r="N465" i="55"/>
  <c r="N457" i="55"/>
  <c r="N449" i="55"/>
  <c r="N441" i="55"/>
  <c r="N433" i="55"/>
  <c r="N425" i="55"/>
  <c r="N417" i="55"/>
  <c r="N409" i="55"/>
  <c r="N401" i="55"/>
  <c r="N393" i="55"/>
  <c r="N377" i="55"/>
  <c r="N369" i="55"/>
  <c r="N361" i="55"/>
  <c r="N353" i="55"/>
  <c r="N345" i="55"/>
  <c r="N337" i="55"/>
  <c r="N329" i="55"/>
  <c r="N321" i="55"/>
  <c r="N312" i="55"/>
  <c r="N304" i="55"/>
  <c r="N296" i="55"/>
  <c r="N288" i="55"/>
  <c r="N280" i="55"/>
  <c r="N272" i="55"/>
  <c r="N264" i="55"/>
  <c r="N256" i="55"/>
  <c r="N248" i="55"/>
  <c r="N240" i="55"/>
  <c r="N232" i="55"/>
  <c r="N224" i="55"/>
  <c r="N216" i="55"/>
  <c r="N208" i="55"/>
  <c r="N200" i="55"/>
  <c r="N192" i="55"/>
  <c r="N184" i="55"/>
  <c r="N176" i="55"/>
  <c r="N165" i="55"/>
  <c r="N157" i="55"/>
  <c r="N147" i="55"/>
  <c r="N139" i="55"/>
  <c r="N131" i="55"/>
  <c r="N123" i="55"/>
  <c r="N115" i="55"/>
  <c r="N107" i="55"/>
  <c r="N99" i="55"/>
  <c r="N91" i="55"/>
  <c r="N83" i="55"/>
  <c r="N75" i="55"/>
  <c r="N67" i="55"/>
  <c r="N59" i="55"/>
  <c r="N51" i="55"/>
  <c r="N43" i="55"/>
  <c r="N35" i="55"/>
  <c r="N27" i="55"/>
  <c r="N19" i="55"/>
  <c r="N607" i="55"/>
  <c r="N599" i="55"/>
  <c r="N591" i="55"/>
  <c r="N583" i="55"/>
  <c r="N575" i="55"/>
  <c r="N567" i="55"/>
  <c r="N559" i="55"/>
  <c r="N551" i="55"/>
  <c r="N543" i="55"/>
  <c r="N535" i="55"/>
  <c r="N527" i="55"/>
  <c r="N519" i="55"/>
  <c r="N511" i="55"/>
  <c r="N503" i="55"/>
  <c r="N495" i="55"/>
  <c r="N487" i="55"/>
  <c r="N479" i="55"/>
  <c r="N471" i="55"/>
  <c r="N463" i="55"/>
  <c r="N455" i="55"/>
  <c r="N447" i="55"/>
  <c r="N439" i="55"/>
  <c r="N431" i="55"/>
  <c r="N423" i="55"/>
  <c r="N415" i="55"/>
  <c r="N407" i="55"/>
  <c r="N399" i="55"/>
  <c r="N391" i="55"/>
  <c r="N383" i="55"/>
  <c r="N375" i="55"/>
  <c r="N367" i="55"/>
  <c r="N359" i="55"/>
  <c r="N351" i="55"/>
  <c r="N343" i="55"/>
  <c r="N335" i="55"/>
  <c r="N327" i="55"/>
  <c r="N318" i="55"/>
  <c r="N310" i="55"/>
  <c r="N302" i="55"/>
  <c r="N294" i="55"/>
  <c r="N286" i="55"/>
  <c r="N278" i="55"/>
  <c r="N270" i="55"/>
  <c r="N262" i="55"/>
  <c r="N254" i="55"/>
  <c r="N246" i="55"/>
  <c r="N238" i="55"/>
  <c r="N230" i="55"/>
  <c r="N222" i="55"/>
  <c r="N214" i="55"/>
  <c r="N206" i="55"/>
  <c r="N198" i="55"/>
  <c r="N190" i="55"/>
  <c r="N182" i="55"/>
  <c r="N174" i="55"/>
  <c r="N163" i="55"/>
  <c r="N155" i="55"/>
  <c r="N145" i="55"/>
  <c r="N137" i="55"/>
  <c r="N129" i="55"/>
  <c r="N121" i="55"/>
  <c r="N113" i="55"/>
  <c r="N105" i="55"/>
  <c r="N97" i="55"/>
  <c r="N89" i="55"/>
  <c r="N81" i="55"/>
  <c r="N73" i="55"/>
  <c r="N65" i="55"/>
  <c r="N57" i="55"/>
  <c r="N49" i="55"/>
  <c r="N41" i="55"/>
  <c r="N33" i="55"/>
  <c r="N25" i="55"/>
  <c r="N17" i="55"/>
  <c r="N606" i="55"/>
  <c r="N598" i="55"/>
  <c r="N590" i="55"/>
  <c r="N582" i="55"/>
  <c r="N574" i="55"/>
  <c r="N566" i="55"/>
  <c r="N558" i="55"/>
  <c r="N550" i="55"/>
  <c r="N542" i="55"/>
  <c r="N534" i="55"/>
  <c r="N526" i="55"/>
  <c r="N518" i="55"/>
  <c r="N510" i="55"/>
  <c r="N502" i="55"/>
  <c r="N494" i="55"/>
  <c r="N486" i="55"/>
  <c r="N478" i="55"/>
  <c r="N470" i="55"/>
  <c r="N462" i="55"/>
  <c r="N454" i="55"/>
  <c r="N446" i="55"/>
  <c r="N438" i="55"/>
  <c r="N430" i="55"/>
  <c r="N422" i="55"/>
  <c r="N414" i="55"/>
  <c r="N406" i="55"/>
  <c r="N398" i="55"/>
  <c r="N390" i="55"/>
  <c r="N382" i="55"/>
  <c r="N374" i="55"/>
  <c r="N366" i="55"/>
  <c r="N358" i="55"/>
  <c r="N350" i="55"/>
  <c r="N342" i="55"/>
  <c r="N334" i="55"/>
  <c r="N326" i="55"/>
  <c r="N317" i="55"/>
  <c r="N309" i="55"/>
  <c r="N301" i="55"/>
  <c r="N293" i="55"/>
  <c r="N285" i="55"/>
  <c r="N277" i="55"/>
  <c r="N269" i="55"/>
  <c r="N261" i="55"/>
  <c r="N253" i="55"/>
  <c r="N245" i="55"/>
  <c r="N237" i="55"/>
  <c r="N229" i="55"/>
  <c r="N221" i="55"/>
  <c r="N213" i="55"/>
  <c r="N205" i="55"/>
  <c r="N197" i="55"/>
  <c r="N189" i="55"/>
  <c r="N181" i="55"/>
  <c r="N173" i="55"/>
  <c r="N162" i="55"/>
  <c r="N154" i="55"/>
  <c r="N144" i="55"/>
  <c r="N136" i="55"/>
  <c r="N128" i="55"/>
  <c r="N120" i="55"/>
  <c r="N112" i="55"/>
  <c r="N104" i="55"/>
  <c r="N96" i="55"/>
  <c r="N88" i="55"/>
  <c r="N80" i="55"/>
  <c r="N72" i="55"/>
  <c r="N64" i="55"/>
  <c r="N56" i="55"/>
  <c r="N48" i="55"/>
  <c r="N40" i="55"/>
  <c r="N32" i="55"/>
  <c r="N24" i="55"/>
  <c r="N16" i="55"/>
  <c r="N605" i="55"/>
  <c r="N597" i="55"/>
  <c r="N589" i="55"/>
  <c r="N581" i="55"/>
  <c r="N573" i="55"/>
  <c r="N565" i="55"/>
  <c r="N557" i="55"/>
  <c r="N549" i="55"/>
  <c r="N541" i="55"/>
  <c r="N533" i="55"/>
  <c r="N525" i="55"/>
  <c r="N517" i="55"/>
  <c r="N509" i="55"/>
  <c r="N501" i="55"/>
  <c r="N493" i="55"/>
  <c r="N485" i="55"/>
  <c r="N477" i="55"/>
  <c r="N469" i="55"/>
  <c r="N461" i="55"/>
  <c r="N453" i="55"/>
  <c r="N445" i="55"/>
  <c r="N437" i="55"/>
  <c r="N429" i="55"/>
  <c r="N421" i="55"/>
  <c r="N413" i="55"/>
  <c r="N405" i="55"/>
  <c r="N397" i="55"/>
  <c r="N389" i="55"/>
  <c r="N381" i="55"/>
  <c r="N373" i="55"/>
  <c r="N365" i="55"/>
  <c r="N357" i="55"/>
  <c r="N349" i="55"/>
  <c r="N341" i="55"/>
  <c r="N333" i="55"/>
  <c r="N325" i="55"/>
  <c r="N316" i="55"/>
  <c r="N308" i="55"/>
  <c r="N300" i="55"/>
  <c r="N292" i="55"/>
  <c r="N284" i="55"/>
  <c r="B618" i="55" s="1"/>
  <c r="N276" i="55"/>
  <c r="N268" i="55"/>
  <c r="N260" i="55"/>
  <c r="N252" i="55"/>
  <c r="N244" i="55"/>
  <c r="N236" i="55"/>
  <c r="N228" i="55"/>
  <c r="N220" i="55"/>
  <c r="N212" i="55"/>
  <c r="N204" i="55"/>
  <c r="N196" i="55"/>
  <c r="N188" i="55"/>
  <c r="N180" i="55"/>
  <c r="N172" i="55"/>
  <c r="N161" i="55"/>
  <c r="N151" i="55"/>
  <c r="N143" i="55"/>
  <c r="N135" i="55"/>
  <c r="N127" i="55"/>
  <c r="N119" i="55"/>
  <c r="N111" i="55"/>
  <c r="N103" i="55"/>
  <c r="N95" i="55"/>
  <c r="N87" i="55"/>
  <c r="N79" i="55"/>
  <c r="N71" i="55"/>
  <c r="N63" i="55"/>
  <c r="N55" i="55"/>
  <c r="N47" i="55"/>
  <c r="N39" i="55"/>
  <c r="N31" i="55"/>
  <c r="N23" i="55"/>
  <c r="N15" i="55"/>
  <c r="E604" i="55"/>
  <c r="E596" i="55"/>
  <c r="E588" i="55"/>
  <c r="E580" i="55"/>
  <c r="E572" i="55"/>
  <c r="E564" i="55"/>
  <c r="E556" i="55"/>
  <c r="E548" i="55"/>
  <c r="E540" i="55"/>
  <c r="E532" i="55"/>
  <c r="E524" i="55"/>
  <c r="E516" i="55"/>
  <c r="E508" i="55"/>
  <c r="E500" i="55"/>
  <c r="E492" i="55"/>
  <c r="E484" i="55"/>
  <c r="E476" i="55"/>
  <c r="E468" i="55"/>
  <c r="E460" i="55"/>
  <c r="E452" i="55"/>
  <c r="E444" i="55"/>
  <c r="E436" i="55"/>
  <c r="E428" i="55"/>
  <c r="E420" i="55"/>
  <c r="E412" i="55"/>
  <c r="E404" i="55"/>
  <c r="E396" i="55"/>
  <c r="E388" i="55"/>
  <c r="E380" i="55"/>
  <c r="E372" i="55"/>
  <c r="E364" i="55"/>
  <c r="E356" i="55"/>
  <c r="E348" i="55"/>
  <c r="E340" i="55"/>
  <c r="E332" i="55"/>
  <c r="E324" i="55"/>
  <c r="E315" i="55"/>
  <c r="E307" i="55"/>
  <c r="E299" i="55"/>
  <c r="E291" i="55"/>
  <c r="E283" i="55"/>
  <c r="E275" i="55"/>
  <c r="E267" i="55"/>
  <c r="E259" i="55"/>
  <c r="E251" i="55"/>
  <c r="E243" i="55"/>
  <c r="E235" i="55"/>
  <c r="E227" i="55"/>
  <c r="E219" i="55"/>
  <c r="E211" i="55"/>
  <c r="E203" i="55"/>
  <c r="E195" i="55"/>
  <c r="E187" i="55"/>
  <c r="E179" i="55"/>
  <c r="E171" i="55"/>
  <c r="E160" i="55"/>
  <c r="E150" i="55"/>
  <c r="E142" i="55"/>
  <c r="E134" i="55"/>
  <c r="E126" i="55"/>
  <c r="E118" i="55"/>
  <c r="E110" i="55"/>
  <c r="E102" i="55"/>
  <c r="E94" i="55"/>
  <c r="E86" i="55"/>
  <c r="E78" i="55"/>
  <c r="E70" i="55"/>
  <c r="E62" i="55"/>
  <c r="E54" i="55"/>
  <c r="E46" i="55"/>
  <c r="E38" i="55"/>
  <c r="E30" i="55"/>
  <c r="E22" i="55"/>
  <c r="E608" i="55"/>
  <c r="E600" i="55"/>
  <c r="E592" i="55"/>
  <c r="E584" i="55"/>
  <c r="E576" i="55"/>
  <c r="E568" i="55"/>
  <c r="E560" i="55"/>
  <c r="E552" i="55"/>
  <c r="E544" i="55"/>
  <c r="E536" i="55"/>
  <c r="E528" i="55"/>
  <c r="E520" i="55"/>
  <c r="E512" i="55"/>
  <c r="E504" i="55"/>
  <c r="E496" i="55"/>
  <c r="E488" i="55"/>
  <c r="E480" i="55"/>
  <c r="E472" i="55"/>
  <c r="E464" i="55"/>
  <c r="E456" i="55"/>
  <c r="E448" i="55"/>
  <c r="E440" i="55"/>
  <c r="E432" i="55"/>
  <c r="E424" i="55"/>
  <c r="E416" i="55"/>
  <c r="E408" i="55"/>
  <c r="E400" i="55"/>
  <c r="E392" i="55"/>
  <c r="E384" i="55"/>
  <c r="E376" i="55"/>
  <c r="E368" i="55"/>
  <c r="E360" i="55"/>
  <c r="E352" i="55"/>
  <c r="E344" i="55"/>
  <c r="E336" i="55"/>
  <c r="E328" i="55"/>
  <c r="E320" i="55"/>
  <c r="E311" i="55"/>
  <c r="E303" i="55"/>
  <c r="E295" i="55"/>
  <c r="E287" i="55"/>
  <c r="E279" i="55"/>
  <c r="E271" i="55"/>
  <c r="E263" i="55"/>
  <c r="E255" i="55"/>
  <c r="E247" i="55"/>
  <c r="E239" i="55"/>
  <c r="E231" i="55"/>
  <c r="E223" i="55"/>
  <c r="E215" i="55"/>
  <c r="E207" i="55"/>
  <c r="E199" i="55"/>
  <c r="E191" i="55"/>
  <c r="E183" i="55"/>
  <c r="E175" i="55"/>
  <c r="E164" i="55"/>
  <c r="E156" i="55"/>
  <c r="E146" i="55"/>
  <c r="E138" i="55"/>
  <c r="E130" i="55"/>
  <c r="E122" i="55"/>
  <c r="E114" i="55"/>
  <c r="E106" i="55"/>
  <c r="E98" i="55"/>
  <c r="E90" i="55"/>
  <c r="E82" i="55"/>
  <c r="E74" i="55"/>
  <c r="E66" i="55"/>
  <c r="E58" i="55"/>
  <c r="E50" i="55"/>
  <c r="E42" i="55"/>
  <c r="E34" i="55"/>
  <c r="E26" i="55"/>
  <c r="E18" i="55"/>
  <c r="Q609" i="55"/>
  <c r="P609" i="55"/>
  <c r="E82" i="6"/>
  <c r="B624" i="23"/>
  <c r="E121" i="6"/>
  <c r="B614" i="55" l="1"/>
  <c r="B615" i="55"/>
  <c r="B620" i="55"/>
  <c r="B619" i="55"/>
  <c r="B613" i="55"/>
  <c r="B617" i="55"/>
  <c r="E609" i="55"/>
  <c r="N609" i="55"/>
  <c r="V15" i="54"/>
  <c r="V16" i="54"/>
  <c r="V17" i="54"/>
  <c r="V18" i="54"/>
  <c r="V19" i="54"/>
  <c r="V20" i="54"/>
  <c r="V21" i="54"/>
  <c r="V22" i="54"/>
  <c r="V23" i="54"/>
  <c r="V24" i="54"/>
  <c r="V25" i="54"/>
  <c r="V26" i="54"/>
  <c r="V27" i="54"/>
  <c r="V28" i="54"/>
  <c r="V29" i="54"/>
  <c r="V30" i="54"/>
  <c r="V31" i="54"/>
  <c r="V36" i="54"/>
  <c r="V37" i="54"/>
  <c r="V38" i="54"/>
  <c r="V39" i="54"/>
  <c r="V40" i="54"/>
  <c r="V43" i="54"/>
  <c r="V44" i="54"/>
  <c r="V45" i="54"/>
  <c r="V46" i="54"/>
  <c r="V47" i="54"/>
  <c r="V49" i="54"/>
  <c r="V50" i="54"/>
  <c r="V51" i="54"/>
  <c r="V52" i="54"/>
  <c r="V54" i="54"/>
  <c r="V56" i="54"/>
  <c r="V57" i="54"/>
  <c r="V58" i="54"/>
  <c r="V59" i="54"/>
  <c r="V61" i="54"/>
  <c r="V62" i="54"/>
  <c r="V63" i="54"/>
  <c r="V64" i="54"/>
  <c r="V69" i="54"/>
  <c r="V70" i="54"/>
  <c r="V71" i="54"/>
  <c r="V72" i="54"/>
  <c r="V73" i="54"/>
  <c r="V74" i="54"/>
  <c r="V78" i="54"/>
  <c r="V79" i="54"/>
  <c r="V81" i="54"/>
  <c r="V82" i="54"/>
  <c r="V83" i="54"/>
  <c r="V84" i="54"/>
  <c r="V85" i="54"/>
  <c r="V86" i="54"/>
  <c r="V87" i="54"/>
  <c r="V91" i="54"/>
  <c r="V93" i="54"/>
  <c r="V95" i="54"/>
  <c r="V96" i="54"/>
  <c r="V98" i="54"/>
  <c r="V100" i="54"/>
  <c r="V102" i="54"/>
  <c r="V103" i="54"/>
  <c r="V104" i="54"/>
  <c r="V105" i="54"/>
  <c r="V106" i="54"/>
  <c r="V108" i="54"/>
  <c r="V109" i="54"/>
  <c r="V110" i="54"/>
  <c r="V111" i="54"/>
  <c r="V112" i="54"/>
  <c r="V113" i="54"/>
  <c r="V114" i="54"/>
  <c r="V119" i="54"/>
  <c r="V121" i="54"/>
  <c r="V122" i="54"/>
  <c r="V123" i="54"/>
  <c r="V124" i="54"/>
  <c r="V125" i="54"/>
  <c r="V127" i="54"/>
  <c r="V128" i="54"/>
  <c r="V129" i="54"/>
  <c r="V130" i="54"/>
  <c r="V131" i="54"/>
  <c r="V132" i="54"/>
  <c r="V134" i="54"/>
  <c r="V135" i="54"/>
  <c r="V136" i="54"/>
  <c r="V137" i="54"/>
  <c r="V138" i="54"/>
  <c r="V139" i="54"/>
  <c r="V140" i="54"/>
  <c r="V141" i="54"/>
  <c r="V142" i="54"/>
  <c r="V143" i="54"/>
  <c r="V144" i="54"/>
  <c r="V145" i="54"/>
  <c r="V147" i="54"/>
  <c r="V148" i="54"/>
  <c r="V149" i="54"/>
  <c r="V150" i="54"/>
  <c r="V152" i="54"/>
  <c r="V153" i="54"/>
  <c r="V154" i="54"/>
  <c r="V155" i="54"/>
  <c r="V157" i="54"/>
  <c r="V158" i="54"/>
  <c r="V159" i="54"/>
  <c r="V160" i="54"/>
  <c r="V161" i="54"/>
  <c r="V162" i="54"/>
  <c r="V163" i="54"/>
  <c r="V164" i="54"/>
  <c r="V165" i="54"/>
  <c r="V166" i="54"/>
  <c r="V167" i="54"/>
  <c r="V170" i="54"/>
  <c r="V171" i="54"/>
  <c r="V173" i="54"/>
  <c r="V174" i="54"/>
  <c r="V176" i="54"/>
  <c r="V177" i="54"/>
  <c r="V178" i="54"/>
  <c r="V180" i="54"/>
  <c r="V181" i="54"/>
  <c r="V182" i="54"/>
  <c r="V183" i="54"/>
  <c r="V184" i="54"/>
  <c r="V185" i="54"/>
  <c r="V189" i="54"/>
  <c r="V190" i="54"/>
  <c r="V191" i="54"/>
  <c r="V192" i="54"/>
  <c r="V194" i="54"/>
  <c r="V196" i="54"/>
  <c r="V197" i="54"/>
  <c r="V198" i="54"/>
  <c r="V199" i="54"/>
  <c r="V200" i="54"/>
  <c r="V202" i="54"/>
  <c r="V203" i="54"/>
  <c r="V204" i="54"/>
  <c r="V207" i="54"/>
  <c r="V208" i="54"/>
  <c r="V209" i="54"/>
  <c r="V210" i="54"/>
  <c r="V211" i="54"/>
  <c r="V212" i="54"/>
  <c r="V213" i="54"/>
  <c r="V214" i="54"/>
  <c r="V215" i="54"/>
  <c r="V216" i="54"/>
  <c r="V217" i="54"/>
  <c r="V218" i="54"/>
  <c r="V219" i="54"/>
  <c r="V220" i="54"/>
  <c r="V221" i="54"/>
  <c r="V222" i="54"/>
  <c r="V223" i="54"/>
  <c r="V224" i="54"/>
  <c r="V225" i="54"/>
  <c r="V226" i="54"/>
  <c r="V227" i="54"/>
  <c r="V228" i="54"/>
  <c r="V229" i="54"/>
  <c r="V230" i="54"/>
  <c r="V231" i="54"/>
  <c r="V232" i="54"/>
  <c r="V233" i="54"/>
  <c r="V234" i="54"/>
  <c r="V235" i="54"/>
  <c r="V236" i="54"/>
  <c r="V237" i="54"/>
  <c r="V238" i="54"/>
  <c r="V239" i="54"/>
  <c r="V240" i="54"/>
  <c r="V241" i="54"/>
  <c r="V242" i="54"/>
  <c r="V243" i="54"/>
  <c r="V244" i="54"/>
  <c r="V245" i="54"/>
  <c r="V246" i="54"/>
  <c r="V247" i="54"/>
  <c r="V248" i="54"/>
  <c r="V249" i="54"/>
  <c r="V250" i="54"/>
  <c r="V251" i="54"/>
  <c r="V252" i="54"/>
  <c r="V253" i="54"/>
  <c r="V254" i="54"/>
  <c r="V255" i="54"/>
  <c r="V256" i="54"/>
  <c r="V257" i="54"/>
  <c r="V258" i="54"/>
  <c r="V259" i="54"/>
  <c r="V260" i="54"/>
  <c r="V261" i="54"/>
  <c r="V262" i="54"/>
  <c r="V263" i="54"/>
  <c r="V264" i="54"/>
  <c r="V265" i="54"/>
  <c r="V266" i="54"/>
  <c r="V267" i="54"/>
  <c r="V268" i="54"/>
  <c r="V269" i="54"/>
  <c r="V270" i="54"/>
  <c r="V271" i="54"/>
  <c r="V272" i="54"/>
  <c r="V273" i="54"/>
  <c r="V274" i="54"/>
  <c r="V275" i="54"/>
  <c r="V276" i="54"/>
  <c r="V277" i="54"/>
  <c r="V278" i="54"/>
  <c r="V279" i="54"/>
  <c r="V281" i="54"/>
  <c r="V283" i="54"/>
  <c r="V284" i="54"/>
  <c r="V285" i="54"/>
  <c r="V286" i="54"/>
  <c r="V287" i="54"/>
  <c r="V288" i="54"/>
  <c r="V289" i="54"/>
  <c r="V290" i="54"/>
  <c r="V291" i="54"/>
  <c r="V292" i="54"/>
  <c r="V297" i="54"/>
  <c r="V298" i="54"/>
  <c r="V299" i="54"/>
  <c r="V302" i="54"/>
  <c r="V303" i="54"/>
  <c r="V304" i="54"/>
  <c r="V305" i="54"/>
  <c r="V306" i="54"/>
  <c r="V307" i="54"/>
  <c r="V308" i="54"/>
  <c r="V309" i="54"/>
  <c r="V310" i="54"/>
  <c r="V311" i="54"/>
  <c r="V313" i="54"/>
  <c r="V314" i="54"/>
  <c r="V315" i="54"/>
  <c r="V318" i="54"/>
  <c r="V321" i="54"/>
  <c r="V322" i="54"/>
  <c r="V324" i="54"/>
  <c r="V325" i="54"/>
  <c r="V326" i="54"/>
  <c r="V327" i="54"/>
  <c r="V328" i="54"/>
  <c r="V329" i="54"/>
  <c r="V330" i="54"/>
  <c r="V331" i="54"/>
  <c r="V332" i="54"/>
  <c r="V333" i="54"/>
  <c r="V334" i="54"/>
  <c r="V337" i="54"/>
  <c r="V339" i="54"/>
  <c r="V340" i="54"/>
  <c r="V341" i="54"/>
  <c r="V342" i="54"/>
  <c r="V343" i="54"/>
  <c r="V344" i="54"/>
  <c r="V345" i="54"/>
  <c r="V346" i="54"/>
  <c r="V347" i="54"/>
  <c r="V348" i="54"/>
  <c r="V349" i="54"/>
  <c r="V353" i="54"/>
  <c r="V354" i="54"/>
  <c r="V355" i="54"/>
  <c r="V356" i="54"/>
  <c r="V357" i="54"/>
  <c r="V358" i="54"/>
  <c r="V359" i="54"/>
  <c r="V360" i="54"/>
  <c r="V367" i="54"/>
  <c r="V368" i="54"/>
  <c r="V371" i="54"/>
  <c r="V372" i="54"/>
  <c r="V373" i="54"/>
  <c r="V374" i="54"/>
  <c r="V375" i="54"/>
  <c r="V376" i="54"/>
  <c r="V377" i="54"/>
  <c r="V378" i="54"/>
  <c r="V379" i="54"/>
  <c r="V381" i="54"/>
  <c r="V382" i="54"/>
  <c r="V383" i="54"/>
  <c r="V384" i="54"/>
  <c r="V385" i="54"/>
  <c r="V386" i="54"/>
  <c r="V387" i="54"/>
  <c r="V388" i="54"/>
  <c r="V389" i="54"/>
  <c r="V390" i="54"/>
  <c r="V391" i="54"/>
  <c r="V392" i="54"/>
  <c r="V393" i="54"/>
  <c r="V394" i="54"/>
  <c r="V395" i="54"/>
  <c r="V396" i="54"/>
  <c r="V397" i="54"/>
  <c r="V398" i="54"/>
  <c r="V399" i="54"/>
  <c r="V400" i="54"/>
  <c r="V401" i="54"/>
  <c r="V402" i="54"/>
  <c r="V403" i="54"/>
  <c r="V404" i="54"/>
  <c r="V405" i="54"/>
  <c r="V406" i="54"/>
  <c r="V408" i="54"/>
  <c r="V409" i="54"/>
  <c r="V410" i="54"/>
  <c r="V411" i="54"/>
  <c r="V412" i="54"/>
  <c r="V413" i="54"/>
  <c r="V414" i="54"/>
  <c r="V416" i="54"/>
  <c r="V417" i="54"/>
  <c r="V418" i="54"/>
  <c r="V419" i="54"/>
  <c r="V420" i="54"/>
  <c r="V421" i="54"/>
  <c r="V422" i="54"/>
  <c r="V425" i="54"/>
  <c r="V426" i="54"/>
  <c r="V427" i="54"/>
  <c r="V428" i="54"/>
  <c r="V429" i="54"/>
  <c r="V430" i="54"/>
  <c r="V431" i="54"/>
  <c r="V432" i="54"/>
  <c r="V433" i="54"/>
  <c r="V434" i="54"/>
  <c r="V435" i="54"/>
  <c r="V436" i="54"/>
  <c r="V437" i="54"/>
  <c r="V438" i="54"/>
  <c r="V439" i="54"/>
  <c r="V440" i="54"/>
  <c r="V441" i="54"/>
  <c r="V442" i="54"/>
  <c r="V443" i="54"/>
  <c r="V446" i="54"/>
  <c r="V447" i="54"/>
  <c r="V448" i="54"/>
  <c r="V449" i="54"/>
  <c r="V451" i="54"/>
  <c r="V452" i="54"/>
  <c r="V453" i="54"/>
  <c r="V454" i="54"/>
  <c r="V455" i="54"/>
  <c r="V458" i="54"/>
  <c r="V459" i="54"/>
  <c r="V464" i="54"/>
  <c r="V466" i="54"/>
  <c r="V467" i="54"/>
  <c r="V468" i="54"/>
  <c r="V469" i="54"/>
  <c r="V470" i="54"/>
  <c r="V472" i="54"/>
  <c r="V473" i="54"/>
  <c r="V474" i="54"/>
  <c r="V475" i="54"/>
  <c r="V476" i="54"/>
  <c r="V477" i="54"/>
  <c r="V480" i="54"/>
  <c r="V481" i="54"/>
  <c r="V482" i="54"/>
  <c r="V483" i="54"/>
  <c r="V484" i="54"/>
  <c r="V485" i="54"/>
  <c r="V486" i="54"/>
  <c r="V487" i="54"/>
  <c r="V488" i="54"/>
  <c r="V489" i="54"/>
  <c r="V490" i="54"/>
  <c r="V491" i="54"/>
  <c r="V492" i="54"/>
  <c r="V493" i="54"/>
  <c r="V494" i="54"/>
  <c r="V495" i="54"/>
  <c r="V496" i="54"/>
  <c r="V497" i="54"/>
  <c r="V498" i="54"/>
  <c r="V501" i="54"/>
  <c r="V502" i="54"/>
  <c r="V503" i="54"/>
  <c r="V504" i="54"/>
  <c r="V505" i="54"/>
  <c r="V506" i="54"/>
  <c r="V507" i="54"/>
  <c r="V508" i="54"/>
  <c r="V509" i="54"/>
  <c r="V515" i="54"/>
  <c r="V516" i="54"/>
  <c r="V517" i="54"/>
  <c r="V519" i="54"/>
  <c r="V520" i="54"/>
  <c r="V521" i="54"/>
  <c r="V522" i="54"/>
  <c r="V523" i="54"/>
  <c r="V524" i="54"/>
  <c r="V525" i="54"/>
  <c r="V526" i="54"/>
  <c r="V527" i="54"/>
  <c r="V528" i="54"/>
  <c r="V529" i="54"/>
  <c r="V530" i="54"/>
  <c r="V531" i="54"/>
  <c r="V532" i="54"/>
  <c r="V533" i="54"/>
  <c r="V534" i="54"/>
  <c r="V535" i="54"/>
  <c r="V536" i="54"/>
  <c r="V537" i="54"/>
  <c r="V539" i="54"/>
  <c r="V540" i="54"/>
  <c r="V541" i="54"/>
  <c r="V542" i="54"/>
  <c r="V544" i="54"/>
  <c r="V545" i="54"/>
  <c r="V546" i="54"/>
  <c r="V547" i="54"/>
  <c r="V548" i="54"/>
  <c r="V552" i="54"/>
  <c r="V553" i="54"/>
  <c r="V554" i="54"/>
  <c r="V555" i="54"/>
  <c r="V556" i="54"/>
  <c r="V557" i="54"/>
  <c r="V558" i="54"/>
  <c r="V559" i="54"/>
  <c r="V560" i="54"/>
  <c r="V561" i="54"/>
  <c r="V562" i="54"/>
  <c r="V563" i="54"/>
  <c r="V564" i="54"/>
  <c r="V565" i="54"/>
  <c r="V566" i="54"/>
  <c r="V567" i="54"/>
  <c r="V568" i="54"/>
  <c r="V569" i="54"/>
  <c r="V570" i="54"/>
  <c r="V571" i="54"/>
  <c r="V572" i="54"/>
  <c r="V573" i="54"/>
  <c r="V574" i="54"/>
  <c r="V575" i="54"/>
  <c r="V576" i="54"/>
  <c r="V577" i="54"/>
  <c r="V578" i="54"/>
  <c r="V579" i="54"/>
  <c r="V580" i="54"/>
  <c r="V581" i="54"/>
  <c r="V582" i="54"/>
  <c r="V583" i="54"/>
  <c r="V584" i="54"/>
  <c r="V585" i="54"/>
  <c r="V586" i="54"/>
  <c r="V587" i="54"/>
  <c r="V588" i="54"/>
  <c r="V589" i="54"/>
  <c r="V590" i="54"/>
  <c r="V591" i="54"/>
  <c r="V592" i="54"/>
  <c r="V593" i="54"/>
  <c r="V594" i="54"/>
  <c r="V595" i="54"/>
  <c r="V596" i="54"/>
  <c r="V597" i="54"/>
  <c r="V598" i="54"/>
  <c r="V599" i="54"/>
  <c r="V600" i="54"/>
  <c r="V601" i="54"/>
  <c r="V602" i="54"/>
  <c r="V14" i="54"/>
  <c r="S14" i="54"/>
  <c r="S15" i="54"/>
  <c r="S16" i="54"/>
  <c r="S17" i="54"/>
  <c r="S18" i="54"/>
  <c r="S19" i="54"/>
  <c r="S20" i="54"/>
  <c r="S21" i="54"/>
  <c r="S22" i="54"/>
  <c r="S23" i="54"/>
  <c r="S24" i="54"/>
  <c r="S25" i="54"/>
  <c r="S26" i="54"/>
  <c r="S27" i="54"/>
  <c r="S28" i="54"/>
  <c r="S29" i="54"/>
  <c r="S30" i="54"/>
  <c r="S31" i="54"/>
  <c r="S32" i="54"/>
  <c r="S33" i="54"/>
  <c r="S34" i="54"/>
  <c r="S35" i="54"/>
  <c r="S36" i="54"/>
  <c r="S37" i="54"/>
  <c r="S38" i="54"/>
  <c r="S39" i="54"/>
  <c r="S40" i="54"/>
  <c r="S41" i="54"/>
  <c r="S42" i="54"/>
  <c r="S43" i="54"/>
  <c r="S44" i="54"/>
  <c r="S45" i="54"/>
  <c r="S46" i="54"/>
  <c r="S47" i="54"/>
  <c r="S48" i="54"/>
  <c r="S49" i="54"/>
  <c r="S50" i="54"/>
  <c r="S51" i="54"/>
  <c r="S52" i="54"/>
  <c r="S53" i="54"/>
  <c r="S54" i="54"/>
  <c r="S55" i="54"/>
  <c r="S56" i="54"/>
  <c r="S57" i="54"/>
  <c r="S58" i="54"/>
  <c r="S59" i="54"/>
  <c r="S60" i="54"/>
  <c r="S61" i="54"/>
  <c r="S62" i="54"/>
  <c r="S63" i="54"/>
  <c r="S64" i="54"/>
  <c r="S65" i="54"/>
  <c r="S66" i="54"/>
  <c r="S67" i="54"/>
  <c r="S68" i="54"/>
  <c r="S69" i="54"/>
  <c r="S70" i="54"/>
  <c r="S71" i="54"/>
  <c r="S72" i="54"/>
  <c r="S73" i="54"/>
  <c r="S74" i="54"/>
  <c r="S75" i="54"/>
  <c r="S76" i="54"/>
  <c r="S77" i="54"/>
  <c r="S78" i="54"/>
  <c r="S79" i="54"/>
  <c r="S80" i="54"/>
  <c r="S81" i="54"/>
  <c r="S82" i="54"/>
  <c r="S83" i="54"/>
  <c r="S84" i="54"/>
  <c r="S85" i="54"/>
  <c r="S86" i="54"/>
  <c r="S87" i="54"/>
  <c r="S88" i="54"/>
  <c r="S89" i="54"/>
  <c r="S90" i="54"/>
  <c r="S91" i="54"/>
  <c r="S92" i="54"/>
  <c r="S93" i="54"/>
  <c r="S94" i="54"/>
  <c r="S95" i="54"/>
  <c r="S96" i="54"/>
  <c r="S97" i="54"/>
  <c r="S98" i="54"/>
  <c r="S99" i="54"/>
  <c r="S100" i="54"/>
  <c r="S101" i="54"/>
  <c r="S102" i="54"/>
  <c r="S103" i="54"/>
  <c r="S104" i="54"/>
  <c r="S105" i="54"/>
  <c r="S106" i="54"/>
  <c r="S107" i="54"/>
  <c r="S108" i="54"/>
  <c r="S109" i="54"/>
  <c r="S110" i="54"/>
  <c r="S111" i="54"/>
  <c r="S112" i="54"/>
  <c r="S113" i="54"/>
  <c r="S114" i="54"/>
  <c r="S115" i="54"/>
  <c r="S116" i="54"/>
  <c r="S117" i="54"/>
  <c r="S118" i="54"/>
  <c r="S119" i="54"/>
  <c r="S120" i="54"/>
  <c r="S121" i="54"/>
  <c r="S122" i="54"/>
  <c r="S123" i="54"/>
  <c r="S124" i="54"/>
  <c r="S125" i="54"/>
  <c r="S126" i="54"/>
  <c r="S127" i="54"/>
  <c r="S128" i="54"/>
  <c r="S129" i="54"/>
  <c r="S130" i="54"/>
  <c r="S131" i="54"/>
  <c r="S132" i="54"/>
  <c r="S133" i="54"/>
  <c r="S134" i="54"/>
  <c r="S135" i="54"/>
  <c r="S136" i="54"/>
  <c r="S137" i="54"/>
  <c r="S138" i="54"/>
  <c r="S139" i="54"/>
  <c r="S140" i="54"/>
  <c r="S141" i="54"/>
  <c r="S142" i="54"/>
  <c r="S143" i="54"/>
  <c r="S144" i="54"/>
  <c r="S145" i="54"/>
  <c r="S146" i="54"/>
  <c r="S147" i="54"/>
  <c r="S148" i="54"/>
  <c r="S149" i="54"/>
  <c r="S150" i="54"/>
  <c r="S151" i="54"/>
  <c r="S152" i="54"/>
  <c r="S153" i="54"/>
  <c r="S154" i="54"/>
  <c r="S155" i="54"/>
  <c r="S156" i="54"/>
  <c r="S157" i="54"/>
  <c r="S158" i="54"/>
  <c r="S159" i="54"/>
  <c r="S160" i="54"/>
  <c r="S161" i="54"/>
  <c r="S162" i="54"/>
  <c r="S163" i="54"/>
  <c r="S164" i="54"/>
  <c r="S165" i="54"/>
  <c r="S166" i="54"/>
  <c r="S167" i="54"/>
  <c r="S168" i="54"/>
  <c r="S169" i="54"/>
  <c r="S170" i="54"/>
  <c r="S171" i="54"/>
  <c r="S172" i="54"/>
  <c r="S173" i="54"/>
  <c r="S174" i="54"/>
  <c r="S175" i="54"/>
  <c r="S176" i="54"/>
  <c r="S177" i="54"/>
  <c r="S178" i="54"/>
  <c r="S179" i="54"/>
  <c r="S180" i="54"/>
  <c r="S181" i="54"/>
  <c r="S182" i="54"/>
  <c r="S183" i="54"/>
  <c r="S184" i="54"/>
  <c r="S185" i="54"/>
  <c r="S186" i="54"/>
  <c r="S187" i="54"/>
  <c r="S188" i="54"/>
  <c r="S189" i="54"/>
  <c r="S190" i="54"/>
  <c r="S191" i="54"/>
  <c r="S192" i="54"/>
  <c r="S193" i="54"/>
  <c r="S194" i="54"/>
  <c r="S195" i="54"/>
  <c r="S196" i="54"/>
  <c r="S197" i="54"/>
  <c r="S198" i="54"/>
  <c r="S199" i="54"/>
  <c r="S200" i="54"/>
  <c r="S201" i="54"/>
  <c r="S202" i="54"/>
  <c r="S203" i="54"/>
  <c r="S204" i="54"/>
  <c r="S205" i="54"/>
  <c r="S206" i="54"/>
  <c r="S207" i="54"/>
  <c r="S208" i="54"/>
  <c r="S209" i="54"/>
  <c r="S210" i="54"/>
  <c r="S211" i="54"/>
  <c r="S212" i="54"/>
  <c r="S213" i="54"/>
  <c r="S214" i="54"/>
  <c r="S215" i="54"/>
  <c r="S216" i="54"/>
  <c r="S217" i="54"/>
  <c r="S218" i="54"/>
  <c r="S219" i="54"/>
  <c r="S220" i="54"/>
  <c r="S221" i="54"/>
  <c r="S222" i="54"/>
  <c r="S223" i="54"/>
  <c r="S224" i="54"/>
  <c r="S225" i="54"/>
  <c r="S226" i="54"/>
  <c r="S227" i="54"/>
  <c r="S228" i="54"/>
  <c r="S229" i="54"/>
  <c r="S230" i="54"/>
  <c r="S231" i="54"/>
  <c r="S232" i="54"/>
  <c r="S233" i="54"/>
  <c r="S234" i="54"/>
  <c r="S235" i="54"/>
  <c r="S236" i="54"/>
  <c r="S237" i="54"/>
  <c r="S238" i="54"/>
  <c r="S239" i="54"/>
  <c r="S240" i="54"/>
  <c r="S241" i="54"/>
  <c r="S242" i="54"/>
  <c r="S243" i="54"/>
  <c r="S244" i="54"/>
  <c r="S245" i="54"/>
  <c r="S246" i="54"/>
  <c r="S247" i="54"/>
  <c r="S248" i="54"/>
  <c r="S249" i="54"/>
  <c r="S250" i="54"/>
  <c r="S251" i="54"/>
  <c r="S252" i="54"/>
  <c r="S253" i="54"/>
  <c r="S254" i="54"/>
  <c r="S255" i="54"/>
  <c r="S256" i="54"/>
  <c r="S257" i="54"/>
  <c r="S258" i="54"/>
  <c r="S259" i="54"/>
  <c r="S260" i="54"/>
  <c r="S261" i="54"/>
  <c r="S262" i="54"/>
  <c r="S263" i="54"/>
  <c r="S264" i="54"/>
  <c r="S265" i="54"/>
  <c r="S266" i="54"/>
  <c r="S267" i="54"/>
  <c r="S268" i="54"/>
  <c r="S269" i="54"/>
  <c r="S270" i="54"/>
  <c r="S271" i="54"/>
  <c r="S272" i="54"/>
  <c r="S273" i="54"/>
  <c r="S274" i="54"/>
  <c r="S275" i="54"/>
  <c r="S276" i="54"/>
  <c r="S277" i="54"/>
  <c r="S278" i="54"/>
  <c r="S279" i="54"/>
  <c r="S280" i="54"/>
  <c r="S281" i="54"/>
  <c r="S282" i="54"/>
  <c r="S283" i="54"/>
  <c r="S284" i="54"/>
  <c r="S285" i="54"/>
  <c r="S286" i="54"/>
  <c r="S287" i="54"/>
  <c r="S288" i="54"/>
  <c r="S289" i="54"/>
  <c r="S290" i="54"/>
  <c r="S291" i="54"/>
  <c r="S292" i="54"/>
  <c r="S293" i="54"/>
  <c r="S294" i="54"/>
  <c r="S295" i="54"/>
  <c r="S296" i="54"/>
  <c r="S297" i="54"/>
  <c r="S298" i="54"/>
  <c r="S299" i="54"/>
  <c r="S300" i="54"/>
  <c r="S301" i="54"/>
  <c r="S302" i="54"/>
  <c r="S303" i="54"/>
  <c r="S304" i="54"/>
  <c r="S305" i="54"/>
  <c r="S306" i="54"/>
  <c r="S307" i="54"/>
  <c r="S308" i="54"/>
  <c r="S309" i="54"/>
  <c r="S310" i="54"/>
  <c r="S311" i="54"/>
  <c r="S312" i="54"/>
  <c r="S313" i="54"/>
  <c r="S314" i="54"/>
  <c r="S315" i="54"/>
  <c r="S316" i="54"/>
  <c r="S317" i="54"/>
  <c r="S318" i="54"/>
  <c r="S319" i="54"/>
  <c r="S320" i="54"/>
  <c r="S321" i="54"/>
  <c r="S322" i="54"/>
  <c r="S323" i="54"/>
  <c r="S324" i="54"/>
  <c r="S325" i="54"/>
  <c r="S326" i="54"/>
  <c r="S327" i="54"/>
  <c r="S328" i="54"/>
  <c r="S329" i="54"/>
  <c r="S330" i="54"/>
  <c r="S331" i="54"/>
  <c r="S332" i="54"/>
  <c r="S333" i="54"/>
  <c r="S334" i="54"/>
  <c r="S335" i="54"/>
  <c r="S336" i="54"/>
  <c r="S337" i="54"/>
  <c r="S338" i="54"/>
  <c r="S339" i="54"/>
  <c r="S340" i="54"/>
  <c r="S341" i="54"/>
  <c r="S342" i="54"/>
  <c r="S343" i="54"/>
  <c r="S344" i="54"/>
  <c r="S345" i="54"/>
  <c r="S346" i="54"/>
  <c r="S347" i="54"/>
  <c r="S348" i="54"/>
  <c r="S349" i="54"/>
  <c r="S350" i="54"/>
  <c r="S351" i="54"/>
  <c r="S352" i="54"/>
  <c r="S353" i="54"/>
  <c r="S354" i="54"/>
  <c r="S355" i="54"/>
  <c r="S356" i="54"/>
  <c r="S357" i="54"/>
  <c r="S358" i="54"/>
  <c r="S359" i="54"/>
  <c r="S360" i="54"/>
  <c r="S361" i="54"/>
  <c r="S362" i="54"/>
  <c r="S363" i="54"/>
  <c r="S364" i="54"/>
  <c r="S365" i="54"/>
  <c r="S366" i="54"/>
  <c r="S367" i="54"/>
  <c r="S368" i="54"/>
  <c r="S369" i="54"/>
  <c r="S370" i="54"/>
  <c r="S371" i="54"/>
  <c r="S372" i="54"/>
  <c r="S373" i="54"/>
  <c r="S374" i="54"/>
  <c r="S375" i="54"/>
  <c r="S376" i="54"/>
  <c r="S377" i="54"/>
  <c r="S378" i="54"/>
  <c r="S379" i="54"/>
  <c r="S380" i="54"/>
  <c r="S381" i="54"/>
  <c r="S382" i="54"/>
  <c r="S383" i="54"/>
  <c r="S384" i="54"/>
  <c r="S385" i="54"/>
  <c r="S386" i="54"/>
  <c r="S387" i="54"/>
  <c r="S388" i="54"/>
  <c r="S389" i="54"/>
  <c r="S390" i="54"/>
  <c r="S391" i="54"/>
  <c r="S392" i="54"/>
  <c r="S393" i="54"/>
  <c r="S394" i="54"/>
  <c r="S395" i="54"/>
  <c r="S396" i="54"/>
  <c r="S397" i="54"/>
  <c r="S398" i="54"/>
  <c r="S399" i="54"/>
  <c r="S400" i="54"/>
  <c r="S401" i="54"/>
  <c r="S402" i="54"/>
  <c r="S403" i="54"/>
  <c r="S404" i="54"/>
  <c r="S405" i="54"/>
  <c r="S406" i="54"/>
  <c r="S407" i="54"/>
  <c r="S408" i="54"/>
  <c r="S409" i="54"/>
  <c r="S410" i="54"/>
  <c r="S411" i="54"/>
  <c r="S412" i="54"/>
  <c r="S413" i="54"/>
  <c r="S414" i="54"/>
  <c r="S415" i="54"/>
  <c r="S416" i="54"/>
  <c r="S417" i="54"/>
  <c r="S418" i="54"/>
  <c r="S419" i="54"/>
  <c r="S420" i="54"/>
  <c r="S421" i="54"/>
  <c r="S422" i="54"/>
  <c r="S423" i="54"/>
  <c r="S424" i="54"/>
  <c r="S425" i="54"/>
  <c r="S426" i="54"/>
  <c r="S427" i="54"/>
  <c r="S428" i="54"/>
  <c r="S429" i="54"/>
  <c r="S430" i="54"/>
  <c r="S431" i="54"/>
  <c r="S432" i="54"/>
  <c r="S433" i="54"/>
  <c r="S434" i="54"/>
  <c r="S435" i="54"/>
  <c r="S436" i="54"/>
  <c r="S437" i="54"/>
  <c r="S438" i="54"/>
  <c r="S439" i="54"/>
  <c r="S440" i="54"/>
  <c r="S441" i="54"/>
  <c r="S442" i="54"/>
  <c r="S443" i="54"/>
  <c r="S444" i="54"/>
  <c r="S445" i="54"/>
  <c r="S446" i="54"/>
  <c r="S447" i="54"/>
  <c r="S448" i="54"/>
  <c r="S449" i="54"/>
  <c r="S450" i="54"/>
  <c r="S451" i="54"/>
  <c r="S452" i="54"/>
  <c r="S453" i="54"/>
  <c r="S454" i="54"/>
  <c r="S455" i="54"/>
  <c r="S456" i="54"/>
  <c r="S457" i="54"/>
  <c r="S458" i="54"/>
  <c r="S459" i="54"/>
  <c r="S460" i="54"/>
  <c r="S461" i="54"/>
  <c r="S462" i="54"/>
  <c r="S463" i="54"/>
  <c r="S464" i="54"/>
  <c r="S465" i="54"/>
  <c r="S466" i="54"/>
  <c r="S467" i="54"/>
  <c r="S468" i="54"/>
  <c r="S469" i="54"/>
  <c r="S470" i="54"/>
  <c r="S471" i="54"/>
  <c r="S472" i="54"/>
  <c r="S473" i="54"/>
  <c r="S474" i="54"/>
  <c r="S475" i="54"/>
  <c r="S476" i="54"/>
  <c r="S477" i="54"/>
  <c r="S478" i="54"/>
  <c r="S479" i="54"/>
  <c r="S480" i="54"/>
  <c r="S481" i="54"/>
  <c r="S482" i="54"/>
  <c r="S483" i="54"/>
  <c r="S484" i="54"/>
  <c r="S485" i="54"/>
  <c r="S486" i="54"/>
  <c r="S487" i="54"/>
  <c r="S488" i="54"/>
  <c r="S489" i="54"/>
  <c r="S490" i="54"/>
  <c r="S491" i="54"/>
  <c r="S492" i="54"/>
  <c r="S493" i="54"/>
  <c r="S494" i="54"/>
  <c r="S495" i="54"/>
  <c r="S496" i="54"/>
  <c r="S497" i="54"/>
  <c r="S498" i="54"/>
  <c r="S499" i="54"/>
  <c r="S500" i="54"/>
  <c r="S501" i="54"/>
  <c r="S502" i="54"/>
  <c r="S503" i="54"/>
  <c r="S504" i="54"/>
  <c r="S505" i="54"/>
  <c r="S506" i="54"/>
  <c r="S507" i="54"/>
  <c r="S508" i="54"/>
  <c r="S509" i="54"/>
  <c r="S510" i="54"/>
  <c r="S511" i="54"/>
  <c r="S512" i="54"/>
  <c r="S513" i="54"/>
  <c r="S514" i="54"/>
  <c r="S515" i="54"/>
  <c r="S516" i="54"/>
  <c r="S517" i="54"/>
  <c r="S518" i="54"/>
  <c r="S519" i="54"/>
  <c r="S520" i="54"/>
  <c r="S521" i="54"/>
  <c r="S522" i="54"/>
  <c r="S523" i="54"/>
  <c r="S524" i="54"/>
  <c r="S525" i="54"/>
  <c r="S526" i="54"/>
  <c r="S527" i="54"/>
  <c r="S528" i="54"/>
  <c r="S529" i="54"/>
  <c r="S530" i="54"/>
  <c r="S531" i="54"/>
  <c r="S532" i="54"/>
  <c r="S533" i="54"/>
  <c r="S534" i="54"/>
  <c r="S535" i="54"/>
  <c r="S536" i="54"/>
  <c r="S537" i="54"/>
  <c r="S538" i="54"/>
  <c r="S539" i="54"/>
  <c r="S540" i="54"/>
  <c r="S541" i="54"/>
  <c r="S542" i="54"/>
  <c r="S543" i="54"/>
  <c r="S544" i="54"/>
  <c r="S545" i="54"/>
  <c r="S546" i="54"/>
  <c r="S547" i="54"/>
  <c r="S548" i="54"/>
  <c r="S549" i="54"/>
  <c r="S550" i="54"/>
  <c r="S551" i="54"/>
  <c r="S552" i="54"/>
  <c r="S553" i="54"/>
  <c r="S554" i="54"/>
  <c r="S555" i="54"/>
  <c r="S556" i="54"/>
  <c r="S557" i="54"/>
  <c r="S558" i="54"/>
  <c r="S559" i="54"/>
  <c r="S560" i="54"/>
  <c r="S561" i="54"/>
  <c r="S562" i="54"/>
  <c r="S563" i="54"/>
  <c r="S564" i="54"/>
  <c r="S565" i="54"/>
  <c r="S566" i="54"/>
  <c r="S567" i="54"/>
  <c r="S568" i="54"/>
  <c r="S569" i="54"/>
  <c r="S570" i="54"/>
  <c r="S571" i="54"/>
  <c r="S572" i="54"/>
  <c r="S573" i="54"/>
  <c r="S574" i="54"/>
  <c r="S575" i="54"/>
  <c r="S576" i="54"/>
  <c r="S577" i="54"/>
  <c r="S578" i="54"/>
  <c r="S579" i="54"/>
  <c r="S580" i="54"/>
  <c r="S581" i="54"/>
  <c r="S582" i="54"/>
  <c r="S583" i="54"/>
  <c r="S584" i="54"/>
  <c r="S585" i="54"/>
  <c r="S586" i="54"/>
  <c r="S587" i="54"/>
  <c r="S588" i="54"/>
  <c r="S589" i="54"/>
  <c r="S590" i="54"/>
  <c r="S591" i="54"/>
  <c r="S592" i="54"/>
  <c r="S593" i="54"/>
  <c r="S594" i="54"/>
  <c r="S595" i="54"/>
  <c r="S596" i="54"/>
  <c r="S597" i="54"/>
  <c r="S598" i="54"/>
  <c r="S599" i="54"/>
  <c r="S600" i="54"/>
  <c r="S601" i="54"/>
  <c r="S602" i="54"/>
  <c r="T14" i="54"/>
  <c r="T15" i="54"/>
  <c r="T16" i="54"/>
  <c r="T17" i="54"/>
  <c r="T18" i="54"/>
  <c r="T19" i="54"/>
  <c r="T20" i="54"/>
  <c r="T21" i="54"/>
  <c r="T22" i="54"/>
  <c r="T23" i="54"/>
  <c r="T24" i="54"/>
  <c r="T25" i="54"/>
  <c r="T26" i="54"/>
  <c r="T27" i="54"/>
  <c r="T28" i="54"/>
  <c r="T29" i="54"/>
  <c r="T30" i="54"/>
  <c r="T31" i="54"/>
  <c r="T32" i="54"/>
  <c r="T33" i="54"/>
  <c r="T34" i="54"/>
  <c r="T35" i="54"/>
  <c r="T36" i="54"/>
  <c r="T37" i="54"/>
  <c r="T38" i="54"/>
  <c r="T39" i="54"/>
  <c r="T40" i="54"/>
  <c r="T41" i="54"/>
  <c r="T42" i="54"/>
  <c r="T43" i="54"/>
  <c r="T44" i="54"/>
  <c r="T45" i="54"/>
  <c r="T46" i="54"/>
  <c r="T47" i="54"/>
  <c r="T48" i="54"/>
  <c r="T49" i="54"/>
  <c r="T50" i="54"/>
  <c r="T51" i="54"/>
  <c r="T52" i="54"/>
  <c r="T53" i="54"/>
  <c r="T54" i="54"/>
  <c r="T55" i="54"/>
  <c r="T56" i="54"/>
  <c r="T57" i="54"/>
  <c r="T58" i="54"/>
  <c r="T59" i="54"/>
  <c r="T60" i="54"/>
  <c r="T61" i="54"/>
  <c r="T62" i="54"/>
  <c r="T63" i="54"/>
  <c r="T64" i="54"/>
  <c r="T65" i="54"/>
  <c r="T66" i="54"/>
  <c r="T67" i="54"/>
  <c r="T68" i="54"/>
  <c r="T69" i="54"/>
  <c r="T70" i="54"/>
  <c r="T71" i="54"/>
  <c r="T72" i="54"/>
  <c r="T73" i="54"/>
  <c r="T74" i="54"/>
  <c r="T75" i="54"/>
  <c r="T76" i="54"/>
  <c r="T77" i="54"/>
  <c r="T78" i="54"/>
  <c r="T79" i="54"/>
  <c r="T80" i="54"/>
  <c r="T81" i="54"/>
  <c r="T82" i="54"/>
  <c r="T83" i="54"/>
  <c r="T84" i="54"/>
  <c r="T85" i="54"/>
  <c r="T86" i="54"/>
  <c r="T87" i="54"/>
  <c r="T88" i="54"/>
  <c r="T89" i="54"/>
  <c r="T90" i="54"/>
  <c r="T91" i="54"/>
  <c r="T92" i="54"/>
  <c r="T93" i="54"/>
  <c r="T94" i="54"/>
  <c r="T95" i="54"/>
  <c r="T96" i="54"/>
  <c r="T97" i="54"/>
  <c r="T98" i="54"/>
  <c r="T99" i="54"/>
  <c r="T100" i="54"/>
  <c r="T101" i="54"/>
  <c r="T102" i="54"/>
  <c r="T103" i="54"/>
  <c r="T104" i="54"/>
  <c r="T105" i="54"/>
  <c r="T106" i="54"/>
  <c r="T107" i="54"/>
  <c r="T108" i="54"/>
  <c r="T109" i="54"/>
  <c r="T110" i="54"/>
  <c r="T111" i="54"/>
  <c r="T112" i="54"/>
  <c r="T113" i="54"/>
  <c r="T114" i="54"/>
  <c r="T115" i="54"/>
  <c r="T116" i="54"/>
  <c r="T117" i="54"/>
  <c r="T118" i="54"/>
  <c r="T119" i="54"/>
  <c r="T120" i="54"/>
  <c r="T121" i="54"/>
  <c r="T122" i="54"/>
  <c r="T123" i="54"/>
  <c r="T124" i="54"/>
  <c r="T125" i="54"/>
  <c r="T126" i="54"/>
  <c r="T127" i="54"/>
  <c r="T128" i="54"/>
  <c r="T129" i="54"/>
  <c r="T130" i="54"/>
  <c r="T131" i="54"/>
  <c r="T132" i="54"/>
  <c r="D132" i="54" s="1"/>
  <c r="T133" i="54"/>
  <c r="T134" i="54"/>
  <c r="T135" i="54"/>
  <c r="T136" i="54"/>
  <c r="T137" i="54"/>
  <c r="T138" i="54"/>
  <c r="T139" i="54"/>
  <c r="T140" i="54"/>
  <c r="T141" i="54"/>
  <c r="T142" i="54"/>
  <c r="T143" i="54"/>
  <c r="T144" i="54"/>
  <c r="T145" i="54"/>
  <c r="T146" i="54"/>
  <c r="T147" i="54"/>
  <c r="T148" i="54"/>
  <c r="T149" i="54"/>
  <c r="T150" i="54"/>
  <c r="T151" i="54"/>
  <c r="T152" i="54"/>
  <c r="T153" i="54"/>
  <c r="T154" i="54"/>
  <c r="T155" i="54"/>
  <c r="T156" i="54"/>
  <c r="T157" i="54"/>
  <c r="T158" i="54"/>
  <c r="T159" i="54"/>
  <c r="T160" i="54"/>
  <c r="T161" i="54"/>
  <c r="T162" i="54"/>
  <c r="T163" i="54"/>
  <c r="T164" i="54"/>
  <c r="T165" i="54"/>
  <c r="T166" i="54"/>
  <c r="T167" i="54"/>
  <c r="T168" i="54"/>
  <c r="T169" i="54"/>
  <c r="T170" i="54"/>
  <c r="T171" i="54"/>
  <c r="T172" i="54"/>
  <c r="T173" i="54"/>
  <c r="T174" i="54"/>
  <c r="T175" i="54"/>
  <c r="T176" i="54"/>
  <c r="T177" i="54"/>
  <c r="T178" i="54"/>
  <c r="T179" i="54"/>
  <c r="T180" i="54"/>
  <c r="T181" i="54"/>
  <c r="T182" i="54"/>
  <c r="T183" i="54"/>
  <c r="T184" i="54"/>
  <c r="T185" i="54"/>
  <c r="T186" i="54"/>
  <c r="T187" i="54"/>
  <c r="T188" i="54"/>
  <c r="T189" i="54"/>
  <c r="T190" i="54"/>
  <c r="T191" i="54"/>
  <c r="T192" i="54"/>
  <c r="T193" i="54"/>
  <c r="T194" i="54"/>
  <c r="T195" i="54"/>
  <c r="T196" i="54"/>
  <c r="T197" i="54"/>
  <c r="T198" i="54"/>
  <c r="T199" i="54"/>
  <c r="T200" i="54"/>
  <c r="T201" i="54"/>
  <c r="T202" i="54"/>
  <c r="T203" i="54"/>
  <c r="T204" i="54"/>
  <c r="T205" i="54"/>
  <c r="T206" i="54"/>
  <c r="T207" i="54"/>
  <c r="T208" i="54"/>
  <c r="T209" i="54"/>
  <c r="T210" i="54"/>
  <c r="T211" i="54"/>
  <c r="T212" i="54"/>
  <c r="T213" i="54"/>
  <c r="T214" i="54"/>
  <c r="T215" i="54"/>
  <c r="T216" i="54"/>
  <c r="T217" i="54"/>
  <c r="T218" i="54"/>
  <c r="T219" i="54"/>
  <c r="T220" i="54"/>
  <c r="T221" i="54"/>
  <c r="T222" i="54"/>
  <c r="T223" i="54"/>
  <c r="T224" i="54"/>
  <c r="T225" i="54"/>
  <c r="T226" i="54"/>
  <c r="T227" i="54"/>
  <c r="T228" i="54"/>
  <c r="T229" i="54"/>
  <c r="T230" i="54"/>
  <c r="T231" i="54"/>
  <c r="T232" i="54"/>
  <c r="T233" i="54"/>
  <c r="T234" i="54"/>
  <c r="T235" i="54"/>
  <c r="T236" i="54"/>
  <c r="T237" i="54"/>
  <c r="T238" i="54"/>
  <c r="T239" i="54"/>
  <c r="T240" i="54"/>
  <c r="T241" i="54"/>
  <c r="T242" i="54"/>
  <c r="T243" i="54"/>
  <c r="T244" i="54"/>
  <c r="T245" i="54"/>
  <c r="T246" i="54"/>
  <c r="T247" i="54"/>
  <c r="T248" i="54"/>
  <c r="T249" i="54"/>
  <c r="T250" i="54"/>
  <c r="T251" i="54"/>
  <c r="T252" i="54"/>
  <c r="T253" i="54"/>
  <c r="T254" i="54"/>
  <c r="T255" i="54"/>
  <c r="T256" i="54"/>
  <c r="T257" i="54"/>
  <c r="T258" i="54"/>
  <c r="T259" i="54"/>
  <c r="T260" i="54"/>
  <c r="T261" i="54"/>
  <c r="T262" i="54"/>
  <c r="T263" i="54"/>
  <c r="T264" i="54"/>
  <c r="T265" i="54"/>
  <c r="T266" i="54"/>
  <c r="T267" i="54"/>
  <c r="T268" i="54"/>
  <c r="T269" i="54"/>
  <c r="T270" i="54"/>
  <c r="T271" i="54"/>
  <c r="T272" i="54"/>
  <c r="T273" i="54"/>
  <c r="T274" i="54"/>
  <c r="T275" i="54"/>
  <c r="T276" i="54"/>
  <c r="T277" i="54"/>
  <c r="T278" i="54"/>
  <c r="T279" i="54"/>
  <c r="T280" i="54"/>
  <c r="T281" i="54"/>
  <c r="T282" i="54"/>
  <c r="T283" i="54"/>
  <c r="T284" i="54"/>
  <c r="T285" i="54"/>
  <c r="T286" i="54"/>
  <c r="T287" i="54"/>
  <c r="T288" i="54"/>
  <c r="T289" i="54"/>
  <c r="T290" i="54"/>
  <c r="T291" i="54"/>
  <c r="T292" i="54"/>
  <c r="T293" i="54"/>
  <c r="T294" i="54"/>
  <c r="T295" i="54"/>
  <c r="T296" i="54"/>
  <c r="T297" i="54"/>
  <c r="T298" i="54"/>
  <c r="T299" i="54"/>
  <c r="T300" i="54"/>
  <c r="T301" i="54"/>
  <c r="T302" i="54"/>
  <c r="T303" i="54"/>
  <c r="T304" i="54"/>
  <c r="T305" i="54"/>
  <c r="T306" i="54"/>
  <c r="T307" i="54"/>
  <c r="T308" i="54"/>
  <c r="T309" i="54"/>
  <c r="T310" i="54"/>
  <c r="T311" i="54"/>
  <c r="T312" i="54"/>
  <c r="T313" i="54"/>
  <c r="T314" i="54"/>
  <c r="T315" i="54"/>
  <c r="T316" i="54"/>
  <c r="T317" i="54"/>
  <c r="T318" i="54"/>
  <c r="T319" i="54"/>
  <c r="T320" i="54"/>
  <c r="T321" i="54"/>
  <c r="T322" i="54"/>
  <c r="T323" i="54"/>
  <c r="T324" i="54"/>
  <c r="T325" i="54"/>
  <c r="T326" i="54"/>
  <c r="T327" i="54"/>
  <c r="T328" i="54"/>
  <c r="T329" i="54"/>
  <c r="T330" i="54"/>
  <c r="T331" i="54"/>
  <c r="T332" i="54"/>
  <c r="T333" i="54"/>
  <c r="T334" i="54"/>
  <c r="T335" i="54"/>
  <c r="T336" i="54"/>
  <c r="T337" i="54"/>
  <c r="T338" i="54"/>
  <c r="T339" i="54"/>
  <c r="T340" i="54"/>
  <c r="T341" i="54"/>
  <c r="T342" i="54"/>
  <c r="T343" i="54"/>
  <c r="T344" i="54"/>
  <c r="T345" i="54"/>
  <c r="T346" i="54"/>
  <c r="T347" i="54"/>
  <c r="T348" i="54"/>
  <c r="T349" i="54"/>
  <c r="T350" i="54"/>
  <c r="T351" i="54"/>
  <c r="T352" i="54"/>
  <c r="T353" i="54"/>
  <c r="T354" i="54"/>
  <c r="T355" i="54"/>
  <c r="T356" i="54"/>
  <c r="T357" i="54"/>
  <c r="T358" i="54"/>
  <c r="T359" i="54"/>
  <c r="T360" i="54"/>
  <c r="T361" i="54"/>
  <c r="T362" i="54"/>
  <c r="T363" i="54"/>
  <c r="T364" i="54"/>
  <c r="T365" i="54"/>
  <c r="T366" i="54"/>
  <c r="T367" i="54"/>
  <c r="T368" i="54"/>
  <c r="T369" i="54"/>
  <c r="T370" i="54"/>
  <c r="T371" i="54"/>
  <c r="T372" i="54"/>
  <c r="T373" i="54"/>
  <c r="T374" i="54"/>
  <c r="T375" i="54"/>
  <c r="T376" i="54"/>
  <c r="T377" i="54"/>
  <c r="T378" i="54"/>
  <c r="T379" i="54"/>
  <c r="T380" i="54"/>
  <c r="T381" i="54"/>
  <c r="T382" i="54"/>
  <c r="T383" i="54"/>
  <c r="T384" i="54"/>
  <c r="T385" i="54"/>
  <c r="T386" i="54"/>
  <c r="T387" i="54"/>
  <c r="T388" i="54"/>
  <c r="T389" i="54"/>
  <c r="T390" i="54"/>
  <c r="T391" i="54"/>
  <c r="T392" i="54"/>
  <c r="T393" i="54"/>
  <c r="T394" i="54"/>
  <c r="T395" i="54"/>
  <c r="T396" i="54"/>
  <c r="T397" i="54"/>
  <c r="T398" i="54"/>
  <c r="T399" i="54"/>
  <c r="T400" i="54"/>
  <c r="T401" i="54"/>
  <c r="T402" i="54"/>
  <c r="T403" i="54"/>
  <c r="T404" i="54"/>
  <c r="T405" i="54"/>
  <c r="T406" i="54"/>
  <c r="T407" i="54"/>
  <c r="T408" i="54"/>
  <c r="T409" i="54"/>
  <c r="T410" i="54"/>
  <c r="T411" i="54"/>
  <c r="T412" i="54"/>
  <c r="T413" i="54"/>
  <c r="T414" i="54"/>
  <c r="T415" i="54"/>
  <c r="T416" i="54"/>
  <c r="T417" i="54"/>
  <c r="T418" i="54"/>
  <c r="T419" i="54"/>
  <c r="T420" i="54"/>
  <c r="T421" i="54"/>
  <c r="T422" i="54"/>
  <c r="T423" i="54"/>
  <c r="T424" i="54"/>
  <c r="T425" i="54"/>
  <c r="T426" i="54"/>
  <c r="T427" i="54"/>
  <c r="T428" i="54"/>
  <c r="T429" i="54"/>
  <c r="T430" i="54"/>
  <c r="T431" i="54"/>
  <c r="T432" i="54"/>
  <c r="T433" i="54"/>
  <c r="T434" i="54"/>
  <c r="T435" i="54"/>
  <c r="T436" i="54"/>
  <c r="T437" i="54"/>
  <c r="T438" i="54"/>
  <c r="T439" i="54"/>
  <c r="T440" i="54"/>
  <c r="T441" i="54"/>
  <c r="T442" i="54"/>
  <c r="T443" i="54"/>
  <c r="T444" i="54"/>
  <c r="T445" i="54"/>
  <c r="T446" i="54"/>
  <c r="T447" i="54"/>
  <c r="T448" i="54"/>
  <c r="T449" i="54"/>
  <c r="T450" i="54"/>
  <c r="T451" i="54"/>
  <c r="T452" i="54"/>
  <c r="T453" i="54"/>
  <c r="T454" i="54"/>
  <c r="T455" i="54"/>
  <c r="T456" i="54"/>
  <c r="T457" i="54"/>
  <c r="T458" i="54"/>
  <c r="T459" i="54"/>
  <c r="T460" i="54"/>
  <c r="T461" i="54"/>
  <c r="T462" i="54"/>
  <c r="T463" i="54"/>
  <c r="T464" i="54"/>
  <c r="T465" i="54"/>
  <c r="T466" i="54"/>
  <c r="T467" i="54"/>
  <c r="T468" i="54"/>
  <c r="T469" i="54"/>
  <c r="T470" i="54"/>
  <c r="T471" i="54"/>
  <c r="T472" i="54"/>
  <c r="T473" i="54"/>
  <c r="T474" i="54"/>
  <c r="T475" i="54"/>
  <c r="T476" i="54"/>
  <c r="T477" i="54"/>
  <c r="T478" i="54"/>
  <c r="T479" i="54"/>
  <c r="T480" i="54"/>
  <c r="T481" i="54"/>
  <c r="T482" i="54"/>
  <c r="T483" i="54"/>
  <c r="T484" i="54"/>
  <c r="T485" i="54"/>
  <c r="T486" i="54"/>
  <c r="T487" i="54"/>
  <c r="T488" i="54"/>
  <c r="T489" i="54"/>
  <c r="T490" i="54"/>
  <c r="T491" i="54"/>
  <c r="T492" i="54"/>
  <c r="T493" i="54"/>
  <c r="T494" i="54"/>
  <c r="T495" i="54"/>
  <c r="T496" i="54"/>
  <c r="T497" i="54"/>
  <c r="T498" i="54"/>
  <c r="T499" i="54"/>
  <c r="T500" i="54"/>
  <c r="T501" i="54"/>
  <c r="T502" i="54"/>
  <c r="T503" i="54"/>
  <c r="T504" i="54"/>
  <c r="T505" i="54"/>
  <c r="T506" i="54"/>
  <c r="T507" i="54"/>
  <c r="T508" i="54"/>
  <c r="T509" i="54"/>
  <c r="T510" i="54"/>
  <c r="T511" i="54"/>
  <c r="T512" i="54"/>
  <c r="T513" i="54"/>
  <c r="T514" i="54"/>
  <c r="T515" i="54"/>
  <c r="T516" i="54"/>
  <c r="T517" i="54"/>
  <c r="T518" i="54"/>
  <c r="T519" i="54"/>
  <c r="T520" i="54"/>
  <c r="T521" i="54"/>
  <c r="T522" i="54"/>
  <c r="T523" i="54"/>
  <c r="T524" i="54"/>
  <c r="T525" i="54"/>
  <c r="T526" i="54"/>
  <c r="T527" i="54"/>
  <c r="T528" i="54"/>
  <c r="T529" i="54"/>
  <c r="T530" i="54"/>
  <c r="T531" i="54"/>
  <c r="T532" i="54"/>
  <c r="T533" i="54"/>
  <c r="T534" i="54"/>
  <c r="T535" i="54"/>
  <c r="T536" i="54"/>
  <c r="T537" i="54"/>
  <c r="T538" i="54"/>
  <c r="T539" i="54"/>
  <c r="T540" i="54"/>
  <c r="T541" i="54"/>
  <c r="T542" i="54"/>
  <c r="T543" i="54"/>
  <c r="T544" i="54"/>
  <c r="T545" i="54"/>
  <c r="T546" i="54"/>
  <c r="T547" i="54"/>
  <c r="T548" i="54"/>
  <c r="T549" i="54"/>
  <c r="T550" i="54"/>
  <c r="T551" i="54"/>
  <c r="T552" i="54"/>
  <c r="T553" i="54"/>
  <c r="T554" i="54"/>
  <c r="T555" i="54"/>
  <c r="T556" i="54"/>
  <c r="T557" i="54"/>
  <c r="T558" i="54"/>
  <c r="T559" i="54"/>
  <c r="T560" i="54"/>
  <c r="T561" i="54"/>
  <c r="T562" i="54"/>
  <c r="T563" i="54"/>
  <c r="T564" i="54"/>
  <c r="T565" i="54"/>
  <c r="T566" i="54"/>
  <c r="T567" i="54"/>
  <c r="T568" i="54"/>
  <c r="T569" i="54"/>
  <c r="T570" i="54"/>
  <c r="T571" i="54"/>
  <c r="T572" i="54"/>
  <c r="T573" i="54"/>
  <c r="T574" i="54"/>
  <c r="T575" i="54"/>
  <c r="T576" i="54"/>
  <c r="T577" i="54"/>
  <c r="T578" i="54"/>
  <c r="T579" i="54"/>
  <c r="T580" i="54"/>
  <c r="T581" i="54"/>
  <c r="T582" i="54"/>
  <c r="T583" i="54"/>
  <c r="T584" i="54"/>
  <c r="T585" i="54"/>
  <c r="T586" i="54"/>
  <c r="T587" i="54"/>
  <c r="T588" i="54"/>
  <c r="T589" i="54"/>
  <c r="T590" i="54"/>
  <c r="T591" i="54"/>
  <c r="T592" i="54"/>
  <c r="T593" i="54"/>
  <c r="T594" i="54"/>
  <c r="T595" i="54"/>
  <c r="T596" i="54"/>
  <c r="T597" i="54"/>
  <c r="T598" i="54"/>
  <c r="T599" i="54"/>
  <c r="T600" i="54"/>
  <c r="T601" i="54"/>
  <c r="T602" i="54"/>
  <c r="D15" i="54"/>
  <c r="D16" i="54"/>
  <c r="D17" i="54"/>
  <c r="D18" i="54"/>
  <c r="D19" i="54"/>
  <c r="D20" i="54"/>
  <c r="D21" i="54"/>
  <c r="D22" i="54"/>
  <c r="D23" i="54"/>
  <c r="D24" i="54"/>
  <c r="D25" i="54"/>
  <c r="D26" i="54"/>
  <c r="D27" i="54"/>
  <c r="D28" i="54"/>
  <c r="D29" i="54"/>
  <c r="D30" i="54"/>
  <c r="D31" i="54"/>
  <c r="D32" i="54"/>
  <c r="D33" i="54"/>
  <c r="D34" i="54"/>
  <c r="D35" i="54"/>
  <c r="D36" i="54"/>
  <c r="D37" i="54"/>
  <c r="D38" i="54"/>
  <c r="D39" i="54"/>
  <c r="D40" i="54"/>
  <c r="D41" i="54"/>
  <c r="D42" i="54"/>
  <c r="D43" i="54"/>
  <c r="D44" i="54"/>
  <c r="D45" i="54"/>
  <c r="D46" i="54"/>
  <c r="D47" i="54"/>
  <c r="D48" i="54"/>
  <c r="D49" i="54"/>
  <c r="D50" i="54"/>
  <c r="D51" i="54"/>
  <c r="D52" i="54"/>
  <c r="D53" i="54"/>
  <c r="D54" i="54"/>
  <c r="D55" i="54"/>
  <c r="D56" i="54"/>
  <c r="D57" i="54"/>
  <c r="D58" i="54"/>
  <c r="D59" i="54"/>
  <c r="D60" i="54"/>
  <c r="D61" i="54"/>
  <c r="D62" i="54"/>
  <c r="D63" i="54"/>
  <c r="D64" i="54"/>
  <c r="D65" i="54"/>
  <c r="D66" i="54"/>
  <c r="D67" i="54"/>
  <c r="D68" i="54"/>
  <c r="D69" i="54"/>
  <c r="D70" i="54"/>
  <c r="D71" i="54"/>
  <c r="D72" i="54"/>
  <c r="D73" i="54"/>
  <c r="D74" i="54"/>
  <c r="D75" i="54"/>
  <c r="D76" i="54"/>
  <c r="D77" i="54"/>
  <c r="D78" i="54"/>
  <c r="D79" i="54"/>
  <c r="D80" i="54"/>
  <c r="D81" i="54"/>
  <c r="D82" i="54"/>
  <c r="D83" i="54"/>
  <c r="D84" i="54"/>
  <c r="D85" i="54"/>
  <c r="D86" i="54"/>
  <c r="D87" i="54"/>
  <c r="D88" i="54"/>
  <c r="D89" i="54"/>
  <c r="D90" i="54"/>
  <c r="D91" i="54"/>
  <c r="D92" i="54"/>
  <c r="D93" i="54"/>
  <c r="D94" i="54"/>
  <c r="D95" i="54"/>
  <c r="D96" i="54"/>
  <c r="D97" i="54"/>
  <c r="D98" i="54"/>
  <c r="D99" i="54"/>
  <c r="D100" i="54"/>
  <c r="D101" i="54"/>
  <c r="D102" i="54"/>
  <c r="D103" i="54"/>
  <c r="D104" i="54"/>
  <c r="D105" i="54"/>
  <c r="D106" i="54"/>
  <c r="D107" i="54"/>
  <c r="D108" i="54"/>
  <c r="D109" i="54"/>
  <c r="D110" i="54"/>
  <c r="D111" i="54"/>
  <c r="D112" i="54"/>
  <c r="D113" i="54"/>
  <c r="D114" i="54"/>
  <c r="D115" i="54"/>
  <c r="D116" i="54"/>
  <c r="D117" i="54"/>
  <c r="D118" i="54"/>
  <c r="D119" i="54"/>
  <c r="D120" i="54"/>
  <c r="D121" i="54"/>
  <c r="D122" i="54"/>
  <c r="D123" i="54"/>
  <c r="D124" i="54"/>
  <c r="D125" i="54"/>
  <c r="D126" i="54"/>
  <c r="D127" i="54"/>
  <c r="D128" i="54"/>
  <c r="D129" i="54"/>
  <c r="D130" i="54"/>
  <c r="D131" i="54"/>
  <c r="Q131" i="54" s="1"/>
  <c r="D133" i="54"/>
  <c r="D134" i="54"/>
  <c r="D135" i="54"/>
  <c r="D136" i="54"/>
  <c r="D137" i="54"/>
  <c r="D138" i="54"/>
  <c r="D139" i="54"/>
  <c r="D140" i="54"/>
  <c r="D141" i="54"/>
  <c r="D142" i="54"/>
  <c r="D143" i="54"/>
  <c r="D144" i="54"/>
  <c r="D145" i="54"/>
  <c r="D146" i="54"/>
  <c r="D147" i="54"/>
  <c r="D148" i="54"/>
  <c r="D149" i="54"/>
  <c r="D150" i="54"/>
  <c r="D151" i="54"/>
  <c r="D152" i="54"/>
  <c r="D153" i="54"/>
  <c r="D154" i="54"/>
  <c r="D155" i="54"/>
  <c r="D156" i="54"/>
  <c r="D157" i="54"/>
  <c r="D158" i="54"/>
  <c r="D159" i="54"/>
  <c r="D160" i="54"/>
  <c r="D161" i="54"/>
  <c r="D162" i="54"/>
  <c r="D163" i="54"/>
  <c r="D164" i="54"/>
  <c r="D165" i="54"/>
  <c r="D166" i="54"/>
  <c r="D167" i="54"/>
  <c r="D168" i="54"/>
  <c r="D169" i="54"/>
  <c r="D170" i="54"/>
  <c r="D171" i="54"/>
  <c r="D172" i="54"/>
  <c r="D173" i="54"/>
  <c r="D174" i="54"/>
  <c r="D175" i="54"/>
  <c r="D176" i="54"/>
  <c r="D177" i="54"/>
  <c r="D178" i="54"/>
  <c r="D179" i="54"/>
  <c r="D180" i="54"/>
  <c r="D181" i="54"/>
  <c r="D182" i="54"/>
  <c r="D183" i="54"/>
  <c r="D184" i="54"/>
  <c r="D185" i="54"/>
  <c r="D186" i="54"/>
  <c r="D187" i="54"/>
  <c r="D188" i="54"/>
  <c r="D189" i="54"/>
  <c r="D190" i="54"/>
  <c r="D191" i="54"/>
  <c r="D192" i="54"/>
  <c r="D193" i="54"/>
  <c r="D194" i="54"/>
  <c r="D195" i="54"/>
  <c r="D196" i="54"/>
  <c r="D197" i="54"/>
  <c r="D198" i="54"/>
  <c r="D199" i="54"/>
  <c r="D200" i="54"/>
  <c r="D201" i="54"/>
  <c r="D202" i="54"/>
  <c r="D203" i="54"/>
  <c r="D204" i="54"/>
  <c r="D205" i="54"/>
  <c r="D206" i="54"/>
  <c r="D207" i="54"/>
  <c r="D208" i="54"/>
  <c r="D209" i="54"/>
  <c r="D210" i="54"/>
  <c r="D211" i="54"/>
  <c r="D212" i="54"/>
  <c r="D213" i="54"/>
  <c r="D214" i="54"/>
  <c r="D215" i="54"/>
  <c r="D216" i="54"/>
  <c r="D217" i="54"/>
  <c r="D218" i="54"/>
  <c r="D219" i="54"/>
  <c r="D220" i="54"/>
  <c r="D221" i="54"/>
  <c r="D222" i="54"/>
  <c r="D223" i="54"/>
  <c r="D224" i="54"/>
  <c r="D225" i="54"/>
  <c r="D226" i="54"/>
  <c r="D227" i="54"/>
  <c r="D228" i="54"/>
  <c r="D229" i="54"/>
  <c r="D230" i="54"/>
  <c r="D231" i="54"/>
  <c r="D232" i="54"/>
  <c r="D233" i="54"/>
  <c r="D234" i="54"/>
  <c r="D235" i="54"/>
  <c r="D236" i="54"/>
  <c r="D237" i="54"/>
  <c r="D238" i="54"/>
  <c r="D239" i="54"/>
  <c r="D240" i="54"/>
  <c r="D241" i="54"/>
  <c r="D242" i="54"/>
  <c r="D243" i="54"/>
  <c r="D244" i="54"/>
  <c r="D245" i="54"/>
  <c r="D246" i="54"/>
  <c r="D247" i="54"/>
  <c r="D248" i="54"/>
  <c r="D249" i="54"/>
  <c r="D250" i="54"/>
  <c r="D251" i="54"/>
  <c r="D252" i="54"/>
  <c r="D253" i="54"/>
  <c r="D254" i="54"/>
  <c r="D255" i="54"/>
  <c r="D256" i="54"/>
  <c r="D257" i="54"/>
  <c r="D258" i="54"/>
  <c r="D259" i="54"/>
  <c r="D260" i="54"/>
  <c r="D261" i="54"/>
  <c r="D262" i="54"/>
  <c r="D263" i="54"/>
  <c r="D264" i="54"/>
  <c r="D265" i="54"/>
  <c r="D266" i="54"/>
  <c r="D267" i="54"/>
  <c r="D268" i="54"/>
  <c r="D269" i="54"/>
  <c r="D270" i="54"/>
  <c r="D271" i="54"/>
  <c r="D272" i="54"/>
  <c r="D273" i="54"/>
  <c r="D274" i="54"/>
  <c r="D275" i="54"/>
  <c r="D276" i="54"/>
  <c r="D277" i="54"/>
  <c r="D278" i="54"/>
  <c r="D279" i="54"/>
  <c r="D280" i="54"/>
  <c r="D281" i="54"/>
  <c r="D282" i="54"/>
  <c r="D283" i="54"/>
  <c r="D284" i="54"/>
  <c r="D285" i="54"/>
  <c r="D286" i="54"/>
  <c r="D287" i="54"/>
  <c r="D288" i="54"/>
  <c r="D289" i="54"/>
  <c r="D290" i="54"/>
  <c r="D291" i="54"/>
  <c r="D292" i="54"/>
  <c r="D293" i="54"/>
  <c r="D294" i="54"/>
  <c r="D295" i="54"/>
  <c r="D296" i="54"/>
  <c r="D297" i="54"/>
  <c r="D298" i="54"/>
  <c r="D299" i="54"/>
  <c r="D300" i="54"/>
  <c r="D301" i="54"/>
  <c r="D302" i="54"/>
  <c r="D303" i="54"/>
  <c r="D304" i="54"/>
  <c r="D305" i="54"/>
  <c r="D306" i="54"/>
  <c r="D307" i="54"/>
  <c r="D308" i="54"/>
  <c r="D309" i="54"/>
  <c r="D310" i="54"/>
  <c r="D311" i="54"/>
  <c r="D312" i="54"/>
  <c r="D313" i="54"/>
  <c r="D314" i="54"/>
  <c r="D315" i="54"/>
  <c r="D316" i="54"/>
  <c r="D317" i="54"/>
  <c r="D318" i="54"/>
  <c r="D319" i="54"/>
  <c r="D320" i="54"/>
  <c r="D321" i="54"/>
  <c r="D322" i="54"/>
  <c r="D323" i="54"/>
  <c r="D324" i="54"/>
  <c r="D325" i="54"/>
  <c r="D326" i="54"/>
  <c r="D327" i="54"/>
  <c r="D328" i="54"/>
  <c r="D329" i="54"/>
  <c r="D330" i="54"/>
  <c r="D331" i="54"/>
  <c r="D332" i="54"/>
  <c r="D333" i="54"/>
  <c r="D334" i="54"/>
  <c r="D335" i="54"/>
  <c r="D336" i="54"/>
  <c r="D337" i="54"/>
  <c r="D338" i="54"/>
  <c r="D339" i="54"/>
  <c r="D340" i="54"/>
  <c r="D341" i="54"/>
  <c r="D342" i="54"/>
  <c r="D343" i="54"/>
  <c r="D344" i="54"/>
  <c r="D345" i="54"/>
  <c r="D346" i="54"/>
  <c r="D347" i="54"/>
  <c r="D348" i="54"/>
  <c r="D349" i="54"/>
  <c r="D350" i="54"/>
  <c r="D351" i="54"/>
  <c r="D352" i="54"/>
  <c r="D353" i="54"/>
  <c r="D354" i="54"/>
  <c r="D355" i="54"/>
  <c r="D356" i="54"/>
  <c r="D357" i="54"/>
  <c r="D358" i="54"/>
  <c r="D359" i="54"/>
  <c r="D360" i="54"/>
  <c r="D361" i="54"/>
  <c r="D362" i="54"/>
  <c r="D363" i="54"/>
  <c r="D364" i="54"/>
  <c r="D365" i="54"/>
  <c r="D366" i="54"/>
  <c r="D367" i="54"/>
  <c r="D368" i="54"/>
  <c r="D369" i="54"/>
  <c r="D370" i="54"/>
  <c r="D371" i="54"/>
  <c r="D372" i="54"/>
  <c r="D373" i="54"/>
  <c r="D374" i="54"/>
  <c r="D375" i="54"/>
  <c r="D376" i="54"/>
  <c r="D377" i="54"/>
  <c r="D378" i="54"/>
  <c r="D379" i="54"/>
  <c r="D380" i="54"/>
  <c r="D381" i="54"/>
  <c r="D382" i="54"/>
  <c r="D383" i="54"/>
  <c r="D384" i="54"/>
  <c r="D385" i="54"/>
  <c r="D386" i="54"/>
  <c r="D387" i="54"/>
  <c r="D388" i="54"/>
  <c r="D389" i="54"/>
  <c r="D390" i="54"/>
  <c r="D391" i="54"/>
  <c r="D392" i="54"/>
  <c r="D393" i="54"/>
  <c r="D394" i="54"/>
  <c r="D395" i="54"/>
  <c r="D396" i="54"/>
  <c r="D397" i="54"/>
  <c r="D398" i="54"/>
  <c r="D399" i="54"/>
  <c r="D400" i="54"/>
  <c r="D401" i="54"/>
  <c r="D402" i="54"/>
  <c r="D403" i="54"/>
  <c r="D404" i="54"/>
  <c r="D405" i="54"/>
  <c r="D406" i="54"/>
  <c r="D407" i="54"/>
  <c r="D408" i="54"/>
  <c r="D409" i="54"/>
  <c r="D410" i="54"/>
  <c r="D411" i="54"/>
  <c r="D412" i="54"/>
  <c r="D413" i="54"/>
  <c r="D414" i="54"/>
  <c r="D415" i="54"/>
  <c r="D416" i="54"/>
  <c r="D417" i="54"/>
  <c r="D418" i="54"/>
  <c r="D419" i="54"/>
  <c r="D420" i="54"/>
  <c r="D421" i="54"/>
  <c r="D422" i="54"/>
  <c r="D423" i="54"/>
  <c r="D424" i="54"/>
  <c r="D425" i="54"/>
  <c r="D426" i="54"/>
  <c r="D427" i="54"/>
  <c r="D428" i="54"/>
  <c r="D429" i="54"/>
  <c r="D430" i="54"/>
  <c r="D431" i="54"/>
  <c r="D432" i="54"/>
  <c r="D433" i="54"/>
  <c r="D434" i="54"/>
  <c r="D435" i="54"/>
  <c r="D436" i="54"/>
  <c r="D437" i="54"/>
  <c r="D438" i="54"/>
  <c r="D439" i="54"/>
  <c r="D440" i="54"/>
  <c r="D441" i="54"/>
  <c r="D442" i="54"/>
  <c r="D443" i="54"/>
  <c r="D444" i="54"/>
  <c r="D445" i="54"/>
  <c r="D446" i="54"/>
  <c r="D447" i="54"/>
  <c r="D448" i="54"/>
  <c r="D449" i="54"/>
  <c r="D450" i="54"/>
  <c r="D451" i="54"/>
  <c r="D452" i="54"/>
  <c r="D453" i="54"/>
  <c r="D454" i="54"/>
  <c r="D455" i="54"/>
  <c r="D456" i="54"/>
  <c r="D457" i="54"/>
  <c r="D458" i="54"/>
  <c r="D459" i="54"/>
  <c r="D460" i="54"/>
  <c r="D461" i="54"/>
  <c r="D462" i="54"/>
  <c r="D463" i="54"/>
  <c r="D464" i="54"/>
  <c r="D465" i="54"/>
  <c r="D466" i="54"/>
  <c r="D467" i="54"/>
  <c r="D468" i="54"/>
  <c r="D469" i="54"/>
  <c r="D470" i="54"/>
  <c r="D471" i="54"/>
  <c r="D472" i="54"/>
  <c r="D473" i="54"/>
  <c r="D474" i="54"/>
  <c r="D475" i="54"/>
  <c r="D476" i="54"/>
  <c r="D477" i="54"/>
  <c r="D478" i="54"/>
  <c r="D479" i="54"/>
  <c r="D480" i="54"/>
  <c r="D481" i="54"/>
  <c r="D482" i="54"/>
  <c r="D483" i="54"/>
  <c r="D484" i="54"/>
  <c r="D485" i="54"/>
  <c r="D486" i="54"/>
  <c r="D487" i="54"/>
  <c r="D488" i="54"/>
  <c r="D489" i="54"/>
  <c r="D490" i="54"/>
  <c r="D491" i="54"/>
  <c r="D492" i="54"/>
  <c r="D493" i="54"/>
  <c r="D494" i="54"/>
  <c r="D495" i="54"/>
  <c r="D496" i="54"/>
  <c r="D497" i="54"/>
  <c r="D498" i="54"/>
  <c r="D499" i="54"/>
  <c r="D500" i="54"/>
  <c r="D501" i="54"/>
  <c r="D502" i="54"/>
  <c r="D503" i="54"/>
  <c r="D504" i="54"/>
  <c r="D505" i="54"/>
  <c r="D506" i="54"/>
  <c r="D507" i="54"/>
  <c r="D508" i="54"/>
  <c r="D509" i="54"/>
  <c r="D510" i="54"/>
  <c r="D511" i="54"/>
  <c r="D512" i="54"/>
  <c r="D513" i="54"/>
  <c r="D514" i="54"/>
  <c r="D515" i="54"/>
  <c r="D516" i="54"/>
  <c r="D517" i="54"/>
  <c r="D518" i="54"/>
  <c r="D519" i="54"/>
  <c r="D520" i="54"/>
  <c r="D521" i="54"/>
  <c r="D522" i="54"/>
  <c r="D523" i="54"/>
  <c r="D524" i="54"/>
  <c r="D525" i="54"/>
  <c r="D526" i="54"/>
  <c r="D527" i="54"/>
  <c r="D528" i="54"/>
  <c r="D529" i="54"/>
  <c r="D530" i="54"/>
  <c r="D531" i="54"/>
  <c r="D532" i="54"/>
  <c r="D533" i="54"/>
  <c r="D534" i="54"/>
  <c r="D535" i="54"/>
  <c r="D536" i="54"/>
  <c r="D537" i="54"/>
  <c r="D538" i="54"/>
  <c r="D539" i="54"/>
  <c r="D540" i="54"/>
  <c r="D541" i="54"/>
  <c r="D542" i="54"/>
  <c r="D543" i="54"/>
  <c r="D544" i="54"/>
  <c r="D545" i="54"/>
  <c r="D546" i="54"/>
  <c r="D547" i="54"/>
  <c r="D548" i="54"/>
  <c r="D549" i="54"/>
  <c r="D550" i="54"/>
  <c r="D551" i="54"/>
  <c r="D552" i="54"/>
  <c r="D553" i="54"/>
  <c r="D554" i="54"/>
  <c r="D555" i="54"/>
  <c r="D556" i="54"/>
  <c r="D557" i="54"/>
  <c r="D558" i="54"/>
  <c r="D559" i="54"/>
  <c r="D560" i="54"/>
  <c r="D561" i="54"/>
  <c r="D562" i="54"/>
  <c r="D563" i="54"/>
  <c r="D564" i="54"/>
  <c r="D565" i="54"/>
  <c r="D566" i="54"/>
  <c r="D567" i="54"/>
  <c r="D568" i="54"/>
  <c r="D569" i="54"/>
  <c r="D570" i="54"/>
  <c r="D571" i="54"/>
  <c r="D572" i="54"/>
  <c r="D573" i="54"/>
  <c r="D574" i="54"/>
  <c r="D575" i="54"/>
  <c r="D576" i="54"/>
  <c r="D577" i="54"/>
  <c r="D578" i="54"/>
  <c r="D579" i="54"/>
  <c r="D580" i="54"/>
  <c r="D581" i="54"/>
  <c r="D582" i="54"/>
  <c r="D583" i="54"/>
  <c r="D584" i="54"/>
  <c r="D585" i="54"/>
  <c r="D586" i="54"/>
  <c r="D587" i="54"/>
  <c r="D588" i="54"/>
  <c r="D589" i="54"/>
  <c r="D590" i="54"/>
  <c r="D591" i="54"/>
  <c r="D592" i="54"/>
  <c r="D593" i="54"/>
  <c r="D594" i="54"/>
  <c r="D595" i="54"/>
  <c r="D596" i="54"/>
  <c r="D597" i="54"/>
  <c r="D598" i="54"/>
  <c r="D599" i="54"/>
  <c r="D600" i="54"/>
  <c r="D601" i="54"/>
  <c r="D602" i="54"/>
  <c r="D14" i="54"/>
  <c r="B18" i="24"/>
  <c r="N23" i="54"/>
  <c r="N24" i="54"/>
  <c r="N25" i="54"/>
  <c r="N26" i="54"/>
  <c r="N27" i="54"/>
  <c r="N28" i="54"/>
  <c r="N29" i="54"/>
  <c r="N30" i="54"/>
  <c r="N31" i="54"/>
  <c r="M121" i="6"/>
  <c r="O122" i="6"/>
  <c r="M122" i="6"/>
  <c r="M3" i="11"/>
  <c r="M4" i="11"/>
  <c r="M5" i="11"/>
  <c r="M6" i="11"/>
  <c r="M7" i="11"/>
  <c r="M8" i="11"/>
  <c r="M9" i="11"/>
  <c r="M10" i="11"/>
  <c r="M11" i="11"/>
  <c r="M12" i="11"/>
  <c r="M13" i="11"/>
  <c r="M14" i="11"/>
  <c r="M15" i="11"/>
  <c r="M16" i="11"/>
  <c r="M17" i="11"/>
  <c r="M18" i="11"/>
  <c r="M19" i="11"/>
  <c r="M20" i="11"/>
  <c r="M21" i="11"/>
  <c r="M22"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O119" i="11"/>
  <c r="N602" i="54" l="1"/>
  <c r="N601" i="54"/>
  <c r="N600" i="54"/>
  <c r="N599" i="54"/>
  <c r="N595" i="54"/>
  <c r="N594" i="54"/>
  <c r="N593" i="54"/>
  <c r="N591" i="54"/>
  <c r="N589" i="54"/>
  <c r="N586" i="54"/>
  <c r="N585" i="54"/>
  <c r="N584" i="54"/>
  <c r="N583" i="54"/>
  <c r="N582" i="54"/>
  <c r="N581" i="54"/>
  <c r="N580" i="54"/>
  <c r="N579" i="54"/>
  <c r="N578" i="54"/>
  <c r="N577" i="54"/>
  <c r="N571" i="54"/>
  <c r="N569" i="54"/>
  <c r="N568" i="54"/>
  <c r="N567" i="54"/>
  <c r="N566" i="54"/>
  <c r="N563" i="54"/>
  <c r="N561" i="54"/>
  <c r="N554" i="54"/>
  <c r="N530" i="54"/>
  <c r="N527" i="54"/>
  <c r="N526" i="54"/>
  <c r="N525" i="54"/>
  <c r="N524" i="54"/>
  <c r="N523" i="54"/>
  <c r="N517" i="54"/>
  <c r="N516" i="54"/>
  <c r="N515" i="54"/>
  <c r="N509" i="54"/>
  <c r="N508" i="54"/>
  <c r="N507" i="54"/>
  <c r="N506" i="54"/>
  <c r="N505" i="54"/>
  <c r="N504" i="54"/>
  <c r="N503" i="54"/>
  <c r="N502" i="54"/>
  <c r="N501" i="54"/>
  <c r="N498" i="54"/>
  <c r="N455" i="54"/>
  <c r="N454" i="54"/>
  <c r="N453" i="54"/>
  <c r="N452" i="54"/>
  <c r="N449" i="54"/>
  <c r="N448" i="54"/>
  <c r="N441" i="54"/>
  <c r="N439" i="54"/>
  <c r="N438" i="54"/>
  <c r="N437" i="54"/>
  <c r="N436" i="54"/>
  <c r="N434" i="54"/>
  <c r="N430" i="54"/>
  <c r="N429" i="54"/>
  <c r="N422" i="54"/>
  <c r="N421" i="54"/>
  <c r="N419" i="54"/>
  <c r="N416" i="54"/>
  <c r="N409" i="54"/>
  <c r="N402" i="54"/>
  <c r="N401" i="54"/>
  <c r="N400" i="54"/>
  <c r="N399" i="54"/>
  <c r="N398" i="54"/>
  <c r="N396" i="54"/>
  <c r="N395" i="54"/>
  <c r="N394" i="54"/>
  <c r="N393" i="54"/>
  <c r="N392" i="54"/>
  <c r="N391" i="54"/>
  <c r="N384" i="54"/>
  <c r="N382" i="54"/>
  <c r="N374" i="54"/>
  <c r="N367" i="54"/>
  <c r="N342" i="54"/>
  <c r="N341" i="54"/>
  <c r="N340" i="54"/>
  <c r="N339" i="54"/>
  <c r="N337" i="54"/>
  <c r="N332" i="54"/>
  <c r="N331" i="54"/>
  <c r="N330" i="54"/>
  <c r="N328" i="54"/>
  <c r="N326" i="54"/>
  <c r="N325" i="54"/>
  <c r="N324" i="54"/>
  <c r="N322" i="54"/>
  <c r="N321" i="54"/>
  <c r="N318" i="54"/>
  <c r="N315" i="54"/>
  <c r="N314" i="54"/>
  <c r="N313" i="54"/>
  <c r="N311" i="54"/>
  <c r="N310" i="54"/>
  <c r="N309" i="54"/>
  <c r="N308" i="54"/>
  <c r="N307" i="54"/>
  <c r="N305" i="54"/>
  <c r="N303" i="54"/>
  <c r="N297" i="54"/>
  <c r="N285" i="54"/>
  <c r="N283" i="54"/>
  <c r="N278" i="54"/>
  <c r="N277" i="54"/>
  <c r="N276" i="54"/>
  <c r="N275" i="54"/>
  <c r="N274" i="54"/>
  <c r="N273" i="54"/>
  <c r="N272" i="54"/>
  <c r="N271" i="54"/>
  <c r="N270" i="54"/>
  <c r="N269" i="54"/>
  <c r="N268" i="54"/>
  <c r="N267" i="54"/>
  <c r="N266" i="54"/>
  <c r="N265" i="54"/>
  <c r="N264" i="54"/>
  <c r="N263" i="54"/>
  <c r="N262" i="54"/>
  <c r="N261" i="54"/>
  <c r="N260" i="54"/>
  <c r="N259" i="54"/>
  <c r="N258" i="54"/>
  <c r="N257" i="54"/>
  <c r="N256" i="54"/>
  <c r="N255" i="54"/>
  <c r="N254" i="54"/>
  <c r="N253" i="54"/>
  <c r="N251" i="54"/>
  <c r="N248" i="54"/>
  <c r="N246" i="54"/>
  <c r="N243" i="54"/>
  <c r="N238" i="54"/>
  <c r="N237" i="54"/>
  <c r="N232" i="54"/>
  <c r="N231" i="54"/>
  <c r="N230" i="54"/>
  <c r="N226" i="54"/>
  <c r="N224" i="54"/>
  <c r="N223" i="54"/>
  <c r="N222" i="54"/>
  <c r="N221" i="54"/>
  <c r="N220" i="54"/>
  <c r="N219" i="54"/>
  <c r="N218" i="54"/>
  <c r="N217" i="54"/>
  <c r="N216" i="54"/>
  <c r="N214" i="54"/>
  <c r="N212" i="54"/>
  <c r="N211" i="54"/>
  <c r="N210" i="54"/>
  <c r="N209" i="54"/>
  <c r="N208" i="54"/>
  <c r="N204" i="54"/>
  <c r="N202" i="54"/>
  <c r="N192" i="54"/>
  <c r="N191" i="54"/>
  <c r="N190" i="54"/>
  <c r="N189" i="54"/>
  <c r="N183" i="54"/>
  <c r="N180" i="54"/>
  <c r="N174" i="54"/>
  <c r="N173" i="54"/>
  <c r="N171" i="54"/>
  <c r="N170" i="54"/>
  <c r="N164" i="54"/>
  <c r="N163" i="54"/>
  <c r="N161" i="54"/>
  <c r="N160" i="54"/>
  <c r="N159" i="54"/>
  <c r="N158" i="54"/>
  <c r="N157" i="54"/>
  <c r="N152" i="54"/>
  <c r="N150" i="54"/>
  <c r="N149" i="54"/>
  <c r="N148" i="54"/>
  <c r="N141" i="54"/>
  <c r="N122" i="54"/>
  <c r="N108" i="54"/>
  <c r="N106" i="54"/>
  <c r="N95" i="54"/>
  <c r="N93" i="54"/>
  <c r="N91" i="54"/>
  <c r="N85" i="54"/>
  <c r="N82" i="54"/>
  <c r="N79" i="54"/>
  <c r="N72" i="54"/>
  <c r="N71" i="54"/>
  <c r="N70" i="54"/>
  <c r="N57" i="54"/>
  <c r="N56" i="54"/>
  <c r="N54" i="54"/>
  <c r="N52" i="54"/>
  <c r="N51" i="54"/>
  <c r="N50" i="54"/>
  <c r="N49" i="54"/>
  <c r="N47" i="54"/>
  <c r="N44" i="54"/>
  <c r="N43" i="54"/>
  <c r="N39" i="54"/>
  <c r="N38" i="54"/>
  <c r="N37" i="54"/>
  <c r="N36" i="54"/>
  <c r="N22" i="54"/>
  <c r="N21" i="54"/>
  <c r="N20" i="54"/>
  <c r="N19" i="54"/>
  <c r="N18" i="54"/>
  <c r="N17" i="54"/>
  <c r="N16" i="54"/>
  <c r="N15" i="54"/>
  <c r="N153" i="54"/>
  <c r="N162" i="54"/>
  <c r="N165" i="54"/>
  <c r="N181" i="54"/>
  <c r="N182" i="54"/>
  <c r="N239" i="54"/>
  <c r="N240" i="54"/>
  <c r="N241" i="54"/>
  <c r="N242" i="54"/>
  <c r="N252" i="54"/>
  <c r="N279" i="54"/>
  <c r="N284" i="54"/>
  <c r="N306" i="54"/>
  <c r="N327" i="54"/>
  <c r="N343" i="54"/>
  <c r="N353" i="54"/>
  <c r="N354" i="54"/>
  <c r="N355" i="54"/>
  <c r="N359" i="54"/>
  <c r="N360" i="54"/>
  <c r="N368" i="54"/>
  <c r="N371" i="54"/>
  <c r="N372" i="54"/>
  <c r="N373" i="54"/>
  <c r="N375" i="54"/>
  <c r="N376" i="54"/>
  <c r="N377" i="54"/>
  <c r="N378" i="54"/>
  <c r="N379" i="54"/>
  <c r="N381" i="54"/>
  <c r="N383" i="54"/>
  <c r="N385" i="54"/>
  <c r="N386" i="54"/>
  <c r="N387" i="54"/>
  <c r="N388" i="54"/>
  <c r="N389" i="54"/>
  <c r="N390" i="54"/>
  <c r="N404" i="54"/>
  <c r="N405" i="54"/>
  <c r="N406" i="54"/>
  <c r="N408" i="54"/>
  <c r="N410" i="54"/>
  <c r="N411" i="54"/>
  <c r="N412" i="54"/>
  <c r="N413" i="54"/>
  <c r="N414" i="54"/>
  <c r="N417" i="54"/>
  <c r="N418" i="54"/>
  <c r="N420" i="54"/>
  <c r="N426" i="54"/>
  <c r="N431" i="54"/>
  <c r="N432" i="54"/>
  <c r="N433" i="54"/>
  <c r="N443" i="54"/>
  <c r="N447" i="54"/>
  <c r="N451" i="54"/>
  <c r="N458" i="54"/>
  <c r="N459" i="54"/>
  <c r="N466" i="54"/>
  <c r="N467" i="54"/>
  <c r="N468" i="54"/>
  <c r="N472" i="54"/>
  <c r="N473" i="54"/>
  <c r="N480" i="54"/>
  <c r="N481" i="54"/>
  <c r="N482" i="54"/>
  <c r="N483" i="54"/>
  <c r="N484" i="54"/>
  <c r="N485" i="54"/>
  <c r="N486" i="54"/>
  <c r="N487" i="54"/>
  <c r="N488" i="54"/>
  <c r="N489" i="54"/>
  <c r="N490" i="54"/>
  <c r="N491" i="54"/>
  <c r="N492" i="54"/>
  <c r="N493" i="54"/>
  <c r="N494" i="54"/>
  <c r="N495" i="54"/>
  <c r="N496" i="54"/>
  <c r="N497" i="54"/>
  <c r="N529" i="54"/>
  <c r="N534" i="54"/>
  <c r="N536" i="54"/>
  <c r="N537" i="54"/>
  <c r="N544" i="54"/>
  <c r="N545" i="54"/>
  <c r="N546" i="54"/>
  <c r="N547" i="54"/>
  <c r="N553" i="54"/>
  <c r="N555" i="54"/>
  <c r="N556" i="54"/>
  <c r="N557" i="54"/>
  <c r="N558" i="54"/>
  <c r="N559" i="54"/>
  <c r="N560" i="54"/>
  <c r="N565" i="54"/>
  <c r="N572" i="54"/>
  <c r="N574" i="54"/>
  <c r="N575" i="54"/>
  <c r="N576" i="54"/>
  <c r="N592" i="54"/>
  <c r="N596" i="54"/>
  <c r="N597" i="54"/>
  <c r="M5" i="6" l="1"/>
  <c r="M6" i="6"/>
  <c r="M7" i="6"/>
  <c r="M8" i="6"/>
  <c r="M9" i="6"/>
  <c r="M10" i="6"/>
  <c r="M11" i="6"/>
  <c r="M12" i="6"/>
  <c r="M13" i="6"/>
  <c r="M14" i="6"/>
  <c r="M15" i="6"/>
  <c r="M16" i="6"/>
  <c r="M17" i="6"/>
  <c r="M18" i="6"/>
  <c r="M19" i="6"/>
  <c r="M20" i="6"/>
  <c r="M21" i="6"/>
  <c r="M26" i="6"/>
  <c r="M27" i="6"/>
  <c r="M28" i="6"/>
  <c r="M29" i="6"/>
  <c r="M30" i="6"/>
  <c r="M33" i="6"/>
  <c r="M34" i="6"/>
  <c r="M35" i="6"/>
  <c r="M36" i="6"/>
  <c r="M37" i="6"/>
  <c r="M39" i="6"/>
  <c r="M40" i="6"/>
  <c r="M41" i="6"/>
  <c r="M42" i="6"/>
  <c r="M44" i="6"/>
  <c r="M46" i="6"/>
  <c r="M47" i="6"/>
  <c r="M48" i="6"/>
  <c r="M49" i="6"/>
  <c r="M51" i="6"/>
  <c r="M52" i="6"/>
  <c r="M53" i="6"/>
  <c r="M54" i="6"/>
  <c r="M59" i="6"/>
  <c r="M60" i="6"/>
  <c r="M61" i="6"/>
  <c r="M62" i="6"/>
  <c r="M63" i="6"/>
  <c r="M64" i="6"/>
  <c r="M68" i="6"/>
  <c r="M69" i="6"/>
  <c r="M71" i="6"/>
  <c r="M72" i="6"/>
  <c r="M73" i="6"/>
  <c r="M74" i="6"/>
  <c r="M75" i="6"/>
  <c r="M76" i="6"/>
  <c r="M77" i="6"/>
  <c r="M81" i="6"/>
  <c r="M83" i="6"/>
  <c r="M85" i="6"/>
  <c r="M86" i="6"/>
  <c r="M88" i="6"/>
  <c r="M90" i="6"/>
  <c r="M92" i="6"/>
  <c r="M93" i="6"/>
  <c r="M94" i="6"/>
  <c r="M95" i="6"/>
  <c r="M96" i="6"/>
  <c r="M98" i="6"/>
  <c r="M99" i="6"/>
  <c r="M100" i="6"/>
  <c r="M101" i="6"/>
  <c r="M102" i="6"/>
  <c r="M103" i="6"/>
  <c r="M104" i="6"/>
  <c r="M109" i="6"/>
  <c r="M111" i="6"/>
  <c r="M112" i="6"/>
  <c r="M113" i="6"/>
  <c r="M114" i="6"/>
  <c r="M115" i="6"/>
  <c r="M117" i="6"/>
  <c r="M118" i="6"/>
  <c r="M119" i="6"/>
  <c r="M120" i="6"/>
  <c r="M124" i="6"/>
  <c r="M125" i="6"/>
  <c r="M126" i="6"/>
  <c r="M127" i="6"/>
  <c r="M128" i="6"/>
  <c r="M129" i="6"/>
  <c r="M130" i="6"/>
  <c r="M131" i="6"/>
  <c r="M132" i="6"/>
  <c r="M133" i="6"/>
  <c r="M134" i="6"/>
  <c r="M135" i="6"/>
  <c r="M137" i="6"/>
  <c r="M138" i="6"/>
  <c r="M139" i="6"/>
  <c r="M140" i="6"/>
  <c r="M142" i="6"/>
  <c r="M143" i="6"/>
  <c r="M144" i="6"/>
  <c r="M145" i="6"/>
  <c r="M147" i="6"/>
  <c r="M148" i="6"/>
  <c r="M149" i="6"/>
  <c r="M150" i="6"/>
  <c r="M151" i="6"/>
  <c r="M152" i="6"/>
  <c r="M153" i="6"/>
  <c r="M154" i="6"/>
  <c r="M155" i="6"/>
  <c r="M156" i="6"/>
  <c r="M157" i="6"/>
  <c r="M160" i="6"/>
  <c r="M161" i="6"/>
  <c r="M163" i="6"/>
  <c r="M164" i="6"/>
  <c r="M166" i="6"/>
  <c r="M167" i="6"/>
  <c r="M168" i="6"/>
  <c r="M170" i="6"/>
  <c r="M171" i="6"/>
  <c r="M172" i="6"/>
  <c r="M173" i="6"/>
  <c r="M174" i="6"/>
  <c r="M175" i="6"/>
  <c r="M179" i="6"/>
  <c r="M180" i="6"/>
  <c r="M181" i="6"/>
  <c r="M182" i="6"/>
  <c r="M184" i="6"/>
  <c r="M186" i="6"/>
  <c r="M187" i="6"/>
  <c r="M188" i="6"/>
  <c r="M189" i="6"/>
  <c r="M190" i="6"/>
  <c r="M192" i="6"/>
  <c r="M193" i="6"/>
  <c r="M194"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1" i="6"/>
  <c r="M273" i="6"/>
  <c r="M274" i="6"/>
  <c r="M275" i="6"/>
  <c r="M276" i="6"/>
  <c r="M277" i="6"/>
  <c r="M278" i="6"/>
  <c r="M279" i="6"/>
  <c r="M280" i="6"/>
  <c r="M281" i="6"/>
  <c r="M282" i="6"/>
  <c r="M287" i="6"/>
  <c r="M288" i="6"/>
  <c r="M289" i="6"/>
  <c r="M292" i="6"/>
  <c r="M293" i="6"/>
  <c r="M294" i="6"/>
  <c r="M295" i="6"/>
  <c r="M296" i="6"/>
  <c r="M297" i="6"/>
  <c r="M298" i="6"/>
  <c r="M299" i="6"/>
  <c r="M300" i="6"/>
  <c r="M301" i="6"/>
  <c r="M303" i="6"/>
  <c r="M304" i="6"/>
  <c r="M305" i="6"/>
  <c r="M308" i="6"/>
  <c r="M311" i="6"/>
  <c r="M312" i="6"/>
  <c r="M314" i="6"/>
  <c r="M315" i="6"/>
  <c r="M316" i="6"/>
  <c r="M317" i="6"/>
  <c r="M318" i="6"/>
  <c r="M319" i="6"/>
  <c r="M320" i="6"/>
  <c r="M321" i="6"/>
  <c r="M322" i="6"/>
  <c r="M323" i="6"/>
  <c r="M324" i="6"/>
  <c r="M327" i="6"/>
  <c r="M329" i="6"/>
  <c r="M330" i="6"/>
  <c r="M331" i="6"/>
  <c r="M332" i="6"/>
  <c r="M333" i="6"/>
  <c r="M334" i="6"/>
  <c r="M335" i="6"/>
  <c r="M336" i="6"/>
  <c r="M337" i="6"/>
  <c r="M338" i="6"/>
  <c r="M339" i="6"/>
  <c r="M343" i="6"/>
  <c r="M344" i="6"/>
  <c r="M345" i="6"/>
  <c r="M346" i="6"/>
  <c r="M347" i="6"/>
  <c r="M348" i="6"/>
  <c r="M349" i="6"/>
  <c r="M350" i="6"/>
  <c r="M357" i="6"/>
  <c r="M358" i="6"/>
  <c r="M361" i="6"/>
  <c r="M362" i="6"/>
  <c r="M363" i="6"/>
  <c r="M364" i="6"/>
  <c r="M365" i="6"/>
  <c r="M366" i="6"/>
  <c r="M367" i="6"/>
  <c r="M368" i="6"/>
  <c r="M369"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8" i="6"/>
  <c r="M399" i="6"/>
  <c r="M400" i="6"/>
  <c r="M401" i="6"/>
  <c r="M402" i="6"/>
  <c r="M403" i="6"/>
  <c r="M404" i="6"/>
  <c r="M406" i="6"/>
  <c r="M407" i="6"/>
  <c r="M408" i="6"/>
  <c r="M409" i="6"/>
  <c r="M410" i="6"/>
  <c r="M411" i="6"/>
  <c r="M412" i="6"/>
  <c r="M415" i="6"/>
  <c r="M416" i="6"/>
  <c r="M417" i="6"/>
  <c r="M418" i="6"/>
  <c r="M419" i="6"/>
  <c r="M420" i="6"/>
  <c r="M421" i="6"/>
  <c r="M422" i="6"/>
  <c r="M423" i="6"/>
  <c r="M424" i="6"/>
  <c r="M425" i="6"/>
  <c r="M426" i="6"/>
  <c r="M427" i="6"/>
  <c r="M428" i="6"/>
  <c r="M429" i="6"/>
  <c r="M430" i="6"/>
  <c r="M431" i="6"/>
  <c r="M432" i="6"/>
  <c r="M433" i="6"/>
  <c r="M436" i="6"/>
  <c r="M437" i="6"/>
  <c r="M438" i="6"/>
  <c r="M439" i="6"/>
  <c r="M441" i="6"/>
  <c r="M442" i="6"/>
  <c r="M443" i="6"/>
  <c r="M444" i="6"/>
  <c r="M445" i="6"/>
  <c r="M448" i="6"/>
  <c r="M449" i="6"/>
  <c r="M454" i="6"/>
  <c r="M456" i="6"/>
  <c r="M457" i="6"/>
  <c r="M458" i="6"/>
  <c r="M459" i="6"/>
  <c r="M460" i="6"/>
  <c r="M462" i="6"/>
  <c r="M463" i="6"/>
  <c r="M464" i="6"/>
  <c r="M465" i="6"/>
  <c r="M466" i="6"/>
  <c r="M467" i="6"/>
  <c r="M470" i="6"/>
  <c r="M471" i="6"/>
  <c r="M472" i="6"/>
  <c r="M473" i="6"/>
  <c r="M474" i="6"/>
  <c r="M475" i="6"/>
  <c r="M476" i="6"/>
  <c r="M477" i="6"/>
  <c r="M478" i="6"/>
  <c r="M479" i="6"/>
  <c r="M480" i="6"/>
  <c r="M481" i="6"/>
  <c r="M482" i="6"/>
  <c r="M483" i="6"/>
  <c r="M484" i="6"/>
  <c r="M485" i="6"/>
  <c r="M486" i="6"/>
  <c r="M487" i="6"/>
  <c r="M488" i="6"/>
  <c r="M491" i="6"/>
  <c r="M492" i="6"/>
  <c r="M493" i="6"/>
  <c r="M494" i="6"/>
  <c r="M495" i="6"/>
  <c r="M496" i="6"/>
  <c r="M497" i="6"/>
  <c r="M498" i="6"/>
  <c r="M499" i="6"/>
  <c r="M505" i="6"/>
  <c r="M506" i="6"/>
  <c r="M507" i="6"/>
  <c r="M509" i="6"/>
  <c r="M510" i="6"/>
  <c r="M511" i="6"/>
  <c r="M512" i="6"/>
  <c r="M513" i="6"/>
  <c r="M514" i="6"/>
  <c r="M515" i="6"/>
  <c r="M516" i="6"/>
  <c r="M517" i="6"/>
  <c r="M518" i="6"/>
  <c r="M519" i="6"/>
  <c r="M520" i="6"/>
  <c r="M521" i="6"/>
  <c r="M522" i="6"/>
  <c r="M523" i="6"/>
  <c r="M524" i="6"/>
  <c r="M525" i="6"/>
  <c r="M526" i="6"/>
  <c r="M527" i="6"/>
  <c r="M529" i="6"/>
  <c r="M530" i="6"/>
  <c r="M531" i="6"/>
  <c r="M532" i="6"/>
  <c r="M534" i="6"/>
  <c r="M535" i="6"/>
  <c r="M536" i="6"/>
  <c r="M537" i="6"/>
  <c r="M538"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O603" i="54"/>
  <c r="P14" i="54"/>
  <c r="P15" i="54" s="1"/>
  <c r="P16" i="54" s="1"/>
  <c r="P17" i="54" s="1"/>
  <c r="P18" i="54" s="1"/>
  <c r="P19" i="54" s="1"/>
  <c r="P20" i="54" s="1"/>
  <c r="P21" i="54" s="1"/>
  <c r="P22" i="54" s="1"/>
  <c r="P23" i="54" s="1"/>
  <c r="P24" i="54" s="1"/>
  <c r="P25" i="54" s="1"/>
  <c r="P26" i="54" s="1"/>
  <c r="P27" i="54" s="1"/>
  <c r="P28" i="54" s="1"/>
  <c r="P29" i="54" s="1"/>
  <c r="P30" i="54" s="1"/>
  <c r="P31" i="54" s="1"/>
  <c r="P32" i="54" s="1"/>
  <c r="P33" i="54" s="1"/>
  <c r="P34" i="54" s="1"/>
  <c r="P35" i="54" s="1"/>
  <c r="P36" i="54" s="1"/>
  <c r="P37" i="54" s="1"/>
  <c r="P38" i="54" s="1"/>
  <c r="P39" i="54" s="1"/>
  <c r="P40" i="54" s="1"/>
  <c r="P41" i="54" s="1"/>
  <c r="P42" i="54" s="1"/>
  <c r="P43" i="54" s="1"/>
  <c r="P44" i="54" s="1"/>
  <c r="P45" i="54" s="1"/>
  <c r="P46" i="54" s="1"/>
  <c r="P47" i="54" s="1"/>
  <c r="P48" i="54" s="1"/>
  <c r="P49" i="54" s="1"/>
  <c r="P50" i="54" s="1"/>
  <c r="P51" i="54" s="1"/>
  <c r="P52" i="54" s="1"/>
  <c r="P53" i="54" s="1"/>
  <c r="P54" i="54" s="1"/>
  <c r="P55" i="54" s="1"/>
  <c r="P56" i="54" s="1"/>
  <c r="P57" i="54" s="1"/>
  <c r="P58" i="54" s="1"/>
  <c r="P59" i="54" s="1"/>
  <c r="P60" i="54" s="1"/>
  <c r="P61" i="54" s="1"/>
  <c r="P62" i="54" s="1"/>
  <c r="P63" i="54" s="1"/>
  <c r="P64" i="54" s="1"/>
  <c r="P65" i="54" s="1"/>
  <c r="P66" i="54" s="1"/>
  <c r="P67" i="54" s="1"/>
  <c r="P68" i="54" s="1"/>
  <c r="P69" i="54" s="1"/>
  <c r="P70" i="54" s="1"/>
  <c r="P71" i="54" s="1"/>
  <c r="P72" i="54" s="1"/>
  <c r="P73" i="54" s="1"/>
  <c r="P74" i="54" s="1"/>
  <c r="P75" i="54" s="1"/>
  <c r="P76" i="54" s="1"/>
  <c r="P77" i="54" s="1"/>
  <c r="P78" i="54" s="1"/>
  <c r="P79" i="54" s="1"/>
  <c r="P80" i="54" s="1"/>
  <c r="P81" i="54" s="1"/>
  <c r="P82" i="54" s="1"/>
  <c r="P83" i="54" s="1"/>
  <c r="P84" i="54" s="1"/>
  <c r="P85" i="54" s="1"/>
  <c r="P86" i="54" s="1"/>
  <c r="P87" i="54" s="1"/>
  <c r="P88" i="54" s="1"/>
  <c r="P89" i="54" s="1"/>
  <c r="P90" i="54" s="1"/>
  <c r="P91" i="54" s="1"/>
  <c r="P92" i="54" s="1"/>
  <c r="P93" i="54" s="1"/>
  <c r="P94" i="54" s="1"/>
  <c r="P95" i="54" s="1"/>
  <c r="P96" i="54" s="1"/>
  <c r="P97" i="54" s="1"/>
  <c r="P98" i="54" s="1"/>
  <c r="P99" i="54" s="1"/>
  <c r="P100" i="54" s="1"/>
  <c r="P101" i="54" s="1"/>
  <c r="P102" i="54" s="1"/>
  <c r="P103" i="54" s="1"/>
  <c r="P104" i="54" s="1"/>
  <c r="P105" i="54" s="1"/>
  <c r="P106" i="54" s="1"/>
  <c r="P107" i="54" s="1"/>
  <c r="P108" i="54" s="1"/>
  <c r="P109" i="54" s="1"/>
  <c r="P110" i="54" s="1"/>
  <c r="P111" i="54" s="1"/>
  <c r="P112" i="54" s="1"/>
  <c r="P113" i="54" s="1"/>
  <c r="P114" i="54" s="1"/>
  <c r="P115" i="54" s="1"/>
  <c r="P116" i="54" s="1"/>
  <c r="P117" i="54" s="1"/>
  <c r="P118" i="54" s="1"/>
  <c r="P119" i="54" s="1"/>
  <c r="P120" i="54" s="1"/>
  <c r="P121" i="54" s="1"/>
  <c r="P122" i="54" s="1"/>
  <c r="P123" i="54" s="1"/>
  <c r="P124" i="54" s="1"/>
  <c r="P125" i="54" s="1"/>
  <c r="P126" i="54" s="1"/>
  <c r="P127" i="54" s="1"/>
  <c r="P128" i="54" s="1"/>
  <c r="P129" i="54" s="1"/>
  <c r="P130" i="54" s="1"/>
  <c r="P131" i="54" s="1"/>
  <c r="P132" i="54" s="1"/>
  <c r="P133" i="54" s="1"/>
  <c r="P134" i="54" s="1"/>
  <c r="P135" i="54" s="1"/>
  <c r="P136" i="54" s="1"/>
  <c r="P137" i="54" s="1"/>
  <c r="P138" i="54" s="1"/>
  <c r="P139" i="54" s="1"/>
  <c r="P140" i="54" s="1"/>
  <c r="P141" i="54" s="1"/>
  <c r="P142" i="54" s="1"/>
  <c r="P143" i="54" s="1"/>
  <c r="P144" i="54" s="1"/>
  <c r="P145" i="54" s="1"/>
  <c r="P146" i="54" s="1"/>
  <c r="P147" i="54" s="1"/>
  <c r="P148" i="54" s="1"/>
  <c r="P149" i="54" s="1"/>
  <c r="P150" i="54" s="1"/>
  <c r="P151" i="54" s="1"/>
  <c r="P152" i="54" s="1"/>
  <c r="P153" i="54" s="1"/>
  <c r="P154" i="54" s="1"/>
  <c r="P155" i="54" s="1"/>
  <c r="P156" i="54" s="1"/>
  <c r="P157" i="54" s="1"/>
  <c r="P158" i="54" s="1"/>
  <c r="P159" i="54" s="1"/>
  <c r="P160" i="54" s="1"/>
  <c r="P161" i="54" s="1"/>
  <c r="P162" i="54" s="1"/>
  <c r="P163" i="54" s="1"/>
  <c r="P164" i="54" s="1"/>
  <c r="P165" i="54" s="1"/>
  <c r="P166" i="54" s="1"/>
  <c r="P167" i="54" s="1"/>
  <c r="P168" i="54" s="1"/>
  <c r="P169" i="54" s="1"/>
  <c r="P170" i="54" s="1"/>
  <c r="P171" i="54" s="1"/>
  <c r="P172" i="54" s="1"/>
  <c r="P173" i="54" s="1"/>
  <c r="P174" i="54" s="1"/>
  <c r="P175" i="54" s="1"/>
  <c r="P176" i="54" s="1"/>
  <c r="P177" i="54" s="1"/>
  <c r="P178" i="54" s="1"/>
  <c r="P179" i="54" s="1"/>
  <c r="P180" i="54" s="1"/>
  <c r="P181" i="54" s="1"/>
  <c r="P182" i="54" s="1"/>
  <c r="P183" i="54" s="1"/>
  <c r="P184" i="54" s="1"/>
  <c r="P185" i="54" s="1"/>
  <c r="P186" i="54" s="1"/>
  <c r="P187" i="54" s="1"/>
  <c r="P188" i="54" s="1"/>
  <c r="P189" i="54" s="1"/>
  <c r="P190" i="54" s="1"/>
  <c r="P191" i="54" s="1"/>
  <c r="P192" i="54" s="1"/>
  <c r="P193" i="54" s="1"/>
  <c r="P194" i="54" s="1"/>
  <c r="P195" i="54" s="1"/>
  <c r="P196" i="54" s="1"/>
  <c r="P197" i="54" s="1"/>
  <c r="P198" i="54" s="1"/>
  <c r="P199" i="54" s="1"/>
  <c r="P200" i="54" s="1"/>
  <c r="P201" i="54" s="1"/>
  <c r="P202" i="54" s="1"/>
  <c r="P203" i="54" s="1"/>
  <c r="P204" i="54" s="1"/>
  <c r="P205" i="54" s="1"/>
  <c r="P206" i="54" s="1"/>
  <c r="P207" i="54" s="1"/>
  <c r="P208" i="54" s="1"/>
  <c r="P209" i="54" s="1"/>
  <c r="P210" i="54" s="1"/>
  <c r="P211" i="54" s="1"/>
  <c r="P212" i="54" s="1"/>
  <c r="P213" i="54" s="1"/>
  <c r="P214" i="54" s="1"/>
  <c r="P215" i="54" s="1"/>
  <c r="P216" i="54" s="1"/>
  <c r="P217" i="54" s="1"/>
  <c r="P218" i="54" s="1"/>
  <c r="P219" i="54" s="1"/>
  <c r="P220" i="54" s="1"/>
  <c r="P221" i="54" s="1"/>
  <c r="P222" i="54" s="1"/>
  <c r="P223" i="54" s="1"/>
  <c r="P224" i="54" s="1"/>
  <c r="P225" i="54" s="1"/>
  <c r="P226" i="54" s="1"/>
  <c r="P227" i="54" s="1"/>
  <c r="P228" i="54" s="1"/>
  <c r="P229" i="54" s="1"/>
  <c r="P230" i="54" s="1"/>
  <c r="P231" i="54" s="1"/>
  <c r="P232" i="54" s="1"/>
  <c r="P233" i="54" s="1"/>
  <c r="P234" i="54" s="1"/>
  <c r="P235" i="54" s="1"/>
  <c r="P236" i="54" s="1"/>
  <c r="P237" i="54" s="1"/>
  <c r="P238" i="54" s="1"/>
  <c r="P239" i="54" s="1"/>
  <c r="P240" i="54" s="1"/>
  <c r="P241" i="54" s="1"/>
  <c r="P242" i="54" s="1"/>
  <c r="P243" i="54" s="1"/>
  <c r="P244" i="54" s="1"/>
  <c r="P245" i="54" s="1"/>
  <c r="P246" i="54" s="1"/>
  <c r="P247" i="54" s="1"/>
  <c r="P248" i="54" s="1"/>
  <c r="P249" i="54" s="1"/>
  <c r="P250" i="54" s="1"/>
  <c r="P251" i="54" s="1"/>
  <c r="P252" i="54" s="1"/>
  <c r="P253" i="54" s="1"/>
  <c r="P254" i="54" s="1"/>
  <c r="P255" i="54" s="1"/>
  <c r="P256" i="54" s="1"/>
  <c r="P257" i="54" s="1"/>
  <c r="P258" i="54" s="1"/>
  <c r="P259" i="54" s="1"/>
  <c r="P260" i="54" s="1"/>
  <c r="P261" i="54" s="1"/>
  <c r="P262" i="54" s="1"/>
  <c r="P263" i="54" s="1"/>
  <c r="P264" i="54" s="1"/>
  <c r="P265" i="54" s="1"/>
  <c r="P266" i="54" s="1"/>
  <c r="P267" i="54" s="1"/>
  <c r="P268" i="54" s="1"/>
  <c r="P269" i="54" s="1"/>
  <c r="P270" i="54" s="1"/>
  <c r="P271" i="54" s="1"/>
  <c r="P272" i="54" s="1"/>
  <c r="P273" i="54" s="1"/>
  <c r="P274" i="54" s="1"/>
  <c r="P275" i="54" s="1"/>
  <c r="P276" i="54" s="1"/>
  <c r="P277" i="54" s="1"/>
  <c r="P278" i="54" s="1"/>
  <c r="P279" i="54" s="1"/>
  <c r="P280" i="54" s="1"/>
  <c r="P281" i="54" s="1"/>
  <c r="P282" i="54" s="1"/>
  <c r="P283" i="54" s="1"/>
  <c r="P284" i="54" s="1"/>
  <c r="P285" i="54" s="1"/>
  <c r="P286" i="54" s="1"/>
  <c r="P287" i="54" s="1"/>
  <c r="P288" i="54" s="1"/>
  <c r="P289" i="54" s="1"/>
  <c r="P290" i="54" s="1"/>
  <c r="P291" i="54" s="1"/>
  <c r="P292" i="54" s="1"/>
  <c r="P293" i="54" s="1"/>
  <c r="P294" i="54" s="1"/>
  <c r="P295" i="54" s="1"/>
  <c r="P296" i="54" s="1"/>
  <c r="P297" i="54" s="1"/>
  <c r="P298" i="54" s="1"/>
  <c r="P299" i="54" s="1"/>
  <c r="P300" i="54" s="1"/>
  <c r="P301" i="54" s="1"/>
  <c r="P302" i="54" s="1"/>
  <c r="P303" i="54" s="1"/>
  <c r="P304" i="54" s="1"/>
  <c r="P305" i="54" s="1"/>
  <c r="P306" i="54" s="1"/>
  <c r="P307" i="54" s="1"/>
  <c r="P308" i="54" s="1"/>
  <c r="P309" i="54" s="1"/>
  <c r="P310" i="54" s="1"/>
  <c r="P311" i="54" s="1"/>
  <c r="P312" i="54" s="1"/>
  <c r="P313" i="54" s="1"/>
  <c r="P314" i="54" s="1"/>
  <c r="P315" i="54" s="1"/>
  <c r="P316" i="54" s="1"/>
  <c r="P317" i="54" s="1"/>
  <c r="P318" i="54" s="1"/>
  <c r="P319" i="54" s="1"/>
  <c r="P320" i="54" s="1"/>
  <c r="P321" i="54" s="1"/>
  <c r="P322" i="54" s="1"/>
  <c r="P323" i="54" s="1"/>
  <c r="P324" i="54" s="1"/>
  <c r="P325" i="54" s="1"/>
  <c r="P326" i="54" s="1"/>
  <c r="P327" i="54" s="1"/>
  <c r="P328" i="54" s="1"/>
  <c r="P329" i="54" s="1"/>
  <c r="P330" i="54" s="1"/>
  <c r="P331" i="54" s="1"/>
  <c r="P332" i="54" s="1"/>
  <c r="P333" i="54" s="1"/>
  <c r="P334" i="54" s="1"/>
  <c r="P335" i="54" s="1"/>
  <c r="P336" i="54" s="1"/>
  <c r="P337" i="54" s="1"/>
  <c r="P338" i="54" s="1"/>
  <c r="P339" i="54" s="1"/>
  <c r="P340" i="54" s="1"/>
  <c r="P341" i="54" s="1"/>
  <c r="P342" i="54" s="1"/>
  <c r="P343" i="54" s="1"/>
  <c r="P344" i="54" s="1"/>
  <c r="P345" i="54" s="1"/>
  <c r="P346" i="54" s="1"/>
  <c r="P347" i="54" s="1"/>
  <c r="P348" i="54" s="1"/>
  <c r="P349" i="54" s="1"/>
  <c r="P350" i="54" s="1"/>
  <c r="P351" i="54" s="1"/>
  <c r="P352" i="54" s="1"/>
  <c r="P353" i="54" s="1"/>
  <c r="P354" i="54" s="1"/>
  <c r="P355" i="54" s="1"/>
  <c r="P356" i="54" s="1"/>
  <c r="P357" i="54" s="1"/>
  <c r="P358" i="54" s="1"/>
  <c r="P359" i="54" s="1"/>
  <c r="P360" i="54" s="1"/>
  <c r="P361" i="54" s="1"/>
  <c r="P362" i="54" s="1"/>
  <c r="P363" i="54" s="1"/>
  <c r="P364" i="54" s="1"/>
  <c r="P365" i="54" s="1"/>
  <c r="P366" i="54" s="1"/>
  <c r="P367" i="54" s="1"/>
  <c r="P368" i="54" s="1"/>
  <c r="P369" i="54" s="1"/>
  <c r="P370" i="54" s="1"/>
  <c r="P371" i="54" s="1"/>
  <c r="P372" i="54" s="1"/>
  <c r="P373" i="54" s="1"/>
  <c r="P374" i="54" s="1"/>
  <c r="P375" i="54" s="1"/>
  <c r="P376" i="54" s="1"/>
  <c r="P377" i="54" s="1"/>
  <c r="P378" i="54" s="1"/>
  <c r="P379" i="54" s="1"/>
  <c r="P380" i="54" s="1"/>
  <c r="P381" i="54" s="1"/>
  <c r="P382" i="54" s="1"/>
  <c r="P383" i="54" s="1"/>
  <c r="P384" i="54" s="1"/>
  <c r="P385" i="54" s="1"/>
  <c r="P386" i="54" s="1"/>
  <c r="P387" i="54" s="1"/>
  <c r="P388" i="54" s="1"/>
  <c r="P389" i="54" s="1"/>
  <c r="P390" i="54" s="1"/>
  <c r="P391" i="54" s="1"/>
  <c r="P392" i="54" s="1"/>
  <c r="P393" i="54" s="1"/>
  <c r="P394" i="54" s="1"/>
  <c r="P395" i="54" s="1"/>
  <c r="P396" i="54" s="1"/>
  <c r="P397" i="54" s="1"/>
  <c r="P398" i="54" s="1"/>
  <c r="P399" i="54" s="1"/>
  <c r="P400" i="54" s="1"/>
  <c r="P401" i="54" s="1"/>
  <c r="P402" i="54" s="1"/>
  <c r="P403" i="54" s="1"/>
  <c r="P404" i="54" s="1"/>
  <c r="P405" i="54" s="1"/>
  <c r="P406" i="54" s="1"/>
  <c r="P407" i="54" s="1"/>
  <c r="P408" i="54" s="1"/>
  <c r="P409" i="54" s="1"/>
  <c r="P410" i="54" s="1"/>
  <c r="P411" i="54" s="1"/>
  <c r="P412" i="54" s="1"/>
  <c r="P413" i="54" s="1"/>
  <c r="P414" i="54" s="1"/>
  <c r="P415" i="54" s="1"/>
  <c r="P416" i="54" s="1"/>
  <c r="P417" i="54" s="1"/>
  <c r="P418" i="54" s="1"/>
  <c r="P419" i="54" s="1"/>
  <c r="P420" i="54" s="1"/>
  <c r="P421" i="54" s="1"/>
  <c r="P422" i="54" s="1"/>
  <c r="P423" i="54" s="1"/>
  <c r="P424" i="54" s="1"/>
  <c r="P425" i="54" s="1"/>
  <c r="P426" i="54" s="1"/>
  <c r="P427" i="54" s="1"/>
  <c r="P428" i="54" s="1"/>
  <c r="P429" i="54" s="1"/>
  <c r="P430" i="54" s="1"/>
  <c r="P431" i="54" s="1"/>
  <c r="P432" i="54" s="1"/>
  <c r="P433" i="54" s="1"/>
  <c r="P434" i="54" s="1"/>
  <c r="P435" i="54" s="1"/>
  <c r="P436" i="54" s="1"/>
  <c r="P437" i="54" s="1"/>
  <c r="P438" i="54" s="1"/>
  <c r="P439" i="54" s="1"/>
  <c r="P440" i="54" s="1"/>
  <c r="P441" i="54" s="1"/>
  <c r="P442" i="54" s="1"/>
  <c r="P443" i="54" s="1"/>
  <c r="P444" i="54" s="1"/>
  <c r="P445" i="54" s="1"/>
  <c r="P446" i="54" s="1"/>
  <c r="P447" i="54" s="1"/>
  <c r="P448" i="54" s="1"/>
  <c r="P449" i="54" s="1"/>
  <c r="P450" i="54" s="1"/>
  <c r="P451" i="54" s="1"/>
  <c r="P452" i="54" s="1"/>
  <c r="P453" i="54" s="1"/>
  <c r="P454" i="54" s="1"/>
  <c r="P455" i="54" s="1"/>
  <c r="P456" i="54" s="1"/>
  <c r="P457" i="54" s="1"/>
  <c r="P458" i="54" s="1"/>
  <c r="P459" i="54" s="1"/>
  <c r="P460" i="54" s="1"/>
  <c r="P461" i="54" s="1"/>
  <c r="P462" i="54" s="1"/>
  <c r="P463" i="54" s="1"/>
  <c r="P464" i="54" s="1"/>
  <c r="P465" i="54" s="1"/>
  <c r="P466" i="54" s="1"/>
  <c r="P467" i="54" s="1"/>
  <c r="P468" i="54" s="1"/>
  <c r="P469" i="54" s="1"/>
  <c r="P470" i="54" s="1"/>
  <c r="P471" i="54" s="1"/>
  <c r="P472" i="54" s="1"/>
  <c r="P473" i="54" s="1"/>
  <c r="P474" i="54" s="1"/>
  <c r="P475" i="54" s="1"/>
  <c r="P476" i="54" s="1"/>
  <c r="P477" i="54" s="1"/>
  <c r="P478" i="54" s="1"/>
  <c r="P479" i="54" s="1"/>
  <c r="P480" i="54" s="1"/>
  <c r="P481" i="54" s="1"/>
  <c r="P482" i="54" s="1"/>
  <c r="P483" i="54" s="1"/>
  <c r="P484" i="54" s="1"/>
  <c r="P485" i="54" s="1"/>
  <c r="P486" i="54" s="1"/>
  <c r="P487" i="54" s="1"/>
  <c r="P488" i="54" s="1"/>
  <c r="P489" i="54" s="1"/>
  <c r="P490" i="54" s="1"/>
  <c r="P491" i="54" s="1"/>
  <c r="P492" i="54" s="1"/>
  <c r="P493" i="54" s="1"/>
  <c r="P494" i="54" s="1"/>
  <c r="P495" i="54" s="1"/>
  <c r="P496" i="54" s="1"/>
  <c r="P497" i="54" s="1"/>
  <c r="P498" i="54" s="1"/>
  <c r="P499" i="54" s="1"/>
  <c r="P500" i="54" s="1"/>
  <c r="P501" i="54" s="1"/>
  <c r="P502" i="54" s="1"/>
  <c r="P503" i="54" s="1"/>
  <c r="P504" i="54" s="1"/>
  <c r="P505" i="54" s="1"/>
  <c r="P506" i="54" s="1"/>
  <c r="P507" i="54" s="1"/>
  <c r="P508" i="54" s="1"/>
  <c r="P509" i="54" s="1"/>
  <c r="P510" i="54" s="1"/>
  <c r="P511" i="54" s="1"/>
  <c r="P512" i="54" s="1"/>
  <c r="P513" i="54" s="1"/>
  <c r="P514" i="54" s="1"/>
  <c r="P515" i="54" s="1"/>
  <c r="P516" i="54" s="1"/>
  <c r="P517" i="54" s="1"/>
  <c r="P518" i="54" s="1"/>
  <c r="P519" i="54" s="1"/>
  <c r="P520" i="54" s="1"/>
  <c r="P521" i="54" s="1"/>
  <c r="P522" i="54" s="1"/>
  <c r="P523" i="54" s="1"/>
  <c r="P524" i="54" s="1"/>
  <c r="P525" i="54" s="1"/>
  <c r="P526" i="54" s="1"/>
  <c r="P527" i="54" s="1"/>
  <c r="P528" i="54" s="1"/>
  <c r="P529" i="54" s="1"/>
  <c r="P530" i="54" s="1"/>
  <c r="P531" i="54" s="1"/>
  <c r="P532" i="54" s="1"/>
  <c r="P533" i="54" s="1"/>
  <c r="P534" i="54" s="1"/>
  <c r="P535" i="54" s="1"/>
  <c r="P536" i="54" s="1"/>
  <c r="P537" i="54" s="1"/>
  <c r="P538" i="54" s="1"/>
  <c r="P539" i="54" s="1"/>
  <c r="P540" i="54" s="1"/>
  <c r="P541" i="54" s="1"/>
  <c r="P542" i="54" s="1"/>
  <c r="P543" i="54" s="1"/>
  <c r="P544" i="54" s="1"/>
  <c r="P545" i="54" s="1"/>
  <c r="P546" i="54" s="1"/>
  <c r="P547" i="54" s="1"/>
  <c r="P548" i="54" s="1"/>
  <c r="P549" i="54" s="1"/>
  <c r="P550" i="54" s="1"/>
  <c r="P551" i="54" s="1"/>
  <c r="P552" i="54" s="1"/>
  <c r="P553" i="54" s="1"/>
  <c r="P554" i="54" s="1"/>
  <c r="P555" i="54" s="1"/>
  <c r="P556" i="54" s="1"/>
  <c r="P557" i="54" s="1"/>
  <c r="P558" i="54" s="1"/>
  <c r="P559" i="54" s="1"/>
  <c r="P560" i="54" s="1"/>
  <c r="P561" i="54" s="1"/>
  <c r="P562" i="54" s="1"/>
  <c r="P563" i="54" s="1"/>
  <c r="P564" i="54" s="1"/>
  <c r="P565" i="54" s="1"/>
  <c r="P566" i="54" s="1"/>
  <c r="P567" i="54" s="1"/>
  <c r="P568" i="54" s="1"/>
  <c r="P569" i="54" s="1"/>
  <c r="P570" i="54" s="1"/>
  <c r="P571" i="54" s="1"/>
  <c r="P572" i="54" s="1"/>
  <c r="P573" i="54" s="1"/>
  <c r="P574" i="54" s="1"/>
  <c r="P575" i="54" s="1"/>
  <c r="P576" i="54" s="1"/>
  <c r="P577" i="54" s="1"/>
  <c r="P578" i="54" s="1"/>
  <c r="P579" i="54" s="1"/>
  <c r="P580" i="54" s="1"/>
  <c r="P581" i="54" s="1"/>
  <c r="P582" i="54" s="1"/>
  <c r="P583" i="54" s="1"/>
  <c r="P584" i="54" s="1"/>
  <c r="P585" i="54" s="1"/>
  <c r="P586" i="54" s="1"/>
  <c r="P587" i="54" s="1"/>
  <c r="P588" i="54" s="1"/>
  <c r="P589" i="54" s="1"/>
  <c r="P590" i="54" s="1"/>
  <c r="P591" i="54" s="1"/>
  <c r="P592" i="54" s="1"/>
  <c r="P593" i="54" s="1"/>
  <c r="P594" i="54" s="1"/>
  <c r="P595" i="54" s="1"/>
  <c r="P596" i="54" s="1"/>
  <c r="P597" i="54" s="1"/>
  <c r="P598" i="54" s="1"/>
  <c r="P599" i="54" s="1"/>
  <c r="P600" i="54" s="1"/>
  <c r="P601" i="54" s="1"/>
  <c r="P602" i="54" s="1"/>
  <c r="N4" i="6"/>
  <c r="N5" i="6" s="1"/>
  <c r="N6" i="6" s="1"/>
  <c r="N7" i="6" s="1"/>
  <c r="N8" i="6" s="1"/>
  <c r="N9" i="6" s="1"/>
  <c r="N10" i="6" s="1"/>
  <c r="N11" i="6" s="1"/>
  <c r="N12" i="6" s="1"/>
  <c r="N13" i="6" s="1"/>
  <c r="N14" i="6" s="1"/>
  <c r="N15" i="6" s="1"/>
  <c r="N16" i="6" s="1"/>
  <c r="N17" i="6" s="1"/>
  <c r="N18" i="6" s="1"/>
  <c r="N19" i="6" s="1"/>
  <c r="N20" i="6" s="1"/>
  <c r="N21" i="6" s="1"/>
  <c r="N22" i="6" s="1"/>
  <c r="N23" i="6" s="1"/>
  <c r="N24" i="6" s="1"/>
  <c r="N25" i="6" s="1"/>
  <c r="N26" i="6" s="1"/>
  <c r="N27" i="6" s="1"/>
  <c r="N28" i="6" s="1"/>
  <c r="N29" i="6" s="1"/>
  <c r="N30" i="6" s="1"/>
  <c r="N31" i="6" s="1"/>
  <c r="N32" i="6" s="1"/>
  <c r="N33" i="6" s="1"/>
  <c r="N34" i="6" s="1"/>
  <c r="N35" i="6" s="1"/>
  <c r="N36" i="6" s="1"/>
  <c r="N37" i="6" s="1"/>
  <c r="N38" i="6" s="1"/>
  <c r="N39" i="6" s="1"/>
  <c r="N40" i="6" s="1"/>
  <c r="N41" i="6" s="1"/>
  <c r="N42" i="6" s="1"/>
  <c r="N43" i="6" s="1"/>
  <c r="N44" i="6" s="1"/>
  <c r="N45" i="6" s="1"/>
  <c r="N46" i="6" s="1"/>
  <c r="N47" i="6" s="1"/>
  <c r="N48" i="6" s="1"/>
  <c r="N49" i="6" s="1"/>
  <c r="N50" i="6" s="1"/>
  <c r="N51" i="6" s="1"/>
  <c r="N52" i="6" s="1"/>
  <c r="N53" i="6" s="1"/>
  <c r="N54" i="6" s="1"/>
  <c r="N55" i="6" s="1"/>
  <c r="N56" i="6" s="1"/>
  <c r="N57" i="6" s="1"/>
  <c r="N58" i="6" s="1"/>
  <c r="N59" i="6" s="1"/>
  <c r="N60" i="6" s="1"/>
  <c r="N61" i="6" s="1"/>
  <c r="N62" i="6" s="1"/>
  <c r="N63" i="6" s="1"/>
  <c r="N64" i="6" s="1"/>
  <c r="N65" i="6" s="1"/>
  <c r="N66" i="6" s="1"/>
  <c r="N67" i="6" s="1"/>
  <c r="N68" i="6" s="1"/>
  <c r="N69" i="6" s="1"/>
  <c r="N70" i="6" s="1"/>
  <c r="N71" i="6" s="1"/>
  <c r="N72" i="6" s="1"/>
  <c r="N73" i="6" s="1"/>
  <c r="N74" i="6" s="1"/>
  <c r="N75" i="6" s="1"/>
  <c r="N76" i="6" s="1"/>
  <c r="N77" i="6" s="1"/>
  <c r="N78" i="6" s="1"/>
  <c r="N79" i="6" s="1"/>
  <c r="N80" i="6" s="1"/>
  <c r="N81" i="6" s="1"/>
  <c r="N82" i="6" s="1"/>
  <c r="N83" i="6" s="1"/>
  <c r="N84" i="6" s="1"/>
  <c r="N85" i="6" s="1"/>
  <c r="N86" i="6" s="1"/>
  <c r="N87" i="6" s="1"/>
  <c r="N88" i="6" s="1"/>
  <c r="N89" i="6" s="1"/>
  <c r="N90" i="6" s="1"/>
  <c r="N91" i="6" s="1"/>
  <c r="N92" i="6" s="1"/>
  <c r="N93" i="6" s="1"/>
  <c r="N94" i="6" s="1"/>
  <c r="N95" i="6" s="1"/>
  <c r="N96" i="6" s="1"/>
  <c r="N97" i="6" s="1"/>
  <c r="N98" i="6" s="1"/>
  <c r="N99" i="6" s="1"/>
  <c r="N100" i="6" s="1"/>
  <c r="N101" i="6" s="1"/>
  <c r="N102" i="6" s="1"/>
  <c r="N103" i="6" s="1"/>
  <c r="N104" i="6" s="1"/>
  <c r="N105" i="6" s="1"/>
  <c r="N106" i="6" s="1"/>
  <c r="N107" i="6" s="1"/>
  <c r="N108" i="6" s="1"/>
  <c r="N109" i="6" s="1"/>
  <c r="N110" i="6" s="1"/>
  <c r="N111" i="6" s="1"/>
  <c r="N112" i="6" s="1"/>
  <c r="N113" i="6" s="1"/>
  <c r="N114" i="6" s="1"/>
  <c r="N115" i="6" s="1"/>
  <c r="N116" i="6" s="1"/>
  <c r="N117" i="6" s="1"/>
  <c r="N118" i="6" s="1"/>
  <c r="N119" i="6" s="1"/>
  <c r="N120" i="6" s="1"/>
  <c r="N123" i="6" s="1"/>
  <c r="N124" i="6" s="1"/>
  <c r="N125" i="6" s="1"/>
  <c r="N126" i="6" s="1"/>
  <c r="N127" i="6" s="1"/>
  <c r="N128" i="6" s="1"/>
  <c r="N129" i="6" s="1"/>
  <c r="N130" i="6" s="1"/>
  <c r="N131" i="6" s="1"/>
  <c r="N132" i="6" s="1"/>
  <c r="N133" i="6" s="1"/>
  <c r="N134" i="6" s="1"/>
  <c r="N135" i="6" s="1"/>
  <c r="N136" i="6" s="1"/>
  <c r="N137" i="6" s="1"/>
  <c r="N138" i="6" s="1"/>
  <c r="N139" i="6" s="1"/>
  <c r="N140" i="6" s="1"/>
  <c r="N141" i="6" s="1"/>
  <c r="N142" i="6" s="1"/>
  <c r="N143" i="6" s="1"/>
  <c r="N144" i="6" s="1"/>
  <c r="N145" i="6" s="1"/>
  <c r="N146" i="6" s="1"/>
  <c r="N147" i="6" s="1"/>
  <c r="N148" i="6" s="1"/>
  <c r="N149" i="6" s="1"/>
  <c r="N150" i="6" s="1"/>
  <c r="N151" i="6" s="1"/>
  <c r="N152" i="6" s="1"/>
  <c r="N153" i="6" s="1"/>
  <c r="N154" i="6" s="1"/>
  <c r="N155" i="6" s="1"/>
  <c r="N156" i="6" s="1"/>
  <c r="N157" i="6" s="1"/>
  <c r="N158" i="6" s="1"/>
  <c r="N159" i="6" s="1"/>
  <c r="N160" i="6" s="1"/>
  <c r="N161" i="6" s="1"/>
  <c r="N162" i="6" s="1"/>
  <c r="N163" i="6" s="1"/>
  <c r="N164" i="6" s="1"/>
  <c r="N165" i="6" s="1"/>
  <c r="N166" i="6" s="1"/>
  <c r="N167" i="6" s="1"/>
  <c r="N168" i="6" s="1"/>
  <c r="N169" i="6" s="1"/>
  <c r="N170" i="6" s="1"/>
  <c r="N171" i="6" s="1"/>
  <c r="N172" i="6" s="1"/>
  <c r="N173" i="6" s="1"/>
  <c r="N174" i="6" s="1"/>
  <c r="N175" i="6" s="1"/>
  <c r="N176" i="6" s="1"/>
  <c r="N177" i="6" s="1"/>
  <c r="N178" i="6" s="1"/>
  <c r="N179" i="6" s="1"/>
  <c r="N180" i="6" s="1"/>
  <c r="N181" i="6" s="1"/>
  <c r="N182" i="6" s="1"/>
  <c r="N183" i="6" s="1"/>
  <c r="N184" i="6" s="1"/>
  <c r="N185" i="6" s="1"/>
  <c r="N186" i="6" s="1"/>
  <c r="N187" i="6" s="1"/>
  <c r="N188" i="6" s="1"/>
  <c r="N189" i="6" s="1"/>
  <c r="N190" i="6" s="1"/>
  <c r="N191" i="6" s="1"/>
  <c r="N192" i="6" s="1"/>
  <c r="N193" i="6" s="1"/>
  <c r="N194" i="6" s="1"/>
  <c r="N195" i="6" s="1"/>
  <c r="N196" i="6" s="1"/>
  <c r="N197" i="6" s="1"/>
  <c r="N198" i="6" s="1"/>
  <c r="N199" i="6" s="1"/>
  <c r="N200" i="6" s="1"/>
  <c r="N201" i="6" s="1"/>
  <c r="N202" i="6" s="1"/>
  <c r="N203" i="6" s="1"/>
  <c r="N204" i="6" s="1"/>
  <c r="N205" i="6" s="1"/>
  <c r="N206" i="6" s="1"/>
  <c r="N207" i="6" s="1"/>
  <c r="N208" i="6" s="1"/>
  <c r="N209" i="6" s="1"/>
  <c r="N210" i="6" s="1"/>
  <c r="N211" i="6" s="1"/>
  <c r="N212" i="6" s="1"/>
  <c r="N213" i="6" s="1"/>
  <c r="N214" i="6" s="1"/>
  <c r="N215" i="6" s="1"/>
  <c r="N216" i="6" s="1"/>
  <c r="N217" i="6" s="1"/>
  <c r="N218" i="6" s="1"/>
  <c r="N219" i="6" s="1"/>
  <c r="N220" i="6" s="1"/>
  <c r="N221" i="6" s="1"/>
  <c r="N222" i="6" s="1"/>
  <c r="N223" i="6" s="1"/>
  <c r="N224" i="6" s="1"/>
  <c r="N225" i="6" s="1"/>
  <c r="N226" i="6" s="1"/>
  <c r="N227" i="6" s="1"/>
  <c r="N228" i="6" s="1"/>
  <c r="N229" i="6" s="1"/>
  <c r="N230" i="6" s="1"/>
  <c r="N231" i="6" s="1"/>
  <c r="N232" i="6" s="1"/>
  <c r="N233" i="6" s="1"/>
  <c r="N234" i="6" s="1"/>
  <c r="N235" i="6" s="1"/>
  <c r="N236" i="6" s="1"/>
  <c r="N237" i="6" s="1"/>
  <c r="N238" i="6" s="1"/>
  <c r="N239" i="6" s="1"/>
  <c r="N240" i="6" s="1"/>
  <c r="N241" i="6" s="1"/>
  <c r="N242" i="6" s="1"/>
  <c r="N243" i="6" s="1"/>
  <c r="N244" i="6" s="1"/>
  <c r="N245" i="6" s="1"/>
  <c r="N246" i="6" s="1"/>
  <c r="N247" i="6" s="1"/>
  <c r="N248" i="6" s="1"/>
  <c r="N249" i="6" s="1"/>
  <c r="N250" i="6" s="1"/>
  <c r="N251" i="6" s="1"/>
  <c r="N252" i="6" s="1"/>
  <c r="N253" i="6" s="1"/>
  <c r="N254" i="6" s="1"/>
  <c r="N255" i="6" s="1"/>
  <c r="N256" i="6" s="1"/>
  <c r="N257" i="6" s="1"/>
  <c r="N258" i="6" s="1"/>
  <c r="N259" i="6" s="1"/>
  <c r="N260" i="6" s="1"/>
  <c r="N261" i="6" s="1"/>
  <c r="N262" i="6" s="1"/>
  <c r="N263" i="6" s="1"/>
  <c r="N264" i="6" s="1"/>
  <c r="N265" i="6" s="1"/>
  <c r="N266" i="6" s="1"/>
  <c r="N267" i="6" s="1"/>
  <c r="N268" i="6" s="1"/>
  <c r="N269" i="6" s="1"/>
  <c r="N270" i="6" s="1"/>
  <c r="N271" i="6" s="1"/>
  <c r="N272" i="6" s="1"/>
  <c r="N273" i="6" s="1"/>
  <c r="N274" i="6" s="1"/>
  <c r="N275" i="6" s="1"/>
  <c r="N276" i="6" s="1"/>
  <c r="N277" i="6" s="1"/>
  <c r="N278" i="6" s="1"/>
  <c r="N279" i="6" s="1"/>
  <c r="N280" i="6" s="1"/>
  <c r="N281" i="6" s="1"/>
  <c r="N282" i="6" s="1"/>
  <c r="N283" i="6" s="1"/>
  <c r="N284" i="6" s="1"/>
  <c r="N285" i="6" s="1"/>
  <c r="N286" i="6" s="1"/>
  <c r="N287" i="6" s="1"/>
  <c r="N288" i="6" s="1"/>
  <c r="N289" i="6" s="1"/>
  <c r="N290" i="6" s="1"/>
  <c r="N291" i="6" s="1"/>
  <c r="N292" i="6" s="1"/>
  <c r="N293" i="6" s="1"/>
  <c r="N294" i="6" s="1"/>
  <c r="N295" i="6" s="1"/>
  <c r="N296" i="6" s="1"/>
  <c r="N297" i="6" s="1"/>
  <c r="N298" i="6" s="1"/>
  <c r="N299" i="6" s="1"/>
  <c r="N300" i="6" s="1"/>
  <c r="N301" i="6" s="1"/>
  <c r="N302" i="6" s="1"/>
  <c r="N303" i="6" s="1"/>
  <c r="N304" i="6" s="1"/>
  <c r="N305" i="6" s="1"/>
  <c r="N306" i="6" s="1"/>
  <c r="N307" i="6" s="1"/>
  <c r="N308" i="6" s="1"/>
  <c r="N309" i="6" s="1"/>
  <c r="N310" i="6" s="1"/>
  <c r="N311" i="6" s="1"/>
  <c r="N312" i="6" s="1"/>
  <c r="N313" i="6" s="1"/>
  <c r="N314" i="6" s="1"/>
  <c r="N315" i="6" s="1"/>
  <c r="N316" i="6" s="1"/>
  <c r="N317" i="6" s="1"/>
  <c r="N318" i="6" s="1"/>
  <c r="N319" i="6" s="1"/>
  <c r="N320" i="6" s="1"/>
  <c r="N321" i="6" s="1"/>
  <c r="N322" i="6" s="1"/>
  <c r="N323" i="6" s="1"/>
  <c r="N324" i="6" s="1"/>
  <c r="N325" i="6" s="1"/>
  <c r="N326" i="6" s="1"/>
  <c r="N327" i="6" s="1"/>
  <c r="N328" i="6" s="1"/>
  <c r="N329" i="6" s="1"/>
  <c r="N330" i="6" s="1"/>
  <c r="N331" i="6" s="1"/>
  <c r="N332" i="6" s="1"/>
  <c r="N333" i="6" s="1"/>
  <c r="N334" i="6" s="1"/>
  <c r="N335" i="6" s="1"/>
  <c r="N336" i="6" s="1"/>
  <c r="N337" i="6" s="1"/>
  <c r="N338" i="6" s="1"/>
  <c r="N339" i="6" s="1"/>
  <c r="N340" i="6" s="1"/>
  <c r="N341" i="6" s="1"/>
  <c r="N342" i="6" s="1"/>
  <c r="N343" i="6" s="1"/>
  <c r="N344" i="6" s="1"/>
  <c r="N345" i="6" s="1"/>
  <c r="N346" i="6" s="1"/>
  <c r="N347" i="6" s="1"/>
  <c r="N348" i="6" s="1"/>
  <c r="N349" i="6" s="1"/>
  <c r="N350" i="6" s="1"/>
  <c r="N351" i="6" s="1"/>
  <c r="N352" i="6" s="1"/>
  <c r="N353" i="6" s="1"/>
  <c r="N354" i="6" s="1"/>
  <c r="N355" i="6" s="1"/>
  <c r="N356" i="6" s="1"/>
  <c r="N357" i="6" s="1"/>
  <c r="N358" i="6" s="1"/>
  <c r="N359" i="6" s="1"/>
  <c r="N360" i="6" s="1"/>
  <c r="N361" i="6" s="1"/>
  <c r="N362" i="6" s="1"/>
  <c r="N363" i="6" s="1"/>
  <c r="N364" i="6" s="1"/>
  <c r="N365" i="6" s="1"/>
  <c r="N366" i="6" s="1"/>
  <c r="N367" i="6" s="1"/>
  <c r="N368" i="6" s="1"/>
  <c r="N369" i="6" s="1"/>
  <c r="N370" i="6" s="1"/>
  <c r="N371" i="6" s="1"/>
  <c r="N372" i="6" s="1"/>
  <c r="N373" i="6" s="1"/>
  <c r="N374" i="6" s="1"/>
  <c r="N375" i="6" s="1"/>
  <c r="N376" i="6" s="1"/>
  <c r="N377" i="6" s="1"/>
  <c r="N378" i="6" s="1"/>
  <c r="N379" i="6" s="1"/>
  <c r="N380" i="6" s="1"/>
  <c r="N381" i="6" s="1"/>
  <c r="N382" i="6" s="1"/>
  <c r="N383" i="6" s="1"/>
  <c r="N384" i="6" s="1"/>
  <c r="N385" i="6" s="1"/>
  <c r="N386" i="6" s="1"/>
  <c r="N387" i="6" s="1"/>
  <c r="N388" i="6" s="1"/>
  <c r="N389" i="6" s="1"/>
  <c r="N390" i="6" s="1"/>
  <c r="N391" i="6" s="1"/>
  <c r="N392" i="6" s="1"/>
  <c r="N393" i="6" s="1"/>
  <c r="N394" i="6" s="1"/>
  <c r="N395" i="6" s="1"/>
  <c r="N396" i="6" s="1"/>
  <c r="N397" i="6" s="1"/>
  <c r="N398" i="6" s="1"/>
  <c r="N399" i="6" s="1"/>
  <c r="N400" i="6" s="1"/>
  <c r="N401" i="6" s="1"/>
  <c r="N402" i="6" s="1"/>
  <c r="N403" i="6" s="1"/>
  <c r="N404" i="6" s="1"/>
  <c r="N405" i="6" s="1"/>
  <c r="N406" i="6" s="1"/>
  <c r="N407" i="6" s="1"/>
  <c r="N408" i="6" s="1"/>
  <c r="N409" i="6" s="1"/>
  <c r="N410" i="6" s="1"/>
  <c r="N411" i="6" s="1"/>
  <c r="N412" i="6" s="1"/>
  <c r="N413" i="6" s="1"/>
  <c r="N414" i="6" s="1"/>
  <c r="N415" i="6" s="1"/>
  <c r="N416" i="6" s="1"/>
  <c r="N417" i="6" s="1"/>
  <c r="N418" i="6" s="1"/>
  <c r="N419" i="6" s="1"/>
  <c r="N420" i="6" s="1"/>
  <c r="N421" i="6" s="1"/>
  <c r="N422" i="6" s="1"/>
  <c r="N423" i="6" s="1"/>
  <c r="N424" i="6" s="1"/>
  <c r="N425" i="6" s="1"/>
  <c r="N426" i="6" s="1"/>
  <c r="N427" i="6" s="1"/>
  <c r="N428" i="6" s="1"/>
  <c r="N429" i="6" s="1"/>
  <c r="N430" i="6" s="1"/>
  <c r="N431" i="6" s="1"/>
  <c r="N432" i="6" s="1"/>
  <c r="N433" i="6" s="1"/>
  <c r="N434" i="6" s="1"/>
  <c r="N435" i="6" s="1"/>
  <c r="N436" i="6" s="1"/>
  <c r="N437" i="6" s="1"/>
  <c r="N438" i="6" s="1"/>
  <c r="N439" i="6" s="1"/>
  <c r="N440" i="6" s="1"/>
  <c r="N441" i="6" s="1"/>
  <c r="N442" i="6" s="1"/>
  <c r="N443" i="6" s="1"/>
  <c r="N444" i="6" s="1"/>
  <c r="N445" i="6" s="1"/>
  <c r="N446" i="6" s="1"/>
  <c r="N447" i="6" s="1"/>
  <c r="N448" i="6" s="1"/>
  <c r="N449" i="6" s="1"/>
  <c r="N450" i="6" s="1"/>
  <c r="N451" i="6" s="1"/>
  <c r="N452" i="6" s="1"/>
  <c r="N453" i="6" s="1"/>
  <c r="N454" i="6" s="1"/>
  <c r="N455" i="6" s="1"/>
  <c r="N456" i="6" s="1"/>
  <c r="N457" i="6" s="1"/>
  <c r="N458" i="6" s="1"/>
  <c r="N459" i="6" s="1"/>
  <c r="N460" i="6" s="1"/>
  <c r="N461" i="6" s="1"/>
  <c r="N462" i="6" s="1"/>
  <c r="N463" i="6" s="1"/>
  <c r="N464" i="6" s="1"/>
  <c r="N465" i="6" s="1"/>
  <c r="N466" i="6" s="1"/>
  <c r="N467" i="6" s="1"/>
  <c r="N468" i="6" s="1"/>
  <c r="N469" i="6" s="1"/>
  <c r="N470" i="6" s="1"/>
  <c r="N471" i="6" s="1"/>
  <c r="N472" i="6" s="1"/>
  <c r="N473" i="6" s="1"/>
  <c r="N474" i="6" s="1"/>
  <c r="N475" i="6" s="1"/>
  <c r="N476" i="6" s="1"/>
  <c r="N477" i="6" s="1"/>
  <c r="N478" i="6" s="1"/>
  <c r="N479" i="6" s="1"/>
  <c r="N480" i="6" s="1"/>
  <c r="N481" i="6" s="1"/>
  <c r="N482" i="6" s="1"/>
  <c r="N483" i="6" s="1"/>
  <c r="N484" i="6" s="1"/>
  <c r="N485" i="6" s="1"/>
  <c r="N486" i="6" s="1"/>
  <c r="N487" i="6" s="1"/>
  <c r="N488" i="6" s="1"/>
  <c r="N489" i="6" s="1"/>
  <c r="N490" i="6" s="1"/>
  <c r="N491" i="6" s="1"/>
  <c r="N492" i="6" s="1"/>
  <c r="N493" i="6" s="1"/>
  <c r="N494" i="6" s="1"/>
  <c r="N495" i="6" s="1"/>
  <c r="N496" i="6" s="1"/>
  <c r="N497" i="6" s="1"/>
  <c r="N498" i="6" s="1"/>
  <c r="N499" i="6" s="1"/>
  <c r="N500" i="6" s="1"/>
  <c r="N501" i="6" s="1"/>
  <c r="N502" i="6" s="1"/>
  <c r="N503" i="6" s="1"/>
  <c r="N504" i="6" s="1"/>
  <c r="N505" i="6" s="1"/>
  <c r="N506" i="6" s="1"/>
  <c r="N507" i="6" s="1"/>
  <c r="N508" i="6" s="1"/>
  <c r="N509" i="6" s="1"/>
  <c r="N510" i="6" s="1"/>
  <c r="N511" i="6" s="1"/>
  <c r="N512" i="6" s="1"/>
  <c r="N513" i="6" s="1"/>
  <c r="N514" i="6" s="1"/>
  <c r="N515" i="6" s="1"/>
  <c r="N516" i="6" s="1"/>
  <c r="N517" i="6" s="1"/>
  <c r="N518" i="6" s="1"/>
  <c r="N519" i="6" s="1"/>
  <c r="N520" i="6" s="1"/>
  <c r="N521" i="6" s="1"/>
  <c r="N522" i="6" s="1"/>
  <c r="N523" i="6" s="1"/>
  <c r="N524" i="6" s="1"/>
  <c r="N525" i="6" s="1"/>
  <c r="N526" i="6" s="1"/>
  <c r="N527" i="6" s="1"/>
  <c r="N528" i="6" s="1"/>
  <c r="N529" i="6" s="1"/>
  <c r="N530" i="6" s="1"/>
  <c r="N531" i="6" s="1"/>
  <c r="N532" i="6" s="1"/>
  <c r="N533" i="6" s="1"/>
  <c r="N534" i="6" s="1"/>
  <c r="N535" i="6" s="1"/>
  <c r="N536" i="6" s="1"/>
  <c r="N537" i="6" s="1"/>
  <c r="N538" i="6" s="1"/>
  <c r="N539" i="6" s="1"/>
  <c r="N540" i="6" s="1"/>
  <c r="N541" i="6" s="1"/>
  <c r="N542" i="6" s="1"/>
  <c r="N543" i="6" s="1"/>
  <c r="N544" i="6" s="1"/>
  <c r="N545" i="6" s="1"/>
  <c r="N546" i="6" s="1"/>
  <c r="N547" i="6" s="1"/>
  <c r="N548" i="6" s="1"/>
  <c r="N549" i="6" s="1"/>
  <c r="N550" i="6" s="1"/>
  <c r="N551" i="6" s="1"/>
  <c r="N552" i="6" s="1"/>
  <c r="N553" i="6" s="1"/>
  <c r="N554" i="6" s="1"/>
  <c r="N555" i="6" s="1"/>
  <c r="N556" i="6" s="1"/>
  <c r="N557" i="6" s="1"/>
  <c r="N558" i="6" s="1"/>
  <c r="N559" i="6" s="1"/>
  <c r="N560" i="6" s="1"/>
  <c r="N561" i="6" s="1"/>
  <c r="N562" i="6" s="1"/>
  <c r="N563" i="6" s="1"/>
  <c r="N564" i="6" s="1"/>
  <c r="N565" i="6" s="1"/>
  <c r="N566" i="6" s="1"/>
  <c r="N567" i="6" s="1"/>
  <c r="N568" i="6" s="1"/>
  <c r="N569" i="6" s="1"/>
  <c r="N570" i="6" s="1"/>
  <c r="N571" i="6" s="1"/>
  <c r="N572" i="6" s="1"/>
  <c r="N573" i="6" s="1"/>
  <c r="N574" i="6" s="1"/>
  <c r="N575" i="6" s="1"/>
  <c r="N576" i="6" s="1"/>
  <c r="N577" i="6" s="1"/>
  <c r="N578" i="6" s="1"/>
  <c r="N579" i="6" s="1"/>
  <c r="N580" i="6" s="1"/>
  <c r="N581" i="6" s="1"/>
  <c r="N582" i="6" s="1"/>
  <c r="N583" i="6" s="1"/>
  <c r="N584" i="6" s="1"/>
  <c r="N585" i="6" s="1"/>
  <c r="N586" i="6" s="1"/>
  <c r="N587" i="6" s="1"/>
  <c r="N588" i="6" s="1"/>
  <c r="N589" i="6" s="1"/>
  <c r="N590" i="6" s="1"/>
  <c r="N591" i="6" s="1"/>
  <c r="N592" i="6" s="1"/>
  <c r="Q15" i="54"/>
  <c r="Q16" i="54"/>
  <c r="Q17" i="54"/>
  <c r="Q18" i="54"/>
  <c r="Q19" i="54"/>
  <c r="Q20" i="54"/>
  <c r="Q21" i="54"/>
  <c r="Q22" i="54"/>
  <c r="Q23" i="54"/>
  <c r="Q24" i="54"/>
  <c r="Q25" i="54"/>
  <c r="Q26" i="54"/>
  <c r="Q27" i="54"/>
  <c r="Q28" i="54"/>
  <c r="Q29" i="54"/>
  <c r="Q30" i="54"/>
  <c r="Q31" i="54"/>
  <c r="Q32" i="54"/>
  <c r="Q33" i="54"/>
  <c r="Q34" i="54"/>
  <c r="Q35" i="54"/>
  <c r="Q36" i="54"/>
  <c r="Q37" i="54"/>
  <c r="Q38" i="54"/>
  <c r="Q39" i="54"/>
  <c r="Q40" i="54"/>
  <c r="Q41" i="54"/>
  <c r="Q42" i="54"/>
  <c r="Q43" i="54"/>
  <c r="Q44" i="54"/>
  <c r="Q45" i="54"/>
  <c r="Q46" i="54"/>
  <c r="Q47" i="54"/>
  <c r="Q48" i="54"/>
  <c r="Q49" i="54"/>
  <c r="Q50" i="54"/>
  <c r="Q51" i="54"/>
  <c r="Q52" i="54"/>
  <c r="Q53" i="54"/>
  <c r="Q54" i="54"/>
  <c r="Q55" i="54"/>
  <c r="Q56" i="54"/>
  <c r="Q57" i="54"/>
  <c r="Q58" i="54"/>
  <c r="Q59" i="54"/>
  <c r="Q60" i="54"/>
  <c r="Q61" i="54"/>
  <c r="Q62" i="54"/>
  <c r="Q63" i="54"/>
  <c r="Q64" i="54"/>
  <c r="Q65" i="54"/>
  <c r="Q66" i="54"/>
  <c r="Q67" i="54"/>
  <c r="Q68" i="54"/>
  <c r="Q69" i="54"/>
  <c r="Q70" i="54"/>
  <c r="Q71" i="54"/>
  <c r="Q72" i="54"/>
  <c r="Q73" i="54"/>
  <c r="Q74" i="54"/>
  <c r="Q75" i="54"/>
  <c r="Q76" i="54"/>
  <c r="Q77" i="54"/>
  <c r="Q78" i="54"/>
  <c r="Q79" i="54"/>
  <c r="Q80" i="54"/>
  <c r="Q81" i="54"/>
  <c r="Q82" i="54"/>
  <c r="Q83" i="54"/>
  <c r="Q84" i="54"/>
  <c r="Q85" i="54"/>
  <c r="Q86" i="54"/>
  <c r="Q87" i="54"/>
  <c r="Q88" i="54"/>
  <c r="Q89" i="54"/>
  <c r="Q90" i="54"/>
  <c r="Q91" i="54"/>
  <c r="Q92" i="54"/>
  <c r="Q93" i="54"/>
  <c r="Q94" i="54"/>
  <c r="Q95" i="54"/>
  <c r="Q96" i="54"/>
  <c r="Q97" i="54"/>
  <c r="Q98" i="54"/>
  <c r="Q99" i="54"/>
  <c r="Q100" i="54"/>
  <c r="Q101" i="54"/>
  <c r="Q102" i="54"/>
  <c r="Q103" i="54"/>
  <c r="Q104" i="54"/>
  <c r="Q105" i="54"/>
  <c r="Q106" i="54"/>
  <c r="Q107" i="54"/>
  <c r="Q108" i="54"/>
  <c r="Q109" i="54"/>
  <c r="Q110" i="54"/>
  <c r="Q111" i="54"/>
  <c r="Q112" i="54"/>
  <c r="Q113" i="54"/>
  <c r="Q114" i="54"/>
  <c r="Q115" i="54"/>
  <c r="Q116" i="54"/>
  <c r="Q117" i="54"/>
  <c r="Q118" i="54"/>
  <c r="Q119" i="54"/>
  <c r="Q120" i="54"/>
  <c r="Q121" i="54"/>
  <c r="Q122" i="54"/>
  <c r="Q123" i="54"/>
  <c r="Q124" i="54"/>
  <c r="Q125" i="54"/>
  <c r="Q126" i="54"/>
  <c r="Q127" i="54"/>
  <c r="Q128" i="54"/>
  <c r="Q129" i="54"/>
  <c r="Q130" i="54"/>
  <c r="Q133" i="54"/>
  <c r="Q134" i="54"/>
  <c r="Q135" i="54"/>
  <c r="Q136" i="54"/>
  <c r="Q137" i="54"/>
  <c r="Q138" i="54"/>
  <c r="Q139" i="54"/>
  <c r="Q140" i="54"/>
  <c r="Q141" i="54"/>
  <c r="Q142" i="54"/>
  <c r="Q143" i="54"/>
  <c r="Q144" i="54"/>
  <c r="Q145" i="54"/>
  <c r="Q146" i="54"/>
  <c r="Q147" i="54"/>
  <c r="Q148" i="54"/>
  <c r="Q149" i="54"/>
  <c r="Q150" i="54"/>
  <c r="Q151" i="54"/>
  <c r="Q152" i="54"/>
  <c r="Q153" i="54"/>
  <c r="Q154" i="54"/>
  <c r="Q155" i="54"/>
  <c r="Q156" i="54"/>
  <c r="Q157" i="54"/>
  <c r="Q158" i="54"/>
  <c r="Q159" i="54"/>
  <c r="Q160" i="54"/>
  <c r="Q161" i="54"/>
  <c r="Q162" i="54"/>
  <c r="Q163" i="54"/>
  <c r="Q164" i="54"/>
  <c r="Q165" i="54"/>
  <c r="Q166" i="54"/>
  <c r="Q167" i="54"/>
  <c r="Q168" i="54"/>
  <c r="Q169" i="54"/>
  <c r="Q170" i="54"/>
  <c r="Q171" i="54"/>
  <c r="Q172" i="54"/>
  <c r="Q173" i="54"/>
  <c r="Q174" i="54"/>
  <c r="Q175" i="54"/>
  <c r="Q176" i="54"/>
  <c r="Q177" i="54"/>
  <c r="Q178" i="54"/>
  <c r="Q179" i="54"/>
  <c r="Q180" i="54"/>
  <c r="Q181" i="54"/>
  <c r="Q182" i="54"/>
  <c r="Q183" i="54"/>
  <c r="Q184" i="54"/>
  <c r="Q185" i="54"/>
  <c r="Q186" i="54"/>
  <c r="Q187" i="54"/>
  <c r="Q188" i="54"/>
  <c r="Q189" i="54"/>
  <c r="Q190" i="54"/>
  <c r="Q191" i="54"/>
  <c r="Q192" i="54"/>
  <c r="Q193" i="54"/>
  <c r="Q194" i="54"/>
  <c r="Q195" i="54"/>
  <c r="Q196" i="54"/>
  <c r="Q197" i="54"/>
  <c r="Q198" i="54"/>
  <c r="Q199" i="54"/>
  <c r="Q200" i="54"/>
  <c r="Q201" i="54"/>
  <c r="Q202" i="54"/>
  <c r="Q203" i="54"/>
  <c r="Q204" i="54"/>
  <c r="Q205" i="54"/>
  <c r="Q206" i="54"/>
  <c r="Q207" i="54"/>
  <c r="Q208" i="54"/>
  <c r="Q209" i="54"/>
  <c r="Q210" i="54"/>
  <c r="Q211" i="54"/>
  <c r="Q212" i="54"/>
  <c r="Q213" i="54"/>
  <c r="Q214" i="54"/>
  <c r="Q215" i="54"/>
  <c r="Q216" i="54"/>
  <c r="Q217" i="54"/>
  <c r="Q218" i="54"/>
  <c r="Q219" i="54"/>
  <c r="Q220" i="54"/>
  <c r="Q221" i="54"/>
  <c r="Q222" i="54"/>
  <c r="Q223" i="54"/>
  <c r="Q224" i="54"/>
  <c r="Q225" i="54"/>
  <c r="Q226" i="54"/>
  <c r="Q227" i="54"/>
  <c r="Q228" i="54"/>
  <c r="Q229" i="54"/>
  <c r="Q230" i="54"/>
  <c r="Q231" i="54"/>
  <c r="Q232" i="54"/>
  <c r="Q233" i="54"/>
  <c r="Q234" i="54"/>
  <c r="Q235" i="54"/>
  <c r="Q236" i="54"/>
  <c r="Q237" i="54"/>
  <c r="Q238" i="54"/>
  <c r="Q239" i="54"/>
  <c r="Q240" i="54"/>
  <c r="Q241" i="54"/>
  <c r="Q242" i="54"/>
  <c r="Q243" i="54"/>
  <c r="Q244" i="54"/>
  <c r="Q245" i="54"/>
  <c r="Q246" i="54"/>
  <c r="Q247" i="54"/>
  <c r="Q248" i="54"/>
  <c r="Q249" i="54"/>
  <c r="Q250" i="54"/>
  <c r="Q251" i="54"/>
  <c r="Q252" i="54"/>
  <c r="Q253" i="54"/>
  <c r="Q254" i="54"/>
  <c r="Q255" i="54"/>
  <c r="Q256" i="54"/>
  <c r="Q257" i="54"/>
  <c r="Q258" i="54"/>
  <c r="Q259" i="54"/>
  <c r="Q260" i="54"/>
  <c r="Q261" i="54"/>
  <c r="Q262" i="54"/>
  <c r="Q263" i="54"/>
  <c r="Q264" i="54"/>
  <c r="Q265" i="54"/>
  <c r="Q266" i="54"/>
  <c r="Q267" i="54"/>
  <c r="Q268" i="54"/>
  <c r="Q269" i="54"/>
  <c r="Q270" i="54"/>
  <c r="Q271" i="54"/>
  <c r="Q272" i="54"/>
  <c r="Q273" i="54"/>
  <c r="Q274" i="54"/>
  <c r="Q275" i="54"/>
  <c r="Q276" i="54"/>
  <c r="Q277" i="54"/>
  <c r="Q278" i="54"/>
  <c r="Q279" i="54"/>
  <c r="Q280" i="54"/>
  <c r="Q281" i="54"/>
  <c r="Q282" i="54"/>
  <c r="Q283" i="54"/>
  <c r="Q284" i="54"/>
  <c r="Q285" i="54"/>
  <c r="Q286" i="54"/>
  <c r="Q287" i="54"/>
  <c r="Q288" i="54"/>
  <c r="Q289" i="54"/>
  <c r="Q290" i="54"/>
  <c r="Q291" i="54"/>
  <c r="Q292" i="54"/>
  <c r="Q293" i="54"/>
  <c r="Q294" i="54"/>
  <c r="Q295" i="54"/>
  <c r="Q296" i="54"/>
  <c r="Q297" i="54"/>
  <c r="Q298" i="54"/>
  <c r="Q299" i="54"/>
  <c r="Q300" i="54"/>
  <c r="Q301" i="54"/>
  <c r="Q302" i="54"/>
  <c r="Q303" i="54"/>
  <c r="Q304" i="54"/>
  <c r="Q305" i="54"/>
  <c r="Q306" i="54"/>
  <c r="Q307" i="54"/>
  <c r="Q308" i="54"/>
  <c r="Q309" i="54"/>
  <c r="Q310" i="54"/>
  <c r="Q311" i="54"/>
  <c r="Q312" i="54"/>
  <c r="Q313" i="54"/>
  <c r="Q314" i="54"/>
  <c r="Q315" i="54"/>
  <c r="Q316" i="54"/>
  <c r="Q317" i="54"/>
  <c r="Q318" i="54"/>
  <c r="Q319" i="54"/>
  <c r="Q320" i="54"/>
  <c r="Q321" i="54"/>
  <c r="Q322" i="54"/>
  <c r="Q323" i="54"/>
  <c r="Q324" i="54"/>
  <c r="Q325" i="54"/>
  <c r="Q326" i="54"/>
  <c r="Q327" i="54"/>
  <c r="Q328" i="54"/>
  <c r="Q329" i="54"/>
  <c r="Q330" i="54"/>
  <c r="Q331" i="54"/>
  <c r="Q332" i="54"/>
  <c r="Q333" i="54"/>
  <c r="Q334" i="54"/>
  <c r="Q335" i="54"/>
  <c r="Q336" i="54"/>
  <c r="Q337" i="54"/>
  <c r="Q338" i="54"/>
  <c r="Q339" i="54"/>
  <c r="Q340" i="54"/>
  <c r="Q341" i="54"/>
  <c r="Q342" i="54"/>
  <c r="Q343" i="54"/>
  <c r="Q344" i="54"/>
  <c r="Q345" i="54"/>
  <c r="Q346" i="54"/>
  <c r="Q347" i="54"/>
  <c r="Q348" i="54"/>
  <c r="Q349" i="54"/>
  <c r="Q350" i="54"/>
  <c r="Q351" i="54"/>
  <c r="Q352" i="54"/>
  <c r="Q353" i="54"/>
  <c r="Q354" i="54"/>
  <c r="Q355" i="54"/>
  <c r="Q356" i="54"/>
  <c r="Q357" i="54"/>
  <c r="Q358" i="54"/>
  <c r="Q359" i="54"/>
  <c r="Q360" i="54"/>
  <c r="Q361" i="54"/>
  <c r="Q362" i="54"/>
  <c r="Q363" i="54"/>
  <c r="Q364" i="54"/>
  <c r="Q365" i="54"/>
  <c r="Q366" i="54"/>
  <c r="Q367" i="54"/>
  <c r="Q368" i="54"/>
  <c r="Q369" i="54"/>
  <c r="Q370" i="54"/>
  <c r="Q371" i="54"/>
  <c r="Q372" i="54"/>
  <c r="Q373" i="54"/>
  <c r="Q374" i="54"/>
  <c r="Q375" i="54"/>
  <c r="Q376" i="54"/>
  <c r="Q377" i="54"/>
  <c r="Q378" i="54"/>
  <c r="Q379" i="54"/>
  <c r="Q380" i="54"/>
  <c r="Q381" i="54"/>
  <c r="Q382" i="54"/>
  <c r="Q383" i="54"/>
  <c r="Q384" i="54"/>
  <c r="Q385" i="54"/>
  <c r="Q386" i="54"/>
  <c r="Q387" i="54"/>
  <c r="Q388" i="54"/>
  <c r="Q389" i="54"/>
  <c r="Q390" i="54"/>
  <c r="Q391" i="54"/>
  <c r="Q392" i="54"/>
  <c r="Q393" i="54"/>
  <c r="Q394" i="54"/>
  <c r="Q395" i="54"/>
  <c r="Q396" i="54"/>
  <c r="Q397" i="54"/>
  <c r="Q398" i="54"/>
  <c r="Q399" i="54"/>
  <c r="Q400" i="54"/>
  <c r="Q401" i="54"/>
  <c r="Q402" i="54"/>
  <c r="Q403" i="54"/>
  <c r="Q404" i="54"/>
  <c r="Q405" i="54"/>
  <c r="Q406" i="54"/>
  <c r="Q407" i="54"/>
  <c r="Q408" i="54"/>
  <c r="Q409" i="54"/>
  <c r="Q410" i="54"/>
  <c r="Q411" i="54"/>
  <c r="Q412" i="54"/>
  <c r="Q413" i="54"/>
  <c r="Q414" i="54"/>
  <c r="Q415" i="54"/>
  <c r="Q416" i="54"/>
  <c r="Q417" i="54"/>
  <c r="Q418" i="54"/>
  <c r="Q419" i="54"/>
  <c r="Q420" i="54"/>
  <c r="Q421" i="54"/>
  <c r="Q422" i="54"/>
  <c r="Q423" i="54"/>
  <c r="Q424" i="54"/>
  <c r="Q425" i="54"/>
  <c r="Q426" i="54"/>
  <c r="Q427" i="54"/>
  <c r="Q428" i="54"/>
  <c r="Q429" i="54"/>
  <c r="Q430" i="54"/>
  <c r="Q431" i="54"/>
  <c r="Q432" i="54"/>
  <c r="Q433" i="54"/>
  <c r="Q434" i="54"/>
  <c r="Q435" i="54"/>
  <c r="Q436" i="54"/>
  <c r="Q437" i="54"/>
  <c r="Q438" i="54"/>
  <c r="Q439" i="54"/>
  <c r="Q440" i="54"/>
  <c r="Q441" i="54"/>
  <c r="Q442" i="54"/>
  <c r="Q443" i="54"/>
  <c r="Q444" i="54"/>
  <c r="Q445" i="54"/>
  <c r="Q446" i="54"/>
  <c r="Q447" i="54"/>
  <c r="Q448" i="54"/>
  <c r="Q449" i="54"/>
  <c r="Q450" i="54"/>
  <c r="Q451" i="54"/>
  <c r="Q452" i="54"/>
  <c r="Q453" i="54"/>
  <c r="Q454" i="54"/>
  <c r="Q455" i="54"/>
  <c r="Q456" i="54"/>
  <c r="Q457" i="54"/>
  <c r="Q458" i="54"/>
  <c r="Q459" i="54"/>
  <c r="Q460" i="54"/>
  <c r="Q461" i="54"/>
  <c r="Q462" i="54"/>
  <c r="Q463" i="54"/>
  <c r="Q464" i="54"/>
  <c r="Q465" i="54"/>
  <c r="Q466" i="54"/>
  <c r="Q467" i="54"/>
  <c r="Q468" i="54"/>
  <c r="Q469" i="54"/>
  <c r="Q470" i="54"/>
  <c r="Q471" i="54"/>
  <c r="Q472" i="54"/>
  <c r="Q473" i="54"/>
  <c r="Q474" i="54"/>
  <c r="Q475" i="54"/>
  <c r="Q476" i="54"/>
  <c r="Q477" i="54"/>
  <c r="Q478" i="54"/>
  <c r="Q479" i="54"/>
  <c r="Q480" i="54"/>
  <c r="Q481" i="54"/>
  <c r="Q482" i="54"/>
  <c r="Q483" i="54"/>
  <c r="Q484" i="54"/>
  <c r="Q485" i="54"/>
  <c r="Q486" i="54"/>
  <c r="Q487" i="54"/>
  <c r="Q488" i="54"/>
  <c r="Q489" i="54"/>
  <c r="Q490" i="54"/>
  <c r="Q491" i="54"/>
  <c r="Q492" i="54"/>
  <c r="Q493" i="54"/>
  <c r="Q494" i="54"/>
  <c r="Q495" i="54"/>
  <c r="Q496" i="54"/>
  <c r="Q497" i="54"/>
  <c r="Q498" i="54"/>
  <c r="Q499" i="54"/>
  <c r="Q500" i="54"/>
  <c r="Q501" i="54"/>
  <c r="Q502" i="54"/>
  <c r="Q503" i="54"/>
  <c r="Q504" i="54"/>
  <c r="Q505" i="54"/>
  <c r="Q506" i="54"/>
  <c r="Q507" i="54"/>
  <c r="Q508" i="54"/>
  <c r="Q509" i="54"/>
  <c r="Q510" i="54"/>
  <c r="Q511" i="54"/>
  <c r="Q512" i="54"/>
  <c r="Q513" i="54"/>
  <c r="Q514" i="54"/>
  <c r="Q515" i="54"/>
  <c r="Q516" i="54"/>
  <c r="Q517" i="54"/>
  <c r="Q518" i="54"/>
  <c r="Q519" i="54"/>
  <c r="Q520" i="54"/>
  <c r="Q521" i="54"/>
  <c r="Q522" i="54"/>
  <c r="Q523" i="54"/>
  <c r="Q524" i="54"/>
  <c r="Q525" i="54"/>
  <c r="Q526" i="54"/>
  <c r="Q527" i="54"/>
  <c r="Q528" i="54"/>
  <c r="Q529" i="54"/>
  <c r="Q530" i="54"/>
  <c r="Q531" i="54"/>
  <c r="Q532" i="54"/>
  <c r="Q533" i="54"/>
  <c r="Q534" i="54"/>
  <c r="Q535" i="54"/>
  <c r="Q536" i="54"/>
  <c r="Q537" i="54"/>
  <c r="Q538" i="54"/>
  <c r="Q539" i="54"/>
  <c r="Q540" i="54"/>
  <c r="Q541" i="54"/>
  <c r="Q542" i="54"/>
  <c r="Q543" i="54"/>
  <c r="Q544" i="54"/>
  <c r="Q545" i="54"/>
  <c r="Q546" i="54"/>
  <c r="Q547" i="54"/>
  <c r="Q548" i="54"/>
  <c r="Q549" i="54"/>
  <c r="Q550" i="54"/>
  <c r="Q551" i="54"/>
  <c r="Q552" i="54"/>
  <c r="Q553" i="54"/>
  <c r="Q554" i="54"/>
  <c r="Q555" i="54"/>
  <c r="Q556" i="54"/>
  <c r="Q557" i="54"/>
  <c r="Q558" i="54"/>
  <c r="Q559" i="54"/>
  <c r="Q560" i="54"/>
  <c r="Q561" i="54"/>
  <c r="Q562" i="54"/>
  <c r="Q563" i="54"/>
  <c r="Q564" i="54"/>
  <c r="Q565" i="54"/>
  <c r="Q566" i="54"/>
  <c r="Q567" i="54"/>
  <c r="Q568" i="54"/>
  <c r="Q569" i="54"/>
  <c r="Q570" i="54"/>
  <c r="Q571" i="54"/>
  <c r="Q572" i="54"/>
  <c r="Q573" i="54"/>
  <c r="Q574" i="54"/>
  <c r="Q575" i="54"/>
  <c r="Q576" i="54"/>
  <c r="Q577" i="54"/>
  <c r="Q578" i="54"/>
  <c r="Q579" i="54"/>
  <c r="Q580" i="54"/>
  <c r="Q581" i="54"/>
  <c r="Q582" i="54"/>
  <c r="Q583" i="54"/>
  <c r="Q584" i="54"/>
  <c r="Q585" i="54"/>
  <c r="Q586" i="54"/>
  <c r="Q587" i="54"/>
  <c r="Q588" i="54"/>
  <c r="Q589" i="54"/>
  <c r="Q590" i="54"/>
  <c r="Q591" i="54"/>
  <c r="Q592" i="54"/>
  <c r="Q593" i="54"/>
  <c r="Q594" i="54"/>
  <c r="Q595" i="54"/>
  <c r="Q596" i="54"/>
  <c r="Q597" i="54"/>
  <c r="Q598" i="54"/>
  <c r="Q599" i="54"/>
  <c r="Q600" i="54"/>
  <c r="Q601" i="54"/>
  <c r="Q602" i="54"/>
  <c r="N593" i="6" l="1"/>
  <c r="M603" i="54"/>
  <c r="K603" i="54"/>
  <c r="B603" i="54"/>
  <c r="E551" i="54"/>
  <c r="E550" i="54"/>
  <c r="E549" i="54"/>
  <c r="E543" i="54"/>
  <c r="E538" i="54"/>
  <c r="E518" i="54"/>
  <c r="E514" i="54"/>
  <c r="E513" i="54"/>
  <c r="E512" i="54"/>
  <c r="E511" i="54"/>
  <c r="E510" i="54"/>
  <c r="E500" i="54"/>
  <c r="E499" i="54"/>
  <c r="E479" i="54"/>
  <c r="E478" i="54"/>
  <c r="E471" i="54"/>
  <c r="E465" i="54"/>
  <c r="E463" i="54"/>
  <c r="E462" i="54"/>
  <c r="E461" i="54"/>
  <c r="E460" i="54"/>
  <c r="E457" i="54"/>
  <c r="E456" i="54"/>
  <c r="E450" i="54"/>
  <c r="E445" i="54"/>
  <c r="E444" i="54"/>
  <c r="E424" i="54"/>
  <c r="E423" i="54"/>
  <c r="E415" i="54"/>
  <c r="E407" i="54"/>
  <c r="E370" i="54"/>
  <c r="E369" i="54"/>
  <c r="E366" i="54"/>
  <c r="E365" i="54"/>
  <c r="E364" i="54"/>
  <c r="E363" i="54"/>
  <c r="E362" i="54"/>
  <c r="E361" i="54"/>
  <c r="E352" i="54"/>
  <c r="E351" i="54"/>
  <c r="E350" i="54"/>
  <c r="E338" i="54"/>
  <c r="E336" i="54"/>
  <c r="E335" i="54"/>
  <c r="E323" i="54"/>
  <c r="E320" i="54"/>
  <c r="E319" i="54"/>
  <c r="E317" i="54"/>
  <c r="E316" i="54"/>
  <c r="E312" i="54"/>
  <c r="E301" i="54"/>
  <c r="E300" i="54"/>
  <c r="E296" i="54"/>
  <c r="E295" i="54"/>
  <c r="E294" i="54"/>
  <c r="E293" i="54"/>
  <c r="E282" i="54"/>
  <c r="E280" i="54"/>
  <c r="E206" i="54"/>
  <c r="E205" i="54"/>
  <c r="E201" i="54"/>
  <c r="E195" i="54"/>
  <c r="E193" i="54"/>
  <c r="E188" i="54"/>
  <c r="E187" i="54"/>
  <c r="E186" i="54"/>
  <c r="E179" i="54"/>
  <c r="E175" i="54"/>
  <c r="E172" i="54"/>
  <c r="E169" i="54"/>
  <c r="E168" i="54"/>
  <c r="E156" i="54"/>
  <c r="E151" i="54"/>
  <c r="E146" i="54"/>
  <c r="E133" i="54"/>
  <c r="V133" i="54" s="1"/>
  <c r="E126" i="54"/>
  <c r="E120" i="54"/>
  <c r="E118" i="54"/>
  <c r="E117" i="54"/>
  <c r="E116" i="54"/>
  <c r="E115" i="54"/>
  <c r="E107" i="54"/>
  <c r="E101" i="54"/>
  <c r="E99" i="54"/>
  <c r="E97" i="54"/>
  <c r="E94" i="54"/>
  <c r="E92" i="54"/>
  <c r="E90" i="54"/>
  <c r="E89" i="54"/>
  <c r="E88" i="54"/>
  <c r="E80" i="54"/>
  <c r="E77" i="54"/>
  <c r="E76" i="54"/>
  <c r="E75" i="54"/>
  <c r="E68" i="54"/>
  <c r="E67" i="54"/>
  <c r="E66" i="54"/>
  <c r="E65" i="54"/>
  <c r="E60" i="54"/>
  <c r="E55" i="54"/>
  <c r="E53" i="54"/>
  <c r="E48" i="54"/>
  <c r="E42" i="54"/>
  <c r="E41" i="54"/>
  <c r="E35" i="54"/>
  <c r="E34" i="54"/>
  <c r="E33" i="54"/>
  <c r="E32" i="54"/>
  <c r="N14" i="54"/>
  <c r="N280" i="54" l="1"/>
  <c r="V280" i="54"/>
  <c r="N550" i="54"/>
  <c r="V550" i="54"/>
  <c r="N66" i="54"/>
  <c r="V66" i="54"/>
  <c r="N76" i="54"/>
  <c r="V76" i="54"/>
  <c r="N120" i="54"/>
  <c r="V120" i="54"/>
  <c r="N201" i="54"/>
  <c r="V201" i="54"/>
  <c r="N362" i="54"/>
  <c r="V362" i="54"/>
  <c r="N32" i="54"/>
  <c r="V32" i="54"/>
  <c r="N55" i="54"/>
  <c r="V55" i="54"/>
  <c r="N77" i="54"/>
  <c r="V77" i="54"/>
  <c r="N99" i="54"/>
  <c r="V99" i="54"/>
  <c r="N126" i="54"/>
  <c r="V126" i="54"/>
  <c r="N175" i="54"/>
  <c r="V175" i="54"/>
  <c r="N205" i="54"/>
  <c r="V205" i="54"/>
  <c r="N300" i="54"/>
  <c r="V300" i="54"/>
  <c r="N335" i="54"/>
  <c r="V335" i="54"/>
  <c r="N363" i="54"/>
  <c r="V363" i="54"/>
  <c r="N423" i="54"/>
  <c r="V423" i="54"/>
  <c r="N461" i="54"/>
  <c r="V461" i="54"/>
  <c r="N500" i="54"/>
  <c r="V500" i="54"/>
  <c r="N543" i="54"/>
  <c r="V543" i="54"/>
  <c r="N65" i="54"/>
  <c r="V65" i="54"/>
  <c r="N312" i="54"/>
  <c r="V312" i="54"/>
  <c r="N33" i="54"/>
  <c r="V33" i="54"/>
  <c r="N60" i="54"/>
  <c r="V60" i="54"/>
  <c r="N80" i="54"/>
  <c r="V80" i="54"/>
  <c r="N101" i="54"/>
  <c r="V101" i="54"/>
  <c r="N179" i="54"/>
  <c r="V179" i="54"/>
  <c r="N206" i="54"/>
  <c r="V206" i="54"/>
  <c r="N301" i="54"/>
  <c r="V301" i="54"/>
  <c r="N336" i="54"/>
  <c r="V336" i="54"/>
  <c r="N364" i="54"/>
  <c r="V364" i="54"/>
  <c r="N424" i="54"/>
  <c r="V424" i="54"/>
  <c r="N462" i="54"/>
  <c r="V462" i="54"/>
  <c r="N510" i="54"/>
  <c r="V510" i="54"/>
  <c r="N549" i="54"/>
  <c r="V549" i="54"/>
  <c r="N34" i="54"/>
  <c r="V34" i="54"/>
  <c r="N186" i="54"/>
  <c r="V186" i="54"/>
  <c r="N463" i="54"/>
  <c r="V463" i="54"/>
  <c r="N151" i="54"/>
  <c r="V151" i="54"/>
  <c r="N350" i="54"/>
  <c r="V350" i="54"/>
  <c r="N90" i="54"/>
  <c r="V90" i="54"/>
  <c r="N471" i="54"/>
  <c r="V471" i="54"/>
  <c r="N146" i="54"/>
  <c r="V146" i="54"/>
  <c r="N511" i="54"/>
  <c r="V511" i="54"/>
  <c r="N89" i="54"/>
  <c r="V89" i="54"/>
  <c r="N282" i="54"/>
  <c r="V282" i="54"/>
  <c r="N366" i="54"/>
  <c r="V366" i="54"/>
  <c r="N512" i="54"/>
  <c r="V512" i="54"/>
  <c r="N116" i="54"/>
  <c r="V116" i="54"/>
  <c r="N293" i="54"/>
  <c r="V293" i="54"/>
  <c r="N513" i="54"/>
  <c r="V513" i="54"/>
  <c r="N42" i="54"/>
  <c r="V42" i="54"/>
  <c r="N92" i="54"/>
  <c r="V92" i="54"/>
  <c r="N117" i="54"/>
  <c r="V117" i="54"/>
  <c r="N168" i="54"/>
  <c r="V168" i="54"/>
  <c r="N193" i="54"/>
  <c r="V193" i="54"/>
  <c r="N294" i="54"/>
  <c r="V294" i="54"/>
  <c r="N319" i="54"/>
  <c r="V319" i="54"/>
  <c r="N352" i="54"/>
  <c r="V352" i="54"/>
  <c r="N370" i="54"/>
  <c r="V370" i="54"/>
  <c r="N456" i="54"/>
  <c r="V456" i="54"/>
  <c r="N478" i="54"/>
  <c r="V478" i="54"/>
  <c r="N514" i="54"/>
  <c r="V514" i="54"/>
  <c r="N88" i="54"/>
  <c r="V88" i="54"/>
  <c r="N338" i="54"/>
  <c r="V338" i="54"/>
  <c r="N444" i="54"/>
  <c r="V444" i="54"/>
  <c r="N115" i="54"/>
  <c r="V115" i="54"/>
  <c r="N187" i="54"/>
  <c r="V187" i="54"/>
  <c r="N316" i="54"/>
  <c r="V316" i="54"/>
  <c r="N445" i="54"/>
  <c r="V445" i="54"/>
  <c r="N465" i="54"/>
  <c r="V465" i="54"/>
  <c r="N551" i="54"/>
  <c r="V551" i="54"/>
  <c r="N41" i="54"/>
  <c r="V41" i="54"/>
  <c r="N67" i="54"/>
  <c r="V67" i="54"/>
  <c r="N156" i="54"/>
  <c r="V156" i="54"/>
  <c r="N188" i="54"/>
  <c r="V188" i="54"/>
  <c r="N317" i="54"/>
  <c r="V317" i="54"/>
  <c r="N351" i="54"/>
  <c r="V351" i="54"/>
  <c r="N369" i="54"/>
  <c r="V369" i="54"/>
  <c r="N450" i="54"/>
  <c r="V450" i="54"/>
  <c r="N68" i="54"/>
  <c r="V68" i="54"/>
  <c r="N48" i="54"/>
  <c r="V48" i="54"/>
  <c r="N75" i="54"/>
  <c r="V75" i="54"/>
  <c r="N94" i="54"/>
  <c r="V94" i="54"/>
  <c r="N118" i="54"/>
  <c r="V118" i="54"/>
  <c r="N169" i="54"/>
  <c r="V169" i="54"/>
  <c r="N195" i="54"/>
  <c r="V195" i="54"/>
  <c r="N295" i="54"/>
  <c r="V295" i="54"/>
  <c r="N320" i="54"/>
  <c r="V320" i="54"/>
  <c r="N361" i="54"/>
  <c r="V361" i="54"/>
  <c r="N407" i="54"/>
  <c r="V407" i="54"/>
  <c r="N457" i="54"/>
  <c r="V457" i="54"/>
  <c r="N479" i="54"/>
  <c r="V479" i="54"/>
  <c r="N518" i="54"/>
  <c r="V518" i="54"/>
  <c r="N107" i="54"/>
  <c r="V107" i="54"/>
  <c r="N365" i="54"/>
  <c r="V365" i="54"/>
  <c r="N35" i="54"/>
  <c r="V35" i="54"/>
  <c r="N53" i="54"/>
  <c r="V53" i="54"/>
  <c r="N97" i="54"/>
  <c r="V97" i="54"/>
  <c r="N172" i="54"/>
  <c r="V172" i="54"/>
  <c r="N296" i="54"/>
  <c r="V296" i="54"/>
  <c r="N415" i="54"/>
  <c r="V415" i="54"/>
  <c r="N460" i="54"/>
  <c r="V460" i="54"/>
  <c r="N499" i="54"/>
  <c r="V499" i="54"/>
  <c r="N538" i="54"/>
  <c r="V538" i="54"/>
  <c r="N323" i="54"/>
  <c r="V323" i="54"/>
  <c r="P603" i="54"/>
  <c r="E380" i="54"/>
  <c r="E603" i="54" s="1"/>
  <c r="N133" i="54"/>
  <c r="M7" i="52"/>
  <c r="E7" i="52"/>
  <c r="M6" i="52"/>
  <c r="M5" i="52"/>
  <c r="E158" i="6"/>
  <c r="M158" i="6" s="1"/>
  <c r="E159" i="6"/>
  <c r="M159" i="6" s="1"/>
  <c r="B13" i="52"/>
  <c r="C13" i="52"/>
  <c r="D13" i="52"/>
  <c r="F13" i="52"/>
  <c r="G13" i="52"/>
  <c r="H13" i="52"/>
  <c r="I13" i="52"/>
  <c r="J13" i="52"/>
  <c r="B14" i="52"/>
  <c r="C14" i="52"/>
  <c r="D14" i="52"/>
  <c r="F14" i="52"/>
  <c r="G14" i="52"/>
  <c r="H14" i="52"/>
  <c r="I14" i="52"/>
  <c r="J14" i="52"/>
  <c r="B15" i="52"/>
  <c r="C15" i="52"/>
  <c r="D15" i="52"/>
  <c r="F15" i="52"/>
  <c r="G15" i="52"/>
  <c r="H15" i="52"/>
  <c r="I15" i="52"/>
  <c r="J15" i="52"/>
  <c r="B16" i="52"/>
  <c r="C16" i="52"/>
  <c r="D16" i="52"/>
  <c r="F16" i="52"/>
  <c r="G16" i="52"/>
  <c r="H16" i="52"/>
  <c r="I16" i="52"/>
  <c r="J16" i="52"/>
  <c r="E352" i="6"/>
  <c r="M352" i="6" s="1"/>
  <c r="E353" i="6"/>
  <c r="M353" i="6" s="1"/>
  <c r="E354" i="6"/>
  <c r="M354" i="6" s="1"/>
  <c r="E355" i="6"/>
  <c r="M355" i="6" s="1"/>
  <c r="E351" i="6"/>
  <c r="M351" i="6" s="1"/>
  <c r="E325" i="6"/>
  <c r="M325" i="6" s="1"/>
  <c r="E310" i="6"/>
  <c r="E309" i="6"/>
  <c r="E307" i="6"/>
  <c r="M307" i="6" s="1"/>
  <c r="E306" i="6"/>
  <c r="M306" i="6" s="1"/>
  <c r="E302" i="6"/>
  <c r="M302" i="6" s="1"/>
  <c r="E283" i="6"/>
  <c r="M283" i="6" s="1"/>
  <c r="E191" i="6"/>
  <c r="M191" i="6" s="1"/>
  <c r="E185" i="6"/>
  <c r="M185" i="6" s="1"/>
  <c r="E183" i="6"/>
  <c r="E146" i="6"/>
  <c r="M82" i="6"/>
  <c r="E57" i="6"/>
  <c r="M57" i="6" s="1"/>
  <c r="E55" i="6"/>
  <c r="M55" i="6" s="1"/>
  <c r="E32" i="6"/>
  <c r="M32" i="6" s="1"/>
  <c r="E541" i="6"/>
  <c r="M541" i="6" s="1"/>
  <c r="E540" i="6"/>
  <c r="M540" i="6" s="1"/>
  <c r="E539" i="6"/>
  <c r="E533" i="6"/>
  <c r="E528" i="6"/>
  <c r="E508" i="6"/>
  <c r="M508" i="6" s="1"/>
  <c r="E504" i="6"/>
  <c r="M504" i="6" s="1"/>
  <c r="E503" i="6"/>
  <c r="E502" i="6"/>
  <c r="M502" i="6" s="1"/>
  <c r="E501" i="6"/>
  <c r="M501" i="6" s="1"/>
  <c r="E500" i="6"/>
  <c r="E490" i="6"/>
  <c r="E489" i="6"/>
  <c r="E469" i="6"/>
  <c r="M469" i="6" s="1"/>
  <c r="E468" i="6"/>
  <c r="E461" i="6"/>
  <c r="M461" i="6" s="1"/>
  <c r="E455" i="6"/>
  <c r="M455" i="6" s="1"/>
  <c r="E453" i="6"/>
  <c r="M453" i="6" s="1"/>
  <c r="E452" i="6"/>
  <c r="E451" i="6"/>
  <c r="E450" i="6"/>
  <c r="E447" i="6"/>
  <c r="M447" i="6" s="1"/>
  <c r="E446" i="6"/>
  <c r="E440" i="6"/>
  <c r="E435" i="6"/>
  <c r="E434" i="6"/>
  <c r="M434" i="6" s="1"/>
  <c r="E414" i="6"/>
  <c r="E413" i="6"/>
  <c r="E405" i="6"/>
  <c r="E397" i="6"/>
  <c r="M397" i="6" s="1"/>
  <c r="E360" i="6"/>
  <c r="M360" i="6" s="1"/>
  <c r="E359" i="6"/>
  <c r="E356" i="6"/>
  <c r="M356" i="6" s="1"/>
  <c r="E342" i="6"/>
  <c r="M342" i="6" s="1"/>
  <c r="E341" i="6"/>
  <c r="E340" i="6"/>
  <c r="E328" i="6"/>
  <c r="E326" i="6"/>
  <c r="M326" i="6" s="1"/>
  <c r="E291" i="6"/>
  <c r="M291" i="6" s="1"/>
  <c r="E290" i="6"/>
  <c r="E286" i="6"/>
  <c r="M286" i="6" s="1"/>
  <c r="E285" i="6"/>
  <c r="M285" i="6" s="1"/>
  <c r="E284" i="6"/>
  <c r="E272" i="6"/>
  <c r="E270" i="6"/>
  <c r="E196" i="6"/>
  <c r="M196" i="6" s="1"/>
  <c r="E195" i="6"/>
  <c r="M195" i="6" s="1"/>
  <c r="E178" i="6"/>
  <c r="E177" i="6"/>
  <c r="M177" i="6" s="1"/>
  <c r="E176" i="6"/>
  <c r="M176" i="6" s="1"/>
  <c r="E169" i="6"/>
  <c r="E165" i="6"/>
  <c r="E162" i="6"/>
  <c r="E141" i="6"/>
  <c r="M141" i="6" s="1"/>
  <c r="E136" i="6"/>
  <c r="E123" i="6"/>
  <c r="M123" i="6" s="1"/>
  <c r="E116" i="6"/>
  <c r="M116" i="6" s="1"/>
  <c r="E110" i="6"/>
  <c r="E108" i="6"/>
  <c r="E107" i="6"/>
  <c r="E106" i="6"/>
  <c r="M106" i="6" s="1"/>
  <c r="E105" i="6"/>
  <c r="M105" i="6" s="1"/>
  <c r="E97" i="6"/>
  <c r="E91" i="6"/>
  <c r="M91" i="6" s="1"/>
  <c r="E89" i="6"/>
  <c r="M89" i="6" s="1"/>
  <c r="E87" i="6"/>
  <c r="E84" i="6"/>
  <c r="E80" i="6"/>
  <c r="E79" i="6"/>
  <c r="M79" i="6" s="1"/>
  <c r="E78" i="6"/>
  <c r="M78" i="6" s="1"/>
  <c r="E70" i="6"/>
  <c r="E67" i="6"/>
  <c r="M67" i="6" s="1"/>
  <c r="E66" i="6"/>
  <c r="M66" i="6" s="1"/>
  <c r="E65" i="6"/>
  <c r="E58" i="6"/>
  <c r="E56" i="6"/>
  <c r="E50" i="6"/>
  <c r="M50" i="6" s="1"/>
  <c r="E45" i="6"/>
  <c r="M45" i="6" s="1"/>
  <c r="E43" i="6"/>
  <c r="E38" i="6"/>
  <c r="M38" i="6" s="1"/>
  <c r="E31" i="6"/>
  <c r="M31" i="6" s="1"/>
  <c r="E25" i="6"/>
  <c r="E24" i="6"/>
  <c r="E23" i="6"/>
  <c r="E22" i="6"/>
  <c r="M22" i="6" s="1"/>
  <c r="H1" i="52"/>
  <c r="A1" i="52"/>
  <c r="B1" i="52"/>
  <c r="C1" i="52"/>
  <c r="D1" i="52"/>
  <c r="F1" i="52"/>
  <c r="G1" i="52"/>
  <c r="I1" i="52"/>
  <c r="J1" i="52"/>
  <c r="A2" i="52"/>
  <c r="B2" i="52"/>
  <c r="C2" i="52"/>
  <c r="D2" i="52"/>
  <c r="F2" i="52"/>
  <c r="G2" i="52"/>
  <c r="H2" i="52"/>
  <c r="I2" i="52"/>
  <c r="J2" i="52"/>
  <c r="A3" i="52"/>
  <c r="B3" i="52"/>
  <c r="C3" i="52"/>
  <c r="D3" i="52"/>
  <c r="F3" i="52"/>
  <c r="G3" i="52"/>
  <c r="H3" i="52"/>
  <c r="I3" i="52"/>
  <c r="J3" i="52"/>
  <c r="A8" i="52"/>
  <c r="B8" i="52"/>
  <c r="C8" i="52"/>
  <c r="D8" i="52"/>
  <c r="F8" i="52"/>
  <c r="G8" i="52"/>
  <c r="H8" i="52"/>
  <c r="I8" i="52"/>
  <c r="J8" i="52"/>
  <c r="A11" i="52"/>
  <c r="B11" i="52"/>
  <c r="C11" i="52"/>
  <c r="D11" i="52"/>
  <c r="F11" i="52"/>
  <c r="G11" i="52"/>
  <c r="H11" i="52"/>
  <c r="I11" i="52"/>
  <c r="J11" i="52"/>
  <c r="A12" i="52"/>
  <c r="B12" i="52"/>
  <c r="C12" i="52"/>
  <c r="D12" i="52"/>
  <c r="F12" i="52"/>
  <c r="G12" i="52"/>
  <c r="H12" i="52"/>
  <c r="I12" i="52"/>
  <c r="J12" i="52"/>
  <c r="A9" i="52"/>
  <c r="B9" i="52"/>
  <c r="C9" i="52"/>
  <c r="D9" i="52"/>
  <c r="F9" i="52"/>
  <c r="G9" i="52"/>
  <c r="H9" i="52"/>
  <c r="I9" i="52"/>
  <c r="J9" i="52"/>
  <c r="A10" i="52"/>
  <c r="B10" i="52"/>
  <c r="C10" i="52"/>
  <c r="D10" i="52"/>
  <c r="F10" i="52"/>
  <c r="G10" i="52"/>
  <c r="H10" i="52"/>
  <c r="I10" i="52"/>
  <c r="J10" i="52"/>
  <c r="A13" i="52"/>
  <c r="A14" i="52"/>
  <c r="A15" i="52"/>
  <c r="A16" i="52"/>
  <c r="A4" i="52"/>
  <c r="B4" i="52"/>
  <c r="C4" i="52"/>
  <c r="D4" i="52"/>
  <c r="F4" i="52"/>
  <c r="G4" i="52"/>
  <c r="H4" i="52"/>
  <c r="I4" i="52"/>
  <c r="J4" i="52"/>
  <c r="E313" i="6"/>
  <c r="M313" i="6" s="1"/>
  <c r="M622" i="23"/>
  <c r="M621" i="23"/>
  <c r="M620" i="23"/>
  <c r="M619" i="23"/>
  <c r="M618" i="23"/>
  <c r="M617" i="23"/>
  <c r="M616" i="23"/>
  <c r="M615" i="23"/>
  <c r="M614" i="23"/>
  <c r="M613" i="23"/>
  <c r="M612" i="23"/>
  <c r="M611" i="23"/>
  <c r="M610" i="23"/>
  <c r="M609" i="23"/>
  <c r="M608" i="23"/>
  <c r="M607" i="23"/>
  <c r="M606" i="23"/>
  <c r="M605" i="23"/>
  <c r="M604" i="23"/>
  <c r="M603" i="23"/>
  <c r="M602" i="23"/>
  <c r="M601" i="23"/>
  <c r="M600" i="23"/>
  <c r="M599" i="23"/>
  <c r="M598" i="23"/>
  <c r="M597" i="23"/>
  <c r="M596" i="23"/>
  <c r="M595" i="23"/>
  <c r="M594" i="23"/>
  <c r="M593" i="23"/>
  <c r="M592" i="23"/>
  <c r="M591" i="23"/>
  <c r="M590" i="23"/>
  <c r="M589" i="23"/>
  <c r="M588" i="23"/>
  <c r="M587" i="23"/>
  <c r="M586" i="23"/>
  <c r="M585" i="23"/>
  <c r="M584" i="23"/>
  <c r="M583" i="23"/>
  <c r="M582" i="23"/>
  <c r="M581" i="23"/>
  <c r="M580" i="23"/>
  <c r="M579" i="23"/>
  <c r="M578" i="23"/>
  <c r="M577" i="23"/>
  <c r="M576" i="23"/>
  <c r="M575" i="23"/>
  <c r="M574" i="23"/>
  <c r="M573" i="23"/>
  <c r="M572" i="23"/>
  <c r="M571" i="23"/>
  <c r="M570" i="23"/>
  <c r="M569" i="23"/>
  <c r="M568" i="23"/>
  <c r="M567" i="23"/>
  <c r="M566" i="23"/>
  <c r="M565" i="23"/>
  <c r="M564" i="23"/>
  <c r="M563" i="23"/>
  <c r="M562" i="23"/>
  <c r="M561" i="23"/>
  <c r="M560" i="23"/>
  <c r="M559" i="23"/>
  <c r="M558" i="23"/>
  <c r="M557" i="23"/>
  <c r="M556" i="23"/>
  <c r="M555" i="23"/>
  <c r="M554" i="23"/>
  <c r="M553" i="23"/>
  <c r="M552" i="23"/>
  <c r="M551" i="23"/>
  <c r="M550" i="23"/>
  <c r="M549" i="23"/>
  <c r="M548" i="23"/>
  <c r="M547" i="23"/>
  <c r="M546" i="23"/>
  <c r="M545" i="23"/>
  <c r="M544" i="23"/>
  <c r="M543" i="23"/>
  <c r="M542" i="23"/>
  <c r="M541" i="23"/>
  <c r="M540" i="23"/>
  <c r="M539" i="23"/>
  <c r="M538" i="23"/>
  <c r="M537" i="23"/>
  <c r="M536" i="23"/>
  <c r="M535" i="23"/>
  <c r="M534" i="23"/>
  <c r="M533" i="23"/>
  <c r="M532" i="23"/>
  <c r="M531" i="23"/>
  <c r="M530" i="23"/>
  <c r="M529" i="23"/>
  <c r="M528" i="23"/>
  <c r="M527" i="23"/>
  <c r="M526" i="23"/>
  <c r="M525" i="23"/>
  <c r="M524" i="23"/>
  <c r="M523" i="23"/>
  <c r="M522" i="23"/>
  <c r="M521" i="23"/>
  <c r="M520" i="23"/>
  <c r="M519" i="23"/>
  <c r="M518" i="23"/>
  <c r="M517" i="23"/>
  <c r="M516" i="23"/>
  <c r="M515" i="23"/>
  <c r="M514" i="23"/>
  <c r="M513" i="23"/>
  <c r="M512" i="23"/>
  <c r="M511" i="23"/>
  <c r="M510" i="23"/>
  <c r="M509" i="23"/>
  <c r="M508" i="23"/>
  <c r="M507" i="23"/>
  <c r="M506" i="23"/>
  <c r="M505" i="23"/>
  <c r="M504" i="23"/>
  <c r="M503" i="23"/>
  <c r="M502" i="23"/>
  <c r="M501" i="23"/>
  <c r="M500" i="23"/>
  <c r="M499" i="23"/>
  <c r="M498" i="23"/>
  <c r="M497" i="23"/>
  <c r="M496" i="23"/>
  <c r="M495" i="23"/>
  <c r="M494" i="23"/>
  <c r="M493" i="23"/>
  <c r="M492" i="23"/>
  <c r="M491" i="23"/>
  <c r="M490" i="23"/>
  <c r="M489" i="23"/>
  <c r="M488" i="23"/>
  <c r="M487" i="23"/>
  <c r="M486" i="23"/>
  <c r="M485" i="23"/>
  <c r="M484" i="23"/>
  <c r="M483" i="23"/>
  <c r="M482" i="23"/>
  <c r="M481" i="23"/>
  <c r="M480" i="23"/>
  <c r="M479" i="23"/>
  <c r="M478" i="23"/>
  <c r="M477" i="23"/>
  <c r="M476" i="23"/>
  <c r="M475" i="23"/>
  <c r="M474" i="23"/>
  <c r="M473" i="23"/>
  <c r="M472" i="23"/>
  <c r="M471" i="23"/>
  <c r="M470" i="23"/>
  <c r="M469" i="23"/>
  <c r="M468" i="23"/>
  <c r="M467" i="23"/>
  <c r="M466" i="23"/>
  <c r="M465" i="23"/>
  <c r="M464" i="23"/>
  <c r="M463" i="23"/>
  <c r="M462" i="23"/>
  <c r="M461" i="23"/>
  <c r="M460" i="23"/>
  <c r="M459" i="23"/>
  <c r="M458" i="23"/>
  <c r="M457" i="23"/>
  <c r="M456" i="23"/>
  <c r="M455" i="23"/>
  <c r="M454" i="23"/>
  <c r="M453" i="23"/>
  <c r="M452" i="23"/>
  <c r="M451" i="23"/>
  <c r="M450" i="23"/>
  <c r="M449" i="23"/>
  <c r="M448" i="23"/>
  <c r="M447" i="23"/>
  <c r="M446" i="23"/>
  <c r="M445" i="23"/>
  <c r="M444" i="23"/>
  <c r="M443" i="23"/>
  <c r="M442" i="23"/>
  <c r="M441" i="23"/>
  <c r="M440" i="23"/>
  <c r="M439" i="23"/>
  <c r="M438" i="23"/>
  <c r="M437" i="23"/>
  <c r="M436" i="23"/>
  <c r="M435" i="23"/>
  <c r="M434" i="23"/>
  <c r="M433" i="23"/>
  <c r="M432" i="23"/>
  <c r="M431" i="23"/>
  <c r="M430" i="23"/>
  <c r="M429" i="23"/>
  <c r="M428" i="23"/>
  <c r="M427" i="23"/>
  <c r="M426" i="23"/>
  <c r="M425" i="23"/>
  <c r="M424" i="23"/>
  <c r="M423" i="23"/>
  <c r="M422" i="23"/>
  <c r="M421" i="23"/>
  <c r="M420" i="23"/>
  <c r="M419" i="23"/>
  <c r="M418" i="23"/>
  <c r="M417" i="23"/>
  <c r="M416" i="23"/>
  <c r="M415" i="23"/>
  <c r="M414" i="23"/>
  <c r="M413" i="23"/>
  <c r="M412" i="23"/>
  <c r="M411" i="23"/>
  <c r="M410" i="23"/>
  <c r="M409" i="23"/>
  <c r="M408" i="23"/>
  <c r="M407" i="23"/>
  <c r="M406" i="23"/>
  <c r="M405" i="23"/>
  <c r="M404" i="23"/>
  <c r="M403" i="23"/>
  <c r="M402" i="23"/>
  <c r="M401" i="23"/>
  <c r="M400" i="23"/>
  <c r="M399" i="23"/>
  <c r="M398" i="23"/>
  <c r="M397" i="23"/>
  <c r="M396" i="23"/>
  <c r="M395" i="23"/>
  <c r="M394" i="23"/>
  <c r="M393" i="23"/>
  <c r="M392" i="23"/>
  <c r="M391" i="23"/>
  <c r="M390" i="23"/>
  <c r="M389" i="23"/>
  <c r="M388" i="23"/>
  <c r="M387" i="23"/>
  <c r="M386" i="23"/>
  <c r="M385" i="23"/>
  <c r="M384" i="23"/>
  <c r="M383" i="23"/>
  <c r="M382" i="23"/>
  <c r="M381" i="23"/>
  <c r="M380" i="23"/>
  <c r="M379" i="23"/>
  <c r="M378" i="23"/>
  <c r="M377" i="23"/>
  <c r="M376" i="23"/>
  <c r="M375" i="23"/>
  <c r="M374" i="23"/>
  <c r="M373" i="23"/>
  <c r="M372" i="23"/>
  <c r="M371" i="23"/>
  <c r="M370" i="23"/>
  <c r="M369" i="23"/>
  <c r="M368" i="23"/>
  <c r="M367" i="23"/>
  <c r="M366" i="23"/>
  <c r="M365" i="23"/>
  <c r="M364" i="23"/>
  <c r="M363" i="23"/>
  <c r="M362" i="23"/>
  <c r="M361" i="23"/>
  <c r="M360" i="23"/>
  <c r="M359" i="23"/>
  <c r="M358" i="23"/>
  <c r="M357" i="23"/>
  <c r="M356" i="23"/>
  <c r="M355" i="23"/>
  <c r="M354" i="23"/>
  <c r="M353" i="23"/>
  <c r="M352" i="23"/>
  <c r="M351" i="23"/>
  <c r="M350" i="23"/>
  <c r="M349" i="23"/>
  <c r="M348" i="23"/>
  <c r="M347" i="23"/>
  <c r="M346" i="23"/>
  <c r="M345" i="23"/>
  <c r="M344" i="23"/>
  <c r="M343" i="23"/>
  <c r="M342" i="23"/>
  <c r="M341" i="23"/>
  <c r="M340" i="23"/>
  <c r="M339" i="23"/>
  <c r="M338" i="23"/>
  <c r="M337" i="23"/>
  <c r="M336" i="23"/>
  <c r="M335" i="23"/>
  <c r="M334" i="23"/>
  <c r="M333" i="23"/>
  <c r="M332" i="23"/>
  <c r="M331" i="23"/>
  <c r="M330" i="23"/>
  <c r="M329" i="23"/>
  <c r="M328" i="23"/>
  <c r="M327" i="23"/>
  <c r="M326" i="23"/>
  <c r="M325" i="23"/>
  <c r="M324" i="23"/>
  <c r="M323" i="23"/>
  <c r="M322" i="23"/>
  <c r="M321" i="23"/>
  <c r="M320" i="23"/>
  <c r="M319" i="23"/>
  <c r="M318" i="23"/>
  <c r="M317" i="23"/>
  <c r="M316" i="23"/>
  <c r="M315" i="23"/>
  <c r="M314" i="23"/>
  <c r="M313" i="23"/>
  <c r="M312" i="23"/>
  <c r="M311" i="23"/>
  <c r="M310" i="23"/>
  <c r="M309" i="23"/>
  <c r="M308" i="23"/>
  <c r="M307" i="23"/>
  <c r="M306" i="23"/>
  <c r="M305" i="23"/>
  <c r="M304" i="23"/>
  <c r="M303" i="23"/>
  <c r="M302" i="23"/>
  <c r="M301" i="23"/>
  <c r="M300" i="23"/>
  <c r="M299" i="23"/>
  <c r="M298" i="23"/>
  <c r="M297" i="23"/>
  <c r="M296" i="23"/>
  <c r="M295" i="23"/>
  <c r="M294" i="23"/>
  <c r="M293" i="23"/>
  <c r="M292" i="23"/>
  <c r="M291" i="23"/>
  <c r="M290" i="23"/>
  <c r="M289" i="23"/>
  <c r="M288" i="23"/>
  <c r="M287" i="23"/>
  <c r="M286" i="23"/>
  <c r="M285" i="23"/>
  <c r="M284" i="23"/>
  <c r="M283" i="23"/>
  <c r="M282" i="23"/>
  <c r="M269" i="23"/>
  <c r="M268" i="23"/>
  <c r="M267" i="23"/>
  <c r="M266" i="23"/>
  <c r="M265" i="23"/>
  <c r="M264" i="23"/>
  <c r="M263" i="23"/>
  <c r="M262" i="23"/>
  <c r="M261" i="23"/>
  <c r="M260" i="23"/>
  <c r="M259" i="23"/>
  <c r="M258" i="23"/>
  <c r="M257" i="23"/>
  <c r="M243" i="23"/>
  <c r="M242" i="23"/>
  <c r="M241" i="23"/>
  <c r="M240" i="23"/>
  <c r="M234" i="23"/>
  <c r="M233" i="23"/>
  <c r="M232" i="23"/>
  <c r="M231" i="23"/>
  <c r="M228" i="23"/>
  <c r="M227" i="23"/>
  <c r="M226" i="23"/>
  <c r="M225" i="23"/>
  <c r="M224" i="23"/>
  <c r="M223" i="23"/>
  <c r="M222" i="23"/>
  <c r="M221" i="23"/>
  <c r="M220" i="23"/>
  <c r="M219" i="23"/>
  <c r="M218" i="23"/>
  <c r="M217" i="23"/>
  <c r="M216" i="23"/>
  <c r="M215" i="23"/>
  <c r="M214" i="23"/>
  <c r="M213" i="23"/>
  <c r="M212" i="23"/>
  <c r="M211" i="23"/>
  <c r="M210" i="23"/>
  <c r="M209" i="23"/>
  <c r="M208" i="23"/>
  <c r="M207" i="23"/>
  <c r="M206" i="23"/>
  <c r="M205" i="23"/>
  <c r="M204" i="23"/>
  <c r="M203" i="23"/>
  <c r="M202" i="23"/>
  <c r="M201" i="23"/>
  <c r="M200" i="23"/>
  <c r="M199" i="23"/>
  <c r="M198" i="23"/>
  <c r="M197" i="23"/>
  <c r="M196" i="23"/>
  <c r="M195" i="23"/>
  <c r="M194" i="23"/>
  <c r="M193" i="23"/>
  <c r="M192" i="23"/>
  <c r="M189" i="23"/>
  <c r="M188" i="23"/>
  <c r="M187" i="23"/>
  <c r="M186" i="23"/>
  <c r="M185" i="23"/>
  <c r="M184" i="23"/>
  <c r="M183" i="23"/>
  <c r="M182" i="23"/>
  <c r="M181" i="23"/>
  <c r="M180" i="23"/>
  <c r="M179" i="23"/>
  <c r="M178" i="23"/>
  <c r="M177" i="23"/>
  <c r="M176" i="23"/>
  <c r="M175" i="23"/>
  <c r="M174" i="23"/>
  <c r="M173" i="23"/>
  <c r="M172" i="23"/>
  <c r="M171" i="23"/>
  <c r="M170" i="23"/>
  <c r="M169" i="23"/>
  <c r="M168" i="23"/>
  <c r="M167" i="23"/>
  <c r="M166" i="23"/>
  <c r="M165" i="23"/>
  <c r="M164" i="23"/>
  <c r="M163" i="23"/>
  <c r="M162" i="23"/>
  <c r="M161" i="23"/>
  <c r="M160" i="23"/>
  <c r="M159" i="23"/>
  <c r="M158" i="23"/>
  <c r="M157" i="23"/>
  <c r="M156" i="23"/>
  <c r="M155" i="23"/>
  <c r="M154" i="23"/>
  <c r="M153" i="23"/>
  <c r="M152" i="23"/>
  <c r="M151" i="23"/>
  <c r="M150" i="23"/>
  <c r="M149" i="23"/>
  <c r="M148" i="23"/>
  <c r="M147" i="23"/>
  <c r="M146" i="23"/>
  <c r="M145" i="23"/>
  <c r="M144" i="23"/>
  <c r="M143" i="23"/>
  <c r="M142" i="23"/>
  <c r="M141" i="23"/>
  <c r="M140" i="23"/>
  <c r="M139" i="23"/>
  <c r="M138" i="23"/>
  <c r="M137" i="23"/>
  <c r="M136" i="23"/>
  <c r="M135" i="23"/>
  <c r="M134" i="23"/>
  <c r="M133" i="23"/>
  <c r="M132" i="23"/>
  <c r="M131" i="23"/>
  <c r="M130" i="23"/>
  <c r="M129" i="23"/>
  <c r="M128" i="23"/>
  <c r="M127" i="23"/>
  <c r="M126" i="23"/>
  <c r="M125" i="23"/>
  <c r="M124" i="23"/>
  <c r="M123" i="23"/>
  <c r="M122" i="23"/>
  <c r="M121" i="23"/>
  <c r="M120" i="23"/>
  <c r="M119" i="23"/>
  <c r="M118" i="23"/>
  <c r="M117" i="23"/>
  <c r="M116" i="23"/>
  <c r="M115" i="23"/>
  <c r="M114" i="23"/>
  <c r="M113" i="23"/>
  <c r="M112" i="23"/>
  <c r="M111" i="23"/>
  <c r="M110" i="23"/>
  <c r="M109" i="23"/>
  <c r="M108" i="23"/>
  <c r="M107" i="23"/>
  <c r="M106" i="23"/>
  <c r="M105" i="23"/>
  <c r="M104" i="23"/>
  <c r="M103" i="23"/>
  <c r="M102" i="23"/>
  <c r="M101" i="23"/>
  <c r="M100" i="23"/>
  <c r="M99" i="23"/>
  <c r="M98" i="23"/>
  <c r="M97" i="23"/>
  <c r="M96" i="23"/>
  <c r="M95" i="23"/>
  <c r="M94" i="23"/>
  <c r="M93" i="23"/>
  <c r="M92" i="23"/>
  <c r="M91" i="23"/>
  <c r="M90" i="23"/>
  <c r="M89" i="23"/>
  <c r="M88" i="23"/>
  <c r="M87" i="23"/>
  <c r="M86" i="23"/>
  <c r="M85" i="23"/>
  <c r="M84" i="23"/>
  <c r="M83" i="23"/>
  <c r="M82" i="23"/>
  <c r="M81" i="23"/>
  <c r="M80" i="23"/>
  <c r="M79" i="23"/>
  <c r="M78" i="23"/>
  <c r="M77" i="23"/>
  <c r="M76" i="23"/>
  <c r="M75" i="23"/>
  <c r="M74" i="23"/>
  <c r="M73" i="23"/>
  <c r="M72" i="23"/>
  <c r="M71" i="23"/>
  <c r="M70" i="23"/>
  <c r="M69" i="23"/>
  <c r="M68" i="23"/>
  <c r="M67" i="23"/>
  <c r="M66" i="23"/>
  <c r="M65" i="23"/>
  <c r="M64" i="23"/>
  <c r="M63" i="23"/>
  <c r="M62" i="23"/>
  <c r="M61" i="23"/>
  <c r="M60" i="23"/>
  <c r="M59" i="23"/>
  <c r="M58" i="23"/>
  <c r="M57" i="23"/>
  <c r="M56" i="23"/>
  <c r="M55" i="23"/>
  <c r="M54" i="23"/>
  <c r="M53" i="23"/>
  <c r="M52" i="23"/>
  <c r="M51" i="23"/>
  <c r="M50" i="23"/>
  <c r="M49" i="23"/>
  <c r="M48" i="23"/>
  <c r="M47" i="23"/>
  <c r="M46" i="23"/>
  <c r="M45" i="23"/>
  <c r="M44" i="23"/>
  <c r="M43" i="23"/>
  <c r="M42" i="23"/>
  <c r="M41" i="23"/>
  <c r="K622" i="23"/>
  <c r="I622" i="23"/>
  <c r="K621" i="23"/>
  <c r="I621" i="23"/>
  <c r="K620" i="23"/>
  <c r="I620" i="23"/>
  <c r="K619" i="23"/>
  <c r="I619" i="23"/>
  <c r="K618" i="23"/>
  <c r="I618" i="23"/>
  <c r="K617" i="23"/>
  <c r="I617" i="23"/>
  <c r="K616" i="23"/>
  <c r="I616" i="23"/>
  <c r="K615" i="23"/>
  <c r="I615" i="23"/>
  <c r="K614" i="23"/>
  <c r="I614" i="23"/>
  <c r="K613" i="23"/>
  <c r="I613" i="23"/>
  <c r="K612" i="23"/>
  <c r="I612" i="23"/>
  <c r="K611" i="23"/>
  <c r="I611" i="23"/>
  <c r="K610" i="23"/>
  <c r="I610" i="23"/>
  <c r="K609" i="23"/>
  <c r="I609" i="23"/>
  <c r="K608" i="23"/>
  <c r="I608" i="23"/>
  <c r="K607" i="23"/>
  <c r="I607" i="23"/>
  <c r="K606" i="23"/>
  <c r="I606" i="23"/>
  <c r="K605" i="23"/>
  <c r="I605" i="23"/>
  <c r="K604" i="23"/>
  <c r="I604" i="23"/>
  <c r="K603" i="23"/>
  <c r="I603" i="23"/>
  <c r="K602" i="23"/>
  <c r="I602" i="23"/>
  <c r="K601" i="23"/>
  <c r="I601" i="23"/>
  <c r="K600" i="23"/>
  <c r="I600" i="23"/>
  <c r="K599" i="23"/>
  <c r="I599" i="23"/>
  <c r="K598" i="23"/>
  <c r="I598" i="23"/>
  <c r="K597" i="23"/>
  <c r="I597" i="23"/>
  <c r="K596" i="23"/>
  <c r="I596" i="23"/>
  <c r="K595" i="23"/>
  <c r="I595" i="23"/>
  <c r="K594" i="23"/>
  <c r="I594" i="23"/>
  <c r="K593" i="23"/>
  <c r="I593" i="23"/>
  <c r="K592" i="23"/>
  <c r="I592" i="23"/>
  <c r="K591" i="23"/>
  <c r="I591" i="23"/>
  <c r="K590" i="23"/>
  <c r="I590" i="23"/>
  <c r="K589" i="23"/>
  <c r="I589" i="23"/>
  <c r="K588" i="23"/>
  <c r="I588" i="23"/>
  <c r="K587" i="23"/>
  <c r="I587" i="23"/>
  <c r="K586" i="23"/>
  <c r="I586" i="23"/>
  <c r="K585" i="23"/>
  <c r="I585" i="23"/>
  <c r="K584" i="23"/>
  <c r="I584" i="23"/>
  <c r="K583" i="23"/>
  <c r="I583" i="23"/>
  <c r="K582" i="23"/>
  <c r="I582" i="23"/>
  <c r="K581" i="23"/>
  <c r="I581" i="23"/>
  <c r="K580" i="23"/>
  <c r="I580" i="23"/>
  <c r="K579" i="23"/>
  <c r="I579" i="23"/>
  <c r="K578" i="23"/>
  <c r="I578" i="23"/>
  <c r="K577" i="23"/>
  <c r="I577" i="23"/>
  <c r="K576" i="23"/>
  <c r="I576" i="23"/>
  <c r="K575" i="23"/>
  <c r="I575" i="23"/>
  <c r="K574" i="23"/>
  <c r="I574" i="23"/>
  <c r="K573" i="23"/>
  <c r="I573" i="23"/>
  <c r="K572" i="23"/>
  <c r="I572" i="23"/>
  <c r="K571" i="23"/>
  <c r="I571" i="23"/>
  <c r="K570" i="23"/>
  <c r="I570" i="23"/>
  <c r="K569" i="23"/>
  <c r="I569" i="23"/>
  <c r="K568" i="23"/>
  <c r="I568" i="23"/>
  <c r="K567" i="23"/>
  <c r="I567" i="23"/>
  <c r="K566" i="23"/>
  <c r="I566" i="23"/>
  <c r="K565" i="23"/>
  <c r="I565" i="23"/>
  <c r="K564" i="23"/>
  <c r="I564" i="23"/>
  <c r="K563" i="23"/>
  <c r="I563" i="23"/>
  <c r="K562" i="23"/>
  <c r="I562" i="23"/>
  <c r="K561" i="23"/>
  <c r="I561" i="23"/>
  <c r="K560" i="23"/>
  <c r="I560" i="23"/>
  <c r="K559" i="23"/>
  <c r="I559" i="23"/>
  <c r="K558" i="23"/>
  <c r="I558" i="23"/>
  <c r="K557" i="23"/>
  <c r="I557" i="23"/>
  <c r="K556" i="23"/>
  <c r="I556" i="23"/>
  <c r="K555" i="23"/>
  <c r="I555" i="23"/>
  <c r="K554" i="23"/>
  <c r="I554" i="23"/>
  <c r="K553" i="23"/>
  <c r="I553" i="23"/>
  <c r="K552" i="23"/>
  <c r="I552" i="23"/>
  <c r="K551" i="23"/>
  <c r="I551" i="23"/>
  <c r="K550" i="23"/>
  <c r="I550" i="23"/>
  <c r="K549" i="23"/>
  <c r="I549" i="23"/>
  <c r="K548" i="23"/>
  <c r="I548" i="23"/>
  <c r="K547" i="23"/>
  <c r="I547" i="23"/>
  <c r="K546" i="23"/>
  <c r="I546" i="23"/>
  <c r="K545" i="23"/>
  <c r="I545" i="23"/>
  <c r="K544" i="23"/>
  <c r="I544" i="23"/>
  <c r="K543" i="23"/>
  <c r="I543" i="23"/>
  <c r="K542" i="23"/>
  <c r="I542" i="23"/>
  <c r="K541" i="23"/>
  <c r="I541" i="23"/>
  <c r="K540" i="23"/>
  <c r="I540" i="23"/>
  <c r="K539" i="23"/>
  <c r="I539" i="23"/>
  <c r="K538" i="23"/>
  <c r="I538" i="23"/>
  <c r="K537" i="23"/>
  <c r="I537" i="23"/>
  <c r="K536" i="23"/>
  <c r="I536" i="23"/>
  <c r="K535" i="23"/>
  <c r="I535" i="23"/>
  <c r="K534" i="23"/>
  <c r="I534" i="23"/>
  <c r="K533" i="23"/>
  <c r="I533" i="23"/>
  <c r="K532" i="23"/>
  <c r="I532" i="23"/>
  <c r="K531" i="23"/>
  <c r="I531" i="23"/>
  <c r="K530" i="23"/>
  <c r="I530" i="23"/>
  <c r="K529" i="23"/>
  <c r="I529" i="23"/>
  <c r="K528" i="23"/>
  <c r="I528" i="23"/>
  <c r="K527" i="23"/>
  <c r="I527" i="23"/>
  <c r="K526" i="23"/>
  <c r="I526" i="23"/>
  <c r="K525" i="23"/>
  <c r="I525" i="23"/>
  <c r="K524" i="23"/>
  <c r="I524" i="23"/>
  <c r="K523" i="23"/>
  <c r="I523" i="23"/>
  <c r="K522" i="23"/>
  <c r="I522" i="23"/>
  <c r="K521" i="23"/>
  <c r="I521" i="23"/>
  <c r="K520" i="23"/>
  <c r="I520" i="23"/>
  <c r="K519" i="23"/>
  <c r="I519" i="23"/>
  <c r="K518" i="23"/>
  <c r="I518" i="23"/>
  <c r="K517" i="23"/>
  <c r="I517" i="23"/>
  <c r="K516" i="23"/>
  <c r="I516" i="23"/>
  <c r="K515" i="23"/>
  <c r="I515" i="23"/>
  <c r="K514" i="23"/>
  <c r="I514" i="23"/>
  <c r="K513" i="23"/>
  <c r="I513" i="23"/>
  <c r="K512" i="23"/>
  <c r="I512" i="23"/>
  <c r="K511" i="23"/>
  <c r="I511" i="23"/>
  <c r="K510" i="23"/>
  <c r="I510" i="23"/>
  <c r="K509" i="23"/>
  <c r="I509" i="23"/>
  <c r="K508" i="23"/>
  <c r="I508" i="23"/>
  <c r="K507" i="23"/>
  <c r="I507" i="23"/>
  <c r="K506" i="23"/>
  <c r="I506" i="23"/>
  <c r="K505" i="23"/>
  <c r="I505" i="23"/>
  <c r="K504" i="23"/>
  <c r="I504" i="23"/>
  <c r="K503" i="23"/>
  <c r="I503" i="23"/>
  <c r="K502" i="23"/>
  <c r="I502" i="23"/>
  <c r="K501" i="23"/>
  <c r="I501" i="23"/>
  <c r="K500" i="23"/>
  <c r="I500" i="23"/>
  <c r="K499" i="23"/>
  <c r="I499" i="23"/>
  <c r="K498" i="23"/>
  <c r="I498" i="23"/>
  <c r="K497" i="23"/>
  <c r="I497" i="23"/>
  <c r="K496" i="23"/>
  <c r="I496" i="23"/>
  <c r="K495" i="23"/>
  <c r="I495" i="23"/>
  <c r="K494" i="23"/>
  <c r="I494" i="23"/>
  <c r="K493" i="23"/>
  <c r="I493" i="23"/>
  <c r="K492" i="23"/>
  <c r="I492" i="23"/>
  <c r="K491" i="23"/>
  <c r="I491" i="23"/>
  <c r="K490" i="23"/>
  <c r="I490" i="23"/>
  <c r="K489" i="23"/>
  <c r="I489" i="23"/>
  <c r="K488" i="23"/>
  <c r="I488" i="23"/>
  <c r="K487" i="23"/>
  <c r="I487" i="23"/>
  <c r="K486" i="23"/>
  <c r="I486" i="23"/>
  <c r="K485" i="23"/>
  <c r="I485" i="23"/>
  <c r="K484" i="23"/>
  <c r="I484" i="23"/>
  <c r="K483" i="23"/>
  <c r="I483" i="23"/>
  <c r="K482" i="23"/>
  <c r="I482" i="23"/>
  <c r="K481" i="23"/>
  <c r="I481" i="23"/>
  <c r="K480" i="23"/>
  <c r="I480" i="23"/>
  <c r="K479" i="23"/>
  <c r="I479" i="23"/>
  <c r="K478" i="23"/>
  <c r="I478" i="23"/>
  <c r="K477" i="23"/>
  <c r="I477" i="23"/>
  <c r="K476" i="23"/>
  <c r="I476" i="23"/>
  <c r="K475" i="23"/>
  <c r="I475" i="23"/>
  <c r="K474" i="23"/>
  <c r="I474" i="23"/>
  <c r="K473" i="23"/>
  <c r="I473" i="23"/>
  <c r="K472" i="23"/>
  <c r="I472" i="23"/>
  <c r="K471" i="23"/>
  <c r="I471" i="23"/>
  <c r="K470" i="23"/>
  <c r="I470" i="23"/>
  <c r="K469" i="23"/>
  <c r="I469" i="23"/>
  <c r="K468" i="23"/>
  <c r="I468" i="23"/>
  <c r="K467" i="23"/>
  <c r="I467" i="23"/>
  <c r="K466" i="23"/>
  <c r="I466" i="23"/>
  <c r="K465" i="23"/>
  <c r="I465" i="23"/>
  <c r="K464" i="23"/>
  <c r="I464" i="23"/>
  <c r="K463" i="23"/>
  <c r="I463" i="23"/>
  <c r="K462" i="23"/>
  <c r="I462" i="23"/>
  <c r="K461" i="23"/>
  <c r="I461" i="23"/>
  <c r="K460" i="23"/>
  <c r="I460" i="23"/>
  <c r="K459" i="23"/>
  <c r="I459" i="23"/>
  <c r="K458" i="23"/>
  <c r="I458" i="23"/>
  <c r="K457" i="23"/>
  <c r="I457" i="23"/>
  <c r="K456" i="23"/>
  <c r="I456" i="23"/>
  <c r="K455" i="23"/>
  <c r="I455" i="23"/>
  <c r="K454" i="23"/>
  <c r="I454" i="23"/>
  <c r="K453" i="23"/>
  <c r="I453" i="23"/>
  <c r="K452" i="23"/>
  <c r="I452" i="23"/>
  <c r="K451" i="23"/>
  <c r="I451" i="23"/>
  <c r="K450" i="23"/>
  <c r="I450" i="23"/>
  <c r="K449" i="23"/>
  <c r="I449" i="23"/>
  <c r="K448" i="23"/>
  <c r="I448" i="23"/>
  <c r="K447" i="23"/>
  <c r="I447" i="23"/>
  <c r="K446" i="23"/>
  <c r="I446" i="23"/>
  <c r="K445" i="23"/>
  <c r="I445" i="23"/>
  <c r="K444" i="23"/>
  <c r="I444" i="23"/>
  <c r="K443" i="23"/>
  <c r="I443" i="23"/>
  <c r="K442" i="23"/>
  <c r="I442" i="23"/>
  <c r="K441" i="23"/>
  <c r="I441" i="23"/>
  <c r="K440" i="23"/>
  <c r="I440" i="23"/>
  <c r="K439" i="23"/>
  <c r="I439" i="23"/>
  <c r="K438" i="23"/>
  <c r="I438" i="23"/>
  <c r="K437" i="23"/>
  <c r="I437" i="23"/>
  <c r="K436" i="23"/>
  <c r="I436" i="23"/>
  <c r="K435" i="23"/>
  <c r="I435" i="23"/>
  <c r="K434" i="23"/>
  <c r="I434" i="23"/>
  <c r="K433" i="23"/>
  <c r="I433" i="23"/>
  <c r="K432" i="23"/>
  <c r="I432" i="23"/>
  <c r="K431" i="23"/>
  <c r="I431" i="23"/>
  <c r="K430" i="23"/>
  <c r="I430" i="23"/>
  <c r="K429" i="23"/>
  <c r="I429" i="23"/>
  <c r="K428" i="23"/>
  <c r="I428" i="23"/>
  <c r="K427" i="23"/>
  <c r="I427" i="23"/>
  <c r="K426" i="23"/>
  <c r="I426" i="23"/>
  <c r="K425" i="23"/>
  <c r="I425" i="23"/>
  <c r="K424" i="23"/>
  <c r="I424" i="23"/>
  <c r="K423" i="23"/>
  <c r="I423" i="23"/>
  <c r="K422" i="23"/>
  <c r="I422" i="23"/>
  <c r="K421" i="23"/>
  <c r="I421" i="23"/>
  <c r="K420" i="23"/>
  <c r="I420" i="23"/>
  <c r="K419" i="23"/>
  <c r="I419" i="23"/>
  <c r="K418" i="23"/>
  <c r="I418" i="23"/>
  <c r="K417" i="23"/>
  <c r="I417" i="23"/>
  <c r="K416" i="23"/>
  <c r="I416" i="23"/>
  <c r="K415" i="23"/>
  <c r="I415" i="23"/>
  <c r="K414" i="23"/>
  <c r="I414" i="23"/>
  <c r="K413" i="23"/>
  <c r="I413" i="23"/>
  <c r="K412" i="23"/>
  <c r="I412" i="23"/>
  <c r="K411" i="23"/>
  <c r="I411" i="23"/>
  <c r="K410" i="23"/>
  <c r="I410" i="23"/>
  <c r="K409" i="23"/>
  <c r="I409" i="23"/>
  <c r="K408" i="23"/>
  <c r="I408" i="23"/>
  <c r="K407" i="23"/>
  <c r="I407" i="23"/>
  <c r="K406" i="23"/>
  <c r="I406" i="23"/>
  <c r="K405" i="23"/>
  <c r="I405" i="23"/>
  <c r="K404" i="23"/>
  <c r="I404" i="23"/>
  <c r="K403" i="23"/>
  <c r="I403" i="23"/>
  <c r="K402" i="23"/>
  <c r="I402" i="23"/>
  <c r="K401" i="23"/>
  <c r="I401" i="23"/>
  <c r="K400" i="23"/>
  <c r="I400" i="23"/>
  <c r="K399" i="23"/>
  <c r="I399" i="23"/>
  <c r="K398" i="23"/>
  <c r="I398" i="23"/>
  <c r="K397" i="23"/>
  <c r="I397" i="23"/>
  <c r="K396" i="23"/>
  <c r="I396" i="23"/>
  <c r="K395" i="23"/>
  <c r="I395" i="23"/>
  <c r="K394" i="23"/>
  <c r="I394" i="23"/>
  <c r="K393" i="23"/>
  <c r="I393" i="23"/>
  <c r="K392" i="23"/>
  <c r="I392" i="23"/>
  <c r="K391" i="23"/>
  <c r="I391" i="23"/>
  <c r="K390" i="23"/>
  <c r="I390" i="23"/>
  <c r="K389" i="23"/>
  <c r="I389" i="23"/>
  <c r="K388" i="23"/>
  <c r="I388" i="23"/>
  <c r="K387" i="23"/>
  <c r="I387" i="23"/>
  <c r="K386" i="23"/>
  <c r="I386" i="23"/>
  <c r="K385" i="23"/>
  <c r="I385" i="23"/>
  <c r="K384" i="23"/>
  <c r="I384" i="23"/>
  <c r="K383" i="23"/>
  <c r="I383" i="23"/>
  <c r="K382" i="23"/>
  <c r="I382" i="23"/>
  <c r="K381" i="23"/>
  <c r="I381" i="23"/>
  <c r="K380" i="23"/>
  <c r="I380" i="23"/>
  <c r="K379" i="23"/>
  <c r="I379" i="23"/>
  <c r="K378" i="23"/>
  <c r="I378" i="23"/>
  <c r="K377" i="23"/>
  <c r="I377" i="23"/>
  <c r="K376" i="23"/>
  <c r="I376" i="23"/>
  <c r="K375" i="23"/>
  <c r="I375" i="23"/>
  <c r="K374" i="23"/>
  <c r="I374" i="23"/>
  <c r="K373" i="23"/>
  <c r="I373" i="23"/>
  <c r="K372" i="23"/>
  <c r="I372" i="23"/>
  <c r="K371" i="23"/>
  <c r="I371" i="23"/>
  <c r="K370" i="23"/>
  <c r="I370" i="23"/>
  <c r="K369" i="23"/>
  <c r="I369" i="23"/>
  <c r="K368" i="23"/>
  <c r="I368" i="23"/>
  <c r="K367" i="23"/>
  <c r="I367" i="23"/>
  <c r="K366" i="23"/>
  <c r="I366" i="23"/>
  <c r="K365" i="23"/>
  <c r="I365" i="23"/>
  <c r="K364" i="23"/>
  <c r="I364" i="23"/>
  <c r="K363" i="23"/>
  <c r="I363" i="23"/>
  <c r="K362" i="23"/>
  <c r="I362" i="23"/>
  <c r="K361" i="23"/>
  <c r="I361" i="23"/>
  <c r="K360" i="23"/>
  <c r="I360" i="23"/>
  <c r="K359" i="23"/>
  <c r="I359" i="23"/>
  <c r="K358" i="23"/>
  <c r="I358" i="23"/>
  <c r="K357" i="23"/>
  <c r="I357" i="23"/>
  <c r="K356" i="23"/>
  <c r="I356" i="23"/>
  <c r="K355" i="23"/>
  <c r="I355" i="23"/>
  <c r="K354" i="23"/>
  <c r="I354" i="23"/>
  <c r="K353" i="23"/>
  <c r="I353" i="23"/>
  <c r="K352" i="23"/>
  <c r="I352" i="23"/>
  <c r="K351" i="23"/>
  <c r="I351" i="23"/>
  <c r="K350" i="23"/>
  <c r="I350" i="23"/>
  <c r="K349" i="23"/>
  <c r="I349" i="23"/>
  <c r="K348" i="23"/>
  <c r="I348" i="23"/>
  <c r="K347" i="23"/>
  <c r="I347" i="23"/>
  <c r="K346" i="23"/>
  <c r="I346" i="23"/>
  <c r="K345" i="23"/>
  <c r="I345" i="23"/>
  <c r="K344" i="23"/>
  <c r="I344" i="23"/>
  <c r="K343" i="23"/>
  <c r="I343" i="23"/>
  <c r="K342" i="23"/>
  <c r="I342" i="23"/>
  <c r="K341" i="23"/>
  <c r="I341" i="23"/>
  <c r="K340" i="23"/>
  <c r="I340" i="23"/>
  <c r="K339" i="23"/>
  <c r="I339" i="23"/>
  <c r="K338" i="23"/>
  <c r="I338" i="23"/>
  <c r="K337" i="23"/>
  <c r="I337" i="23"/>
  <c r="K336" i="23"/>
  <c r="I336" i="23"/>
  <c r="K335" i="23"/>
  <c r="I335" i="23"/>
  <c r="K334" i="23"/>
  <c r="I334" i="23"/>
  <c r="K333" i="23"/>
  <c r="I333" i="23"/>
  <c r="K332" i="23"/>
  <c r="I332" i="23"/>
  <c r="K331" i="23"/>
  <c r="I331" i="23"/>
  <c r="K330" i="23"/>
  <c r="I330" i="23"/>
  <c r="K329" i="23"/>
  <c r="I329" i="23"/>
  <c r="K328" i="23"/>
  <c r="I328" i="23"/>
  <c r="K327" i="23"/>
  <c r="I327" i="23"/>
  <c r="K326" i="23"/>
  <c r="I326" i="23"/>
  <c r="K325" i="23"/>
  <c r="I325" i="23"/>
  <c r="K324" i="23"/>
  <c r="I324" i="23"/>
  <c r="K323" i="23"/>
  <c r="I323" i="23"/>
  <c r="K322" i="23"/>
  <c r="I322" i="23"/>
  <c r="K321" i="23"/>
  <c r="I321" i="23"/>
  <c r="K320" i="23"/>
  <c r="I320" i="23"/>
  <c r="K319" i="23"/>
  <c r="I319" i="23"/>
  <c r="K318" i="23"/>
  <c r="I318" i="23"/>
  <c r="K317" i="23"/>
  <c r="I317" i="23"/>
  <c r="K316" i="23"/>
  <c r="I316" i="23"/>
  <c r="K315" i="23"/>
  <c r="I315" i="23"/>
  <c r="K314" i="23"/>
  <c r="I314" i="23"/>
  <c r="K313" i="23"/>
  <c r="I313" i="23"/>
  <c r="K312" i="23"/>
  <c r="I312" i="23"/>
  <c r="K311" i="23"/>
  <c r="I311" i="23"/>
  <c r="K310" i="23"/>
  <c r="I310" i="23"/>
  <c r="K309" i="23"/>
  <c r="I309" i="23"/>
  <c r="K308" i="23"/>
  <c r="I308" i="23"/>
  <c r="K307" i="23"/>
  <c r="I307" i="23"/>
  <c r="K306" i="23"/>
  <c r="I306" i="23"/>
  <c r="K305" i="23"/>
  <c r="I305" i="23"/>
  <c r="K304" i="23"/>
  <c r="I304" i="23"/>
  <c r="K303" i="23"/>
  <c r="I303" i="23"/>
  <c r="K302" i="23"/>
  <c r="I302" i="23"/>
  <c r="K301" i="23"/>
  <c r="I301" i="23"/>
  <c r="K300" i="23"/>
  <c r="I300" i="23"/>
  <c r="K299" i="23"/>
  <c r="I299" i="23"/>
  <c r="K298" i="23"/>
  <c r="I298" i="23"/>
  <c r="K297" i="23"/>
  <c r="I297" i="23"/>
  <c r="K296" i="23"/>
  <c r="I296" i="23"/>
  <c r="K295" i="23"/>
  <c r="I295" i="23"/>
  <c r="K294" i="23"/>
  <c r="I294" i="23"/>
  <c r="K293" i="23"/>
  <c r="I293" i="23"/>
  <c r="K292" i="23"/>
  <c r="I292" i="23"/>
  <c r="K291" i="23"/>
  <c r="I291" i="23"/>
  <c r="K290" i="23"/>
  <c r="I290" i="23"/>
  <c r="K289" i="23"/>
  <c r="I289" i="23"/>
  <c r="K288" i="23"/>
  <c r="I288" i="23"/>
  <c r="K287" i="23"/>
  <c r="I287" i="23"/>
  <c r="K286" i="23"/>
  <c r="I286" i="23"/>
  <c r="K285" i="23"/>
  <c r="I285" i="23"/>
  <c r="K284" i="23"/>
  <c r="I284" i="23"/>
  <c r="K283" i="23"/>
  <c r="I283" i="23"/>
  <c r="K282" i="23"/>
  <c r="I282" i="23"/>
  <c r="K269" i="23"/>
  <c r="I269" i="23"/>
  <c r="K268" i="23"/>
  <c r="I268" i="23"/>
  <c r="K267" i="23"/>
  <c r="I267" i="23"/>
  <c r="K266" i="23"/>
  <c r="I266" i="23"/>
  <c r="K265" i="23"/>
  <c r="I265" i="23"/>
  <c r="K264" i="23"/>
  <c r="I264" i="23"/>
  <c r="K263" i="23"/>
  <c r="I263" i="23"/>
  <c r="K262" i="23"/>
  <c r="I262" i="23"/>
  <c r="K261" i="23"/>
  <c r="I261" i="23"/>
  <c r="K260" i="23"/>
  <c r="I260" i="23"/>
  <c r="K259" i="23"/>
  <c r="I259" i="23"/>
  <c r="K258" i="23"/>
  <c r="I258" i="23"/>
  <c r="K257" i="23"/>
  <c r="I257" i="23"/>
  <c r="K243" i="23"/>
  <c r="I243" i="23"/>
  <c r="K242" i="23"/>
  <c r="I242" i="23"/>
  <c r="K241" i="23"/>
  <c r="I241" i="23"/>
  <c r="K240" i="23"/>
  <c r="I240" i="23"/>
  <c r="K234" i="23"/>
  <c r="I234" i="23"/>
  <c r="K233" i="23"/>
  <c r="I233" i="23"/>
  <c r="K232" i="23"/>
  <c r="I232" i="23"/>
  <c r="K231" i="23"/>
  <c r="I231" i="23"/>
  <c r="K228" i="23"/>
  <c r="I228" i="23"/>
  <c r="K227" i="23"/>
  <c r="I227" i="23"/>
  <c r="K226" i="23"/>
  <c r="I226" i="23"/>
  <c r="K225" i="23"/>
  <c r="I225" i="23"/>
  <c r="K224" i="23"/>
  <c r="I224" i="23"/>
  <c r="K223" i="23"/>
  <c r="I223" i="23"/>
  <c r="K222" i="23"/>
  <c r="I222" i="23"/>
  <c r="K221" i="23"/>
  <c r="I221" i="23"/>
  <c r="K220" i="23"/>
  <c r="I220" i="23"/>
  <c r="K219" i="23"/>
  <c r="I219" i="23"/>
  <c r="K218" i="23"/>
  <c r="I218" i="23"/>
  <c r="K217" i="23"/>
  <c r="I217" i="23"/>
  <c r="K216" i="23"/>
  <c r="I216" i="23"/>
  <c r="K215" i="23"/>
  <c r="I215" i="23"/>
  <c r="K214" i="23"/>
  <c r="I214" i="23"/>
  <c r="K213" i="23"/>
  <c r="I213" i="23"/>
  <c r="K212" i="23"/>
  <c r="I212" i="23"/>
  <c r="K211" i="23"/>
  <c r="I211" i="23"/>
  <c r="K210" i="23"/>
  <c r="I210" i="23"/>
  <c r="K209" i="23"/>
  <c r="I209" i="23"/>
  <c r="K208" i="23"/>
  <c r="I208" i="23"/>
  <c r="K207" i="23"/>
  <c r="I207" i="23"/>
  <c r="K206" i="23"/>
  <c r="I206" i="23"/>
  <c r="K205" i="23"/>
  <c r="I205" i="23"/>
  <c r="K204" i="23"/>
  <c r="I204" i="23"/>
  <c r="K203" i="23"/>
  <c r="I203" i="23"/>
  <c r="K202" i="23"/>
  <c r="I202" i="23"/>
  <c r="K201" i="23"/>
  <c r="I201" i="23"/>
  <c r="K200" i="23"/>
  <c r="I200" i="23"/>
  <c r="K199" i="23"/>
  <c r="I199" i="23"/>
  <c r="K198" i="23"/>
  <c r="I198" i="23"/>
  <c r="K197" i="23"/>
  <c r="I197" i="23"/>
  <c r="K196" i="23"/>
  <c r="I196" i="23"/>
  <c r="K195" i="23"/>
  <c r="I195" i="23"/>
  <c r="K194" i="23"/>
  <c r="I194" i="23"/>
  <c r="K193" i="23"/>
  <c r="I193" i="23"/>
  <c r="K192" i="23"/>
  <c r="I192" i="23"/>
  <c r="K189" i="23"/>
  <c r="I189" i="23"/>
  <c r="K188" i="23"/>
  <c r="I188" i="23"/>
  <c r="K187" i="23"/>
  <c r="I187" i="23"/>
  <c r="K186" i="23"/>
  <c r="I186" i="23"/>
  <c r="K185" i="23"/>
  <c r="I185" i="23"/>
  <c r="K184" i="23"/>
  <c r="I184" i="23"/>
  <c r="K183" i="23"/>
  <c r="I183" i="23"/>
  <c r="K182" i="23"/>
  <c r="I182" i="23"/>
  <c r="K181" i="23"/>
  <c r="I181" i="23"/>
  <c r="K180" i="23"/>
  <c r="I180" i="23"/>
  <c r="K179" i="23"/>
  <c r="I179" i="23"/>
  <c r="K178" i="23"/>
  <c r="I178" i="23"/>
  <c r="K177" i="23"/>
  <c r="I177" i="23"/>
  <c r="K176" i="23"/>
  <c r="I176" i="23"/>
  <c r="K175" i="23"/>
  <c r="I175" i="23"/>
  <c r="K174" i="23"/>
  <c r="I174" i="23"/>
  <c r="K173" i="23"/>
  <c r="I173" i="23"/>
  <c r="K172" i="23"/>
  <c r="I172" i="23"/>
  <c r="K171" i="23"/>
  <c r="I171" i="23"/>
  <c r="K170" i="23"/>
  <c r="I170" i="23"/>
  <c r="K169" i="23"/>
  <c r="I169" i="23"/>
  <c r="K168" i="23"/>
  <c r="I168" i="23"/>
  <c r="K167" i="23"/>
  <c r="I167" i="23"/>
  <c r="K166" i="23"/>
  <c r="I166" i="23"/>
  <c r="K165" i="23"/>
  <c r="I165" i="23"/>
  <c r="K164" i="23"/>
  <c r="I164" i="23"/>
  <c r="K163" i="23"/>
  <c r="I163" i="23"/>
  <c r="K162" i="23"/>
  <c r="I162" i="23"/>
  <c r="K161" i="23"/>
  <c r="I161" i="23"/>
  <c r="K160" i="23"/>
  <c r="I160" i="23"/>
  <c r="K159" i="23"/>
  <c r="I159" i="23"/>
  <c r="K158" i="23"/>
  <c r="I158" i="23"/>
  <c r="K157" i="23"/>
  <c r="I157" i="23"/>
  <c r="K156" i="23"/>
  <c r="I156" i="23"/>
  <c r="K155" i="23"/>
  <c r="I155" i="23"/>
  <c r="K154" i="23"/>
  <c r="I154" i="23"/>
  <c r="K153" i="23"/>
  <c r="I153" i="23"/>
  <c r="K152" i="23"/>
  <c r="I152" i="23"/>
  <c r="K151" i="23"/>
  <c r="I151" i="23"/>
  <c r="K150" i="23"/>
  <c r="I150" i="23"/>
  <c r="K149" i="23"/>
  <c r="I149" i="23"/>
  <c r="K148" i="23"/>
  <c r="I148" i="23"/>
  <c r="K147" i="23"/>
  <c r="I147" i="23"/>
  <c r="K146" i="23"/>
  <c r="I146" i="23"/>
  <c r="K145" i="23"/>
  <c r="I145" i="23"/>
  <c r="K144" i="23"/>
  <c r="I144" i="23"/>
  <c r="K143" i="23"/>
  <c r="I143" i="23"/>
  <c r="K142" i="23"/>
  <c r="I142" i="23"/>
  <c r="K141" i="23"/>
  <c r="I141" i="23"/>
  <c r="K140" i="23"/>
  <c r="I140" i="23"/>
  <c r="K139" i="23"/>
  <c r="I139" i="23"/>
  <c r="K138" i="23"/>
  <c r="I138" i="23"/>
  <c r="K137" i="23"/>
  <c r="I137" i="23"/>
  <c r="K136" i="23"/>
  <c r="I136" i="23"/>
  <c r="K135" i="23"/>
  <c r="I135" i="23"/>
  <c r="K134" i="23"/>
  <c r="I134" i="23"/>
  <c r="K133" i="23"/>
  <c r="I133" i="23"/>
  <c r="K132" i="23"/>
  <c r="I132" i="23"/>
  <c r="K131" i="23"/>
  <c r="I131" i="23"/>
  <c r="K130" i="23"/>
  <c r="I130" i="23"/>
  <c r="K129" i="23"/>
  <c r="I129" i="23"/>
  <c r="K128" i="23"/>
  <c r="I128" i="23"/>
  <c r="K127" i="23"/>
  <c r="I127" i="23"/>
  <c r="K126" i="23"/>
  <c r="I126" i="23"/>
  <c r="K125" i="23"/>
  <c r="I125" i="23"/>
  <c r="K124" i="23"/>
  <c r="I124" i="23"/>
  <c r="K123" i="23"/>
  <c r="I123" i="23"/>
  <c r="K122" i="23"/>
  <c r="I122" i="23"/>
  <c r="K121" i="23"/>
  <c r="I121" i="23"/>
  <c r="K120" i="23"/>
  <c r="I120" i="23"/>
  <c r="K119" i="23"/>
  <c r="I119" i="23"/>
  <c r="K118" i="23"/>
  <c r="I118" i="23"/>
  <c r="K117" i="23"/>
  <c r="I117" i="23"/>
  <c r="K116" i="23"/>
  <c r="I116" i="23"/>
  <c r="K115" i="23"/>
  <c r="I115" i="23"/>
  <c r="K114" i="23"/>
  <c r="I114" i="23"/>
  <c r="K113" i="23"/>
  <c r="I113" i="23"/>
  <c r="K112" i="23"/>
  <c r="I112" i="23"/>
  <c r="K111" i="23"/>
  <c r="I111" i="23"/>
  <c r="K110" i="23"/>
  <c r="I110" i="23"/>
  <c r="K109" i="23"/>
  <c r="I109" i="23"/>
  <c r="K108" i="23"/>
  <c r="I108" i="23"/>
  <c r="K107" i="23"/>
  <c r="I107" i="23"/>
  <c r="K106" i="23"/>
  <c r="I106" i="23"/>
  <c r="K105" i="23"/>
  <c r="I105" i="23"/>
  <c r="K104" i="23"/>
  <c r="I104" i="23"/>
  <c r="K103" i="23"/>
  <c r="I103" i="23"/>
  <c r="K102" i="23"/>
  <c r="I102" i="23"/>
  <c r="K101" i="23"/>
  <c r="I101" i="23"/>
  <c r="K100" i="23"/>
  <c r="I100" i="23"/>
  <c r="K99" i="23"/>
  <c r="I99" i="23"/>
  <c r="K98" i="23"/>
  <c r="I98" i="23"/>
  <c r="K97" i="23"/>
  <c r="I97" i="23"/>
  <c r="K96" i="23"/>
  <c r="I96" i="23"/>
  <c r="K95" i="23"/>
  <c r="I95" i="23"/>
  <c r="K94" i="23"/>
  <c r="I94" i="23"/>
  <c r="K93" i="23"/>
  <c r="I93" i="23"/>
  <c r="K92" i="23"/>
  <c r="I92" i="23"/>
  <c r="K91" i="23"/>
  <c r="I91" i="23"/>
  <c r="K90" i="23"/>
  <c r="I90" i="23"/>
  <c r="K89" i="23"/>
  <c r="I89" i="23"/>
  <c r="K88" i="23"/>
  <c r="I88" i="23"/>
  <c r="K87" i="23"/>
  <c r="I87" i="23"/>
  <c r="K86" i="23"/>
  <c r="I86" i="23"/>
  <c r="K85" i="23"/>
  <c r="I85" i="23"/>
  <c r="K84" i="23"/>
  <c r="I84" i="23"/>
  <c r="K83" i="23"/>
  <c r="I83" i="23"/>
  <c r="K82" i="23"/>
  <c r="I82" i="23"/>
  <c r="K81" i="23"/>
  <c r="I81" i="23"/>
  <c r="K80" i="23"/>
  <c r="I80" i="23"/>
  <c r="K79" i="23"/>
  <c r="I79" i="23"/>
  <c r="K78" i="23"/>
  <c r="I78" i="23"/>
  <c r="K77" i="23"/>
  <c r="I77" i="23"/>
  <c r="K76" i="23"/>
  <c r="I76" i="23"/>
  <c r="K75" i="23"/>
  <c r="I75" i="23"/>
  <c r="K74" i="23"/>
  <c r="I74" i="23"/>
  <c r="K73" i="23"/>
  <c r="I73" i="23"/>
  <c r="K72" i="23"/>
  <c r="I72" i="23"/>
  <c r="K71" i="23"/>
  <c r="I71" i="23"/>
  <c r="K70" i="23"/>
  <c r="I70" i="23"/>
  <c r="K69" i="23"/>
  <c r="I69" i="23"/>
  <c r="K68" i="23"/>
  <c r="I68" i="23"/>
  <c r="K67" i="23"/>
  <c r="I67" i="23"/>
  <c r="K66" i="23"/>
  <c r="I66" i="23"/>
  <c r="K65" i="23"/>
  <c r="I65" i="23"/>
  <c r="K64" i="23"/>
  <c r="I64" i="23"/>
  <c r="K63" i="23"/>
  <c r="I63" i="23"/>
  <c r="K62" i="23"/>
  <c r="I62" i="23"/>
  <c r="K61" i="23"/>
  <c r="I61" i="23"/>
  <c r="K60" i="23"/>
  <c r="I60" i="23"/>
  <c r="K59" i="23"/>
  <c r="I59" i="23"/>
  <c r="K58" i="23"/>
  <c r="I58" i="23"/>
  <c r="K57" i="23"/>
  <c r="I57" i="23"/>
  <c r="K56" i="23"/>
  <c r="I56" i="23"/>
  <c r="K55" i="23"/>
  <c r="I55" i="23"/>
  <c r="K54" i="23"/>
  <c r="I54" i="23"/>
  <c r="K53" i="23"/>
  <c r="I53" i="23"/>
  <c r="K52" i="23"/>
  <c r="I52" i="23"/>
  <c r="K51" i="23"/>
  <c r="I51" i="23"/>
  <c r="K50" i="23"/>
  <c r="I50" i="23"/>
  <c r="K49" i="23"/>
  <c r="I49" i="23"/>
  <c r="K48" i="23"/>
  <c r="I48" i="23"/>
  <c r="K47" i="23"/>
  <c r="I47" i="23"/>
  <c r="K46" i="23"/>
  <c r="I46" i="23"/>
  <c r="K45" i="23"/>
  <c r="I45" i="23"/>
  <c r="K44" i="23"/>
  <c r="I44" i="23"/>
  <c r="K43" i="23"/>
  <c r="I43" i="23"/>
  <c r="K42" i="23"/>
  <c r="I42" i="23"/>
  <c r="K41" i="23"/>
  <c r="I41" i="23"/>
  <c r="G622" i="23"/>
  <c r="F622" i="23"/>
  <c r="E622" i="23"/>
  <c r="D622" i="23"/>
  <c r="C622" i="23"/>
  <c r="B622" i="23"/>
  <c r="G621" i="23"/>
  <c r="F621" i="23"/>
  <c r="E621" i="23"/>
  <c r="D621" i="23"/>
  <c r="C621" i="23"/>
  <c r="B621" i="23"/>
  <c r="G620" i="23"/>
  <c r="F620" i="23"/>
  <c r="E620" i="23"/>
  <c r="D620" i="23"/>
  <c r="C620" i="23"/>
  <c r="B620" i="23"/>
  <c r="G619" i="23"/>
  <c r="F619" i="23"/>
  <c r="E619" i="23"/>
  <c r="D619" i="23"/>
  <c r="C619" i="23"/>
  <c r="B619" i="23"/>
  <c r="G618" i="23"/>
  <c r="F618" i="23"/>
  <c r="E618" i="23"/>
  <c r="D618" i="23"/>
  <c r="C618" i="23"/>
  <c r="B618" i="23"/>
  <c r="G617" i="23"/>
  <c r="F617" i="23"/>
  <c r="E617" i="23"/>
  <c r="D617" i="23"/>
  <c r="C617" i="23"/>
  <c r="B617" i="23"/>
  <c r="G616" i="23"/>
  <c r="F616" i="23"/>
  <c r="E616" i="23"/>
  <c r="D616" i="23"/>
  <c r="C616" i="23"/>
  <c r="B616" i="23"/>
  <c r="G615" i="23"/>
  <c r="F615" i="23"/>
  <c r="E615" i="23"/>
  <c r="D615" i="23"/>
  <c r="C615" i="23"/>
  <c r="B615" i="23"/>
  <c r="G614" i="23"/>
  <c r="F614" i="23"/>
  <c r="E614" i="23"/>
  <c r="D614" i="23"/>
  <c r="C614" i="23"/>
  <c r="B614" i="23"/>
  <c r="G613" i="23"/>
  <c r="F613" i="23"/>
  <c r="E613" i="23"/>
  <c r="D613" i="23"/>
  <c r="C613" i="23"/>
  <c r="B613" i="23"/>
  <c r="G612" i="23"/>
  <c r="F612" i="23"/>
  <c r="E612" i="23"/>
  <c r="D612" i="23"/>
  <c r="C612" i="23"/>
  <c r="B612" i="23"/>
  <c r="G611" i="23"/>
  <c r="F611" i="23"/>
  <c r="E611" i="23"/>
  <c r="D611" i="23"/>
  <c r="C611" i="23"/>
  <c r="B611" i="23"/>
  <c r="G610" i="23"/>
  <c r="F610" i="23"/>
  <c r="E610" i="23"/>
  <c r="D610" i="23"/>
  <c r="C610" i="23"/>
  <c r="B610" i="23"/>
  <c r="G609" i="23"/>
  <c r="F609" i="23"/>
  <c r="E609" i="23"/>
  <c r="D609" i="23"/>
  <c r="C609" i="23"/>
  <c r="B609" i="23"/>
  <c r="G608" i="23"/>
  <c r="F608" i="23"/>
  <c r="E608" i="23"/>
  <c r="D608" i="23"/>
  <c r="C608" i="23"/>
  <c r="B608" i="23"/>
  <c r="G607" i="23"/>
  <c r="F607" i="23"/>
  <c r="E607" i="23"/>
  <c r="D607" i="23"/>
  <c r="C607" i="23"/>
  <c r="B607" i="23"/>
  <c r="G606" i="23"/>
  <c r="F606" i="23"/>
  <c r="E606" i="23"/>
  <c r="D606" i="23"/>
  <c r="C606" i="23"/>
  <c r="B606" i="23"/>
  <c r="G605" i="23"/>
  <c r="F605" i="23"/>
  <c r="E605" i="23"/>
  <c r="D605" i="23"/>
  <c r="C605" i="23"/>
  <c r="B605" i="23"/>
  <c r="G604" i="23"/>
  <c r="F604" i="23"/>
  <c r="E604" i="23"/>
  <c r="D604" i="23"/>
  <c r="C604" i="23"/>
  <c r="B604" i="23"/>
  <c r="G603" i="23"/>
  <c r="F603" i="23"/>
  <c r="E603" i="23"/>
  <c r="D603" i="23"/>
  <c r="C603" i="23"/>
  <c r="B603" i="23"/>
  <c r="G602" i="23"/>
  <c r="F602" i="23"/>
  <c r="E602" i="23"/>
  <c r="D602" i="23"/>
  <c r="C602" i="23"/>
  <c r="B602" i="23"/>
  <c r="G601" i="23"/>
  <c r="F601" i="23"/>
  <c r="E601" i="23"/>
  <c r="D601" i="23"/>
  <c r="C601" i="23"/>
  <c r="B601" i="23"/>
  <c r="G600" i="23"/>
  <c r="F600" i="23"/>
  <c r="E600" i="23"/>
  <c r="D600" i="23"/>
  <c r="C600" i="23"/>
  <c r="B600" i="23"/>
  <c r="G599" i="23"/>
  <c r="F599" i="23"/>
  <c r="E599" i="23"/>
  <c r="D599" i="23"/>
  <c r="C599" i="23"/>
  <c r="B599" i="23"/>
  <c r="G598" i="23"/>
  <c r="F598" i="23"/>
  <c r="E598" i="23"/>
  <c r="D598" i="23"/>
  <c r="C598" i="23"/>
  <c r="B598" i="23"/>
  <c r="G597" i="23"/>
  <c r="F597" i="23"/>
  <c r="E597" i="23"/>
  <c r="D597" i="23"/>
  <c r="C597" i="23"/>
  <c r="B597" i="23"/>
  <c r="G596" i="23"/>
  <c r="F596" i="23"/>
  <c r="E596" i="23"/>
  <c r="D596" i="23"/>
  <c r="C596" i="23"/>
  <c r="B596" i="23"/>
  <c r="G595" i="23"/>
  <c r="F595" i="23"/>
  <c r="E595" i="23"/>
  <c r="D595" i="23"/>
  <c r="C595" i="23"/>
  <c r="B595" i="23"/>
  <c r="G594" i="23"/>
  <c r="F594" i="23"/>
  <c r="E594" i="23"/>
  <c r="D594" i="23"/>
  <c r="C594" i="23"/>
  <c r="B594" i="23"/>
  <c r="G593" i="23"/>
  <c r="F593" i="23"/>
  <c r="E593" i="23"/>
  <c r="D593" i="23"/>
  <c r="C593" i="23"/>
  <c r="B593" i="23"/>
  <c r="G592" i="23"/>
  <c r="F592" i="23"/>
  <c r="E592" i="23"/>
  <c r="D592" i="23"/>
  <c r="C592" i="23"/>
  <c r="B592" i="23"/>
  <c r="G591" i="23"/>
  <c r="F591" i="23"/>
  <c r="E591" i="23"/>
  <c r="D591" i="23"/>
  <c r="C591" i="23"/>
  <c r="B591" i="23"/>
  <c r="G590" i="23"/>
  <c r="F590" i="23"/>
  <c r="E590" i="23"/>
  <c r="D590" i="23"/>
  <c r="C590" i="23"/>
  <c r="B590" i="23"/>
  <c r="G589" i="23"/>
  <c r="F589" i="23"/>
  <c r="E589" i="23"/>
  <c r="D589" i="23"/>
  <c r="C589" i="23"/>
  <c r="B589" i="23"/>
  <c r="G588" i="23"/>
  <c r="F588" i="23"/>
  <c r="E588" i="23"/>
  <c r="D588" i="23"/>
  <c r="C588" i="23"/>
  <c r="B588" i="23"/>
  <c r="G587" i="23"/>
  <c r="F587" i="23"/>
  <c r="E587" i="23"/>
  <c r="D587" i="23"/>
  <c r="C587" i="23"/>
  <c r="B587" i="23"/>
  <c r="G586" i="23"/>
  <c r="F586" i="23"/>
  <c r="E586" i="23"/>
  <c r="D586" i="23"/>
  <c r="C586" i="23"/>
  <c r="B586" i="23"/>
  <c r="G585" i="23"/>
  <c r="F585" i="23"/>
  <c r="E585" i="23"/>
  <c r="D585" i="23"/>
  <c r="C585" i="23"/>
  <c r="B585" i="23"/>
  <c r="G584" i="23"/>
  <c r="F584" i="23"/>
  <c r="E584" i="23"/>
  <c r="D584" i="23"/>
  <c r="C584" i="23"/>
  <c r="B584" i="23"/>
  <c r="G583" i="23"/>
  <c r="F583" i="23"/>
  <c r="E583" i="23"/>
  <c r="D583" i="23"/>
  <c r="C583" i="23"/>
  <c r="B583" i="23"/>
  <c r="G582" i="23"/>
  <c r="F582" i="23"/>
  <c r="E582" i="23"/>
  <c r="D582" i="23"/>
  <c r="C582" i="23"/>
  <c r="B582" i="23"/>
  <c r="G581" i="23"/>
  <c r="F581" i="23"/>
  <c r="E581" i="23"/>
  <c r="D581" i="23"/>
  <c r="C581" i="23"/>
  <c r="B581" i="23"/>
  <c r="G580" i="23"/>
  <c r="F580" i="23"/>
  <c r="E580" i="23"/>
  <c r="D580" i="23"/>
  <c r="C580" i="23"/>
  <c r="B580" i="23"/>
  <c r="G579" i="23"/>
  <c r="F579" i="23"/>
  <c r="E579" i="23"/>
  <c r="D579" i="23"/>
  <c r="C579" i="23"/>
  <c r="B579" i="23"/>
  <c r="G578" i="23"/>
  <c r="F578" i="23"/>
  <c r="E578" i="23"/>
  <c r="D578" i="23"/>
  <c r="C578" i="23"/>
  <c r="B578" i="23"/>
  <c r="G577" i="23"/>
  <c r="F577" i="23"/>
  <c r="E577" i="23"/>
  <c r="D577" i="23"/>
  <c r="C577" i="23"/>
  <c r="B577" i="23"/>
  <c r="G576" i="23"/>
  <c r="F576" i="23"/>
  <c r="E576" i="23"/>
  <c r="D576" i="23"/>
  <c r="C576" i="23"/>
  <c r="B576" i="23"/>
  <c r="G575" i="23"/>
  <c r="F575" i="23"/>
  <c r="E575" i="23"/>
  <c r="D575" i="23"/>
  <c r="C575" i="23"/>
  <c r="B575" i="23"/>
  <c r="G574" i="23"/>
  <c r="F574" i="23"/>
  <c r="E574" i="23"/>
  <c r="D574" i="23"/>
  <c r="C574" i="23"/>
  <c r="B574" i="23"/>
  <c r="G573" i="23"/>
  <c r="F573" i="23"/>
  <c r="E573" i="23"/>
  <c r="D573" i="23"/>
  <c r="C573" i="23"/>
  <c r="B573" i="23"/>
  <c r="G572" i="23"/>
  <c r="F572" i="23"/>
  <c r="E572" i="23"/>
  <c r="D572" i="23"/>
  <c r="C572" i="23"/>
  <c r="B572" i="23"/>
  <c r="F571" i="23"/>
  <c r="E571" i="23"/>
  <c r="D571" i="23"/>
  <c r="C571" i="23"/>
  <c r="B571" i="23"/>
  <c r="F570" i="23"/>
  <c r="E570" i="23"/>
  <c r="D570" i="23"/>
  <c r="C570" i="23"/>
  <c r="B570" i="23"/>
  <c r="F569" i="23"/>
  <c r="E569" i="23"/>
  <c r="D569" i="23"/>
  <c r="C569" i="23"/>
  <c r="B569" i="23"/>
  <c r="G568" i="23"/>
  <c r="F568" i="23"/>
  <c r="E568" i="23"/>
  <c r="D568" i="23"/>
  <c r="C568" i="23"/>
  <c r="B568" i="23"/>
  <c r="G567" i="23"/>
  <c r="F567" i="23"/>
  <c r="E567" i="23"/>
  <c r="D567" i="23"/>
  <c r="C567" i="23"/>
  <c r="B567" i="23"/>
  <c r="G566" i="23"/>
  <c r="F566" i="23"/>
  <c r="E566" i="23"/>
  <c r="D566" i="23"/>
  <c r="C566" i="23"/>
  <c r="B566" i="23"/>
  <c r="G565" i="23"/>
  <c r="F565" i="23"/>
  <c r="E565" i="23"/>
  <c r="D565" i="23"/>
  <c r="C565" i="23"/>
  <c r="B565" i="23"/>
  <c r="G564" i="23"/>
  <c r="F564" i="23"/>
  <c r="E564" i="23"/>
  <c r="D564" i="23"/>
  <c r="C564" i="23"/>
  <c r="B564" i="23"/>
  <c r="F563" i="23"/>
  <c r="E563" i="23"/>
  <c r="D563" i="23"/>
  <c r="C563" i="23"/>
  <c r="B563" i="23"/>
  <c r="G562" i="23"/>
  <c r="F562" i="23"/>
  <c r="E562" i="23"/>
  <c r="D562" i="23"/>
  <c r="C562" i="23"/>
  <c r="B562" i="23"/>
  <c r="G561" i="23"/>
  <c r="F561" i="23"/>
  <c r="E561" i="23"/>
  <c r="D561" i="23"/>
  <c r="C561" i="23"/>
  <c r="B561" i="23"/>
  <c r="G560" i="23"/>
  <c r="F560" i="23"/>
  <c r="E560" i="23"/>
  <c r="D560" i="23"/>
  <c r="C560" i="23"/>
  <c r="B560" i="23"/>
  <c r="G559" i="23"/>
  <c r="F559" i="23"/>
  <c r="E559" i="23"/>
  <c r="D559" i="23"/>
  <c r="C559" i="23"/>
  <c r="B559" i="23"/>
  <c r="F558" i="23"/>
  <c r="E558" i="23"/>
  <c r="D558" i="23"/>
  <c r="C558" i="23"/>
  <c r="B558" i="23"/>
  <c r="G557" i="23"/>
  <c r="F557" i="23"/>
  <c r="E557" i="23"/>
  <c r="D557" i="23"/>
  <c r="C557" i="23"/>
  <c r="B557" i="23"/>
  <c r="G556" i="23"/>
  <c r="F556" i="23"/>
  <c r="E556" i="23"/>
  <c r="D556" i="23"/>
  <c r="C556" i="23"/>
  <c r="B556" i="23"/>
  <c r="G555" i="23"/>
  <c r="F555" i="23"/>
  <c r="E555" i="23"/>
  <c r="D555" i="23"/>
  <c r="C555" i="23"/>
  <c r="B555" i="23"/>
  <c r="G554" i="23"/>
  <c r="F554" i="23"/>
  <c r="E554" i="23"/>
  <c r="D554" i="23"/>
  <c r="C554" i="23"/>
  <c r="B554" i="23"/>
  <c r="G553" i="23"/>
  <c r="F553" i="23"/>
  <c r="E553" i="23"/>
  <c r="D553" i="23"/>
  <c r="C553" i="23"/>
  <c r="B553" i="23"/>
  <c r="G552" i="23"/>
  <c r="F552" i="23"/>
  <c r="E552" i="23"/>
  <c r="D552" i="23"/>
  <c r="C552" i="23"/>
  <c r="B552" i="23"/>
  <c r="G551" i="23"/>
  <c r="F551" i="23"/>
  <c r="E551" i="23"/>
  <c r="D551" i="23"/>
  <c r="C551" i="23"/>
  <c r="B551" i="23"/>
  <c r="G550" i="23"/>
  <c r="F550" i="23"/>
  <c r="E550" i="23"/>
  <c r="D550" i="23"/>
  <c r="C550" i="23"/>
  <c r="B550" i="23"/>
  <c r="G549" i="23"/>
  <c r="F549" i="23"/>
  <c r="E549" i="23"/>
  <c r="D549" i="23"/>
  <c r="C549" i="23"/>
  <c r="B549" i="23"/>
  <c r="G548" i="23"/>
  <c r="F548" i="23"/>
  <c r="E548" i="23"/>
  <c r="D548" i="23"/>
  <c r="C548" i="23"/>
  <c r="B548" i="23"/>
  <c r="G547" i="23"/>
  <c r="F547" i="23"/>
  <c r="E547" i="23"/>
  <c r="D547" i="23"/>
  <c r="C547" i="23"/>
  <c r="B547" i="23"/>
  <c r="G546" i="23"/>
  <c r="F546" i="23"/>
  <c r="E546" i="23"/>
  <c r="D546" i="23"/>
  <c r="C546" i="23"/>
  <c r="B546" i="23"/>
  <c r="G545" i="23"/>
  <c r="F545" i="23"/>
  <c r="E545" i="23"/>
  <c r="D545" i="23"/>
  <c r="C545" i="23"/>
  <c r="B545" i="23"/>
  <c r="G544" i="23"/>
  <c r="F544" i="23"/>
  <c r="E544" i="23"/>
  <c r="D544" i="23"/>
  <c r="C544" i="23"/>
  <c r="B544" i="23"/>
  <c r="G543" i="23"/>
  <c r="F543" i="23"/>
  <c r="E543" i="23"/>
  <c r="D543" i="23"/>
  <c r="C543" i="23"/>
  <c r="B543" i="23"/>
  <c r="G542" i="23"/>
  <c r="F542" i="23"/>
  <c r="E542" i="23"/>
  <c r="D542" i="23"/>
  <c r="C542" i="23"/>
  <c r="B542" i="23"/>
  <c r="G541" i="23"/>
  <c r="F541" i="23"/>
  <c r="E541" i="23"/>
  <c r="D541" i="23"/>
  <c r="C541" i="23"/>
  <c r="B541" i="23"/>
  <c r="G540" i="23"/>
  <c r="F540" i="23"/>
  <c r="E540" i="23"/>
  <c r="D540" i="23"/>
  <c r="C540" i="23"/>
  <c r="B540" i="23"/>
  <c r="G539" i="23"/>
  <c r="F539" i="23"/>
  <c r="E539" i="23"/>
  <c r="D539" i="23"/>
  <c r="C539" i="23"/>
  <c r="B539" i="23"/>
  <c r="G538" i="23"/>
  <c r="F538" i="23"/>
  <c r="E538" i="23"/>
  <c r="D538" i="23"/>
  <c r="C538" i="23"/>
  <c r="B538" i="23"/>
  <c r="G537" i="23"/>
  <c r="F537" i="23"/>
  <c r="E537" i="23"/>
  <c r="D537" i="23"/>
  <c r="C537" i="23"/>
  <c r="B537" i="23"/>
  <c r="G536" i="23"/>
  <c r="F536" i="23"/>
  <c r="E536" i="23"/>
  <c r="D536" i="23"/>
  <c r="C536" i="23"/>
  <c r="B536" i="23"/>
  <c r="G535" i="23"/>
  <c r="F535" i="23"/>
  <c r="E535" i="23"/>
  <c r="D535" i="23"/>
  <c r="C535" i="23"/>
  <c r="B535" i="23"/>
  <c r="F534" i="23"/>
  <c r="E534" i="23"/>
  <c r="D534" i="23"/>
  <c r="C534" i="23"/>
  <c r="B534" i="23"/>
  <c r="F533" i="23"/>
  <c r="E533" i="23"/>
  <c r="D533" i="23"/>
  <c r="C533" i="23"/>
  <c r="B533" i="23"/>
  <c r="F532" i="23"/>
  <c r="E532" i="23"/>
  <c r="D532" i="23"/>
  <c r="C532" i="23"/>
  <c r="B532" i="23"/>
  <c r="F531" i="23"/>
  <c r="E531" i="23"/>
  <c r="D531" i="23"/>
  <c r="C531" i="23"/>
  <c r="B531" i="23"/>
  <c r="F530" i="23"/>
  <c r="E530" i="23"/>
  <c r="D530" i="23"/>
  <c r="C530" i="23"/>
  <c r="B530" i="23"/>
  <c r="G529" i="23"/>
  <c r="F529" i="23"/>
  <c r="E529" i="23"/>
  <c r="D529" i="23"/>
  <c r="C529" i="23"/>
  <c r="B529" i="23"/>
  <c r="G528" i="23"/>
  <c r="F528" i="23"/>
  <c r="E528" i="23"/>
  <c r="D528" i="23"/>
  <c r="C528" i="23"/>
  <c r="B528" i="23"/>
  <c r="G527" i="23"/>
  <c r="F527" i="23"/>
  <c r="E527" i="23"/>
  <c r="D527" i="23"/>
  <c r="C527" i="23"/>
  <c r="B527" i="23"/>
  <c r="G526" i="23"/>
  <c r="F526" i="23"/>
  <c r="E526" i="23"/>
  <c r="D526" i="23"/>
  <c r="C526" i="23"/>
  <c r="B526" i="23"/>
  <c r="G525" i="23"/>
  <c r="F525" i="23"/>
  <c r="E525" i="23"/>
  <c r="D525" i="23"/>
  <c r="C525" i="23"/>
  <c r="B525" i="23"/>
  <c r="G524" i="23"/>
  <c r="F524" i="23"/>
  <c r="E524" i="23"/>
  <c r="D524" i="23"/>
  <c r="C524" i="23"/>
  <c r="B524" i="23"/>
  <c r="G523" i="23"/>
  <c r="F523" i="23"/>
  <c r="E523" i="23"/>
  <c r="D523" i="23"/>
  <c r="C523" i="23"/>
  <c r="B523" i="23"/>
  <c r="G522" i="23"/>
  <c r="F522" i="23"/>
  <c r="E522" i="23"/>
  <c r="D522" i="23"/>
  <c r="C522" i="23"/>
  <c r="B522" i="23"/>
  <c r="G521" i="23"/>
  <c r="F521" i="23"/>
  <c r="E521" i="23"/>
  <c r="D521" i="23"/>
  <c r="C521" i="23"/>
  <c r="B521" i="23"/>
  <c r="F520" i="23"/>
  <c r="E520" i="23"/>
  <c r="D520" i="23"/>
  <c r="C520" i="23"/>
  <c r="B520" i="23"/>
  <c r="F519" i="23"/>
  <c r="E519" i="23"/>
  <c r="D519" i="23"/>
  <c r="C519" i="23"/>
  <c r="B519" i="23"/>
  <c r="G518" i="23"/>
  <c r="F518" i="23"/>
  <c r="E518" i="23"/>
  <c r="D518" i="23"/>
  <c r="C518" i="23"/>
  <c r="B518" i="23"/>
  <c r="G517" i="23"/>
  <c r="F517" i="23"/>
  <c r="E517" i="23"/>
  <c r="D517" i="23"/>
  <c r="C517" i="23"/>
  <c r="B517" i="23"/>
  <c r="G516" i="23"/>
  <c r="F516" i="23"/>
  <c r="E516" i="23"/>
  <c r="D516" i="23"/>
  <c r="C516" i="23"/>
  <c r="B516" i="23"/>
  <c r="G515" i="23"/>
  <c r="F515" i="23"/>
  <c r="E515" i="23"/>
  <c r="D515" i="23"/>
  <c r="C515" i="23"/>
  <c r="B515" i="23"/>
  <c r="G514" i="23"/>
  <c r="F514" i="23"/>
  <c r="E514" i="23"/>
  <c r="D514" i="23"/>
  <c r="C514" i="23"/>
  <c r="B514" i="23"/>
  <c r="G513" i="23"/>
  <c r="F513" i="23"/>
  <c r="E513" i="23"/>
  <c r="D513" i="23"/>
  <c r="C513" i="23"/>
  <c r="B513" i="23"/>
  <c r="G512" i="23"/>
  <c r="F512" i="23"/>
  <c r="E512" i="23"/>
  <c r="D512" i="23"/>
  <c r="C512" i="23"/>
  <c r="B512" i="23"/>
  <c r="G511" i="23"/>
  <c r="F511" i="23"/>
  <c r="E511" i="23"/>
  <c r="D511" i="23"/>
  <c r="C511" i="23"/>
  <c r="B511" i="23"/>
  <c r="G510" i="23"/>
  <c r="F510" i="23"/>
  <c r="E510" i="23"/>
  <c r="D510" i="23"/>
  <c r="C510" i="23"/>
  <c r="B510" i="23"/>
  <c r="G509" i="23"/>
  <c r="F509" i="23"/>
  <c r="E509" i="23"/>
  <c r="D509" i="23"/>
  <c r="C509" i="23"/>
  <c r="B509" i="23"/>
  <c r="G508" i="23"/>
  <c r="F508" i="23"/>
  <c r="E508" i="23"/>
  <c r="D508" i="23"/>
  <c r="C508" i="23"/>
  <c r="B508" i="23"/>
  <c r="G507" i="23"/>
  <c r="F507" i="23"/>
  <c r="E507" i="23"/>
  <c r="D507" i="23"/>
  <c r="C507" i="23"/>
  <c r="B507" i="23"/>
  <c r="G506" i="23"/>
  <c r="F506" i="23"/>
  <c r="E506" i="23"/>
  <c r="D506" i="23"/>
  <c r="C506" i="23"/>
  <c r="B506" i="23"/>
  <c r="G505" i="23"/>
  <c r="F505" i="23"/>
  <c r="E505" i="23"/>
  <c r="D505" i="23"/>
  <c r="C505" i="23"/>
  <c r="B505" i="23"/>
  <c r="G504" i="23"/>
  <c r="F504" i="23"/>
  <c r="E504" i="23"/>
  <c r="D504" i="23"/>
  <c r="C504" i="23"/>
  <c r="B504" i="23"/>
  <c r="G503" i="23"/>
  <c r="F503" i="23"/>
  <c r="E503" i="23"/>
  <c r="D503" i="23"/>
  <c r="C503" i="23"/>
  <c r="B503" i="23"/>
  <c r="G502" i="23"/>
  <c r="F502" i="23"/>
  <c r="E502" i="23"/>
  <c r="D502" i="23"/>
  <c r="C502" i="23"/>
  <c r="B502" i="23"/>
  <c r="G501" i="23"/>
  <c r="F501" i="23"/>
  <c r="E501" i="23"/>
  <c r="D501" i="23"/>
  <c r="C501" i="23"/>
  <c r="B501" i="23"/>
  <c r="G500" i="23"/>
  <c r="F500" i="23"/>
  <c r="E500" i="23"/>
  <c r="D500" i="23"/>
  <c r="C500" i="23"/>
  <c r="B500" i="23"/>
  <c r="G499" i="23"/>
  <c r="F499" i="23"/>
  <c r="E499" i="23"/>
  <c r="D499" i="23"/>
  <c r="C499" i="23"/>
  <c r="B499" i="23"/>
  <c r="F498" i="23"/>
  <c r="E498" i="23"/>
  <c r="D498" i="23"/>
  <c r="C498" i="23"/>
  <c r="B498" i="23"/>
  <c r="G497" i="23"/>
  <c r="F497" i="23"/>
  <c r="E497" i="23"/>
  <c r="D497" i="23"/>
  <c r="C497" i="23"/>
  <c r="B497" i="23"/>
  <c r="G496" i="23"/>
  <c r="F496" i="23"/>
  <c r="E496" i="23"/>
  <c r="D496" i="23"/>
  <c r="C496" i="23"/>
  <c r="B496" i="23"/>
  <c r="G495" i="23"/>
  <c r="F495" i="23"/>
  <c r="E495" i="23"/>
  <c r="D495" i="23"/>
  <c r="C495" i="23"/>
  <c r="B495" i="23"/>
  <c r="G494" i="23"/>
  <c r="F494" i="23"/>
  <c r="E494" i="23"/>
  <c r="D494" i="23"/>
  <c r="C494" i="23"/>
  <c r="B494" i="23"/>
  <c r="G493" i="23"/>
  <c r="F493" i="23"/>
  <c r="E493" i="23"/>
  <c r="D493" i="23"/>
  <c r="C493" i="23"/>
  <c r="B493" i="23"/>
  <c r="G492" i="23"/>
  <c r="F492" i="23"/>
  <c r="E492" i="23"/>
  <c r="D492" i="23"/>
  <c r="C492" i="23"/>
  <c r="B492" i="23"/>
  <c r="F491" i="23"/>
  <c r="E491" i="23"/>
  <c r="D491" i="23"/>
  <c r="C491" i="23"/>
  <c r="B491" i="23"/>
  <c r="G490" i="23"/>
  <c r="F490" i="23"/>
  <c r="E490" i="23"/>
  <c r="D490" i="23"/>
  <c r="C490" i="23"/>
  <c r="B490" i="23"/>
  <c r="G489" i="23"/>
  <c r="F489" i="23"/>
  <c r="E489" i="23"/>
  <c r="D489" i="23"/>
  <c r="C489" i="23"/>
  <c r="B489" i="23"/>
  <c r="G488" i="23"/>
  <c r="F488" i="23"/>
  <c r="E488" i="23"/>
  <c r="D488" i="23"/>
  <c r="C488" i="23"/>
  <c r="B488" i="23"/>
  <c r="G487" i="23"/>
  <c r="F487" i="23"/>
  <c r="E487" i="23"/>
  <c r="D487" i="23"/>
  <c r="C487" i="23"/>
  <c r="B487" i="23"/>
  <c r="G486" i="23"/>
  <c r="F486" i="23"/>
  <c r="E486" i="23"/>
  <c r="D486" i="23"/>
  <c r="C486" i="23"/>
  <c r="B486" i="23"/>
  <c r="F485" i="23"/>
  <c r="E485" i="23"/>
  <c r="D485" i="23"/>
  <c r="C485" i="23"/>
  <c r="B485" i="23"/>
  <c r="G484" i="23"/>
  <c r="J484" i="23" s="1"/>
  <c r="F484" i="23"/>
  <c r="E484" i="23"/>
  <c r="D484" i="23"/>
  <c r="C484" i="23"/>
  <c r="B484" i="23"/>
  <c r="G483" i="23"/>
  <c r="F483" i="23"/>
  <c r="E483" i="23"/>
  <c r="D483" i="23"/>
  <c r="C483" i="23"/>
  <c r="B483" i="23"/>
  <c r="F482" i="23"/>
  <c r="E482" i="23"/>
  <c r="D482" i="23"/>
  <c r="C482" i="23"/>
  <c r="B482" i="23"/>
  <c r="F481" i="23"/>
  <c r="E481" i="23"/>
  <c r="D481" i="23"/>
  <c r="C481" i="23"/>
  <c r="B481" i="23"/>
  <c r="F480" i="23"/>
  <c r="E480" i="23"/>
  <c r="D480" i="23"/>
  <c r="C480" i="23"/>
  <c r="B480" i="23"/>
  <c r="G479" i="23"/>
  <c r="F479" i="23"/>
  <c r="E479" i="23"/>
  <c r="D479" i="23"/>
  <c r="C479" i="23"/>
  <c r="B479" i="23"/>
  <c r="G478" i="23"/>
  <c r="F478" i="23"/>
  <c r="E478" i="23"/>
  <c r="D478" i="23"/>
  <c r="C478" i="23"/>
  <c r="B478" i="23"/>
  <c r="G477" i="23"/>
  <c r="F477" i="23"/>
  <c r="E477" i="23"/>
  <c r="D477" i="23"/>
  <c r="C477" i="23"/>
  <c r="B477" i="23"/>
  <c r="F476" i="23"/>
  <c r="E476" i="23"/>
  <c r="D476" i="23"/>
  <c r="C476" i="23"/>
  <c r="B476" i="23"/>
  <c r="G475" i="23"/>
  <c r="F475" i="23"/>
  <c r="E475" i="23"/>
  <c r="D475" i="23"/>
  <c r="C475" i="23"/>
  <c r="B475" i="23"/>
  <c r="G474" i="23"/>
  <c r="F474" i="23"/>
  <c r="E474" i="23"/>
  <c r="D474" i="23"/>
  <c r="C474" i="23"/>
  <c r="B474" i="23"/>
  <c r="G473" i="23"/>
  <c r="F473" i="23"/>
  <c r="E473" i="23"/>
  <c r="D473" i="23"/>
  <c r="C473" i="23"/>
  <c r="B473" i="23"/>
  <c r="G472" i="23"/>
  <c r="F472" i="23"/>
  <c r="E472" i="23"/>
  <c r="D472" i="23"/>
  <c r="C472" i="23"/>
  <c r="B472" i="23"/>
  <c r="G471" i="23"/>
  <c r="F471" i="23"/>
  <c r="E471" i="23"/>
  <c r="D471" i="23"/>
  <c r="C471" i="23"/>
  <c r="B471" i="23"/>
  <c r="F470" i="23"/>
  <c r="E470" i="23"/>
  <c r="D470" i="23"/>
  <c r="C470" i="23"/>
  <c r="B470" i="23"/>
  <c r="G469" i="23"/>
  <c r="F469" i="23"/>
  <c r="E469" i="23"/>
  <c r="D469" i="23"/>
  <c r="C469" i="23"/>
  <c r="B469" i="23"/>
  <c r="G468" i="23"/>
  <c r="F468" i="23"/>
  <c r="E468" i="23"/>
  <c r="D468" i="23"/>
  <c r="C468" i="23"/>
  <c r="B468" i="23"/>
  <c r="G467" i="23"/>
  <c r="F467" i="23"/>
  <c r="E467" i="23"/>
  <c r="D467" i="23"/>
  <c r="C467" i="23"/>
  <c r="B467" i="23"/>
  <c r="G466" i="23"/>
  <c r="F466" i="23"/>
  <c r="E466" i="23"/>
  <c r="D466" i="23"/>
  <c r="C466" i="23"/>
  <c r="B466" i="23"/>
  <c r="F465" i="23"/>
  <c r="E465" i="23"/>
  <c r="D465" i="23"/>
  <c r="C465" i="23"/>
  <c r="B465" i="23"/>
  <c r="F464" i="23"/>
  <c r="E464" i="23"/>
  <c r="D464" i="23"/>
  <c r="C464" i="23"/>
  <c r="B464" i="23"/>
  <c r="G463" i="23"/>
  <c r="F463" i="23"/>
  <c r="E463" i="23"/>
  <c r="D463" i="23"/>
  <c r="C463" i="23"/>
  <c r="B463" i="23"/>
  <c r="G462" i="23"/>
  <c r="F462" i="23"/>
  <c r="E462" i="23"/>
  <c r="D462" i="23"/>
  <c r="C462" i="23"/>
  <c r="B462" i="23"/>
  <c r="G461" i="23"/>
  <c r="F461" i="23"/>
  <c r="E461" i="23"/>
  <c r="D461" i="23"/>
  <c r="C461" i="23"/>
  <c r="B461" i="23"/>
  <c r="G460" i="23"/>
  <c r="F460" i="23"/>
  <c r="E460" i="23"/>
  <c r="D460" i="23"/>
  <c r="C460" i="23"/>
  <c r="B460" i="23"/>
  <c r="G459" i="23"/>
  <c r="F459" i="23"/>
  <c r="E459" i="23"/>
  <c r="D459" i="23"/>
  <c r="C459" i="23"/>
  <c r="B459" i="23"/>
  <c r="G458" i="23"/>
  <c r="F458" i="23"/>
  <c r="E458" i="23"/>
  <c r="D458" i="23"/>
  <c r="C458" i="23"/>
  <c r="B458" i="23"/>
  <c r="G457" i="23"/>
  <c r="F457" i="23"/>
  <c r="E457" i="23"/>
  <c r="D457" i="23"/>
  <c r="C457" i="23"/>
  <c r="B457" i="23"/>
  <c r="G456" i="23"/>
  <c r="F456" i="23"/>
  <c r="E456" i="23"/>
  <c r="D456" i="23"/>
  <c r="C456" i="23"/>
  <c r="B456" i="23"/>
  <c r="G455" i="23"/>
  <c r="F455" i="23"/>
  <c r="E455" i="23"/>
  <c r="D455" i="23"/>
  <c r="C455" i="23"/>
  <c r="B455" i="23"/>
  <c r="G454" i="23"/>
  <c r="F454" i="23"/>
  <c r="E454" i="23"/>
  <c r="D454" i="23"/>
  <c r="C454" i="23"/>
  <c r="B454" i="23"/>
  <c r="G453" i="23"/>
  <c r="F453" i="23"/>
  <c r="E453" i="23"/>
  <c r="D453" i="23"/>
  <c r="C453" i="23"/>
  <c r="B453" i="23"/>
  <c r="G452" i="23"/>
  <c r="F452" i="23"/>
  <c r="E452" i="23"/>
  <c r="D452" i="23"/>
  <c r="C452" i="23"/>
  <c r="B452" i="23"/>
  <c r="G451" i="23"/>
  <c r="F451" i="23"/>
  <c r="E451" i="23"/>
  <c r="D451" i="23"/>
  <c r="C451" i="23"/>
  <c r="B451" i="23"/>
  <c r="G450" i="23"/>
  <c r="F450" i="23"/>
  <c r="E450" i="23"/>
  <c r="D450" i="23"/>
  <c r="C450" i="23"/>
  <c r="B450" i="23"/>
  <c r="G449" i="23"/>
  <c r="F449" i="23"/>
  <c r="E449" i="23"/>
  <c r="D449" i="23"/>
  <c r="C449" i="23"/>
  <c r="B449" i="23"/>
  <c r="G448" i="23"/>
  <c r="F448" i="23"/>
  <c r="E448" i="23"/>
  <c r="D448" i="23"/>
  <c r="C448" i="23"/>
  <c r="B448" i="23"/>
  <c r="G447" i="23"/>
  <c r="F447" i="23"/>
  <c r="E447" i="23"/>
  <c r="D447" i="23"/>
  <c r="C447" i="23"/>
  <c r="B447" i="23"/>
  <c r="G446" i="23"/>
  <c r="F446" i="23"/>
  <c r="E446" i="23"/>
  <c r="D446" i="23"/>
  <c r="C446" i="23"/>
  <c r="B446" i="23"/>
  <c r="G445" i="23"/>
  <c r="F445" i="23"/>
  <c r="E445" i="23"/>
  <c r="D445" i="23"/>
  <c r="C445" i="23"/>
  <c r="B445" i="23"/>
  <c r="F444" i="23"/>
  <c r="E444" i="23"/>
  <c r="D444" i="23"/>
  <c r="C444" i="23"/>
  <c r="B444" i="23"/>
  <c r="F443" i="23"/>
  <c r="E443" i="23"/>
  <c r="D443" i="23"/>
  <c r="C443" i="23"/>
  <c r="B443" i="23"/>
  <c r="G442" i="23"/>
  <c r="F442" i="23"/>
  <c r="E442" i="23"/>
  <c r="D442" i="23"/>
  <c r="C442" i="23"/>
  <c r="B442" i="23"/>
  <c r="G441" i="23"/>
  <c r="F441" i="23"/>
  <c r="E441" i="23"/>
  <c r="D441" i="23"/>
  <c r="C441" i="23"/>
  <c r="B441" i="23"/>
  <c r="G440" i="23"/>
  <c r="F440" i="23"/>
  <c r="E440" i="23"/>
  <c r="D440" i="23"/>
  <c r="C440" i="23"/>
  <c r="B440" i="23"/>
  <c r="G439" i="23"/>
  <c r="F439" i="23"/>
  <c r="E439" i="23"/>
  <c r="D439" i="23"/>
  <c r="C439" i="23"/>
  <c r="B439" i="23"/>
  <c r="G438" i="23"/>
  <c r="F438" i="23"/>
  <c r="E438" i="23"/>
  <c r="D438" i="23"/>
  <c r="C438" i="23"/>
  <c r="B438" i="23"/>
  <c r="G437" i="23"/>
  <c r="F437" i="23"/>
  <c r="E437" i="23"/>
  <c r="D437" i="23"/>
  <c r="C437" i="23"/>
  <c r="B437" i="23"/>
  <c r="G436" i="23"/>
  <c r="F436" i="23"/>
  <c r="E436" i="23"/>
  <c r="D436" i="23"/>
  <c r="C436" i="23"/>
  <c r="B436" i="23"/>
  <c r="F435" i="23"/>
  <c r="E435" i="23"/>
  <c r="D435" i="23"/>
  <c r="C435" i="23"/>
  <c r="B435" i="23"/>
  <c r="G434" i="23"/>
  <c r="F434" i="23"/>
  <c r="E434" i="23"/>
  <c r="D434" i="23"/>
  <c r="C434" i="23"/>
  <c r="B434" i="23"/>
  <c r="G433" i="23"/>
  <c r="F433" i="23"/>
  <c r="E433" i="23"/>
  <c r="D433" i="23"/>
  <c r="C433" i="23"/>
  <c r="B433" i="23"/>
  <c r="G432" i="23"/>
  <c r="F432" i="23"/>
  <c r="E432" i="23"/>
  <c r="D432" i="23"/>
  <c r="C432" i="23"/>
  <c r="B432" i="23"/>
  <c r="G431" i="23"/>
  <c r="F431" i="23"/>
  <c r="E431" i="23"/>
  <c r="D431" i="23"/>
  <c r="C431" i="23"/>
  <c r="B431" i="23"/>
  <c r="G430" i="23"/>
  <c r="F430" i="23"/>
  <c r="E430" i="23"/>
  <c r="D430" i="23"/>
  <c r="C430" i="23"/>
  <c r="B430" i="23"/>
  <c r="G429" i="23"/>
  <c r="F429" i="23"/>
  <c r="E429" i="23"/>
  <c r="D429" i="23"/>
  <c r="C429" i="23"/>
  <c r="B429" i="23"/>
  <c r="G428" i="23"/>
  <c r="F428" i="23"/>
  <c r="E428" i="23"/>
  <c r="D428" i="23"/>
  <c r="C428" i="23"/>
  <c r="B428" i="23"/>
  <c r="G427" i="23"/>
  <c r="F427" i="23"/>
  <c r="E427" i="23"/>
  <c r="D427" i="23"/>
  <c r="C427" i="23"/>
  <c r="B427" i="23"/>
  <c r="G426" i="23"/>
  <c r="F426" i="23"/>
  <c r="E426" i="23"/>
  <c r="D426" i="23"/>
  <c r="C426" i="23"/>
  <c r="B426" i="23"/>
  <c r="G425" i="23"/>
  <c r="F425" i="23"/>
  <c r="E425" i="23"/>
  <c r="D425" i="23"/>
  <c r="C425" i="23"/>
  <c r="B425" i="23"/>
  <c r="G424" i="23"/>
  <c r="F424" i="23"/>
  <c r="E424" i="23"/>
  <c r="D424" i="23"/>
  <c r="C424" i="23"/>
  <c r="B424" i="23"/>
  <c r="G423" i="23"/>
  <c r="F423" i="23"/>
  <c r="E423" i="23"/>
  <c r="D423" i="23"/>
  <c r="C423" i="23"/>
  <c r="B423" i="23"/>
  <c r="G422" i="23"/>
  <c r="F422" i="23"/>
  <c r="E422" i="23"/>
  <c r="D422" i="23"/>
  <c r="C422" i="23"/>
  <c r="B422" i="23"/>
  <c r="G421" i="23"/>
  <c r="F421" i="23"/>
  <c r="E421" i="23"/>
  <c r="D421" i="23"/>
  <c r="C421" i="23"/>
  <c r="B421" i="23"/>
  <c r="G420" i="23"/>
  <c r="F420" i="23"/>
  <c r="E420" i="23"/>
  <c r="D420" i="23"/>
  <c r="C420" i="23"/>
  <c r="B420" i="23"/>
  <c r="G419" i="23"/>
  <c r="F419" i="23"/>
  <c r="E419" i="23"/>
  <c r="D419" i="23"/>
  <c r="C419" i="23"/>
  <c r="B419" i="23"/>
  <c r="G418" i="23"/>
  <c r="F418" i="23"/>
  <c r="E418" i="23"/>
  <c r="D418" i="23"/>
  <c r="C418" i="23"/>
  <c r="B418" i="23"/>
  <c r="G417" i="23"/>
  <c r="F417" i="23"/>
  <c r="E417" i="23"/>
  <c r="D417" i="23"/>
  <c r="C417" i="23"/>
  <c r="B417" i="23"/>
  <c r="G416" i="23"/>
  <c r="F416" i="23"/>
  <c r="E416" i="23"/>
  <c r="D416" i="23"/>
  <c r="C416" i="23"/>
  <c r="B416" i="23"/>
  <c r="G415" i="23"/>
  <c r="F415" i="23"/>
  <c r="E415" i="23"/>
  <c r="D415" i="23"/>
  <c r="C415" i="23"/>
  <c r="B415" i="23"/>
  <c r="G414" i="23"/>
  <c r="F414" i="23"/>
  <c r="E414" i="23"/>
  <c r="D414" i="23"/>
  <c r="C414" i="23"/>
  <c r="B414" i="23"/>
  <c r="G413" i="23"/>
  <c r="F413" i="23"/>
  <c r="E413" i="23"/>
  <c r="D413" i="23"/>
  <c r="C413" i="23"/>
  <c r="B413" i="23"/>
  <c r="G412" i="23"/>
  <c r="F412" i="23"/>
  <c r="E412" i="23"/>
  <c r="D412" i="23"/>
  <c r="C412" i="23"/>
  <c r="B412" i="23"/>
  <c r="G411" i="23"/>
  <c r="F411" i="23"/>
  <c r="E411" i="23"/>
  <c r="D411" i="23"/>
  <c r="C411" i="23"/>
  <c r="B411" i="23"/>
  <c r="G410" i="23"/>
  <c r="F410" i="23"/>
  <c r="E410" i="23"/>
  <c r="D410" i="23"/>
  <c r="C410" i="23"/>
  <c r="B410" i="23"/>
  <c r="G409" i="23"/>
  <c r="F409" i="23"/>
  <c r="E409" i="23"/>
  <c r="D409" i="23"/>
  <c r="C409" i="23"/>
  <c r="B409" i="23"/>
  <c r="G408" i="23"/>
  <c r="F408" i="23"/>
  <c r="E408" i="23"/>
  <c r="D408" i="23"/>
  <c r="C408" i="23"/>
  <c r="B408" i="23"/>
  <c r="G407" i="23"/>
  <c r="F407" i="23"/>
  <c r="E407" i="23"/>
  <c r="D407" i="23"/>
  <c r="C407" i="23"/>
  <c r="B407" i="23"/>
  <c r="G406" i="23"/>
  <c r="F406" i="23"/>
  <c r="E406" i="23"/>
  <c r="D406" i="23"/>
  <c r="C406" i="23"/>
  <c r="B406" i="23"/>
  <c r="G405" i="23"/>
  <c r="F405" i="23"/>
  <c r="E405" i="23"/>
  <c r="D405" i="23"/>
  <c r="C405" i="23"/>
  <c r="B405" i="23"/>
  <c r="G404" i="23"/>
  <c r="F404" i="23"/>
  <c r="E404" i="23"/>
  <c r="D404" i="23"/>
  <c r="C404" i="23"/>
  <c r="B404" i="23"/>
  <c r="G403" i="23"/>
  <c r="F403" i="23"/>
  <c r="E403" i="23"/>
  <c r="D403" i="23"/>
  <c r="C403" i="23"/>
  <c r="B403" i="23"/>
  <c r="G402" i="23"/>
  <c r="F402" i="23"/>
  <c r="E402" i="23"/>
  <c r="D402" i="23"/>
  <c r="C402" i="23"/>
  <c r="B402" i="23"/>
  <c r="G401" i="23"/>
  <c r="F401" i="23"/>
  <c r="E401" i="23"/>
  <c r="D401" i="23"/>
  <c r="C401" i="23"/>
  <c r="B401" i="23"/>
  <c r="F400" i="23"/>
  <c r="E400" i="23"/>
  <c r="D400" i="23"/>
  <c r="C400" i="23"/>
  <c r="B400" i="23"/>
  <c r="G399" i="23"/>
  <c r="F399" i="23"/>
  <c r="E399" i="23"/>
  <c r="D399" i="23"/>
  <c r="C399" i="23"/>
  <c r="B399" i="23"/>
  <c r="G398" i="23"/>
  <c r="F398" i="23"/>
  <c r="E398" i="23"/>
  <c r="D398" i="23"/>
  <c r="C398" i="23"/>
  <c r="B398" i="23"/>
  <c r="G397" i="23"/>
  <c r="F397" i="23"/>
  <c r="E397" i="23"/>
  <c r="D397" i="23"/>
  <c r="C397" i="23"/>
  <c r="B397" i="23"/>
  <c r="G396" i="23"/>
  <c r="F396" i="23"/>
  <c r="E396" i="23"/>
  <c r="D396" i="23"/>
  <c r="C396" i="23"/>
  <c r="B396" i="23"/>
  <c r="G395" i="23"/>
  <c r="F395" i="23"/>
  <c r="E395" i="23"/>
  <c r="D395" i="23"/>
  <c r="C395" i="23"/>
  <c r="B395" i="23"/>
  <c r="G394" i="23"/>
  <c r="F394" i="23"/>
  <c r="E394" i="23"/>
  <c r="D394" i="23"/>
  <c r="C394" i="23"/>
  <c r="B394" i="23"/>
  <c r="G393" i="23"/>
  <c r="F393" i="23"/>
  <c r="E393" i="23"/>
  <c r="D393" i="23"/>
  <c r="C393" i="23"/>
  <c r="B393" i="23"/>
  <c r="G392" i="23"/>
  <c r="F392" i="23"/>
  <c r="E392" i="23"/>
  <c r="D392" i="23"/>
  <c r="C392" i="23"/>
  <c r="B392" i="23"/>
  <c r="G391" i="23"/>
  <c r="F391" i="23"/>
  <c r="E391" i="23"/>
  <c r="D391" i="23"/>
  <c r="C391" i="23"/>
  <c r="B391" i="23"/>
  <c r="G390" i="23"/>
  <c r="F390" i="23"/>
  <c r="E390" i="23"/>
  <c r="D390" i="23"/>
  <c r="C390" i="23"/>
  <c r="B390" i="23"/>
  <c r="F389" i="23"/>
  <c r="E389" i="23"/>
  <c r="D389" i="23"/>
  <c r="C389" i="23"/>
  <c r="B389" i="23"/>
  <c r="G388" i="23"/>
  <c r="F388" i="23"/>
  <c r="E388" i="23"/>
  <c r="D388" i="23"/>
  <c r="C388" i="23"/>
  <c r="B388" i="23"/>
  <c r="G387" i="23"/>
  <c r="F387" i="23"/>
  <c r="E387" i="23"/>
  <c r="D387" i="23"/>
  <c r="C387" i="23"/>
  <c r="B387" i="23"/>
  <c r="F386" i="23"/>
  <c r="E386" i="23"/>
  <c r="D386" i="23"/>
  <c r="C386" i="23"/>
  <c r="B386" i="23"/>
  <c r="F385" i="23"/>
  <c r="E385" i="23"/>
  <c r="D385" i="23"/>
  <c r="C385" i="23"/>
  <c r="B385" i="23"/>
  <c r="G384" i="23"/>
  <c r="F384" i="23"/>
  <c r="E384" i="23"/>
  <c r="D384" i="23"/>
  <c r="C384" i="23"/>
  <c r="B384" i="23"/>
  <c r="G383" i="23"/>
  <c r="F383" i="23"/>
  <c r="E383" i="23"/>
  <c r="D383" i="23"/>
  <c r="C383" i="23"/>
  <c r="B383" i="23"/>
  <c r="F382" i="23"/>
  <c r="E382" i="23"/>
  <c r="D382" i="23"/>
  <c r="C382" i="23"/>
  <c r="B382" i="23"/>
  <c r="F381" i="23"/>
  <c r="E381" i="23"/>
  <c r="D381" i="23"/>
  <c r="C381" i="23"/>
  <c r="B381" i="23"/>
  <c r="G380" i="23"/>
  <c r="F380" i="23"/>
  <c r="E380" i="23"/>
  <c r="D380" i="23"/>
  <c r="C380" i="23"/>
  <c r="B380" i="23"/>
  <c r="G379" i="23"/>
  <c r="F379" i="23"/>
  <c r="E379" i="23"/>
  <c r="D379" i="23"/>
  <c r="C379" i="23"/>
  <c r="B379" i="23"/>
  <c r="G378" i="23"/>
  <c r="F378" i="23"/>
  <c r="E378" i="23"/>
  <c r="D378" i="23"/>
  <c r="C378" i="23"/>
  <c r="B378" i="23"/>
  <c r="G377" i="23"/>
  <c r="F377" i="23"/>
  <c r="E377" i="23"/>
  <c r="D377" i="23"/>
  <c r="C377" i="23"/>
  <c r="B377" i="23"/>
  <c r="G376" i="23"/>
  <c r="F376" i="23"/>
  <c r="E376" i="23"/>
  <c r="D376" i="23"/>
  <c r="C376" i="23"/>
  <c r="B376" i="23"/>
  <c r="G375" i="23"/>
  <c r="F375" i="23"/>
  <c r="E375" i="23"/>
  <c r="D375" i="23"/>
  <c r="C375" i="23"/>
  <c r="B375" i="23"/>
  <c r="G374" i="23"/>
  <c r="F374" i="23"/>
  <c r="E374" i="23"/>
  <c r="D374" i="23"/>
  <c r="C374" i="23"/>
  <c r="B374" i="23"/>
  <c r="G373" i="23"/>
  <c r="F373" i="23"/>
  <c r="E373" i="23"/>
  <c r="D373" i="23"/>
  <c r="C373" i="23"/>
  <c r="B373" i="23"/>
  <c r="F372" i="23"/>
  <c r="E372" i="23"/>
  <c r="D372" i="23"/>
  <c r="C372" i="23"/>
  <c r="B372" i="23"/>
  <c r="F371" i="23"/>
  <c r="E371" i="23"/>
  <c r="D371" i="23"/>
  <c r="C371" i="23"/>
  <c r="B371" i="23"/>
  <c r="F370" i="23"/>
  <c r="E370" i="23"/>
  <c r="D370" i="23"/>
  <c r="C370" i="23"/>
  <c r="B370" i="23"/>
  <c r="G369" i="23"/>
  <c r="F369" i="23"/>
  <c r="E369" i="23"/>
  <c r="D369" i="23"/>
  <c r="C369" i="23"/>
  <c r="B369" i="23"/>
  <c r="G368" i="23"/>
  <c r="F368" i="23"/>
  <c r="E368" i="23"/>
  <c r="D368" i="23"/>
  <c r="C368" i="23"/>
  <c r="B368" i="23"/>
  <c r="G367" i="23"/>
  <c r="F367" i="23"/>
  <c r="E367" i="23"/>
  <c r="D367" i="23"/>
  <c r="C367" i="23"/>
  <c r="B367" i="23"/>
  <c r="G366" i="23"/>
  <c r="F366" i="23"/>
  <c r="E366" i="23"/>
  <c r="D366" i="23"/>
  <c r="C366" i="23"/>
  <c r="B366" i="23"/>
  <c r="G365" i="23"/>
  <c r="F365" i="23"/>
  <c r="E365" i="23"/>
  <c r="D365" i="23"/>
  <c r="C365" i="23"/>
  <c r="B365" i="23"/>
  <c r="G364" i="23"/>
  <c r="F364" i="23"/>
  <c r="E364" i="23"/>
  <c r="D364" i="23"/>
  <c r="C364" i="23"/>
  <c r="B364" i="23"/>
  <c r="G363" i="23"/>
  <c r="F363" i="23"/>
  <c r="E363" i="23"/>
  <c r="D363" i="23"/>
  <c r="C363" i="23"/>
  <c r="B363" i="23"/>
  <c r="G362" i="23"/>
  <c r="F362" i="23"/>
  <c r="E362" i="23"/>
  <c r="D362" i="23"/>
  <c r="C362" i="23"/>
  <c r="B362" i="23"/>
  <c r="G361" i="23"/>
  <c r="F361" i="23"/>
  <c r="E361" i="23"/>
  <c r="D361" i="23"/>
  <c r="C361" i="23"/>
  <c r="B361" i="23"/>
  <c r="G360" i="23"/>
  <c r="F360" i="23"/>
  <c r="E360" i="23"/>
  <c r="D360" i="23"/>
  <c r="C360" i="23"/>
  <c r="B360" i="23"/>
  <c r="G359" i="23"/>
  <c r="F359" i="23"/>
  <c r="E359" i="23"/>
  <c r="D359" i="23"/>
  <c r="C359" i="23"/>
  <c r="B359" i="23"/>
  <c r="F358" i="23"/>
  <c r="E358" i="23"/>
  <c r="D358" i="23"/>
  <c r="C358" i="23"/>
  <c r="B358" i="23"/>
  <c r="G357" i="23"/>
  <c r="F357" i="23"/>
  <c r="E357" i="23"/>
  <c r="D357" i="23"/>
  <c r="C357" i="23"/>
  <c r="B357" i="23"/>
  <c r="G356" i="23"/>
  <c r="F356" i="23"/>
  <c r="E356" i="23"/>
  <c r="D356" i="23"/>
  <c r="C356" i="23"/>
  <c r="B356" i="23"/>
  <c r="F355" i="23"/>
  <c r="E355" i="23"/>
  <c r="D355" i="23"/>
  <c r="C355" i="23"/>
  <c r="B355" i="23"/>
  <c r="G354" i="23"/>
  <c r="F354" i="23"/>
  <c r="E354" i="23"/>
  <c r="D354" i="23"/>
  <c r="C354" i="23"/>
  <c r="B354" i="23"/>
  <c r="G353" i="23"/>
  <c r="F353" i="23"/>
  <c r="E353" i="23"/>
  <c r="D353" i="23"/>
  <c r="C353" i="23"/>
  <c r="B353" i="23"/>
  <c r="G352" i="23"/>
  <c r="F352" i="23"/>
  <c r="E352" i="23"/>
  <c r="D352" i="23"/>
  <c r="C352" i="23"/>
  <c r="B352" i="23"/>
  <c r="G351" i="23"/>
  <c r="F351" i="23"/>
  <c r="E351" i="23"/>
  <c r="D351" i="23"/>
  <c r="C351" i="23"/>
  <c r="B351" i="23"/>
  <c r="G350" i="23"/>
  <c r="F350" i="23"/>
  <c r="E350" i="23"/>
  <c r="D350" i="23"/>
  <c r="C350" i="23"/>
  <c r="B350" i="23"/>
  <c r="G349" i="23"/>
  <c r="F349" i="23"/>
  <c r="E349" i="23"/>
  <c r="D349" i="23"/>
  <c r="C349" i="23"/>
  <c r="B349" i="23"/>
  <c r="G348" i="23"/>
  <c r="F348" i="23"/>
  <c r="E348" i="23"/>
  <c r="D348" i="23"/>
  <c r="C348" i="23"/>
  <c r="B348" i="23"/>
  <c r="G347" i="23"/>
  <c r="F347" i="23"/>
  <c r="E347" i="23"/>
  <c r="D347" i="23"/>
  <c r="C347" i="23"/>
  <c r="B347" i="23"/>
  <c r="G346" i="23"/>
  <c r="F346" i="23"/>
  <c r="E346" i="23"/>
  <c r="D346" i="23"/>
  <c r="C346" i="23"/>
  <c r="B346" i="23"/>
  <c r="G345" i="23"/>
  <c r="F345" i="23"/>
  <c r="E345" i="23"/>
  <c r="D345" i="23"/>
  <c r="C345" i="23"/>
  <c r="B345" i="23"/>
  <c r="G344" i="23"/>
  <c r="F344" i="23"/>
  <c r="E344" i="23"/>
  <c r="D344" i="23"/>
  <c r="C344" i="23"/>
  <c r="B344" i="23"/>
  <c r="F343" i="23"/>
  <c r="E343" i="23"/>
  <c r="D343" i="23"/>
  <c r="C343" i="23"/>
  <c r="B343" i="23"/>
  <c r="G342" i="23"/>
  <c r="F342" i="23"/>
  <c r="E342" i="23"/>
  <c r="D342" i="23"/>
  <c r="C342" i="23"/>
  <c r="B342" i="23"/>
  <c r="G341" i="23"/>
  <c r="F341" i="23"/>
  <c r="E341" i="23"/>
  <c r="D341" i="23"/>
  <c r="C341" i="23"/>
  <c r="B341" i="23"/>
  <c r="F340" i="23"/>
  <c r="E340" i="23"/>
  <c r="D340" i="23"/>
  <c r="C340" i="23"/>
  <c r="B340" i="23"/>
  <c r="F339" i="23"/>
  <c r="E339" i="23"/>
  <c r="D339" i="23"/>
  <c r="C339" i="23"/>
  <c r="B339" i="23"/>
  <c r="G338" i="23"/>
  <c r="F338" i="23"/>
  <c r="E338" i="23"/>
  <c r="D338" i="23"/>
  <c r="C338" i="23"/>
  <c r="B338" i="23"/>
  <c r="F337" i="23"/>
  <c r="E337" i="23"/>
  <c r="D337" i="23"/>
  <c r="C337" i="23"/>
  <c r="B337" i="23"/>
  <c r="G336" i="23"/>
  <c r="F336" i="23"/>
  <c r="E336" i="23"/>
  <c r="D336" i="23"/>
  <c r="C336" i="23"/>
  <c r="B336" i="23"/>
  <c r="G335" i="23"/>
  <c r="F335" i="23"/>
  <c r="E335" i="23"/>
  <c r="D335" i="23"/>
  <c r="C335" i="23"/>
  <c r="B335" i="23"/>
  <c r="G334" i="23"/>
  <c r="F334" i="23"/>
  <c r="E334" i="23"/>
  <c r="D334" i="23"/>
  <c r="C334" i="23"/>
  <c r="B334" i="23"/>
  <c r="G333" i="23"/>
  <c r="F333" i="23"/>
  <c r="E333" i="23"/>
  <c r="D333" i="23"/>
  <c r="C333" i="23"/>
  <c r="B333" i="23"/>
  <c r="G332" i="23"/>
  <c r="F332" i="23"/>
  <c r="E332" i="23"/>
  <c r="D332" i="23"/>
  <c r="C332" i="23"/>
  <c r="B332" i="23"/>
  <c r="G331" i="23"/>
  <c r="F331" i="23"/>
  <c r="E331" i="23"/>
  <c r="D331" i="23"/>
  <c r="C331" i="23"/>
  <c r="B331" i="23"/>
  <c r="G330" i="23"/>
  <c r="F330" i="23"/>
  <c r="E330" i="23"/>
  <c r="D330" i="23"/>
  <c r="C330" i="23"/>
  <c r="B330" i="23"/>
  <c r="G329" i="23"/>
  <c r="F329" i="23"/>
  <c r="E329" i="23"/>
  <c r="D329" i="23"/>
  <c r="C329" i="23"/>
  <c r="B329" i="23"/>
  <c r="G328" i="23"/>
  <c r="F328" i="23"/>
  <c r="E328" i="23"/>
  <c r="D328" i="23"/>
  <c r="C328" i="23"/>
  <c r="B328" i="23"/>
  <c r="G327" i="23"/>
  <c r="F327" i="23"/>
  <c r="E327" i="23"/>
  <c r="D327" i="23"/>
  <c r="C327" i="23"/>
  <c r="B327" i="23"/>
  <c r="G326" i="23"/>
  <c r="F326" i="23"/>
  <c r="E326" i="23"/>
  <c r="D326" i="23"/>
  <c r="C326" i="23"/>
  <c r="B326" i="23"/>
  <c r="G325" i="23"/>
  <c r="F325" i="23"/>
  <c r="E325" i="23"/>
  <c r="D325" i="23"/>
  <c r="C325" i="23"/>
  <c r="B325" i="23"/>
  <c r="G324" i="23"/>
  <c r="F324" i="23"/>
  <c r="E324" i="23"/>
  <c r="D324" i="23"/>
  <c r="C324" i="23"/>
  <c r="B324" i="23"/>
  <c r="G323" i="23"/>
  <c r="F323" i="23"/>
  <c r="E323" i="23"/>
  <c r="D323" i="23"/>
  <c r="C323" i="23"/>
  <c r="B323" i="23"/>
  <c r="G322" i="23"/>
  <c r="F322" i="23"/>
  <c r="E322" i="23"/>
  <c r="D322" i="23"/>
  <c r="C322" i="23"/>
  <c r="B322" i="23"/>
  <c r="G321" i="23"/>
  <c r="F321" i="23"/>
  <c r="E321" i="23"/>
  <c r="D321" i="23"/>
  <c r="C321" i="23"/>
  <c r="B321" i="23"/>
  <c r="F320" i="23"/>
  <c r="E320" i="23"/>
  <c r="D320" i="23"/>
  <c r="C320" i="23"/>
  <c r="B320" i="23"/>
  <c r="G319" i="23"/>
  <c r="F319" i="23"/>
  <c r="E319" i="23"/>
  <c r="D319" i="23"/>
  <c r="C319" i="23"/>
  <c r="B319" i="23"/>
  <c r="G318" i="23"/>
  <c r="F318" i="23"/>
  <c r="E318" i="23"/>
  <c r="D318" i="23"/>
  <c r="C318" i="23"/>
  <c r="B318" i="23"/>
  <c r="G317" i="23"/>
  <c r="F317" i="23"/>
  <c r="E317" i="23"/>
  <c r="D317" i="23"/>
  <c r="C317" i="23"/>
  <c r="B317" i="23"/>
  <c r="F316" i="23"/>
  <c r="E316" i="23"/>
  <c r="D316" i="23"/>
  <c r="C316" i="23"/>
  <c r="B316" i="23"/>
  <c r="F315" i="23"/>
  <c r="E315" i="23"/>
  <c r="D315" i="23"/>
  <c r="C315" i="23"/>
  <c r="B315" i="23"/>
  <c r="F314" i="23"/>
  <c r="E314" i="23"/>
  <c r="D314" i="23"/>
  <c r="C314" i="23"/>
  <c r="B314" i="23"/>
  <c r="F313" i="23"/>
  <c r="E313" i="23"/>
  <c r="D313" i="23"/>
  <c r="C313" i="23"/>
  <c r="B313" i="23"/>
  <c r="G312" i="23"/>
  <c r="F312" i="23"/>
  <c r="E312" i="23"/>
  <c r="D312" i="23"/>
  <c r="C312" i="23"/>
  <c r="B312" i="23"/>
  <c r="G311" i="23"/>
  <c r="F311" i="23"/>
  <c r="E311" i="23"/>
  <c r="D311" i="23"/>
  <c r="C311" i="23"/>
  <c r="B311" i="23"/>
  <c r="G310" i="23"/>
  <c r="F310" i="23"/>
  <c r="E310" i="23"/>
  <c r="D310" i="23"/>
  <c r="C310" i="23"/>
  <c r="B310" i="23"/>
  <c r="G309" i="23"/>
  <c r="F309" i="23"/>
  <c r="E309" i="23"/>
  <c r="D309" i="23"/>
  <c r="C309" i="23"/>
  <c r="B309" i="23"/>
  <c r="G308" i="23"/>
  <c r="F308" i="23"/>
  <c r="E308" i="23"/>
  <c r="D308" i="23"/>
  <c r="C308" i="23"/>
  <c r="B308" i="23"/>
  <c r="G307" i="23"/>
  <c r="F307" i="23"/>
  <c r="E307" i="23"/>
  <c r="D307" i="23"/>
  <c r="C307" i="23"/>
  <c r="B307" i="23"/>
  <c r="G306" i="23"/>
  <c r="F306" i="23"/>
  <c r="E306" i="23"/>
  <c r="D306" i="23"/>
  <c r="C306" i="23"/>
  <c r="B306" i="23"/>
  <c r="G305" i="23"/>
  <c r="F305" i="23"/>
  <c r="E305" i="23"/>
  <c r="D305" i="23"/>
  <c r="C305" i="23"/>
  <c r="B305" i="23"/>
  <c r="G304" i="23"/>
  <c r="F304" i="23"/>
  <c r="E304" i="23"/>
  <c r="D304" i="23"/>
  <c r="C304" i="23"/>
  <c r="B304" i="23"/>
  <c r="G303" i="23"/>
  <c r="F303" i="23"/>
  <c r="E303" i="23"/>
  <c r="D303" i="23"/>
  <c r="C303" i="23"/>
  <c r="B303" i="23"/>
  <c r="F302" i="23"/>
  <c r="E302" i="23"/>
  <c r="D302" i="23"/>
  <c r="C302" i="23"/>
  <c r="B302" i="23"/>
  <c r="G301" i="23"/>
  <c r="F301" i="23"/>
  <c r="E301" i="23"/>
  <c r="D301" i="23"/>
  <c r="C301" i="23"/>
  <c r="B301" i="23"/>
  <c r="F300" i="23"/>
  <c r="E300" i="23"/>
  <c r="D300" i="23"/>
  <c r="C300" i="23"/>
  <c r="B300" i="23"/>
  <c r="G299" i="23"/>
  <c r="J299" i="23" s="1"/>
  <c r="F299" i="23"/>
  <c r="E299" i="23"/>
  <c r="D299" i="23"/>
  <c r="C299" i="23"/>
  <c r="B299" i="23"/>
  <c r="G298" i="23"/>
  <c r="F298" i="23"/>
  <c r="E298" i="23"/>
  <c r="D298" i="23"/>
  <c r="C298" i="23"/>
  <c r="B298" i="23"/>
  <c r="G297" i="23"/>
  <c r="F297" i="23"/>
  <c r="E297" i="23"/>
  <c r="D297" i="23"/>
  <c r="C297" i="23"/>
  <c r="B297" i="23"/>
  <c r="G296" i="23"/>
  <c r="F296" i="23"/>
  <c r="E296" i="23"/>
  <c r="D296" i="23"/>
  <c r="C296" i="23"/>
  <c r="B296" i="23"/>
  <c r="G295" i="23"/>
  <c r="F295" i="23"/>
  <c r="E295" i="23"/>
  <c r="D295" i="23"/>
  <c r="C295" i="23"/>
  <c r="B295" i="23"/>
  <c r="G294" i="23"/>
  <c r="F294" i="23"/>
  <c r="E294" i="23"/>
  <c r="D294" i="23"/>
  <c r="C294" i="23"/>
  <c r="B294" i="23"/>
  <c r="G293" i="23"/>
  <c r="F293" i="23"/>
  <c r="E293" i="23"/>
  <c r="D293" i="23"/>
  <c r="C293" i="23"/>
  <c r="B293" i="23"/>
  <c r="G292" i="23"/>
  <c r="F292" i="23"/>
  <c r="E292" i="23"/>
  <c r="D292" i="23"/>
  <c r="C292" i="23"/>
  <c r="B292" i="23"/>
  <c r="G291" i="23"/>
  <c r="J291" i="23" s="1"/>
  <c r="F291" i="23"/>
  <c r="E291" i="23"/>
  <c r="D291" i="23"/>
  <c r="C291" i="23"/>
  <c r="B291" i="23"/>
  <c r="G290" i="23"/>
  <c r="F290" i="23"/>
  <c r="E290" i="23"/>
  <c r="D290" i="23"/>
  <c r="C290" i="23"/>
  <c r="B290" i="23"/>
  <c r="G289" i="23"/>
  <c r="F289" i="23"/>
  <c r="E289" i="23"/>
  <c r="D289" i="23"/>
  <c r="C289" i="23"/>
  <c r="B289" i="23"/>
  <c r="G288" i="23"/>
  <c r="F288" i="23"/>
  <c r="E288" i="23"/>
  <c r="D288" i="23"/>
  <c r="C288" i="23"/>
  <c r="B288" i="23"/>
  <c r="G287" i="23"/>
  <c r="F287" i="23"/>
  <c r="E287" i="23"/>
  <c r="D287" i="23"/>
  <c r="C287" i="23"/>
  <c r="B287" i="23"/>
  <c r="G286" i="23"/>
  <c r="F286" i="23"/>
  <c r="E286" i="23"/>
  <c r="D286" i="23"/>
  <c r="C286" i="23"/>
  <c r="B286" i="23"/>
  <c r="G285" i="23"/>
  <c r="F285" i="23"/>
  <c r="E285" i="23"/>
  <c r="D285" i="23"/>
  <c r="C285" i="23"/>
  <c r="B285" i="23"/>
  <c r="G284" i="23"/>
  <c r="F284" i="23"/>
  <c r="E284" i="23"/>
  <c r="D284" i="23"/>
  <c r="C284" i="23"/>
  <c r="B284" i="23"/>
  <c r="G283" i="23"/>
  <c r="J283" i="23" s="1"/>
  <c r="F283" i="23"/>
  <c r="E283" i="23"/>
  <c r="D283" i="23"/>
  <c r="C283" i="23"/>
  <c r="B283" i="23"/>
  <c r="G282" i="23"/>
  <c r="F282" i="23"/>
  <c r="E282" i="23"/>
  <c r="D282" i="23"/>
  <c r="C282" i="23"/>
  <c r="B282" i="23"/>
  <c r="G269" i="23"/>
  <c r="F269" i="23"/>
  <c r="E269" i="23"/>
  <c r="D269" i="23"/>
  <c r="C269" i="23"/>
  <c r="B269" i="23"/>
  <c r="G268" i="23"/>
  <c r="F268" i="23"/>
  <c r="E268" i="23"/>
  <c r="D268" i="23"/>
  <c r="C268" i="23"/>
  <c r="B268" i="23"/>
  <c r="G267" i="23"/>
  <c r="J267" i="23" s="1"/>
  <c r="F267" i="23"/>
  <c r="E267" i="23"/>
  <c r="D267" i="23"/>
  <c r="C267" i="23"/>
  <c r="B267" i="23"/>
  <c r="G266" i="23"/>
  <c r="F266" i="23"/>
  <c r="E266" i="23"/>
  <c r="D266" i="23"/>
  <c r="C266" i="23"/>
  <c r="B266" i="23"/>
  <c r="G265" i="23"/>
  <c r="F265" i="23"/>
  <c r="E265" i="23"/>
  <c r="D265" i="23"/>
  <c r="C265" i="23"/>
  <c r="B265" i="23"/>
  <c r="G264" i="23"/>
  <c r="F264" i="23"/>
  <c r="E264" i="23"/>
  <c r="D264" i="23"/>
  <c r="C264" i="23"/>
  <c r="B264" i="23"/>
  <c r="G263" i="23"/>
  <c r="F263" i="23"/>
  <c r="E263" i="23"/>
  <c r="D263" i="23"/>
  <c r="C263" i="23"/>
  <c r="B263" i="23"/>
  <c r="G262" i="23"/>
  <c r="F262" i="23"/>
  <c r="E262" i="23"/>
  <c r="D262" i="23"/>
  <c r="C262" i="23"/>
  <c r="B262" i="23"/>
  <c r="G261" i="23"/>
  <c r="F261" i="23"/>
  <c r="E261" i="23"/>
  <c r="D261" i="23"/>
  <c r="C261" i="23"/>
  <c r="B261" i="23"/>
  <c r="G260" i="23"/>
  <c r="F260" i="23"/>
  <c r="E260" i="23"/>
  <c r="D260" i="23"/>
  <c r="C260" i="23"/>
  <c r="B260" i="23"/>
  <c r="G259" i="23"/>
  <c r="J259" i="23" s="1"/>
  <c r="F259" i="23"/>
  <c r="E259" i="23"/>
  <c r="D259" i="23"/>
  <c r="C259" i="23"/>
  <c r="B259" i="23"/>
  <c r="G258" i="23"/>
  <c r="F258" i="23"/>
  <c r="E258" i="23"/>
  <c r="D258" i="23"/>
  <c r="C258" i="23"/>
  <c r="B258" i="23"/>
  <c r="G257" i="23"/>
  <c r="F257" i="23"/>
  <c r="E257" i="23"/>
  <c r="D257" i="23"/>
  <c r="C257" i="23"/>
  <c r="B257" i="23"/>
  <c r="G243" i="23"/>
  <c r="F243" i="23"/>
  <c r="E243" i="23"/>
  <c r="D243" i="23"/>
  <c r="C243" i="23"/>
  <c r="B243" i="23"/>
  <c r="G242" i="23"/>
  <c r="J242" i="23" s="1"/>
  <c r="F242" i="23"/>
  <c r="E242" i="23"/>
  <c r="D242" i="23"/>
  <c r="C242" i="23"/>
  <c r="B242" i="23"/>
  <c r="G241" i="23"/>
  <c r="F241" i="23"/>
  <c r="E241" i="23"/>
  <c r="D241" i="23"/>
  <c r="C241" i="23"/>
  <c r="B241" i="23"/>
  <c r="G240" i="23"/>
  <c r="F240" i="23"/>
  <c r="E240" i="23"/>
  <c r="D240" i="23"/>
  <c r="C240" i="23"/>
  <c r="B240" i="23"/>
  <c r="G234" i="23"/>
  <c r="F234" i="23"/>
  <c r="E234" i="23"/>
  <c r="D234" i="23"/>
  <c r="C234" i="23"/>
  <c r="B234" i="23"/>
  <c r="G233" i="23"/>
  <c r="F233" i="23"/>
  <c r="E233" i="23"/>
  <c r="D233" i="23"/>
  <c r="C233" i="23"/>
  <c r="B233" i="23"/>
  <c r="G232" i="23"/>
  <c r="F232" i="23"/>
  <c r="E232" i="23"/>
  <c r="D232" i="23"/>
  <c r="C232" i="23"/>
  <c r="B232" i="23"/>
  <c r="G231" i="23"/>
  <c r="F231" i="23"/>
  <c r="E231" i="23"/>
  <c r="D231" i="23"/>
  <c r="C231" i="23"/>
  <c r="B231" i="23"/>
  <c r="G228" i="23"/>
  <c r="F228" i="23"/>
  <c r="E228" i="23"/>
  <c r="D228" i="23"/>
  <c r="C228" i="23"/>
  <c r="B228" i="23"/>
  <c r="G227" i="23"/>
  <c r="J227" i="23" s="1"/>
  <c r="F227" i="23"/>
  <c r="E227" i="23"/>
  <c r="D227" i="23"/>
  <c r="C227" i="23"/>
  <c r="B227" i="23"/>
  <c r="G226" i="23"/>
  <c r="F226" i="23"/>
  <c r="E226" i="23"/>
  <c r="D226" i="23"/>
  <c r="C226" i="23"/>
  <c r="B226" i="23"/>
  <c r="G225" i="23"/>
  <c r="F225" i="23"/>
  <c r="E225" i="23"/>
  <c r="D225" i="23"/>
  <c r="C225" i="23"/>
  <c r="B225" i="23"/>
  <c r="G224" i="23"/>
  <c r="F224" i="23"/>
  <c r="E224" i="23"/>
  <c r="D224" i="23"/>
  <c r="C224" i="23"/>
  <c r="B224" i="23"/>
  <c r="G223" i="23"/>
  <c r="F223" i="23"/>
  <c r="E223" i="23"/>
  <c r="D223" i="23"/>
  <c r="C223" i="23"/>
  <c r="B223" i="23"/>
  <c r="G222" i="23"/>
  <c r="F222" i="23"/>
  <c r="E222" i="23"/>
  <c r="D222" i="23"/>
  <c r="C222" i="23"/>
  <c r="B222" i="23"/>
  <c r="F221" i="23"/>
  <c r="E221" i="23"/>
  <c r="D221" i="23"/>
  <c r="C221" i="23"/>
  <c r="B221" i="23"/>
  <c r="G220" i="23"/>
  <c r="J220" i="23" s="1"/>
  <c r="F220" i="23"/>
  <c r="E220" i="23"/>
  <c r="D220" i="23"/>
  <c r="C220" i="23"/>
  <c r="B220" i="23"/>
  <c r="G219" i="23"/>
  <c r="J219" i="23" s="1"/>
  <c r="F219" i="23"/>
  <c r="E219" i="23"/>
  <c r="D219" i="23"/>
  <c r="C219" i="23"/>
  <c r="B219" i="23"/>
  <c r="G218" i="23"/>
  <c r="F218" i="23"/>
  <c r="E218" i="23"/>
  <c r="D218" i="23"/>
  <c r="C218" i="23"/>
  <c r="B218" i="23"/>
  <c r="G217" i="23"/>
  <c r="F217" i="23"/>
  <c r="E217" i="23"/>
  <c r="D217" i="23"/>
  <c r="C217" i="23"/>
  <c r="B217" i="23"/>
  <c r="G216" i="23"/>
  <c r="F216" i="23"/>
  <c r="E216" i="23"/>
  <c r="D216" i="23"/>
  <c r="C216" i="23"/>
  <c r="B216" i="23"/>
  <c r="F215" i="23"/>
  <c r="E215" i="23"/>
  <c r="D215" i="23"/>
  <c r="C215" i="23"/>
  <c r="B215" i="23"/>
  <c r="G214" i="23"/>
  <c r="F214" i="23"/>
  <c r="E214" i="23"/>
  <c r="D214" i="23"/>
  <c r="C214" i="23"/>
  <c r="B214" i="23"/>
  <c r="F213" i="23"/>
  <c r="E213" i="23"/>
  <c r="D213" i="23"/>
  <c r="C213" i="23"/>
  <c r="B213" i="23"/>
  <c r="G212" i="23"/>
  <c r="F212" i="23"/>
  <c r="E212" i="23"/>
  <c r="D212" i="23"/>
  <c r="C212" i="23"/>
  <c r="B212" i="23"/>
  <c r="G211" i="23"/>
  <c r="J211" i="23" s="1"/>
  <c r="F211" i="23"/>
  <c r="E211" i="23"/>
  <c r="D211" i="23"/>
  <c r="C211" i="23"/>
  <c r="B211" i="23"/>
  <c r="G210" i="23"/>
  <c r="F210" i="23"/>
  <c r="E210" i="23"/>
  <c r="D210" i="23"/>
  <c r="C210" i="23"/>
  <c r="B210" i="23"/>
  <c r="G209" i="23"/>
  <c r="F209" i="23"/>
  <c r="E209" i="23"/>
  <c r="D209" i="23"/>
  <c r="C209" i="23"/>
  <c r="B209" i="23"/>
  <c r="F208" i="23"/>
  <c r="E208" i="23"/>
  <c r="D208" i="23"/>
  <c r="C208" i="23"/>
  <c r="B208" i="23"/>
  <c r="F207" i="23"/>
  <c r="E207" i="23"/>
  <c r="D207" i="23"/>
  <c r="C207" i="23"/>
  <c r="B207" i="23"/>
  <c r="F206" i="23"/>
  <c r="E206" i="23"/>
  <c r="D206" i="23"/>
  <c r="C206" i="23"/>
  <c r="B206" i="23"/>
  <c r="G205" i="23"/>
  <c r="F205" i="23"/>
  <c r="E205" i="23"/>
  <c r="D205" i="23"/>
  <c r="C205" i="23"/>
  <c r="B205" i="23"/>
  <c r="G204" i="23"/>
  <c r="F204" i="23"/>
  <c r="E204" i="23"/>
  <c r="D204" i="23"/>
  <c r="C204" i="23"/>
  <c r="B204" i="23"/>
  <c r="G203" i="23"/>
  <c r="F203" i="23"/>
  <c r="E203" i="23"/>
  <c r="D203" i="23"/>
  <c r="C203" i="23"/>
  <c r="B203" i="23"/>
  <c r="G202" i="23"/>
  <c r="F202" i="23"/>
  <c r="E202" i="23"/>
  <c r="D202" i="23"/>
  <c r="C202" i="23"/>
  <c r="B202" i="23"/>
  <c r="G201" i="23"/>
  <c r="F201" i="23"/>
  <c r="E201" i="23"/>
  <c r="D201" i="23"/>
  <c r="C201" i="23"/>
  <c r="B201" i="23"/>
  <c r="G200" i="23"/>
  <c r="F200" i="23"/>
  <c r="E200" i="23"/>
  <c r="D200" i="23"/>
  <c r="C200" i="23"/>
  <c r="B200" i="23"/>
  <c r="F199" i="23"/>
  <c r="E199" i="23"/>
  <c r="D199" i="23"/>
  <c r="C199" i="23"/>
  <c r="B199" i="23"/>
  <c r="G198" i="23"/>
  <c r="F198" i="23"/>
  <c r="E198" i="23"/>
  <c r="D198" i="23"/>
  <c r="C198" i="23"/>
  <c r="B198" i="23"/>
  <c r="G197" i="23"/>
  <c r="F197" i="23"/>
  <c r="E197" i="23"/>
  <c r="D197" i="23"/>
  <c r="C197" i="23"/>
  <c r="B197" i="23"/>
  <c r="G196" i="23"/>
  <c r="F196" i="23"/>
  <c r="E196" i="23"/>
  <c r="D196" i="23"/>
  <c r="C196" i="23"/>
  <c r="B196" i="23"/>
  <c r="F195" i="23"/>
  <c r="E195" i="23"/>
  <c r="D195" i="23"/>
  <c r="C195" i="23"/>
  <c r="B195" i="23"/>
  <c r="G194" i="23"/>
  <c r="F194" i="23"/>
  <c r="E194" i="23"/>
  <c r="D194" i="23"/>
  <c r="C194" i="23"/>
  <c r="B194" i="23"/>
  <c r="G193" i="23"/>
  <c r="F193" i="23"/>
  <c r="E193" i="23"/>
  <c r="D193" i="23"/>
  <c r="C193" i="23"/>
  <c r="B193" i="23"/>
  <c r="F192" i="23"/>
  <c r="E192" i="23"/>
  <c r="D192" i="23"/>
  <c r="C192" i="23"/>
  <c r="B192" i="23"/>
  <c r="G189" i="23"/>
  <c r="J189" i="23" s="1"/>
  <c r="F189" i="23"/>
  <c r="E189" i="23"/>
  <c r="D189" i="23"/>
  <c r="C189" i="23"/>
  <c r="B189" i="23"/>
  <c r="G188" i="23"/>
  <c r="F188" i="23"/>
  <c r="E188" i="23"/>
  <c r="D188" i="23"/>
  <c r="C188" i="23"/>
  <c r="B188" i="23"/>
  <c r="G187" i="23"/>
  <c r="F187" i="23"/>
  <c r="E187" i="23"/>
  <c r="D187" i="23"/>
  <c r="C187" i="23"/>
  <c r="B187" i="23"/>
  <c r="G186" i="23"/>
  <c r="F186" i="23"/>
  <c r="E186" i="23"/>
  <c r="D186" i="23"/>
  <c r="C186" i="23"/>
  <c r="B186" i="23"/>
  <c r="G185" i="23"/>
  <c r="F185" i="23"/>
  <c r="E185" i="23"/>
  <c r="D185" i="23"/>
  <c r="C185" i="23"/>
  <c r="B185" i="23"/>
  <c r="G184" i="23"/>
  <c r="F184" i="23"/>
  <c r="E184" i="23"/>
  <c r="D184" i="23"/>
  <c r="C184" i="23"/>
  <c r="B184" i="23"/>
  <c r="G183" i="23"/>
  <c r="F183" i="23"/>
  <c r="E183" i="23"/>
  <c r="D183" i="23"/>
  <c r="C183" i="23"/>
  <c r="B183" i="23"/>
  <c r="G182" i="23"/>
  <c r="F182" i="23"/>
  <c r="E182" i="23"/>
  <c r="D182" i="23"/>
  <c r="C182" i="23"/>
  <c r="B182" i="23"/>
  <c r="G181" i="23"/>
  <c r="F181" i="23"/>
  <c r="E181" i="23"/>
  <c r="D181" i="23"/>
  <c r="C181" i="23"/>
  <c r="B181" i="23"/>
  <c r="F180" i="23"/>
  <c r="E180" i="23"/>
  <c r="D180" i="23"/>
  <c r="C180" i="23"/>
  <c r="B180" i="23"/>
  <c r="G179" i="23"/>
  <c r="F179" i="23"/>
  <c r="E179" i="23"/>
  <c r="D179" i="23"/>
  <c r="C179" i="23"/>
  <c r="B179" i="23"/>
  <c r="G178" i="23"/>
  <c r="F178" i="23"/>
  <c r="E178" i="23"/>
  <c r="D178" i="23"/>
  <c r="C178" i="23"/>
  <c r="B178" i="23"/>
  <c r="G177" i="23"/>
  <c r="J177" i="23" s="1"/>
  <c r="F177" i="23"/>
  <c r="E177" i="23"/>
  <c r="D177" i="23"/>
  <c r="C177" i="23"/>
  <c r="B177" i="23"/>
  <c r="G176" i="23"/>
  <c r="F176" i="23"/>
  <c r="E176" i="23"/>
  <c r="D176" i="23"/>
  <c r="C176" i="23"/>
  <c r="B176" i="23"/>
  <c r="G175" i="23"/>
  <c r="F175" i="23"/>
  <c r="E175" i="23"/>
  <c r="D175" i="23"/>
  <c r="C175" i="23"/>
  <c r="B175" i="23"/>
  <c r="G174" i="23"/>
  <c r="F174" i="23"/>
  <c r="E174" i="23"/>
  <c r="D174" i="23"/>
  <c r="C174" i="23"/>
  <c r="B174" i="23"/>
  <c r="G173" i="23"/>
  <c r="J173" i="23" s="1"/>
  <c r="F173" i="23"/>
  <c r="E173" i="23"/>
  <c r="D173" i="23"/>
  <c r="C173" i="23"/>
  <c r="B173" i="23"/>
  <c r="G172" i="23"/>
  <c r="F172" i="23"/>
  <c r="E172" i="23"/>
  <c r="D172" i="23"/>
  <c r="C172" i="23"/>
  <c r="B172" i="23"/>
  <c r="G171" i="23"/>
  <c r="F171" i="23"/>
  <c r="E171" i="23"/>
  <c r="D171" i="23"/>
  <c r="C171" i="23"/>
  <c r="B171" i="23"/>
  <c r="F170" i="23"/>
  <c r="E170" i="23"/>
  <c r="D170" i="23"/>
  <c r="C170" i="23"/>
  <c r="B170" i="23"/>
  <c r="G169" i="23"/>
  <c r="J169" i="23" s="1"/>
  <c r="F169" i="23"/>
  <c r="E169" i="23"/>
  <c r="D169" i="23"/>
  <c r="C169" i="23"/>
  <c r="B169" i="23"/>
  <c r="G168" i="23"/>
  <c r="F168" i="23"/>
  <c r="E168" i="23"/>
  <c r="D168" i="23"/>
  <c r="C168" i="23"/>
  <c r="B168" i="23"/>
  <c r="G167" i="23"/>
  <c r="F167" i="23"/>
  <c r="E167" i="23"/>
  <c r="D167" i="23"/>
  <c r="C167" i="23"/>
  <c r="B167" i="23"/>
  <c r="G166" i="23"/>
  <c r="F166" i="23"/>
  <c r="E166" i="23"/>
  <c r="D166" i="23"/>
  <c r="C166" i="23"/>
  <c r="B166" i="23"/>
  <c r="G165" i="23"/>
  <c r="J165" i="23" s="1"/>
  <c r="F165" i="23"/>
  <c r="E165" i="23"/>
  <c r="D165" i="23"/>
  <c r="C165" i="23"/>
  <c r="B165" i="23"/>
  <c r="G164" i="23"/>
  <c r="F164" i="23"/>
  <c r="E164" i="23"/>
  <c r="D164" i="23"/>
  <c r="C164" i="23"/>
  <c r="B164" i="23"/>
  <c r="G163" i="23"/>
  <c r="F163" i="23"/>
  <c r="E163" i="23"/>
  <c r="D163" i="23"/>
  <c r="C163" i="23"/>
  <c r="B163" i="23"/>
  <c r="G162" i="23"/>
  <c r="F162" i="23"/>
  <c r="E162" i="23"/>
  <c r="D162" i="23"/>
  <c r="C162" i="23"/>
  <c r="B162" i="23"/>
  <c r="G161" i="23"/>
  <c r="J161" i="23" s="1"/>
  <c r="F161" i="23"/>
  <c r="E161" i="23"/>
  <c r="D161" i="23"/>
  <c r="C161" i="23"/>
  <c r="B161" i="23"/>
  <c r="G160" i="23"/>
  <c r="F160" i="23"/>
  <c r="E160" i="23"/>
  <c r="D160" i="23"/>
  <c r="C160" i="23"/>
  <c r="B160" i="23"/>
  <c r="G159" i="23"/>
  <c r="F159" i="23"/>
  <c r="E159" i="23"/>
  <c r="D159" i="23"/>
  <c r="C159" i="23"/>
  <c r="B159" i="23"/>
  <c r="G158" i="23"/>
  <c r="F158" i="23"/>
  <c r="E158" i="23"/>
  <c r="D158" i="23"/>
  <c r="C158" i="23"/>
  <c r="B158" i="23"/>
  <c r="F157" i="23"/>
  <c r="E157" i="23"/>
  <c r="D157" i="23"/>
  <c r="C157" i="23"/>
  <c r="B157" i="23"/>
  <c r="G156" i="23"/>
  <c r="F156" i="23"/>
  <c r="E156" i="23"/>
  <c r="D156" i="23"/>
  <c r="C156" i="23"/>
  <c r="B156" i="23"/>
  <c r="G155" i="23"/>
  <c r="J155" i="23" s="1"/>
  <c r="F155" i="23"/>
  <c r="E155" i="23"/>
  <c r="D155" i="23"/>
  <c r="C155" i="23"/>
  <c r="B155" i="23"/>
  <c r="G154" i="23"/>
  <c r="F154" i="23"/>
  <c r="E154" i="23"/>
  <c r="D154" i="23"/>
  <c r="C154" i="23"/>
  <c r="B154" i="23"/>
  <c r="G153" i="23"/>
  <c r="J153" i="23" s="1"/>
  <c r="F153" i="23"/>
  <c r="E153" i="23"/>
  <c r="D153" i="23"/>
  <c r="C153" i="23"/>
  <c r="B153" i="23"/>
  <c r="F152" i="23"/>
  <c r="E152" i="23"/>
  <c r="D152" i="23"/>
  <c r="C152" i="23"/>
  <c r="B152" i="23"/>
  <c r="G151" i="23"/>
  <c r="J151" i="23" s="1"/>
  <c r="F151" i="23"/>
  <c r="E151" i="23"/>
  <c r="D151" i="23"/>
  <c r="C151" i="23"/>
  <c r="B151" i="23"/>
  <c r="G150" i="23"/>
  <c r="F150" i="23"/>
  <c r="E150" i="23"/>
  <c r="D150" i="23"/>
  <c r="C150" i="23"/>
  <c r="B150" i="23"/>
  <c r="G149" i="23"/>
  <c r="F149" i="23"/>
  <c r="E149" i="23"/>
  <c r="D149" i="23"/>
  <c r="C149" i="23"/>
  <c r="B149" i="23"/>
  <c r="G148" i="23"/>
  <c r="F148" i="23"/>
  <c r="E148" i="23"/>
  <c r="D148" i="23"/>
  <c r="C148" i="23"/>
  <c r="B148" i="23"/>
  <c r="G147" i="23"/>
  <c r="J147" i="23" s="1"/>
  <c r="F147" i="23"/>
  <c r="E147" i="23"/>
  <c r="D147" i="23"/>
  <c r="C147" i="23"/>
  <c r="B147" i="23"/>
  <c r="F146" i="23"/>
  <c r="E146" i="23"/>
  <c r="D146" i="23"/>
  <c r="C146" i="23"/>
  <c r="B146" i="23"/>
  <c r="G145" i="23"/>
  <c r="F145" i="23"/>
  <c r="E145" i="23"/>
  <c r="D145" i="23"/>
  <c r="C145" i="23"/>
  <c r="B145" i="23"/>
  <c r="F144" i="23"/>
  <c r="E144" i="23"/>
  <c r="D144" i="23"/>
  <c r="C144" i="23"/>
  <c r="B144" i="23"/>
  <c r="F143" i="23"/>
  <c r="E143" i="23"/>
  <c r="D143" i="23"/>
  <c r="C143" i="23"/>
  <c r="B143" i="23"/>
  <c r="F142" i="23"/>
  <c r="E142" i="23"/>
  <c r="D142" i="23"/>
  <c r="C142" i="23"/>
  <c r="B142" i="23"/>
  <c r="G141" i="23"/>
  <c r="F141" i="23"/>
  <c r="E141" i="23"/>
  <c r="D141" i="23"/>
  <c r="C141" i="23"/>
  <c r="B141" i="23"/>
  <c r="G140" i="23"/>
  <c r="F140" i="23"/>
  <c r="E140" i="23"/>
  <c r="D140" i="23"/>
  <c r="C140" i="23"/>
  <c r="B140" i="23"/>
  <c r="G139" i="23"/>
  <c r="F139" i="23"/>
  <c r="E139" i="23"/>
  <c r="D139" i="23"/>
  <c r="C139" i="23"/>
  <c r="B139" i="23"/>
  <c r="G138" i="23"/>
  <c r="F138" i="23"/>
  <c r="E138" i="23"/>
  <c r="D138" i="23"/>
  <c r="C138" i="23"/>
  <c r="B138" i="23"/>
  <c r="G137" i="23"/>
  <c r="F137" i="23"/>
  <c r="E137" i="23"/>
  <c r="D137" i="23"/>
  <c r="C137" i="23"/>
  <c r="B137" i="23"/>
  <c r="G136" i="23"/>
  <c r="F136" i="23"/>
  <c r="E136" i="23"/>
  <c r="D136" i="23"/>
  <c r="C136" i="23"/>
  <c r="B136" i="23"/>
  <c r="G135" i="23"/>
  <c r="F135" i="23"/>
  <c r="E135" i="23"/>
  <c r="D135" i="23"/>
  <c r="C135" i="23"/>
  <c r="B135" i="23"/>
  <c r="G134" i="23"/>
  <c r="F134" i="23"/>
  <c r="E134" i="23"/>
  <c r="D134" i="23"/>
  <c r="C134" i="23"/>
  <c r="B134" i="23"/>
  <c r="F133" i="23"/>
  <c r="E133" i="23"/>
  <c r="D133" i="23"/>
  <c r="C133" i="23"/>
  <c r="B133" i="23"/>
  <c r="G132" i="23"/>
  <c r="F132" i="23"/>
  <c r="E132" i="23"/>
  <c r="D132" i="23"/>
  <c r="C132" i="23"/>
  <c r="B132" i="23"/>
  <c r="G131" i="23"/>
  <c r="F131" i="23"/>
  <c r="E131" i="23"/>
  <c r="D131" i="23"/>
  <c r="C131" i="23"/>
  <c r="B131" i="23"/>
  <c r="G130" i="23"/>
  <c r="F130" i="23"/>
  <c r="E130" i="23"/>
  <c r="D130" i="23"/>
  <c r="C130" i="23"/>
  <c r="B130" i="23"/>
  <c r="G129" i="23"/>
  <c r="J129" i="23" s="1"/>
  <c r="F129" i="23"/>
  <c r="E129" i="23"/>
  <c r="D129" i="23"/>
  <c r="C129" i="23"/>
  <c r="B129" i="23"/>
  <c r="G128" i="23"/>
  <c r="F128" i="23"/>
  <c r="E128" i="23"/>
  <c r="D128" i="23"/>
  <c r="C128" i="23"/>
  <c r="B128" i="23"/>
  <c r="F127" i="23"/>
  <c r="E127" i="23"/>
  <c r="D127" i="23"/>
  <c r="C127" i="23"/>
  <c r="B127" i="23"/>
  <c r="G126" i="23"/>
  <c r="F126" i="23"/>
  <c r="E126" i="23"/>
  <c r="D126" i="23"/>
  <c r="C126" i="23"/>
  <c r="B126" i="23"/>
  <c r="F125" i="23"/>
  <c r="E125" i="23"/>
  <c r="D125" i="23"/>
  <c r="C125" i="23"/>
  <c r="B125" i="23"/>
  <c r="G124" i="23"/>
  <c r="F124" i="23"/>
  <c r="E124" i="23"/>
  <c r="D124" i="23"/>
  <c r="C124" i="23"/>
  <c r="B124" i="23"/>
  <c r="F123" i="23"/>
  <c r="E123" i="23"/>
  <c r="D123" i="23"/>
  <c r="C123" i="23"/>
  <c r="B123" i="23"/>
  <c r="G122" i="23"/>
  <c r="F122" i="23"/>
  <c r="E122" i="23"/>
  <c r="D122" i="23"/>
  <c r="C122" i="23"/>
  <c r="B122" i="23"/>
  <c r="G121" i="23"/>
  <c r="J121" i="23" s="1"/>
  <c r="F121" i="23"/>
  <c r="E121" i="23"/>
  <c r="D121" i="23"/>
  <c r="C121" i="23"/>
  <c r="B121" i="23"/>
  <c r="F120" i="23"/>
  <c r="E120" i="23"/>
  <c r="D120" i="23"/>
  <c r="C120" i="23"/>
  <c r="B120" i="23"/>
  <c r="G119" i="23"/>
  <c r="F119" i="23"/>
  <c r="E119" i="23"/>
  <c r="D119" i="23"/>
  <c r="C119" i="23"/>
  <c r="B119" i="23"/>
  <c r="F118" i="23"/>
  <c r="E118" i="23"/>
  <c r="D118" i="23"/>
  <c r="C118" i="23"/>
  <c r="B118" i="23"/>
  <c r="G117" i="23"/>
  <c r="J117" i="23" s="1"/>
  <c r="F117" i="23"/>
  <c r="E117" i="23"/>
  <c r="D117" i="23"/>
  <c r="C117" i="23"/>
  <c r="B117" i="23"/>
  <c r="F116" i="23"/>
  <c r="E116" i="23"/>
  <c r="D116" i="23"/>
  <c r="C116" i="23"/>
  <c r="B116" i="23"/>
  <c r="F115" i="23"/>
  <c r="E115" i="23"/>
  <c r="D115" i="23"/>
  <c r="C115" i="23"/>
  <c r="B115" i="23"/>
  <c r="G114" i="23"/>
  <c r="F114" i="23"/>
  <c r="E114" i="23"/>
  <c r="D114" i="23"/>
  <c r="C114" i="23"/>
  <c r="B114" i="23"/>
  <c r="G113" i="23"/>
  <c r="J113" i="23" s="1"/>
  <c r="F113" i="23"/>
  <c r="E113" i="23"/>
  <c r="D113" i="23"/>
  <c r="C113" i="23"/>
  <c r="B113" i="23"/>
  <c r="G112" i="23"/>
  <c r="F112" i="23"/>
  <c r="E112" i="23"/>
  <c r="D112" i="23"/>
  <c r="C112" i="23"/>
  <c r="B112" i="23"/>
  <c r="G111" i="23"/>
  <c r="F111" i="23"/>
  <c r="E111" i="23"/>
  <c r="D111" i="23"/>
  <c r="C111" i="23"/>
  <c r="B111" i="23"/>
  <c r="G110" i="23"/>
  <c r="F110" i="23"/>
  <c r="E110" i="23"/>
  <c r="D110" i="23"/>
  <c r="C110" i="23"/>
  <c r="B110" i="23"/>
  <c r="G109" i="23"/>
  <c r="J109" i="23" s="1"/>
  <c r="F109" i="23"/>
  <c r="E109" i="23"/>
  <c r="D109" i="23"/>
  <c r="C109" i="23"/>
  <c r="B109" i="23"/>
  <c r="G108" i="23"/>
  <c r="F108" i="23"/>
  <c r="E108" i="23"/>
  <c r="D108" i="23"/>
  <c r="C108" i="23"/>
  <c r="B108" i="23"/>
  <c r="G107" i="23"/>
  <c r="F107" i="23"/>
  <c r="E107" i="23"/>
  <c r="D107" i="23"/>
  <c r="C107" i="23"/>
  <c r="B107" i="23"/>
  <c r="F106" i="23"/>
  <c r="E106" i="23"/>
  <c r="D106" i="23"/>
  <c r="C106" i="23"/>
  <c r="B106" i="23"/>
  <c r="G105" i="23"/>
  <c r="J105" i="23" s="1"/>
  <c r="F105" i="23"/>
  <c r="E105" i="23"/>
  <c r="D105" i="23"/>
  <c r="C105" i="23"/>
  <c r="B105" i="23"/>
  <c r="G104" i="23"/>
  <c r="F104" i="23"/>
  <c r="E104" i="23"/>
  <c r="D104" i="23"/>
  <c r="C104" i="23"/>
  <c r="B104" i="23"/>
  <c r="G103" i="23"/>
  <c r="F103" i="23"/>
  <c r="E103" i="23"/>
  <c r="D103" i="23"/>
  <c r="C103" i="23"/>
  <c r="B103" i="23"/>
  <c r="F102" i="23"/>
  <c r="E102" i="23"/>
  <c r="D102" i="23"/>
  <c r="C102" i="23"/>
  <c r="B102" i="23"/>
  <c r="F101" i="23"/>
  <c r="E101" i="23"/>
  <c r="D101" i="23"/>
  <c r="C101" i="23"/>
  <c r="B101" i="23"/>
  <c r="G100" i="23"/>
  <c r="F100" i="23"/>
  <c r="E100" i="23"/>
  <c r="D100" i="23"/>
  <c r="C100" i="23"/>
  <c r="B100" i="23"/>
  <c r="G99" i="23"/>
  <c r="F99" i="23"/>
  <c r="E99" i="23"/>
  <c r="D99" i="23"/>
  <c r="C99" i="23"/>
  <c r="B99" i="23"/>
  <c r="G98" i="23"/>
  <c r="F98" i="23"/>
  <c r="E98" i="23"/>
  <c r="D98" i="23"/>
  <c r="C98" i="23"/>
  <c r="B98" i="23"/>
  <c r="G97" i="23"/>
  <c r="J97" i="23" s="1"/>
  <c r="F97" i="23"/>
  <c r="E97" i="23"/>
  <c r="D97" i="23"/>
  <c r="C97" i="23"/>
  <c r="B97" i="23"/>
  <c r="G96" i="23"/>
  <c r="F96" i="23"/>
  <c r="E96" i="23"/>
  <c r="D96" i="23"/>
  <c r="C96" i="23"/>
  <c r="B96" i="23"/>
  <c r="G95" i="23"/>
  <c r="F95" i="23"/>
  <c r="E95" i="23"/>
  <c r="D95" i="23"/>
  <c r="C95" i="23"/>
  <c r="B95" i="23"/>
  <c r="F94" i="23"/>
  <c r="E94" i="23"/>
  <c r="D94" i="23"/>
  <c r="C94" i="23"/>
  <c r="B94" i="23"/>
  <c r="G93" i="23"/>
  <c r="J93" i="23" s="1"/>
  <c r="F93" i="23"/>
  <c r="E93" i="23"/>
  <c r="D93" i="23"/>
  <c r="C93" i="23"/>
  <c r="B93" i="23"/>
  <c r="F92" i="23"/>
  <c r="E92" i="23"/>
  <c r="D92" i="23"/>
  <c r="C92" i="23"/>
  <c r="B92" i="23"/>
  <c r="G91" i="23"/>
  <c r="F91" i="23"/>
  <c r="E91" i="23"/>
  <c r="D91" i="23"/>
  <c r="C91" i="23"/>
  <c r="B91" i="23"/>
  <c r="G90" i="23"/>
  <c r="F90" i="23"/>
  <c r="E90" i="23"/>
  <c r="D90" i="23"/>
  <c r="C90" i="23"/>
  <c r="B90" i="23"/>
  <c r="G89" i="23"/>
  <c r="J89" i="23" s="1"/>
  <c r="F89" i="23"/>
  <c r="E89" i="23"/>
  <c r="D89" i="23"/>
  <c r="C89" i="23"/>
  <c r="B89" i="23"/>
  <c r="G88" i="23"/>
  <c r="F88" i="23"/>
  <c r="E88" i="23"/>
  <c r="D88" i="23"/>
  <c r="C88" i="23"/>
  <c r="B88" i="23"/>
  <c r="G87" i="23"/>
  <c r="F87" i="23"/>
  <c r="E87" i="23"/>
  <c r="D87" i="23"/>
  <c r="C87" i="23"/>
  <c r="B87" i="23"/>
  <c r="F86" i="23"/>
  <c r="E86" i="23"/>
  <c r="D86" i="23"/>
  <c r="C86" i="23"/>
  <c r="B86" i="23"/>
  <c r="G85" i="23"/>
  <c r="J85" i="23" s="1"/>
  <c r="F85" i="23"/>
  <c r="E85" i="23"/>
  <c r="D85" i="23"/>
  <c r="C85" i="23"/>
  <c r="B85" i="23"/>
  <c r="G84" i="23"/>
  <c r="F84" i="23"/>
  <c r="E84" i="23"/>
  <c r="D84" i="23"/>
  <c r="C84" i="23"/>
  <c r="B84" i="23"/>
  <c r="G83" i="23"/>
  <c r="F83" i="23"/>
  <c r="E83" i="23"/>
  <c r="D83" i="23"/>
  <c r="C83" i="23"/>
  <c r="B83" i="23"/>
  <c r="G82" i="23"/>
  <c r="F82" i="23"/>
  <c r="E82" i="23"/>
  <c r="D82" i="23"/>
  <c r="C82" i="23"/>
  <c r="B82" i="23"/>
  <c r="G81" i="23"/>
  <c r="J81" i="23" s="1"/>
  <c r="F81" i="23"/>
  <c r="E81" i="23"/>
  <c r="D81" i="23"/>
  <c r="C81" i="23"/>
  <c r="B81" i="23"/>
  <c r="G80" i="23"/>
  <c r="F80" i="23"/>
  <c r="E80" i="23"/>
  <c r="D80" i="23"/>
  <c r="C80" i="23"/>
  <c r="B80" i="23"/>
  <c r="F79" i="23"/>
  <c r="E79" i="23"/>
  <c r="D79" i="23"/>
  <c r="C79" i="23"/>
  <c r="B79" i="23"/>
  <c r="G78" i="23"/>
  <c r="F78" i="23"/>
  <c r="E78" i="23"/>
  <c r="D78" i="23"/>
  <c r="C78" i="23"/>
  <c r="B78" i="23"/>
  <c r="G77" i="23"/>
  <c r="J77" i="23" s="1"/>
  <c r="F77" i="23"/>
  <c r="E77" i="23"/>
  <c r="D77" i="23"/>
  <c r="C77" i="23"/>
  <c r="B77" i="23"/>
  <c r="G76" i="23"/>
  <c r="F76" i="23"/>
  <c r="E76" i="23"/>
  <c r="D76" i="23"/>
  <c r="C76" i="23"/>
  <c r="B76" i="23"/>
  <c r="G75" i="23"/>
  <c r="F75" i="23"/>
  <c r="E75" i="23"/>
  <c r="D75" i="23"/>
  <c r="C75" i="23"/>
  <c r="B75" i="23"/>
  <c r="F74" i="23"/>
  <c r="E74" i="23"/>
  <c r="D74" i="23"/>
  <c r="C74" i="23"/>
  <c r="B74" i="23"/>
  <c r="G73" i="23"/>
  <c r="J73" i="23" s="1"/>
  <c r="F73" i="23"/>
  <c r="E73" i="23"/>
  <c r="D73" i="23"/>
  <c r="C73" i="23"/>
  <c r="B73" i="23"/>
  <c r="G72" i="23"/>
  <c r="F72" i="23"/>
  <c r="E72" i="23"/>
  <c r="D72" i="23"/>
  <c r="C72" i="23"/>
  <c r="B72" i="23"/>
  <c r="G71" i="23"/>
  <c r="F71" i="23"/>
  <c r="E71" i="23"/>
  <c r="D71" i="23"/>
  <c r="C71" i="23"/>
  <c r="B71" i="23"/>
  <c r="G70" i="23"/>
  <c r="F70" i="23"/>
  <c r="E70" i="23"/>
  <c r="D70" i="23"/>
  <c r="C70" i="23"/>
  <c r="B70" i="23"/>
  <c r="G69" i="23"/>
  <c r="J69" i="23" s="1"/>
  <c r="F69" i="23"/>
  <c r="E69" i="23"/>
  <c r="D69" i="23"/>
  <c r="C69" i="23"/>
  <c r="B69" i="23"/>
  <c r="G68" i="23"/>
  <c r="F68" i="23"/>
  <c r="E68" i="23"/>
  <c r="D68" i="23"/>
  <c r="C68" i="23"/>
  <c r="B68" i="23"/>
  <c r="F67" i="23"/>
  <c r="E67" i="23"/>
  <c r="D67" i="23"/>
  <c r="C67" i="23"/>
  <c r="B67" i="23"/>
  <c r="G66" i="23"/>
  <c r="F66" i="23"/>
  <c r="E66" i="23"/>
  <c r="D66" i="23"/>
  <c r="C66" i="23"/>
  <c r="B66" i="23"/>
  <c r="G65" i="23"/>
  <c r="J65" i="23" s="1"/>
  <c r="F65" i="23"/>
  <c r="E65" i="23"/>
  <c r="D65" i="23"/>
  <c r="C65" i="23"/>
  <c r="B65" i="23"/>
  <c r="G64" i="23"/>
  <c r="F64" i="23"/>
  <c r="E64" i="23"/>
  <c r="D64" i="23"/>
  <c r="C64" i="23"/>
  <c r="B64" i="23"/>
  <c r="G63" i="23"/>
  <c r="F63" i="23"/>
  <c r="E63" i="23"/>
  <c r="D63" i="23"/>
  <c r="C63" i="23"/>
  <c r="B63" i="23"/>
  <c r="G62" i="23"/>
  <c r="F62" i="23"/>
  <c r="E62" i="23"/>
  <c r="D62" i="23"/>
  <c r="C62" i="23"/>
  <c r="B62" i="23"/>
  <c r="F61" i="23"/>
  <c r="E61" i="23"/>
  <c r="D61" i="23"/>
  <c r="C61" i="23"/>
  <c r="B61" i="23"/>
  <c r="F60" i="23"/>
  <c r="E60" i="23"/>
  <c r="D60" i="23"/>
  <c r="C60" i="23"/>
  <c r="B60" i="23"/>
  <c r="F59" i="23"/>
  <c r="E59" i="23"/>
  <c r="D59" i="23"/>
  <c r="C59" i="23"/>
  <c r="B59" i="23"/>
  <c r="F58" i="23"/>
  <c r="E58" i="23"/>
  <c r="D58" i="23"/>
  <c r="C58" i="23"/>
  <c r="B58" i="23"/>
  <c r="G57" i="23"/>
  <c r="J57" i="23" s="1"/>
  <c r="F57" i="23"/>
  <c r="E57" i="23"/>
  <c r="D57" i="23"/>
  <c r="C57" i="23"/>
  <c r="B57" i="23"/>
  <c r="G56" i="23"/>
  <c r="F56" i="23"/>
  <c r="E56" i="23"/>
  <c r="D56" i="23"/>
  <c r="C56" i="23"/>
  <c r="B56" i="23"/>
  <c r="G55" i="23"/>
  <c r="F55" i="23"/>
  <c r="E55" i="23"/>
  <c r="D55" i="23"/>
  <c r="C55" i="23"/>
  <c r="B55" i="23"/>
  <c r="G54" i="23"/>
  <c r="F54" i="23"/>
  <c r="E54" i="23"/>
  <c r="D54" i="23"/>
  <c r="C54" i="23"/>
  <c r="B54" i="23"/>
  <c r="G53" i="23"/>
  <c r="F53" i="23"/>
  <c r="E53" i="23"/>
  <c r="D53" i="23"/>
  <c r="C53" i="23"/>
  <c r="B53" i="23"/>
  <c r="G52" i="23"/>
  <c r="F52" i="23"/>
  <c r="E52" i="23"/>
  <c r="D52" i="23"/>
  <c r="C52" i="23"/>
  <c r="B52" i="23"/>
  <c r="G51" i="23"/>
  <c r="F51" i="23"/>
  <c r="E51" i="23"/>
  <c r="D51" i="23"/>
  <c r="C51" i="23"/>
  <c r="B51" i="23"/>
  <c r="G50" i="23"/>
  <c r="F50" i="23"/>
  <c r="E50" i="23"/>
  <c r="D50" i="23"/>
  <c r="C50" i="23"/>
  <c r="B50" i="23"/>
  <c r="G49" i="23"/>
  <c r="F49" i="23"/>
  <c r="E49" i="23"/>
  <c r="D49" i="23"/>
  <c r="C49" i="23"/>
  <c r="B49" i="23"/>
  <c r="G48" i="23"/>
  <c r="F48" i="23"/>
  <c r="E48" i="23"/>
  <c r="D48" i="23"/>
  <c r="C48" i="23"/>
  <c r="B48" i="23"/>
  <c r="G47" i="23"/>
  <c r="F47" i="23"/>
  <c r="E47" i="23"/>
  <c r="D47" i="23"/>
  <c r="C47" i="23"/>
  <c r="B47" i="23"/>
  <c r="G46" i="23"/>
  <c r="F46" i="23"/>
  <c r="E46" i="23"/>
  <c r="D46" i="23"/>
  <c r="C46" i="23"/>
  <c r="B46" i="23"/>
  <c r="G45" i="23"/>
  <c r="F45" i="23"/>
  <c r="E45" i="23"/>
  <c r="D45" i="23"/>
  <c r="C45" i="23"/>
  <c r="B45" i="23"/>
  <c r="G44" i="23"/>
  <c r="F44" i="23"/>
  <c r="E44" i="23"/>
  <c r="D44" i="23"/>
  <c r="C44" i="23"/>
  <c r="B44" i="23"/>
  <c r="G43" i="23"/>
  <c r="F43" i="23"/>
  <c r="E43" i="23"/>
  <c r="D43" i="23"/>
  <c r="C43" i="23"/>
  <c r="B43" i="23"/>
  <c r="G42" i="23"/>
  <c r="F42" i="23"/>
  <c r="E42" i="23"/>
  <c r="D42" i="23"/>
  <c r="C42" i="23"/>
  <c r="B42" i="23"/>
  <c r="G41" i="23"/>
  <c r="F41" i="23"/>
  <c r="E41" i="23"/>
  <c r="D41" i="23"/>
  <c r="C41" i="23"/>
  <c r="B41" i="23"/>
  <c r="M281" i="23"/>
  <c r="K281" i="23"/>
  <c r="I281" i="23"/>
  <c r="G281" i="23"/>
  <c r="F281" i="23"/>
  <c r="E281" i="23"/>
  <c r="D281" i="23"/>
  <c r="C281" i="23"/>
  <c r="B281" i="23"/>
  <c r="M256" i="23"/>
  <c r="M251" i="23"/>
  <c r="K256" i="23"/>
  <c r="I256" i="23"/>
  <c r="K251" i="23"/>
  <c r="I251" i="23"/>
  <c r="G256" i="23"/>
  <c r="F256" i="23"/>
  <c r="E256" i="23"/>
  <c r="D256" i="23"/>
  <c r="C256" i="23"/>
  <c r="B256" i="23"/>
  <c r="G251" i="23"/>
  <c r="F251" i="23"/>
  <c r="E251" i="23"/>
  <c r="D251" i="23"/>
  <c r="C251" i="23"/>
  <c r="B251" i="23"/>
  <c r="M239" i="23"/>
  <c r="K239" i="23"/>
  <c r="I239" i="23"/>
  <c r="G239" i="23"/>
  <c r="F239" i="23"/>
  <c r="E239" i="23"/>
  <c r="D239" i="23"/>
  <c r="C239" i="23"/>
  <c r="B239" i="23"/>
  <c r="M230" i="23"/>
  <c r="K230" i="23"/>
  <c r="I230" i="23"/>
  <c r="G230" i="23"/>
  <c r="F230" i="23"/>
  <c r="E230" i="23"/>
  <c r="D230" i="23"/>
  <c r="C230" i="23"/>
  <c r="B230" i="23"/>
  <c r="F11" i="53"/>
  <c r="F14" i="53"/>
  <c r="G13" i="53"/>
  <c r="H12" i="53"/>
  <c r="G14" i="53"/>
  <c r="F12" i="53"/>
  <c r="G18" i="53"/>
  <c r="G15" i="53"/>
  <c r="I12" i="53"/>
  <c r="J12" i="53"/>
  <c r="G12" i="53"/>
  <c r="G17" i="53"/>
  <c r="G16" i="53"/>
  <c r="F16" i="53"/>
  <c r="F15" i="53"/>
  <c r="F13" i="53"/>
  <c r="F17" i="53"/>
  <c r="J159" i="23" l="1"/>
  <c r="J163" i="23"/>
  <c r="J167" i="23"/>
  <c r="J539" i="23"/>
  <c r="J547" i="23"/>
  <c r="J555" i="23"/>
  <c r="J579" i="23"/>
  <c r="J587" i="23"/>
  <c r="J595" i="23"/>
  <c r="J603" i="23"/>
  <c r="J619" i="23"/>
  <c r="J403" i="23"/>
  <c r="J411" i="23"/>
  <c r="J419" i="23"/>
  <c r="J427" i="23"/>
  <c r="J47" i="23"/>
  <c r="J193" i="23"/>
  <c r="J43" i="23"/>
  <c r="J51" i="23"/>
  <c r="J103" i="23"/>
  <c r="J203" i="23"/>
  <c r="G343" i="23"/>
  <c r="J343" i="23" s="1"/>
  <c r="J621" i="23"/>
  <c r="J212" i="23"/>
  <c r="J572" i="23"/>
  <c r="J596" i="23"/>
  <c r="J604" i="23"/>
  <c r="J396" i="23"/>
  <c r="J524" i="23"/>
  <c r="J580" i="23"/>
  <c r="J612" i="23"/>
  <c r="J620" i="23"/>
  <c r="J564" i="23"/>
  <c r="J468" i="23"/>
  <c r="J500" i="23"/>
  <c r="J508" i="23"/>
  <c r="J516" i="23"/>
  <c r="J196" i="23"/>
  <c r="J492" i="23"/>
  <c r="J540" i="23"/>
  <c r="J548" i="23"/>
  <c r="J556" i="23"/>
  <c r="J204" i="23"/>
  <c r="J228" i="23"/>
  <c r="J243" i="23"/>
  <c r="J264" i="23"/>
  <c r="J284" i="23"/>
  <c r="J452" i="23"/>
  <c r="J460" i="23"/>
  <c r="G58" i="23"/>
  <c r="G118" i="23"/>
  <c r="J118" i="23" s="1"/>
  <c r="G570" i="23"/>
  <c r="N380" i="54"/>
  <c r="N603" i="54" s="1"/>
  <c r="V380" i="54"/>
  <c r="G86" i="23"/>
  <c r="J86" i="23" s="1"/>
  <c r="G115" i="23"/>
  <c r="J115" i="23" s="1"/>
  <c r="G313" i="23"/>
  <c r="J313" i="23" s="1"/>
  <c r="G382" i="23"/>
  <c r="G142" i="23"/>
  <c r="J142" i="23" s="1"/>
  <c r="G337" i="23"/>
  <c r="J337" i="23" s="1"/>
  <c r="G386" i="23"/>
  <c r="J386" i="23" s="1"/>
  <c r="G125" i="23"/>
  <c r="J125" i="23" s="1"/>
  <c r="G532" i="23"/>
  <c r="J532" i="23" s="1"/>
  <c r="G381" i="23"/>
  <c r="J381" i="23" s="1"/>
  <c r="G102" i="23"/>
  <c r="J102" i="23" s="1"/>
  <c r="G316" i="23"/>
  <c r="G207" i="23"/>
  <c r="J207" i="23" s="1"/>
  <c r="G485" i="23"/>
  <c r="J485" i="23" s="1"/>
  <c r="G67" i="23"/>
  <c r="J67" i="23" s="1"/>
  <c r="G152" i="23"/>
  <c r="J152" i="23" s="1"/>
  <c r="G221" i="23"/>
  <c r="J221" i="23" s="1"/>
  <c r="G571" i="23"/>
  <c r="J571" i="23" s="1"/>
  <c r="J87" i="23"/>
  <c r="J135" i="23"/>
  <c r="J139" i="23"/>
  <c r="J201" i="23"/>
  <c r="G385" i="23"/>
  <c r="J385" i="23" s="1"/>
  <c r="G491" i="23"/>
  <c r="J491" i="23" s="1"/>
  <c r="J83" i="23"/>
  <c r="J91" i="23"/>
  <c r="J71" i="23"/>
  <c r="J75" i="23"/>
  <c r="G127" i="23"/>
  <c r="J127" i="23" s="1"/>
  <c r="J131" i="23"/>
  <c r="G157" i="23"/>
  <c r="J157" i="23" s="1"/>
  <c r="G74" i="23"/>
  <c r="J74" i="23" s="1"/>
  <c r="J119" i="23"/>
  <c r="J187" i="23"/>
  <c r="J55" i="23"/>
  <c r="J107" i="23"/>
  <c r="J111" i="23"/>
  <c r="J171" i="23"/>
  <c r="J175" i="23"/>
  <c r="J179" i="23"/>
  <c r="J217" i="23"/>
  <c r="J225" i="23"/>
  <c r="J261" i="23"/>
  <c r="J269" i="23"/>
  <c r="J95" i="23"/>
  <c r="J99" i="23"/>
  <c r="J209" i="23"/>
  <c r="E370" i="6"/>
  <c r="G400" i="23" s="1"/>
  <c r="J400" i="23" s="1"/>
  <c r="G534" i="23"/>
  <c r="J534" i="23" s="1"/>
  <c r="G372" i="23"/>
  <c r="J372" i="23" s="1"/>
  <c r="G206" i="23"/>
  <c r="J206" i="23" s="1"/>
  <c r="G315" i="23"/>
  <c r="J315" i="23" s="1"/>
  <c r="J342" i="23"/>
  <c r="J346" i="23"/>
  <c r="J350" i="23"/>
  <c r="J354" i="23"/>
  <c r="G60" i="23"/>
  <c r="J60" i="23" s="1"/>
  <c r="M24" i="6"/>
  <c r="G120" i="23"/>
  <c r="J120" i="23" s="1"/>
  <c r="M84" i="6"/>
  <c r="G199" i="23"/>
  <c r="J199" i="23" s="1"/>
  <c r="M169" i="6"/>
  <c r="G314" i="23"/>
  <c r="J314" i="23" s="1"/>
  <c r="M284" i="6"/>
  <c r="G444" i="23"/>
  <c r="J444" i="23" s="1"/>
  <c r="M414" i="6"/>
  <c r="G569" i="23"/>
  <c r="J569" i="23" s="1"/>
  <c r="M539" i="6"/>
  <c r="G213" i="23"/>
  <c r="J213" i="23" s="1"/>
  <c r="M183" i="6"/>
  <c r="G101" i="23"/>
  <c r="J101" i="23" s="1"/>
  <c r="M65" i="6"/>
  <c r="G146" i="23"/>
  <c r="J146" i="23" s="1"/>
  <c r="M110" i="6"/>
  <c r="G59" i="23"/>
  <c r="J59" i="23" s="1"/>
  <c r="M23" i="6"/>
  <c r="G92" i="23"/>
  <c r="J92" i="23" s="1"/>
  <c r="M56" i="6"/>
  <c r="G116" i="23"/>
  <c r="J116" i="23" s="1"/>
  <c r="M80" i="6"/>
  <c r="G143" i="23"/>
  <c r="J143" i="23" s="1"/>
  <c r="M107" i="6"/>
  <c r="G195" i="23"/>
  <c r="J195" i="23" s="1"/>
  <c r="M165" i="6"/>
  <c r="G302" i="23"/>
  <c r="J302" i="23" s="1"/>
  <c r="M272" i="6"/>
  <c r="G370" i="23"/>
  <c r="J370" i="23" s="1"/>
  <c r="M340" i="6"/>
  <c r="G443" i="23"/>
  <c r="J443" i="23" s="1"/>
  <c r="M413" i="6"/>
  <c r="G481" i="23"/>
  <c r="J481" i="23" s="1"/>
  <c r="M451" i="6"/>
  <c r="G520" i="23"/>
  <c r="J520" i="23" s="1"/>
  <c r="M490" i="6"/>
  <c r="G563" i="23"/>
  <c r="J563" i="23" s="1"/>
  <c r="M533" i="6"/>
  <c r="G180" i="23"/>
  <c r="J180" i="23" s="1"/>
  <c r="M146" i="6"/>
  <c r="G339" i="23"/>
  <c r="J339" i="23" s="1"/>
  <c r="M309" i="6"/>
  <c r="G94" i="23"/>
  <c r="J94" i="23" s="1"/>
  <c r="M58" i="6"/>
  <c r="G144" i="23"/>
  <c r="J144" i="23" s="1"/>
  <c r="M108" i="6"/>
  <c r="G371" i="23"/>
  <c r="J371" i="23" s="1"/>
  <c r="M341" i="6"/>
  <c r="G482" i="23"/>
  <c r="J482" i="23" s="1"/>
  <c r="M452" i="6"/>
  <c r="G530" i="23"/>
  <c r="J530" i="23" s="1"/>
  <c r="M500" i="6"/>
  <c r="G340" i="23"/>
  <c r="J340" i="23" s="1"/>
  <c r="M310" i="6"/>
  <c r="G61" i="23"/>
  <c r="J61" i="23" s="1"/>
  <c r="M25" i="6"/>
  <c r="G123" i="23"/>
  <c r="J123" i="23" s="1"/>
  <c r="M87" i="6"/>
  <c r="G465" i="23"/>
  <c r="J465" i="23" s="1"/>
  <c r="M435" i="6"/>
  <c r="G208" i="23"/>
  <c r="J208" i="23" s="1"/>
  <c r="M178" i="6"/>
  <c r="G320" i="23"/>
  <c r="J320" i="23" s="1"/>
  <c r="M290" i="6"/>
  <c r="G389" i="23"/>
  <c r="J389" i="23" s="1"/>
  <c r="M359" i="6"/>
  <c r="G470" i="23"/>
  <c r="J470" i="23" s="1"/>
  <c r="M440" i="6"/>
  <c r="G533" i="23"/>
  <c r="J533" i="23" s="1"/>
  <c r="M503" i="6"/>
  <c r="G215" i="23"/>
  <c r="J215" i="23" s="1"/>
  <c r="G464" i="23"/>
  <c r="J464" i="23" s="1"/>
  <c r="G531" i="23"/>
  <c r="J531" i="23" s="1"/>
  <c r="G79" i="23"/>
  <c r="J79" i="23" s="1"/>
  <c r="M43" i="6"/>
  <c r="G106" i="23"/>
  <c r="J106" i="23" s="1"/>
  <c r="M70" i="6"/>
  <c r="G133" i="23"/>
  <c r="J133" i="23" s="1"/>
  <c r="M97" i="6"/>
  <c r="G170" i="23"/>
  <c r="J170" i="23" s="1"/>
  <c r="M136" i="6"/>
  <c r="G476" i="23"/>
  <c r="J476" i="23" s="1"/>
  <c r="M446" i="6"/>
  <c r="G498" i="23"/>
  <c r="J498" i="23" s="1"/>
  <c r="M468" i="6"/>
  <c r="G355" i="23"/>
  <c r="J355" i="23" s="1"/>
  <c r="G192" i="23"/>
  <c r="J192" i="23" s="1"/>
  <c r="M162" i="6"/>
  <c r="G300" i="23"/>
  <c r="J300" i="23" s="1"/>
  <c r="M270" i="6"/>
  <c r="G358" i="23"/>
  <c r="J358" i="23" s="1"/>
  <c r="M328" i="6"/>
  <c r="G435" i="23"/>
  <c r="J435" i="23" s="1"/>
  <c r="M405" i="6"/>
  <c r="G480" i="23"/>
  <c r="J480" i="23" s="1"/>
  <c r="M450" i="6"/>
  <c r="G519" i="23"/>
  <c r="J519" i="23" s="1"/>
  <c r="M489" i="6"/>
  <c r="G558" i="23"/>
  <c r="J558" i="23" s="1"/>
  <c r="M528" i="6"/>
  <c r="J239" i="23"/>
  <c r="J582" i="23"/>
  <c r="J586" i="23"/>
  <c r="J590" i="23"/>
  <c r="J594" i="23"/>
  <c r="J598" i="23"/>
  <c r="J602" i="23"/>
  <c r="J606" i="23"/>
  <c r="J610" i="23"/>
  <c r="J614" i="23"/>
  <c r="J562" i="23"/>
  <c r="J478" i="23"/>
  <c r="J218" i="23"/>
  <c r="J226" i="23"/>
  <c r="J232" i="23"/>
  <c r="J241" i="23"/>
  <c r="J282" i="23"/>
  <c r="J622" i="23"/>
  <c r="J566" i="23"/>
  <c r="J230" i="23"/>
  <c r="J307" i="23"/>
  <c r="J395" i="23"/>
  <c r="J379" i="23"/>
  <c r="J387" i="23"/>
  <c r="J363" i="23"/>
  <c r="J347" i="23"/>
  <c r="J451" i="23"/>
  <c r="J459" i="23"/>
  <c r="J467" i="23"/>
  <c r="J523" i="23"/>
  <c r="J323" i="23"/>
  <c r="J331" i="23"/>
  <c r="J499" i="23"/>
  <c r="J507" i="23"/>
  <c r="J515" i="23"/>
  <c r="J41" i="23"/>
  <c r="J45" i="23"/>
  <c r="J49" i="23"/>
  <c r="J53" i="23"/>
  <c r="J374" i="23"/>
  <c r="J378" i="23"/>
  <c r="J382" i="23"/>
  <c r="J486" i="23"/>
  <c r="J490" i="23"/>
  <c r="J494" i="23"/>
  <c r="J362" i="23"/>
  <c r="J366" i="23"/>
  <c r="J570" i="23"/>
  <c r="J574" i="23"/>
  <c r="J578" i="23"/>
  <c r="J184" i="23"/>
  <c r="J322" i="23"/>
  <c r="J326" i="23"/>
  <c r="J330" i="23"/>
  <c r="J334" i="23"/>
  <c r="J338" i="23"/>
  <c r="J474" i="23"/>
  <c r="J538" i="23"/>
  <c r="J542" i="23"/>
  <c r="J546" i="23"/>
  <c r="J550" i="23"/>
  <c r="J554" i="23"/>
  <c r="J318" i="23"/>
  <c r="J446" i="23"/>
  <c r="J450" i="23"/>
  <c r="J454" i="23"/>
  <c r="J458" i="23"/>
  <c r="J462" i="23"/>
  <c r="J466" i="23"/>
  <c r="J306" i="23"/>
  <c r="J310" i="23"/>
  <c r="J438" i="23"/>
  <c r="J442" i="23"/>
  <c r="J402" i="23"/>
  <c r="J406" i="23"/>
  <c r="J410" i="23"/>
  <c r="J414" i="23"/>
  <c r="J418" i="23"/>
  <c r="J422" i="23"/>
  <c r="J426" i="23"/>
  <c r="J434" i="23"/>
  <c r="J522" i="23"/>
  <c r="J526" i="23"/>
  <c r="J286" i="23"/>
  <c r="J290" i="23"/>
  <c r="J294" i="23"/>
  <c r="J298" i="23"/>
  <c r="J390" i="23"/>
  <c r="J394" i="23"/>
  <c r="J398" i="23"/>
  <c r="J518" i="23"/>
  <c r="K9" i="52"/>
  <c r="K11" i="52"/>
  <c r="J63" i="23"/>
  <c r="J404" i="23"/>
  <c r="J412" i="23"/>
  <c r="J420" i="23"/>
  <c r="J428" i="23"/>
  <c r="J475" i="23"/>
  <c r="J164" i="23"/>
  <c r="J251" i="23"/>
  <c r="J210" i="23"/>
  <c r="J364" i="23"/>
  <c r="J380" i="23"/>
  <c r="J388" i="23"/>
  <c r="J52" i="23"/>
  <c r="J616" i="23"/>
  <c r="J202" i="23"/>
  <c r="J324" i="23"/>
  <c r="J332" i="23"/>
  <c r="J348" i="23"/>
  <c r="J356" i="23"/>
  <c r="J353" i="23"/>
  <c r="J369" i="23"/>
  <c r="J401" i="23"/>
  <c r="J417" i="23"/>
  <c r="J256" i="23"/>
  <c r="J145" i="23"/>
  <c r="J149" i="23"/>
  <c r="J194" i="23"/>
  <c r="J231" i="23"/>
  <c r="J304" i="23"/>
  <c r="J308" i="23"/>
  <c r="J312" i="23"/>
  <c r="J316" i="23"/>
  <c r="J84" i="23"/>
  <c r="J188" i="23"/>
  <c r="J100" i="23"/>
  <c r="J137" i="23"/>
  <c r="J141" i="23"/>
  <c r="J288" i="23"/>
  <c r="J292" i="23"/>
  <c r="J296" i="23"/>
  <c r="J483" i="23"/>
  <c r="J132" i="23"/>
  <c r="J263" i="23"/>
  <c r="J436" i="23"/>
  <c r="J502" i="23"/>
  <c r="J506" i="23"/>
  <c r="J510" i="23"/>
  <c r="J514" i="23"/>
  <c r="J588" i="23"/>
  <c r="J148" i="23"/>
  <c r="J327" i="23"/>
  <c r="J359" i="23"/>
  <c r="J375" i="23"/>
  <c r="J391" i="23"/>
  <c r="J407" i="23"/>
  <c r="J423" i="23"/>
  <c r="K15" i="52"/>
  <c r="K8" i="52"/>
  <c r="K10" i="52"/>
  <c r="K12" i="52"/>
  <c r="K16" i="52"/>
  <c r="K13" i="52"/>
  <c r="K4" i="52"/>
  <c r="K14" i="52"/>
  <c r="K1" i="52"/>
  <c r="J68" i="23"/>
  <c r="J321" i="23"/>
  <c r="J42" i="23"/>
  <c r="J58" i="23"/>
  <c r="J90" i="23"/>
  <c r="J122" i="23"/>
  <c r="J138" i="23"/>
  <c r="J154" i="23"/>
  <c r="J198" i="23"/>
  <c r="J214" i="23"/>
  <c r="J224" i="23"/>
  <c r="J240" i="23"/>
  <c r="J266" i="23"/>
  <c r="J287" i="23"/>
  <c r="J293" i="23"/>
  <c r="J333" i="23"/>
  <c r="J349" i="23"/>
  <c r="J365" i="23"/>
  <c r="J397" i="23"/>
  <c r="J413" i="23"/>
  <c r="J429" i="23"/>
  <c r="J433" i="23"/>
  <c r="J439" i="23"/>
  <c r="J449" i="23"/>
  <c r="J455" i="23"/>
  <c r="J471" i="23"/>
  <c r="J487" i="23"/>
  <c r="J497" i="23"/>
  <c r="J503" i="23"/>
  <c r="J513" i="23"/>
  <c r="J529" i="23"/>
  <c r="J535" i="23"/>
  <c r="J545" i="23"/>
  <c r="J551" i="23"/>
  <c r="J561" i="23"/>
  <c r="J567" i="23"/>
  <c r="J577" i="23"/>
  <c r="J583" i="23"/>
  <c r="J593" i="23"/>
  <c r="J599" i="23"/>
  <c r="J609" i="23"/>
  <c r="J46" i="23"/>
  <c r="J62" i="23"/>
  <c r="J78" i="23"/>
  <c r="J110" i="23"/>
  <c r="J126" i="23"/>
  <c r="J158" i="23"/>
  <c r="J174" i="23"/>
  <c r="J205" i="23"/>
  <c r="J260" i="23"/>
  <c r="J297" i="23"/>
  <c r="J303" i="23"/>
  <c r="J309" i="23"/>
  <c r="J430" i="23"/>
  <c r="J440" i="23"/>
  <c r="J456" i="23"/>
  <c r="J472" i="23"/>
  <c r="J488" i="23"/>
  <c r="J504" i="23"/>
  <c r="J536" i="23"/>
  <c r="J552" i="23"/>
  <c r="J568" i="23"/>
  <c r="J584" i="23"/>
  <c r="J600" i="23"/>
  <c r="J613" i="23"/>
  <c r="J281" i="23"/>
  <c r="J56" i="23"/>
  <c r="J72" i="23"/>
  <c r="J88" i="23"/>
  <c r="J104" i="23"/>
  <c r="J136" i="23"/>
  <c r="J168" i="23"/>
  <c r="J181" i="23"/>
  <c r="J185" i="23"/>
  <c r="J257" i="23"/>
  <c r="J285" i="23"/>
  <c r="J328" i="23"/>
  <c r="J344" i="23"/>
  <c r="J360" i="23"/>
  <c r="J376" i="23"/>
  <c r="J392" i="23"/>
  <c r="J408" i="23"/>
  <c r="J424" i="23"/>
  <c r="J437" i="23"/>
  <c r="J453" i="23"/>
  <c r="J469" i="23"/>
  <c r="J501" i="23"/>
  <c r="J517" i="23"/>
  <c r="J549" i="23"/>
  <c r="J565" i="23"/>
  <c r="J581" i="23"/>
  <c r="J597" i="23"/>
  <c r="J617" i="23"/>
  <c r="J50" i="23"/>
  <c r="J66" i="23"/>
  <c r="J82" i="23"/>
  <c r="J98" i="23"/>
  <c r="J114" i="23"/>
  <c r="J130" i="23"/>
  <c r="J162" i="23"/>
  <c r="J178" i="23"/>
  <c r="J200" i="23"/>
  <c r="J216" i="23"/>
  <c r="J222" i="23"/>
  <c r="J233" i="23"/>
  <c r="J319" i="23"/>
  <c r="J325" i="23"/>
  <c r="J341" i="23"/>
  <c r="J357" i="23"/>
  <c r="J373" i="23"/>
  <c r="J405" i="23"/>
  <c r="J421" i="23"/>
  <c r="J431" i="23"/>
  <c r="J441" i="23"/>
  <c r="J447" i="23"/>
  <c r="J457" i="23"/>
  <c r="J463" i="23"/>
  <c r="J473" i="23"/>
  <c r="J479" i="23"/>
  <c r="J489" i="23"/>
  <c r="J495" i="23"/>
  <c r="J505" i="23"/>
  <c r="J511" i="23"/>
  <c r="J521" i="23"/>
  <c r="J527" i="23"/>
  <c r="J537" i="23"/>
  <c r="J543" i="23"/>
  <c r="J553" i="23"/>
  <c r="J559" i="23"/>
  <c r="J575" i="23"/>
  <c r="J585" i="23"/>
  <c r="J591" i="23"/>
  <c r="J601" i="23"/>
  <c r="J607" i="23"/>
  <c r="J44" i="23"/>
  <c r="J76" i="23"/>
  <c r="J108" i="23"/>
  <c r="J124" i="23"/>
  <c r="J140" i="23"/>
  <c r="J156" i="23"/>
  <c r="J172" i="23"/>
  <c r="J182" i="23"/>
  <c r="J186" i="23"/>
  <c r="J258" i="23"/>
  <c r="J268" i="23"/>
  <c r="J289" i="23"/>
  <c r="J295" i="23"/>
  <c r="J301" i="23"/>
  <c r="J329" i="23"/>
  <c r="J335" i="23"/>
  <c r="J345" i="23"/>
  <c r="J351" i="23"/>
  <c r="J361" i="23"/>
  <c r="J367" i="23"/>
  <c r="J377" i="23"/>
  <c r="J383" i="23"/>
  <c r="J393" i="23"/>
  <c r="J399" i="23"/>
  <c r="J409" i="23"/>
  <c r="J415" i="23"/>
  <c r="J425" i="23"/>
  <c r="J611" i="23"/>
  <c r="J618" i="23"/>
  <c r="J54" i="23"/>
  <c r="J70" i="23"/>
  <c r="J134" i="23"/>
  <c r="J150" i="23"/>
  <c r="J166" i="23"/>
  <c r="J197" i="23"/>
  <c r="J223" i="23"/>
  <c r="J234" i="23"/>
  <c r="J265" i="23"/>
  <c r="J432" i="23"/>
  <c r="J448" i="23"/>
  <c r="J496" i="23"/>
  <c r="J512" i="23"/>
  <c r="J528" i="23"/>
  <c r="J544" i="23"/>
  <c r="J560" i="23"/>
  <c r="J576" i="23"/>
  <c r="J592" i="23"/>
  <c r="J608" i="23"/>
  <c r="J48" i="23"/>
  <c r="J64" i="23"/>
  <c r="J80" i="23"/>
  <c r="J96" i="23"/>
  <c r="J112" i="23"/>
  <c r="J128" i="23"/>
  <c r="J160" i="23"/>
  <c r="J176" i="23"/>
  <c r="J183" i="23"/>
  <c r="J262" i="23"/>
  <c r="J305" i="23"/>
  <c r="J311" i="23"/>
  <c r="J317" i="23"/>
  <c r="J336" i="23"/>
  <c r="J352" i="23"/>
  <c r="J368" i="23"/>
  <c r="J384" i="23"/>
  <c r="J416" i="23"/>
  <c r="J445" i="23"/>
  <c r="J461" i="23"/>
  <c r="J477" i="23"/>
  <c r="J493" i="23"/>
  <c r="J509" i="23"/>
  <c r="J525" i="23"/>
  <c r="J541" i="23"/>
  <c r="J557" i="23"/>
  <c r="J573" i="23"/>
  <c r="J589" i="23"/>
  <c r="J605" i="23"/>
  <c r="J615" i="23"/>
  <c r="M370" i="6" l="1"/>
  <c r="H317" i="23"/>
  <c r="H293" i="23"/>
  <c r="H285" i="23"/>
  <c r="H264" i="23"/>
  <c r="H227" i="23"/>
  <c r="H219" i="23"/>
  <c r="H498" i="23"/>
  <c r="H315" i="23"/>
  <c r="H299" i="23"/>
  <c r="H189" i="23"/>
  <c r="H144" i="23"/>
  <c r="H146" i="23"/>
  <c r="H101" i="23"/>
  <c r="H618" i="23"/>
  <c r="H616" i="23"/>
  <c r="H614" i="23"/>
  <c r="H612" i="23"/>
  <c r="H610" i="23"/>
  <c r="H598" i="23"/>
  <c r="H597" i="23"/>
  <c r="H594" i="23"/>
  <c r="H590" i="23"/>
  <c r="H589" i="23"/>
  <c r="H586" i="23"/>
  <c r="H584" i="23"/>
  <c r="H582" i="23"/>
  <c r="H581" i="23"/>
  <c r="H578" i="23"/>
  <c r="H574" i="23"/>
  <c r="H573" i="23"/>
  <c r="H570" i="23"/>
  <c r="H566" i="23"/>
  <c r="H565" i="23"/>
  <c r="H563" i="23"/>
  <c r="H562" i="23"/>
  <c r="H560" i="23"/>
  <c r="H558" i="23"/>
  <c r="H557" i="23"/>
  <c r="H556" i="23"/>
  <c r="H554" i="23"/>
  <c r="H550" i="23"/>
  <c r="H549" i="23"/>
  <c r="H541" i="23"/>
  <c r="H538" i="23"/>
  <c r="H534" i="23"/>
  <c r="H533" i="23"/>
  <c r="H526" i="23"/>
  <c r="H525" i="23"/>
  <c r="H522" i="23"/>
  <c r="H520" i="23"/>
  <c r="H518" i="23"/>
  <c r="H517" i="23"/>
  <c r="H514" i="23"/>
  <c r="H509" i="23"/>
  <c r="H506" i="23"/>
  <c r="H501" i="23"/>
  <c r="H494" i="23"/>
  <c r="H493" i="23"/>
  <c r="H488" i="23"/>
  <c r="H486" i="23"/>
  <c r="H485" i="23"/>
  <c r="H482" i="23"/>
  <c r="H478" i="23"/>
  <c r="H477" i="23"/>
  <c r="H474" i="23"/>
  <c r="H470" i="23"/>
  <c r="H469" i="23"/>
  <c r="H466" i="23"/>
  <c r="H464" i="23"/>
  <c r="H462" i="23"/>
  <c r="H461" i="23"/>
  <c r="H458" i="23"/>
  <c r="H456" i="23"/>
  <c r="H454" i="23"/>
  <c r="H453" i="23"/>
  <c r="H445" i="23"/>
  <c r="H442" i="23"/>
  <c r="H437" i="23"/>
  <c r="H434" i="23"/>
  <c r="H432" i="23"/>
  <c r="H429" i="23"/>
  <c r="H427" i="23"/>
  <c r="H426" i="23"/>
  <c r="H424" i="23"/>
  <c r="H421" i="23"/>
  <c r="H420" i="23"/>
  <c r="H416" i="23"/>
  <c r="H415" i="23"/>
  <c r="H413" i="23"/>
  <c r="H410" i="23"/>
  <c r="H408" i="23"/>
  <c r="H405" i="23"/>
  <c r="H404" i="23"/>
  <c r="H402" i="23"/>
  <c r="H397" i="23"/>
  <c r="H396" i="23"/>
  <c r="H392" i="23"/>
  <c r="H389" i="23"/>
  <c r="H388" i="23"/>
  <c r="H384" i="23"/>
  <c r="H383" i="23"/>
  <c r="H381" i="23"/>
  <c r="H377" i="23"/>
  <c r="H373" i="23"/>
  <c r="H368" i="23"/>
  <c r="H367" i="23"/>
  <c r="H365" i="23"/>
  <c r="H360" i="23"/>
  <c r="H359" i="23"/>
  <c r="H358" i="23"/>
  <c r="H352" i="23"/>
  <c r="H350" i="23"/>
  <c r="H346" i="23"/>
  <c r="H345" i="23"/>
  <c r="H344" i="23"/>
  <c r="H343" i="23"/>
  <c r="H341" i="23"/>
  <c r="H338" i="23"/>
  <c r="H336" i="23"/>
  <c r="H335" i="23"/>
  <c r="H334" i="23"/>
  <c r="H333" i="23"/>
  <c r="H328" i="23"/>
  <c r="H327" i="23"/>
  <c r="H325" i="23"/>
  <c r="H322" i="23"/>
  <c r="H320" i="23"/>
  <c r="H319" i="23"/>
  <c r="H313" i="23"/>
  <c r="H312" i="23"/>
  <c r="H311" i="23"/>
  <c r="H309" i="23"/>
  <c r="H306" i="23"/>
  <c r="H304" i="23"/>
  <c r="H303" i="23"/>
  <c r="H302" i="23"/>
  <c r="H298" i="23"/>
  <c r="H297" i="23"/>
  <c r="H296" i="23"/>
  <c r="H295" i="23"/>
  <c r="H294" i="23"/>
  <c r="H291" i="23"/>
  <c r="H288" i="23"/>
  <c r="H287" i="23"/>
  <c r="H286" i="23"/>
  <c r="H283" i="23"/>
  <c r="H265" i="23"/>
  <c r="H262" i="23"/>
  <c r="H259" i="23"/>
  <c r="H257" i="23"/>
  <c r="H256" i="23"/>
  <c r="H243" i="23"/>
  <c r="H242" i="23"/>
  <c r="H240" i="23"/>
  <c r="H239" i="23"/>
  <c r="H231" i="23"/>
  <c r="H230" i="23"/>
  <c r="H226" i="23"/>
  <c r="H225" i="23"/>
  <c r="H224" i="23"/>
  <c r="H222" i="23"/>
  <c r="H216" i="23"/>
  <c r="H214" i="23"/>
  <c r="H211" i="23"/>
  <c r="H210" i="23"/>
  <c r="H209" i="23"/>
  <c r="H208" i="23"/>
  <c r="H202" i="23"/>
  <c r="H201" i="23"/>
  <c r="H200" i="23"/>
  <c r="H199" i="23"/>
  <c r="H186" i="23"/>
  <c r="H185" i="23"/>
  <c r="H184" i="23"/>
  <c r="H183" i="23"/>
  <c r="H181" i="23"/>
  <c r="H175" i="23"/>
  <c r="H174" i="23"/>
  <c r="H170" i="23"/>
  <c r="H168" i="23"/>
  <c r="H167" i="23"/>
  <c r="H166" i="23"/>
  <c r="H162" i="23"/>
  <c r="H161" i="23"/>
  <c r="H160" i="23"/>
  <c r="H159" i="23"/>
  <c r="H152" i="23"/>
  <c r="H151" i="23"/>
  <c r="H150" i="23"/>
  <c r="H149" i="23"/>
  <c r="H142" i="23"/>
  <c r="H137" i="23"/>
  <c r="H136" i="23"/>
  <c r="H135" i="23"/>
  <c r="H134" i="23"/>
  <c r="H133" i="23"/>
  <c r="H130" i="23"/>
  <c r="H129" i="23"/>
  <c r="H128" i="23"/>
  <c r="H127" i="23"/>
  <c r="H126" i="23"/>
  <c r="H125" i="23"/>
  <c r="H120" i="23"/>
  <c r="H117" i="23"/>
  <c r="H114" i="23"/>
  <c r="H112" i="23"/>
  <c r="H110" i="23"/>
  <c r="H109" i="23"/>
  <c r="H106" i="23"/>
  <c r="H102" i="23"/>
  <c r="H98" i="23"/>
  <c r="H96" i="23"/>
  <c r="H94" i="23"/>
  <c r="H93" i="23"/>
  <c r="H90" i="23"/>
  <c r="H86" i="23"/>
  <c r="H85" i="23"/>
  <c r="H82" i="23"/>
  <c r="H80" i="23"/>
  <c r="H78" i="23"/>
  <c r="H77" i="23"/>
  <c r="H74" i="23"/>
  <c r="H72" i="23"/>
  <c r="H71" i="23"/>
  <c r="H69" i="23"/>
  <c r="H67" i="23"/>
  <c r="H66" i="23"/>
  <c r="H64" i="23"/>
  <c r="H41" i="23"/>
  <c r="H42" i="23"/>
  <c r="H45" i="23"/>
  <c r="H47" i="23"/>
  <c r="H48" i="23"/>
  <c r="H49" i="23"/>
  <c r="H50" i="23"/>
  <c r="H51" i="23"/>
  <c r="H53" i="23"/>
  <c r="H55" i="23"/>
  <c r="H56" i="23"/>
  <c r="H58" i="23"/>
  <c r="H118" i="23"/>
  <c r="H158" i="23"/>
  <c r="H182" i="23"/>
  <c r="B190" i="23"/>
  <c r="C190" i="23"/>
  <c r="D190" i="23"/>
  <c r="E190" i="23"/>
  <c r="F190" i="23"/>
  <c r="G190" i="23"/>
  <c r="H190" i="23" s="1"/>
  <c r="I190" i="23"/>
  <c r="K190" i="23"/>
  <c r="M190" i="23"/>
  <c r="B191" i="23"/>
  <c r="C191" i="23"/>
  <c r="D191" i="23"/>
  <c r="E191" i="23"/>
  <c r="F191" i="23"/>
  <c r="G191" i="23"/>
  <c r="I191" i="23"/>
  <c r="K191" i="23"/>
  <c r="M191" i="23"/>
  <c r="B229" i="23"/>
  <c r="C229" i="23"/>
  <c r="D229" i="23"/>
  <c r="E229" i="23"/>
  <c r="F229" i="23"/>
  <c r="G229" i="23"/>
  <c r="H229" i="23" s="1"/>
  <c r="I229" i="23"/>
  <c r="K229" i="23"/>
  <c r="M229" i="23"/>
  <c r="B235" i="23"/>
  <c r="C235" i="23"/>
  <c r="D235" i="23"/>
  <c r="E235" i="23"/>
  <c r="F235" i="23"/>
  <c r="G235" i="23"/>
  <c r="H235" i="23" s="1"/>
  <c r="I235" i="23"/>
  <c r="K235" i="23"/>
  <c r="M235" i="23"/>
  <c r="B236" i="23"/>
  <c r="C236" i="23"/>
  <c r="D236" i="23"/>
  <c r="E236" i="23"/>
  <c r="F236" i="23"/>
  <c r="G236" i="23"/>
  <c r="I236" i="23"/>
  <c r="K236" i="23"/>
  <c r="M236" i="23"/>
  <c r="B237" i="23"/>
  <c r="C237" i="23"/>
  <c r="D237" i="23"/>
  <c r="E237" i="23"/>
  <c r="F237" i="23"/>
  <c r="G237" i="23"/>
  <c r="H237" i="23" s="1"/>
  <c r="I237" i="23"/>
  <c r="K237" i="23"/>
  <c r="M237" i="23"/>
  <c r="B238" i="23"/>
  <c r="C238" i="23"/>
  <c r="D238" i="23"/>
  <c r="E238" i="23"/>
  <c r="F238" i="23"/>
  <c r="G238" i="23"/>
  <c r="H238" i="23" s="1"/>
  <c r="I238" i="23"/>
  <c r="K238" i="23"/>
  <c r="M238" i="23"/>
  <c r="B244" i="23"/>
  <c r="C244" i="23"/>
  <c r="D244" i="23"/>
  <c r="E244" i="23"/>
  <c r="F244" i="23"/>
  <c r="G244" i="23"/>
  <c r="I244" i="23"/>
  <c r="K244" i="23"/>
  <c r="M244" i="23"/>
  <c r="B245" i="23"/>
  <c r="C245" i="23"/>
  <c r="D245" i="23"/>
  <c r="E245" i="23"/>
  <c r="F245" i="23"/>
  <c r="G245" i="23"/>
  <c r="H245" i="23" s="1"/>
  <c r="I245" i="23"/>
  <c r="K245" i="23"/>
  <c r="M245" i="23"/>
  <c r="B246" i="23"/>
  <c r="C246" i="23"/>
  <c r="D246" i="23"/>
  <c r="E246" i="23"/>
  <c r="F246" i="23"/>
  <c r="G246" i="23"/>
  <c r="H246" i="23" s="1"/>
  <c r="I246" i="23"/>
  <c r="K246" i="23"/>
  <c r="M246" i="23"/>
  <c r="B247" i="23"/>
  <c r="C247" i="23"/>
  <c r="D247" i="23"/>
  <c r="E247" i="23"/>
  <c r="F247" i="23"/>
  <c r="G247" i="23"/>
  <c r="H247" i="23" s="1"/>
  <c r="I247" i="23"/>
  <c r="K247" i="23"/>
  <c r="M247" i="23"/>
  <c r="B248" i="23"/>
  <c r="C248" i="23"/>
  <c r="D248" i="23"/>
  <c r="E248" i="23"/>
  <c r="F248" i="23"/>
  <c r="G248" i="23"/>
  <c r="H248" i="23" s="1"/>
  <c r="I248" i="23"/>
  <c r="K248" i="23"/>
  <c r="M248" i="23"/>
  <c r="B249" i="23"/>
  <c r="C249" i="23"/>
  <c r="D249" i="23"/>
  <c r="E249" i="23"/>
  <c r="F249" i="23"/>
  <c r="G249" i="23"/>
  <c r="I249" i="23"/>
  <c r="K249" i="23"/>
  <c r="M249" i="23"/>
  <c r="B250" i="23"/>
  <c r="C250" i="23"/>
  <c r="D250" i="23"/>
  <c r="E250" i="23"/>
  <c r="F250" i="23"/>
  <c r="G250" i="23"/>
  <c r="H250" i="23" s="1"/>
  <c r="I250" i="23"/>
  <c r="K250" i="23"/>
  <c r="M250" i="23"/>
  <c r="B252" i="23"/>
  <c r="C252" i="23"/>
  <c r="D252" i="23"/>
  <c r="E252" i="23"/>
  <c r="F252" i="23"/>
  <c r="G252" i="23"/>
  <c r="I252" i="23"/>
  <c r="K252" i="23"/>
  <c r="M252" i="23"/>
  <c r="B253" i="23"/>
  <c r="C253" i="23"/>
  <c r="D253" i="23"/>
  <c r="E253" i="23"/>
  <c r="F253" i="23"/>
  <c r="G253" i="23"/>
  <c r="H253" i="23" s="1"/>
  <c r="I253" i="23"/>
  <c r="K253" i="23"/>
  <c r="M253" i="23"/>
  <c r="B254" i="23"/>
  <c r="C254" i="23"/>
  <c r="D254" i="23"/>
  <c r="E254" i="23"/>
  <c r="F254" i="23"/>
  <c r="G254" i="23"/>
  <c r="I254" i="23"/>
  <c r="K254" i="23"/>
  <c r="M254" i="23"/>
  <c r="B255" i="23"/>
  <c r="C255" i="23"/>
  <c r="D255" i="23"/>
  <c r="E255" i="23"/>
  <c r="F255" i="23"/>
  <c r="G255" i="23"/>
  <c r="H255" i="23" s="1"/>
  <c r="I255" i="23"/>
  <c r="K255" i="23"/>
  <c r="M255" i="23"/>
  <c r="B270" i="23"/>
  <c r="C270" i="23"/>
  <c r="D270" i="23"/>
  <c r="E270" i="23"/>
  <c r="F270" i="23"/>
  <c r="G270" i="23"/>
  <c r="H270" i="23" s="1"/>
  <c r="I270" i="23"/>
  <c r="K270" i="23"/>
  <c r="M270" i="23"/>
  <c r="B271" i="23"/>
  <c r="C271" i="23"/>
  <c r="D271" i="23"/>
  <c r="E271" i="23"/>
  <c r="F271" i="23"/>
  <c r="G271" i="23"/>
  <c r="H271" i="23" s="1"/>
  <c r="I271" i="23"/>
  <c r="K271" i="23"/>
  <c r="M271" i="23"/>
  <c r="B272" i="23"/>
  <c r="C272" i="23"/>
  <c r="D272" i="23"/>
  <c r="E272" i="23"/>
  <c r="F272" i="23"/>
  <c r="G272" i="23"/>
  <c r="H272" i="23" s="1"/>
  <c r="I272" i="23"/>
  <c r="K272" i="23"/>
  <c r="M272" i="23"/>
  <c r="B273" i="23"/>
  <c r="C273" i="23"/>
  <c r="D273" i="23"/>
  <c r="E273" i="23"/>
  <c r="F273" i="23"/>
  <c r="G273" i="23"/>
  <c r="I273" i="23"/>
  <c r="K273" i="23"/>
  <c r="M273" i="23"/>
  <c r="B274" i="23"/>
  <c r="C274" i="23"/>
  <c r="D274" i="23"/>
  <c r="E274" i="23"/>
  <c r="F274" i="23"/>
  <c r="G274" i="23"/>
  <c r="H274" i="23" s="1"/>
  <c r="I274" i="23"/>
  <c r="K274" i="23"/>
  <c r="M274" i="23"/>
  <c r="B275" i="23"/>
  <c r="C275" i="23"/>
  <c r="D275" i="23"/>
  <c r="E275" i="23"/>
  <c r="F275" i="23"/>
  <c r="G275" i="23"/>
  <c r="H275" i="23" s="1"/>
  <c r="I275" i="23"/>
  <c r="K275" i="23"/>
  <c r="M275" i="23"/>
  <c r="B276" i="23"/>
  <c r="C276" i="23"/>
  <c r="D276" i="23"/>
  <c r="E276" i="23"/>
  <c r="F276" i="23"/>
  <c r="G276" i="23"/>
  <c r="I276" i="23"/>
  <c r="K276" i="23"/>
  <c r="M276" i="23"/>
  <c r="B277" i="23"/>
  <c r="C277" i="23"/>
  <c r="D277" i="23"/>
  <c r="E277" i="23"/>
  <c r="F277" i="23"/>
  <c r="G277" i="23"/>
  <c r="H277" i="23" s="1"/>
  <c r="I277" i="23"/>
  <c r="K277" i="23"/>
  <c r="M277" i="23"/>
  <c r="B278" i="23"/>
  <c r="C278" i="23"/>
  <c r="D278" i="23"/>
  <c r="E278" i="23"/>
  <c r="F278" i="23"/>
  <c r="G278" i="23"/>
  <c r="H278" i="23" s="1"/>
  <c r="I278" i="23"/>
  <c r="K278" i="23"/>
  <c r="M278" i="23"/>
  <c r="B279" i="23"/>
  <c r="C279" i="23"/>
  <c r="D279" i="23"/>
  <c r="E279" i="23"/>
  <c r="F279" i="23"/>
  <c r="G279" i="23"/>
  <c r="H279" i="23" s="1"/>
  <c r="I279" i="23"/>
  <c r="K279" i="23"/>
  <c r="M279" i="23"/>
  <c r="B280" i="23"/>
  <c r="C280" i="23"/>
  <c r="D280" i="23"/>
  <c r="E280" i="23"/>
  <c r="F280" i="23"/>
  <c r="G280" i="23"/>
  <c r="H280" i="23" s="1"/>
  <c r="I280" i="23"/>
  <c r="K280" i="23"/>
  <c r="M280" i="23"/>
  <c r="H329" i="23"/>
  <c r="H351" i="23"/>
  <c r="H375" i="23"/>
  <c r="H376" i="23"/>
  <c r="H387" i="23"/>
  <c r="H391" i="23"/>
  <c r="H395" i="23"/>
  <c r="H407" i="23"/>
  <c r="H411" i="23"/>
  <c r="H412" i="23"/>
  <c r="H419" i="23"/>
  <c r="H423" i="23"/>
  <c r="H428" i="23"/>
  <c r="H431" i="23"/>
  <c r="H435" i="23"/>
  <c r="H439" i="23"/>
  <c r="H443" i="23"/>
  <c r="H447" i="23"/>
  <c r="H450" i="23"/>
  <c r="H451" i="23"/>
  <c r="H452" i="23"/>
  <c r="H455" i="23"/>
  <c r="H459" i="23"/>
  <c r="H463" i="23"/>
  <c r="H467" i="23"/>
  <c r="H471" i="23"/>
  <c r="H475" i="23"/>
  <c r="H479" i="23"/>
  <c r="H483" i="23"/>
  <c r="H487" i="23"/>
  <c r="H491" i="23"/>
  <c r="H492" i="23"/>
  <c r="H495" i="23"/>
  <c r="H499" i="23"/>
  <c r="H503" i="23"/>
  <c r="H507" i="23"/>
  <c r="H510" i="23"/>
  <c r="H511" i="23"/>
  <c r="H515" i="23"/>
  <c r="H519" i="23"/>
  <c r="H523" i="23"/>
  <c r="H527" i="23"/>
  <c r="H531" i="23"/>
  <c r="H535" i="23"/>
  <c r="H539" i="23"/>
  <c r="H542" i="23"/>
  <c r="H543" i="23"/>
  <c r="H547" i="23"/>
  <c r="H548" i="23"/>
  <c r="H551" i="23"/>
  <c r="H552" i="23"/>
  <c r="H555" i="23"/>
  <c r="H559" i="23"/>
  <c r="H567" i="23"/>
  <c r="H571" i="23"/>
  <c r="H572" i="23"/>
  <c r="H575" i="23"/>
  <c r="H579" i="23"/>
  <c r="H580" i="23"/>
  <c r="H583" i="23"/>
  <c r="H587" i="23"/>
  <c r="H588" i="23"/>
  <c r="H591" i="23"/>
  <c r="H592" i="23"/>
  <c r="H595" i="23"/>
  <c r="H599" i="23"/>
  <c r="H602" i="23"/>
  <c r="H603" i="23"/>
  <c r="H604" i="23"/>
  <c r="H607" i="23"/>
  <c r="H611" i="23"/>
  <c r="H615" i="23"/>
  <c r="H619" i="23"/>
  <c r="H620" i="23"/>
  <c r="H622" i="23"/>
  <c r="H63" i="23" l="1"/>
  <c r="H187" i="23"/>
  <c r="H400" i="23"/>
  <c r="H357" i="23"/>
  <c r="H369" i="23"/>
  <c r="H155" i="23"/>
  <c r="H179" i="23"/>
  <c r="H147" i="23"/>
  <c r="H171" i="23"/>
  <c r="H163" i="23"/>
  <c r="H621" i="23"/>
  <c r="H613" i="23"/>
  <c r="H605" i="23"/>
  <c r="H139" i="23"/>
  <c r="H131" i="23"/>
  <c r="J279" i="23"/>
  <c r="H88" i="23"/>
  <c r="H355" i="23"/>
  <c r="H301" i="23"/>
  <c r="H532" i="23"/>
  <c r="H516" i="23"/>
  <c r="H500" i="23"/>
  <c r="H460" i="23"/>
  <c r="H444" i="23"/>
  <c r="H356" i="23"/>
  <c r="H372" i="23"/>
  <c r="H476" i="23"/>
  <c r="H371" i="23"/>
  <c r="H524" i="23"/>
  <c r="H436" i="23"/>
  <c r="H348" i="23"/>
  <c r="H540" i="23"/>
  <c r="H508" i="23"/>
  <c r="H364" i="23"/>
  <c r="H75" i="23"/>
  <c r="H380" i="23"/>
  <c r="H339" i="23"/>
  <c r="H331" i="23"/>
  <c r="J235" i="23"/>
  <c r="H323" i="23"/>
  <c r="H363" i="23"/>
  <c r="H269" i="23"/>
  <c r="J249" i="23"/>
  <c r="H347" i="23"/>
  <c r="J191" i="23"/>
  <c r="H606" i="23"/>
  <c r="H263" i="23"/>
  <c r="H221" i="23"/>
  <c r="H104" i="23"/>
  <c r="H438" i="23"/>
  <c r="H261" i="23"/>
  <c r="H197" i="23"/>
  <c r="J254" i="23"/>
  <c r="H213" i="23"/>
  <c r="H194" i="23"/>
  <c r="H176" i="23"/>
  <c r="H122" i="23"/>
  <c r="H232" i="23"/>
  <c r="H251" i="23"/>
  <c r="H446" i="23"/>
  <c r="H422" i="23"/>
  <c r="H406" i="23"/>
  <c r="H43" i="23"/>
  <c r="H141" i="23"/>
  <c r="H157" i="23"/>
  <c r="H165" i="23"/>
  <c r="H173" i="23"/>
  <c r="H267" i="23"/>
  <c r="H546" i="23"/>
  <c r="H490" i="23"/>
  <c r="H484" i="23"/>
  <c r="H59" i="23"/>
  <c r="J247" i="23"/>
  <c r="J273" i="23"/>
  <c r="H530" i="23"/>
  <c r="H502" i="23"/>
  <c r="H468" i="23"/>
  <c r="H528" i="23"/>
  <c r="H496" i="23"/>
  <c r="H273" i="23"/>
  <c r="J255" i="23"/>
  <c r="H596" i="23"/>
  <c r="H564" i="23"/>
  <c r="H307" i="23"/>
  <c r="J272" i="23"/>
  <c r="H600" i="23"/>
  <c r="H568" i="23"/>
  <c r="H536" i="23"/>
  <c r="H504" i="23"/>
  <c r="H472" i="23"/>
  <c r="H440" i="23"/>
  <c r="H430" i="23"/>
  <c r="H414" i="23"/>
  <c r="H382" i="23"/>
  <c r="H354" i="23"/>
  <c r="H318" i="23"/>
  <c r="H266" i="23"/>
  <c r="H249" i="23"/>
  <c r="J248" i="23"/>
  <c r="H608" i="23"/>
  <c r="H576" i="23"/>
  <c r="H544" i="23"/>
  <c r="H512" i="23"/>
  <c r="H480" i="23"/>
  <c r="H448" i="23"/>
  <c r="H418" i="23"/>
  <c r="H386" i="23"/>
  <c r="H282" i="23"/>
  <c r="H154" i="23"/>
  <c r="H394" i="23"/>
  <c r="H390" i="23"/>
  <c r="H366" i="23"/>
  <c r="J280" i="23"/>
  <c r="J275" i="23"/>
  <c r="J271" i="23"/>
  <c r="H258" i="23"/>
  <c r="H254" i="23"/>
  <c r="J250" i="23"/>
  <c r="J246" i="23"/>
  <c r="H191" i="23"/>
  <c r="H178" i="23"/>
  <c r="H145" i="23"/>
  <c r="H123" i="23"/>
  <c r="H119" i="23"/>
  <c r="H115" i="23"/>
  <c r="H111" i="23"/>
  <c r="H107" i="23"/>
  <c r="H103" i="23"/>
  <c r="H99" i="23"/>
  <c r="H95" i="23"/>
  <c r="H91" i="23"/>
  <c r="H87" i="23"/>
  <c r="H83" i="23"/>
  <c r="H79" i="23"/>
  <c r="H70" i="23"/>
  <c r="H46" i="23"/>
  <c r="J190" i="23"/>
  <c r="H403" i="23"/>
  <c r="H314" i="23"/>
  <c r="H310" i="23"/>
  <c r="J274" i="23"/>
  <c r="H234" i="23"/>
  <c r="H215" i="23"/>
  <c r="H193" i="23"/>
  <c r="H143" i="23"/>
  <c r="H138" i="23"/>
  <c r="H121" i="23"/>
  <c r="H113" i="23"/>
  <c r="H105" i="23"/>
  <c r="H97" i="23"/>
  <c r="H89" i="23"/>
  <c r="H81" i="23"/>
  <c r="J238" i="23"/>
  <c r="H379" i="23"/>
  <c r="H362" i="23"/>
  <c r="H353" i="23"/>
  <c r="H330" i="23"/>
  <c r="H326" i="23"/>
  <c r="H321" i="23"/>
  <c r="H290" i="23"/>
  <c r="H281" i="23"/>
  <c r="H223" i="23"/>
  <c r="H218" i="23"/>
  <c r="H62" i="23"/>
  <c r="H54" i="23"/>
  <c r="H617" i="23"/>
  <c r="H609" i="23"/>
  <c r="H601" i="23"/>
  <c r="H593" i="23"/>
  <c r="H585" i="23"/>
  <c r="H577" i="23"/>
  <c r="H569" i="23"/>
  <c r="H561" i="23"/>
  <c r="H553" i="23"/>
  <c r="H545" i="23"/>
  <c r="H537" i="23"/>
  <c r="H529" i="23"/>
  <c r="H521" i="23"/>
  <c r="H513" i="23"/>
  <c r="H505" i="23"/>
  <c r="H497" i="23"/>
  <c r="H489" i="23"/>
  <c r="H481" i="23"/>
  <c r="H473" i="23"/>
  <c r="H465" i="23"/>
  <c r="H457" i="23"/>
  <c r="H449" i="23"/>
  <c r="H441" i="23"/>
  <c r="H433" i="23"/>
  <c r="H425" i="23"/>
  <c r="H417" i="23"/>
  <c r="H409" i="23"/>
  <c r="H401" i="23"/>
  <c r="H393" i="23"/>
  <c r="H385" i="23"/>
  <c r="H370" i="23"/>
  <c r="H305" i="23"/>
  <c r="H292" i="23"/>
  <c r="H241" i="23"/>
  <c r="H228" i="23"/>
  <c r="H177" i="23"/>
  <c r="H164" i="23"/>
  <c r="H73" i="23"/>
  <c r="H57" i="23"/>
  <c r="J236" i="23"/>
  <c r="H236" i="23"/>
  <c r="H172" i="23"/>
  <c r="H308" i="23"/>
  <c r="J244" i="23"/>
  <c r="H244" i="23"/>
  <c r="H180" i="23"/>
  <c r="H76" i="23"/>
  <c r="H68" i="23"/>
  <c r="H316" i="23"/>
  <c r="J270" i="23"/>
  <c r="J252" i="23"/>
  <c r="H252" i="23"/>
  <c r="H188" i="23"/>
  <c r="H124" i="23"/>
  <c r="H116" i="23"/>
  <c r="H108" i="23"/>
  <c r="H100" i="23"/>
  <c r="H92" i="23"/>
  <c r="H84" i="23"/>
  <c r="H60" i="23"/>
  <c r="H378" i="23"/>
  <c r="H361" i="23"/>
  <c r="H337" i="23"/>
  <c r="H324" i="23"/>
  <c r="J278" i="23"/>
  <c r="H260" i="23"/>
  <c r="H132" i="23"/>
  <c r="H52" i="23"/>
  <c r="H44" i="23"/>
  <c r="H300" i="23"/>
  <c r="H349" i="23"/>
  <c r="H332" i="23"/>
  <c r="H268" i="23"/>
  <c r="H217" i="23"/>
  <c r="H153" i="23"/>
  <c r="H140" i="23"/>
  <c r="H374" i="23"/>
  <c r="H340" i="23"/>
  <c r="H289" i="23"/>
  <c r="J276" i="23"/>
  <c r="H276" i="23"/>
  <c r="H212" i="23"/>
  <c r="H148" i="23"/>
  <c r="H284" i="23"/>
  <c r="H233" i="23"/>
  <c r="H220" i="23"/>
  <c r="H169" i="23"/>
  <c r="H156" i="23"/>
  <c r="H65" i="23"/>
  <c r="J277" i="23"/>
  <c r="J253" i="23"/>
  <c r="J245" i="23"/>
  <c r="J237" i="23"/>
  <c r="J229" i="23"/>
  <c r="M206" i="16"/>
  <c r="M208" i="16"/>
  <c r="M209" i="16"/>
  <c r="M213" i="16"/>
  <c r="M215" i="16"/>
  <c r="M216" i="16"/>
  <c r="M217" i="16"/>
  <c r="M223" i="16"/>
  <c r="M224" i="16"/>
  <c r="M225" i="16"/>
  <c r="M226" i="16"/>
  <c r="M228" i="16"/>
  <c r="M229" i="16"/>
  <c r="M230" i="16"/>
  <c r="M232" i="16"/>
  <c r="M234" i="16"/>
  <c r="M235" i="16"/>
  <c r="M236" i="16"/>
  <c r="M126" i="16"/>
  <c r="M124" i="16"/>
  <c r="M123" i="16"/>
  <c r="M122" i="16"/>
  <c r="M112" i="16"/>
  <c r="M111" i="16"/>
  <c r="M110" i="16"/>
  <c r="M105" i="16"/>
  <c r="M103" i="16"/>
  <c r="M102" i="16"/>
  <c r="M99" i="16"/>
  <c r="M98" i="16"/>
  <c r="M97" i="16"/>
  <c r="M96" i="16"/>
  <c r="M93" i="16"/>
  <c r="M92" i="16"/>
  <c r="M91" i="16"/>
  <c r="M90" i="16"/>
  <c r="M89" i="16"/>
  <c r="M88" i="16"/>
  <c r="M87" i="16"/>
  <c r="M22" i="16"/>
  <c r="M21" i="16"/>
  <c r="A42" i="8"/>
  <c r="A42" i="13"/>
  <c r="A242" i="16"/>
  <c r="A47" i="18"/>
  <c r="A43" i="26"/>
  <c r="A29" i="12"/>
  <c r="A154" i="11"/>
  <c r="B593" i="6"/>
  <c r="M32" i="26"/>
  <c r="M33" i="26"/>
  <c r="O113" i="11"/>
  <c r="O114" i="11"/>
  <c r="O115" i="11"/>
  <c r="O116" i="11"/>
  <c r="O117" i="11"/>
  <c r="O118" i="11"/>
  <c r="P104" i="11"/>
  <c r="P105" i="11"/>
  <c r="P106" i="11"/>
  <c r="P107" i="11"/>
  <c r="P108" i="11"/>
  <c r="P109" i="11"/>
  <c r="P110" i="11"/>
  <c r="P111" i="11"/>
  <c r="P112" i="11"/>
  <c r="P103" i="11"/>
  <c r="O104" i="11"/>
  <c r="O105" i="11"/>
  <c r="O106" i="11"/>
  <c r="O107" i="11"/>
  <c r="O108" i="11"/>
  <c r="O109" i="11"/>
  <c r="O110" i="11"/>
  <c r="O111" i="11"/>
  <c r="O112" i="11"/>
  <c r="O103" i="11"/>
  <c r="O121" i="11" s="1"/>
  <c r="J593" i="6"/>
  <c r="L593" i="6"/>
  <c r="A604" i="54" l="1"/>
  <c r="H398" i="23"/>
  <c r="A594" i="6"/>
  <c r="B625" i="23" s="1"/>
  <c r="P113" i="11"/>
  <c r="H399" i="23" l="1"/>
  <c r="F40" i="23"/>
  <c r="B84" i="39" l="1"/>
  <c r="B85" i="39"/>
  <c r="C40" i="23" l="1"/>
  <c r="A18" i="24" l="1"/>
  <c r="D14" i="24"/>
  <c r="C14" i="24"/>
  <c r="B40" i="23" l="1"/>
  <c r="F2" i="40"/>
  <c r="F4" i="40"/>
  <c r="F1" i="40"/>
  <c r="F3" i="40"/>
  <c r="F8" i="40"/>
  <c r="F6" i="40" l="1"/>
  <c r="F5" i="40"/>
  <c r="D2" i="40"/>
  <c r="C4" i="39" l="1"/>
  <c r="C5"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6" i="39"/>
  <c r="C37" i="39"/>
  <c r="C38" i="39"/>
  <c r="C39" i="39"/>
  <c r="C35" i="39"/>
  <c r="C41" i="39"/>
  <c r="C42" i="39"/>
  <c r="C43" i="39"/>
  <c r="C44" i="39"/>
  <c r="C45" i="39"/>
  <c r="C46" i="39"/>
  <c r="C47" i="39"/>
  <c r="C48" i="39"/>
  <c r="C49" i="39"/>
  <c r="C50" i="39"/>
  <c r="C51" i="39"/>
  <c r="C40"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52" i="39"/>
  <c r="C3" i="39"/>
  <c r="E161" i="39"/>
  <c r="D161" i="39"/>
  <c r="C161" i="39"/>
  <c r="E160" i="39"/>
  <c r="D160" i="39"/>
  <c r="C160" i="39"/>
  <c r="E159" i="39"/>
  <c r="D159" i="39"/>
  <c r="C159" i="39"/>
  <c r="E158" i="39"/>
  <c r="D158" i="39"/>
  <c r="C158" i="39"/>
  <c r="E157" i="39"/>
  <c r="D157" i="39"/>
  <c r="C157" i="39"/>
  <c r="E156" i="39"/>
  <c r="D156" i="39"/>
  <c r="C156" i="39"/>
  <c r="E155" i="39"/>
  <c r="D155" i="39"/>
  <c r="C155" i="39"/>
  <c r="E154" i="39"/>
  <c r="D154" i="39"/>
  <c r="C154" i="39"/>
  <c r="E153" i="39"/>
  <c r="D153" i="39"/>
  <c r="C153" i="39"/>
  <c r="E152" i="39"/>
  <c r="D152" i="39"/>
  <c r="C152" i="39"/>
  <c r="E151" i="39"/>
  <c r="D151" i="39"/>
  <c r="C151" i="39"/>
  <c r="E150" i="39"/>
  <c r="D150" i="39"/>
  <c r="C150" i="39"/>
  <c r="E149" i="39"/>
  <c r="D149" i="39"/>
  <c r="C149" i="39"/>
  <c r="E148" i="39"/>
  <c r="D148" i="39"/>
  <c r="C148" i="39"/>
  <c r="E147" i="39"/>
  <c r="D147" i="39"/>
  <c r="C147" i="39"/>
  <c r="E146" i="39"/>
  <c r="D146" i="39"/>
  <c r="C146" i="39"/>
  <c r="E145" i="39"/>
  <c r="D145" i="39"/>
  <c r="C145" i="39"/>
  <c r="E144" i="39"/>
  <c r="D144" i="39"/>
  <c r="C144" i="39"/>
  <c r="E143" i="39"/>
  <c r="D143" i="39"/>
  <c r="C143" i="39"/>
  <c r="E142" i="39"/>
  <c r="D142" i="39"/>
  <c r="C142" i="39"/>
  <c r="E141" i="39"/>
  <c r="D141" i="39"/>
  <c r="C141" i="39"/>
  <c r="E140" i="39"/>
  <c r="D140" i="39"/>
  <c r="C140" i="39"/>
  <c r="E139" i="39"/>
  <c r="D139" i="39"/>
  <c r="C139" i="39"/>
  <c r="E138" i="39"/>
  <c r="D138" i="39"/>
  <c r="C138" i="39"/>
  <c r="E137" i="39"/>
  <c r="D137" i="39"/>
  <c r="C137" i="39"/>
  <c r="E136" i="39"/>
  <c r="D136" i="39"/>
  <c r="C136" i="39"/>
  <c r="E135" i="39"/>
  <c r="D135" i="39"/>
  <c r="C135" i="39"/>
  <c r="E134" i="39"/>
  <c r="D134" i="39"/>
  <c r="C134" i="39"/>
  <c r="E133" i="39"/>
  <c r="D133" i="39"/>
  <c r="C133" i="39"/>
  <c r="E132" i="39"/>
  <c r="D132" i="39"/>
  <c r="C132" i="39"/>
  <c r="E131" i="39"/>
  <c r="D131" i="39"/>
  <c r="C131" i="39"/>
  <c r="E130" i="39"/>
  <c r="D130" i="39"/>
  <c r="C130" i="39"/>
  <c r="E129" i="39"/>
  <c r="D129" i="39"/>
  <c r="C129" i="39"/>
  <c r="E128" i="39"/>
  <c r="D128" i="39"/>
  <c r="C128" i="39"/>
  <c r="E127" i="39"/>
  <c r="D127" i="39"/>
  <c r="C127" i="39"/>
  <c r="E126" i="39"/>
  <c r="D126" i="39"/>
  <c r="C126" i="39"/>
  <c r="E125" i="39"/>
  <c r="D125" i="39"/>
  <c r="C125" i="39"/>
  <c r="E124" i="39"/>
  <c r="D124" i="39"/>
  <c r="C124" i="39"/>
  <c r="E123" i="39"/>
  <c r="D123" i="39"/>
  <c r="C123" i="39"/>
  <c r="E122" i="39"/>
  <c r="D122" i="39"/>
  <c r="C122" i="39"/>
  <c r="E121" i="39"/>
  <c r="D121" i="39"/>
  <c r="C121" i="39"/>
  <c r="E120" i="39"/>
  <c r="D120" i="39"/>
  <c r="C120" i="39"/>
  <c r="E119" i="39"/>
  <c r="D119" i="39"/>
  <c r="C119" i="39"/>
  <c r="E118" i="39"/>
  <c r="D118" i="39"/>
  <c r="C118" i="39"/>
  <c r="E117" i="39"/>
  <c r="D117" i="39"/>
  <c r="C117" i="39"/>
  <c r="E116" i="39"/>
  <c r="D116" i="39"/>
  <c r="C116" i="39"/>
  <c r="E115" i="39"/>
  <c r="D115" i="39"/>
  <c r="C115" i="39"/>
  <c r="C83" i="39"/>
  <c r="D83" i="39"/>
  <c r="E83" i="39"/>
  <c r="C84" i="39"/>
  <c r="D84" i="39"/>
  <c r="E84" i="39"/>
  <c r="C85" i="39"/>
  <c r="D85" i="39"/>
  <c r="E85" i="39"/>
  <c r="C86" i="39"/>
  <c r="D86" i="39"/>
  <c r="E86" i="39"/>
  <c r="C87" i="39"/>
  <c r="D87" i="39"/>
  <c r="E87" i="39"/>
  <c r="C88" i="39"/>
  <c r="D88" i="39"/>
  <c r="E88" i="39"/>
  <c r="C89" i="39"/>
  <c r="D89" i="39"/>
  <c r="E89" i="39"/>
  <c r="C90" i="39"/>
  <c r="D90" i="39"/>
  <c r="E90" i="39"/>
  <c r="C91" i="39"/>
  <c r="D91" i="39"/>
  <c r="E91" i="39"/>
  <c r="C92" i="39"/>
  <c r="D92" i="39"/>
  <c r="E92" i="39"/>
  <c r="C93" i="39"/>
  <c r="D93" i="39"/>
  <c r="E93" i="39"/>
  <c r="C94" i="39"/>
  <c r="D94" i="39"/>
  <c r="E94" i="39"/>
  <c r="C95" i="39"/>
  <c r="D95" i="39"/>
  <c r="E95" i="39"/>
  <c r="C96" i="39"/>
  <c r="D96" i="39"/>
  <c r="E96" i="39"/>
  <c r="C97" i="39"/>
  <c r="D97" i="39"/>
  <c r="E97" i="39"/>
  <c r="C98" i="39"/>
  <c r="D98" i="39"/>
  <c r="E98" i="39"/>
  <c r="C99" i="39"/>
  <c r="D99" i="39"/>
  <c r="E99" i="39"/>
  <c r="C100" i="39"/>
  <c r="D100" i="39"/>
  <c r="E100" i="39"/>
  <c r="C101" i="39"/>
  <c r="D101" i="39"/>
  <c r="E101" i="39"/>
  <c r="C102" i="39"/>
  <c r="D102" i="39"/>
  <c r="E102" i="39"/>
  <c r="C103" i="39"/>
  <c r="D103" i="39"/>
  <c r="E103" i="39"/>
  <c r="C104" i="39"/>
  <c r="D104" i="39"/>
  <c r="E104" i="39"/>
  <c r="C105" i="39"/>
  <c r="D105" i="39"/>
  <c r="E105" i="39"/>
  <c r="C106" i="39"/>
  <c r="D106" i="39"/>
  <c r="E106" i="39"/>
  <c r="C107" i="39"/>
  <c r="D107" i="39"/>
  <c r="E107" i="39"/>
  <c r="C108" i="39"/>
  <c r="D108" i="39"/>
  <c r="E108" i="39"/>
  <c r="C109" i="39"/>
  <c r="D109" i="39"/>
  <c r="E109" i="39"/>
  <c r="C110" i="39"/>
  <c r="D110" i="39"/>
  <c r="E110" i="39"/>
  <c r="C111" i="39"/>
  <c r="D111" i="39"/>
  <c r="E111" i="39"/>
  <c r="C112" i="39"/>
  <c r="D112" i="39"/>
  <c r="E112" i="39"/>
  <c r="C113" i="39"/>
  <c r="D113" i="39"/>
  <c r="E113" i="39"/>
  <c r="C114" i="39"/>
  <c r="D114" i="39"/>
  <c r="E114" i="39"/>
  <c r="B23" i="39"/>
  <c r="B11" i="39"/>
  <c r="B12" i="39"/>
  <c r="B13" i="39"/>
  <c r="B14" i="39"/>
  <c r="B15" i="39"/>
  <c r="B16" i="39"/>
  <c r="B17" i="39"/>
  <c r="B18" i="39"/>
  <c r="B19" i="39"/>
  <c r="B20" i="39"/>
  <c r="B21" i="39"/>
  <c r="B22" i="39"/>
  <c r="B3" i="39"/>
  <c r="B4" i="39"/>
  <c r="B5" i="39"/>
  <c r="B6" i="39"/>
  <c r="B7" i="39"/>
  <c r="B8" i="39"/>
  <c r="B9" i="39"/>
  <c r="B10" i="39"/>
  <c r="B24" i="39"/>
  <c r="B25" i="39"/>
  <c r="B26" i="39"/>
  <c r="B27" i="39"/>
  <c r="B28" i="39"/>
  <c r="B29" i="39"/>
  <c r="B30" i="39"/>
  <c r="B31" i="39"/>
  <c r="B32" i="39"/>
  <c r="B33" i="39"/>
  <c r="B34" i="39"/>
  <c r="E4" i="13"/>
  <c r="E31" i="13"/>
  <c r="D81" i="39" l="1"/>
  <c r="F81" i="39"/>
  <c r="J81" i="39"/>
  <c r="I81" i="39"/>
  <c r="G81" i="39"/>
  <c r="B81" i="39"/>
  <c r="E81" i="39"/>
  <c r="H81" i="39"/>
  <c r="M4" i="6" l="1"/>
  <c r="C42" i="13"/>
  <c r="D40" i="23"/>
  <c r="M2" i="13"/>
  <c r="M4" i="13"/>
  <c r="M5" i="13"/>
  <c r="M6" i="13"/>
  <c r="M7" i="13"/>
  <c r="M8" i="13"/>
  <c r="M10" i="13"/>
  <c r="M11" i="13"/>
  <c r="M13" i="13"/>
  <c r="M14" i="13"/>
  <c r="M15" i="13"/>
  <c r="M17" i="13"/>
  <c r="M20" i="13"/>
  <c r="M21" i="13"/>
  <c r="M22" i="13"/>
  <c r="M23" i="13"/>
  <c r="M24" i="13"/>
  <c r="M25" i="13"/>
  <c r="M31" i="13"/>
  <c r="M30" i="13"/>
  <c r="M32" i="13"/>
  <c r="M33" i="13"/>
  <c r="M34" i="13"/>
  <c r="M35" i="13"/>
  <c r="M36" i="13"/>
  <c r="M2" i="8"/>
  <c r="M7" i="18"/>
  <c r="M2" i="26"/>
  <c r="M3" i="26"/>
  <c r="M4" i="26"/>
  <c r="M5" i="26"/>
  <c r="M6" i="26"/>
  <c r="M7" i="26"/>
  <c r="M16" i="26"/>
  <c r="M17" i="26"/>
  <c r="M18" i="26"/>
  <c r="M19" i="26"/>
  <c r="M20" i="26"/>
  <c r="M21" i="26"/>
  <c r="M22" i="26"/>
  <c r="M23" i="26"/>
  <c r="M24" i="26"/>
  <c r="M25" i="26"/>
  <c r="M26" i="26"/>
  <c r="M27" i="26"/>
  <c r="M28" i="26"/>
  <c r="M29" i="26"/>
  <c r="M30" i="26"/>
  <c r="M31" i="26"/>
  <c r="M34" i="26"/>
  <c r="M35" i="26"/>
  <c r="M36" i="26"/>
  <c r="M37" i="26"/>
  <c r="M38" i="26"/>
  <c r="M39" i="26"/>
  <c r="M40" i="26"/>
  <c r="M41" i="26"/>
  <c r="M42" i="26"/>
  <c r="E43" i="26"/>
  <c r="J43" i="26"/>
  <c r="M15" i="16"/>
  <c r="J242" i="16"/>
  <c r="M3" i="12"/>
  <c r="M4" i="12"/>
  <c r="M5" i="12"/>
  <c r="M6" i="12"/>
  <c r="M11" i="12"/>
  <c r="M12" i="12"/>
  <c r="M13" i="12"/>
  <c r="M14" i="12"/>
  <c r="M15" i="12"/>
  <c r="M16" i="12"/>
  <c r="M17" i="12"/>
  <c r="M18" i="12"/>
  <c r="M19" i="12"/>
  <c r="M22" i="12"/>
  <c r="M23" i="12"/>
  <c r="M24" i="12"/>
  <c r="M2" i="12"/>
  <c r="M9" i="16"/>
  <c r="M10" i="16"/>
  <c r="M11" i="16"/>
  <c r="M14" i="16"/>
  <c r="M16" i="16"/>
  <c r="M17" i="16"/>
  <c r="M18" i="16"/>
  <c r="M19" i="16"/>
  <c r="M20" i="16"/>
  <c r="M30" i="16"/>
  <c r="M32" i="16"/>
  <c r="M31" i="16"/>
  <c r="M33" i="16"/>
  <c r="M34" i="16"/>
  <c r="M38" i="16"/>
  <c r="M39" i="16"/>
  <c r="M40" i="16"/>
  <c r="M41" i="16"/>
  <c r="M42" i="16"/>
  <c r="M43" i="16"/>
  <c r="M45" i="16"/>
  <c r="M46" i="16"/>
  <c r="M47" i="16"/>
  <c r="M48" i="16"/>
  <c r="M49" i="16"/>
  <c r="M50" i="16"/>
  <c r="M51" i="16"/>
  <c r="M52" i="16"/>
  <c r="M53" i="16"/>
  <c r="M54" i="16"/>
  <c r="M55" i="16"/>
  <c r="M56" i="16"/>
  <c r="M57" i="16"/>
  <c r="M58" i="16"/>
  <c r="M59" i="16"/>
  <c r="M60" i="16"/>
  <c r="M62" i="16"/>
  <c r="M64" i="16"/>
  <c r="M65" i="16"/>
  <c r="M66" i="16"/>
  <c r="M67" i="16"/>
  <c r="M68" i="16"/>
  <c r="M69" i="16"/>
  <c r="M70" i="16"/>
  <c r="M71" i="16"/>
  <c r="M72" i="16"/>
  <c r="M73" i="16"/>
  <c r="M74" i="16"/>
  <c r="M75" i="16"/>
  <c r="M77" i="16"/>
  <c r="M78" i="16"/>
  <c r="M79" i="16"/>
  <c r="M80" i="16"/>
  <c r="M81" i="16"/>
  <c r="M83" i="16"/>
  <c r="M84" i="16"/>
  <c r="M85" i="16"/>
  <c r="M86" i="16"/>
  <c r="M129" i="16"/>
  <c r="M130" i="16"/>
  <c r="M177" i="16"/>
  <c r="M178" i="16"/>
  <c r="M179" i="16"/>
  <c r="M180" i="16"/>
  <c r="M181" i="16"/>
  <c r="M182" i="16"/>
  <c r="M183" i="16"/>
  <c r="M184" i="16"/>
  <c r="M185" i="16"/>
  <c r="M186" i="16"/>
  <c r="M187" i="16"/>
  <c r="M188" i="16"/>
  <c r="M189" i="16"/>
  <c r="M190" i="16"/>
  <c r="M191" i="16"/>
  <c r="M192" i="16"/>
  <c r="M193" i="16"/>
  <c r="M194" i="16"/>
  <c r="M195" i="16"/>
  <c r="M196" i="16"/>
  <c r="M197" i="16"/>
  <c r="M237" i="16"/>
  <c r="M238" i="16"/>
  <c r="M239" i="16"/>
  <c r="M240" i="16"/>
  <c r="M137" i="16"/>
  <c r="M138" i="16"/>
  <c r="M139" i="16"/>
  <c r="M140" i="16"/>
  <c r="M141" i="16"/>
  <c r="M144" i="16"/>
  <c r="M145" i="16"/>
  <c r="M146" i="16"/>
  <c r="M147" i="16"/>
  <c r="M150" i="16"/>
  <c r="M151" i="16"/>
  <c r="M152" i="16"/>
  <c r="M157" i="16"/>
  <c r="M158" i="16"/>
  <c r="M159" i="16"/>
  <c r="M160" i="16"/>
  <c r="M161" i="16"/>
  <c r="M162" i="16"/>
  <c r="M163" i="16"/>
  <c r="M164" i="16"/>
  <c r="M165" i="16"/>
  <c r="M166" i="16"/>
  <c r="M167" i="16"/>
  <c r="M168" i="16"/>
  <c r="M169" i="16"/>
  <c r="M170" i="16"/>
  <c r="M171" i="16"/>
  <c r="M172" i="16"/>
  <c r="M173" i="16"/>
  <c r="M174" i="16"/>
  <c r="M175" i="16"/>
  <c r="M176" i="16"/>
  <c r="M3" i="18"/>
  <c r="M4" i="18"/>
  <c r="M6" i="18"/>
  <c r="M8" i="18"/>
  <c r="M17" i="18"/>
  <c r="M18" i="18"/>
  <c r="M19" i="18"/>
  <c r="M20" i="18"/>
  <c r="M21" i="18"/>
  <c r="M24" i="18"/>
  <c r="M25" i="18"/>
  <c r="M27" i="18"/>
  <c r="M29" i="18"/>
  <c r="M30" i="18"/>
  <c r="M33" i="18"/>
  <c r="M34" i="18"/>
  <c r="M35" i="18"/>
  <c r="M37" i="18"/>
  <c r="M38" i="18"/>
  <c r="M39" i="18"/>
  <c r="M40" i="18"/>
  <c r="M41" i="18"/>
  <c r="M42" i="18"/>
  <c r="M43" i="18"/>
  <c r="M44" i="18"/>
  <c r="M45" i="18"/>
  <c r="M46" i="18"/>
  <c r="J42" i="13"/>
  <c r="E42" i="13"/>
  <c r="D42" i="13" s="1"/>
  <c r="H61" i="23" l="1"/>
  <c r="H342" i="23"/>
  <c r="M43" i="26"/>
  <c r="K39" i="28"/>
  <c r="K40" i="28"/>
  <c r="E23" i="11"/>
  <c r="M23" i="11" s="1"/>
  <c r="E2" i="16"/>
  <c r="E242" i="16" s="1"/>
  <c r="M3" i="16"/>
  <c r="M4" i="16"/>
  <c r="M5" i="16"/>
  <c r="M6" i="16"/>
  <c r="M7" i="16"/>
  <c r="M3" i="8"/>
  <c r="M4" i="8"/>
  <c r="M30" i="8"/>
  <c r="M31" i="8"/>
  <c r="E28" i="28"/>
  <c r="J28" i="28"/>
  <c r="L27" i="28"/>
  <c r="L26" i="28"/>
  <c r="L25" i="28"/>
  <c r="L24" i="28"/>
  <c r="L23" i="28"/>
  <c r="L22" i="28"/>
  <c r="L21" i="28"/>
  <c r="L20" i="28"/>
  <c r="L19" i="28"/>
  <c r="L18" i="28"/>
  <c r="L17" i="28"/>
  <c r="L16" i="28"/>
  <c r="L15" i="28"/>
  <c r="L14" i="28"/>
  <c r="L13" i="28"/>
  <c r="L12" i="28"/>
  <c r="L11" i="28"/>
  <c r="L10" i="28"/>
  <c r="L9" i="28"/>
  <c r="L8" i="28"/>
  <c r="L7" i="28"/>
  <c r="L6" i="28"/>
  <c r="L5" i="28"/>
  <c r="L4" i="28"/>
  <c r="L3" i="28"/>
  <c r="L2" i="28"/>
  <c r="B28" i="28"/>
  <c r="C623" i="23"/>
  <c r="H198" i="23" l="1"/>
  <c r="H207" i="23"/>
  <c r="H206" i="23"/>
  <c r="H195" i="23"/>
  <c r="H196" i="23"/>
  <c r="H203" i="23"/>
  <c r="H205" i="23"/>
  <c r="H204" i="23"/>
  <c r="H192" i="23"/>
  <c r="E593" i="6"/>
  <c r="L28" i="28"/>
  <c r="J29" i="12"/>
  <c r="E29" i="12"/>
  <c r="E42" i="8"/>
  <c r="J42" i="8"/>
  <c r="M5" i="8"/>
  <c r="M6" i="8"/>
  <c r="M7" i="8"/>
  <c r="M34" i="8"/>
  <c r="M36" i="8"/>
  <c r="M37" i="8"/>
  <c r="M38" i="8"/>
  <c r="M39" i="8"/>
  <c r="M40" i="8"/>
  <c r="M41" i="8"/>
  <c r="M24" i="8"/>
  <c r="M25" i="8"/>
  <c r="M27" i="8"/>
  <c r="M42" i="13"/>
  <c r="J47" i="18"/>
  <c r="E47" i="18"/>
  <c r="M2" i="18"/>
  <c r="M2" i="11"/>
  <c r="M2" i="16"/>
  <c r="M242" i="16" s="1"/>
  <c r="M593" i="6" l="1"/>
  <c r="M42" i="8"/>
  <c r="M47" i="18"/>
  <c r="M29" i="12"/>
  <c r="I2" i="23" l="1"/>
  <c r="I40" i="23" l="1"/>
  <c r="I623" i="23" s="1"/>
  <c r="G40" i="23"/>
  <c r="M40" i="23"/>
  <c r="K40" i="23"/>
  <c r="E40" i="23"/>
  <c r="H40" i="23" l="1"/>
  <c r="G623" i="23"/>
  <c r="J40" i="23"/>
  <c r="J623" i="23" s="1"/>
  <c r="F623" i="23"/>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C2" i="23" l="1"/>
  <c r="I2" i="1"/>
  <c r="C39" i="1"/>
  <c r="J13" i="1"/>
  <c r="J14" i="1"/>
  <c r="J15" i="1"/>
  <c r="J16" i="1"/>
  <c r="J17" i="1"/>
  <c r="J18" i="1"/>
  <c r="J19" i="1"/>
  <c r="J20" i="1"/>
  <c r="J21" i="1"/>
  <c r="J22" i="1"/>
  <c r="J23" i="1"/>
  <c r="J24" i="1"/>
  <c r="J25" i="1"/>
  <c r="J26" i="1"/>
  <c r="J27" i="1"/>
  <c r="J28" i="1"/>
  <c r="J29" i="1"/>
  <c r="J30" i="1"/>
  <c r="J31" i="1"/>
  <c r="J32" i="1"/>
  <c r="J33" i="1"/>
  <c r="J34" i="1"/>
  <c r="J35" i="1"/>
  <c r="J36" i="1"/>
  <c r="J37" i="1"/>
  <c r="J38" i="1"/>
  <c r="B8" i="1"/>
  <c r="B9" i="1"/>
  <c r="B7" i="1"/>
  <c r="J8" i="1" l="1"/>
  <c r="J9" i="1"/>
  <c r="J10" i="1"/>
  <c r="J11" i="1"/>
  <c r="J12" i="1"/>
  <c r="J7" i="1"/>
  <c r="J39" i="1" l="1"/>
  <c r="E2" i="1" l="1"/>
  <c r="Q14" i="54" l="1"/>
  <c r="Q132" i="54"/>
  <c r="Q603" i="5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EquipmentTable" type="102" refreshedVersion="6" minRefreshableVersion="5">
    <extLst>
      <ext xmlns:x15="http://schemas.microsoft.com/office/spreadsheetml/2010/11/main" uri="{DE250136-89BD-433C-8126-D09CA5730AF9}">
        <x15:connection id="EquipmentTable">
          <x15:rangePr sourceName="_xlcn.LinkedTable_EquipmentTable1"/>
        </x15:connection>
      </ext>
    </extLst>
  </connection>
  <connection id="2" xr16:uid="{00000000-0015-0000-FFFF-FFFF01000000}" keepAlive="1" name="Query - SlicerSelections" description="Connection to the 'SlicerSelections' query in the workbook." type="5" refreshedVersion="6" background="1" saveData="1">
    <dbPr connection="Provider=Microsoft.Mashup.OleDb.1;Data Source=$Workbook$;Location=SlicerSelections;Extended Properties=&quot;&quot;" command="SELECT * FROM [SlicerSelections]"/>
  </connection>
  <connection id="3" xr16:uid="{00000000-0015-0000-FFFF-FFFF02000000}" keepAlive="1" name="Query - Table14" description="Connection to the 'Table14' query in the workbook." type="5" refreshedVersion="0" background="1">
    <dbPr connection="Provider=Microsoft.Mashup.OleDb.1;Data Source=$Workbook$;Location=Table14" command="SELECT * FROM [Table14]"/>
  </connection>
  <connection id="4" xr16:uid="{00000000-0015-0000-FFFF-FFFF03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<sst xmlns="http://schemas.openxmlformats.org/spreadsheetml/2006/main" count="37771" uniqueCount="18947">
  <si>
    <t>TOTALS</t>
  </si>
  <si>
    <t>Item #</t>
  </si>
  <si>
    <t>A slicer is in cells B9 through J9. To filter inventory list, select a room from the slicer in this cell. Press and hold CTRL to select multiple rooms.</t>
  </si>
  <si>
    <t>Reminder Walker Project</t>
  </si>
  <si>
    <t>Unit
 Price</t>
  </si>
  <si>
    <t>Price</t>
  </si>
  <si>
    <t>Units</t>
  </si>
  <si>
    <t>Vendor</t>
  </si>
  <si>
    <t>SparkFun</t>
  </si>
  <si>
    <t>Equipment Category Lookup</t>
  </si>
  <si>
    <t>Microcontroller/Development Board</t>
  </si>
  <si>
    <t>Power Supply</t>
  </si>
  <si>
    <t>Bluetooth</t>
  </si>
  <si>
    <t>WiFi</t>
  </si>
  <si>
    <t>Proximity/Distance</t>
  </si>
  <si>
    <t>Touch/Vibration</t>
  </si>
  <si>
    <t>Interface/Level/Logic Conversion</t>
  </si>
  <si>
    <t>Tools</t>
  </si>
  <si>
    <t>Misc. Breakouts/Sensors/Components</t>
  </si>
  <si>
    <t xml:space="preserve"> TOTAL COST:</t>
  </si>
  <si>
    <t>DATE:</t>
  </si>
  <si>
    <t>Link</t>
  </si>
  <si>
    <t>Item/Description</t>
  </si>
  <si>
    <t>Equipment Category</t>
  </si>
  <si>
    <t>Thumbnail</t>
  </si>
  <si>
    <t>SKU</t>
  </si>
  <si>
    <t>Quantity</t>
  </si>
  <si>
    <t>URL</t>
  </si>
  <si>
    <t>Thumbnail Image</t>
  </si>
  <si>
    <t>Name</t>
  </si>
  <si>
    <t>RoHS Compliance</t>
  </si>
  <si>
    <t>Price (USD)</t>
  </si>
  <si>
    <t>DEV-11061</t>
  </si>
  <si>
    <t>https://www.sparkfun.com/products/11061</t>
  </si>
  <si>
    <t>https://cdn.sparkfun.com/r/92-92/assets/parts/6/4/3/3/11061-01c.jpg</t>
  </si>
  <si>
    <t>Arduino Mega 2560 R3</t>
  </si>
  <si>
    <t>DEV-13158</t>
  </si>
  <si>
    <t>https://www.sparkfun.com/products/13158</t>
  </si>
  <si>
    <t>https://cdn.sparkfun.com/r/92-92/assets/parts/1/0/2/7/0/13158-01.jpg</t>
  </si>
  <si>
    <t>SparkFun LiPower Shield</t>
  </si>
  <si>
    <t>PRT-12711</t>
  </si>
  <si>
    <t>https://www.sparkfun.com/products/12711</t>
  </si>
  <si>
    <t>https://cdn.sparkfun.com/r/92-92/assets/parts/9/4/5/6/12711-01.jpg</t>
  </si>
  <si>
    <t>SparkFun USB LiPoly Charger - Single Cell</t>
  </si>
  <si>
    <t>PRT-13032</t>
  </si>
  <si>
    <t>https://www.sparkfun.com/products/13032</t>
  </si>
  <si>
    <t>https://cdn.sparkfun.com/r/92-92/assets/parts/1/0/0/3/2/13032-01.jpg</t>
  </si>
  <si>
    <t>SparkFun Breadboard Power Supply Stick - 5V/3.3V</t>
  </si>
  <si>
    <t>PRT-13777</t>
  </si>
  <si>
    <t>https://www.sparkfun.com/products/13777</t>
  </si>
  <si>
    <t>https://cdn.sparkfun.com/r/92-92/assets/parts/1/1/3/3/1/13777-01.jpg</t>
  </si>
  <si>
    <t>SparkFun Battery Babysitter - LiPo Battery Manager</t>
  </si>
  <si>
    <t>PRT-13856</t>
  </si>
  <si>
    <t>https://www.sparkfun.com/products/13856</t>
  </si>
  <si>
    <t>https://cdn.sparkfun.com/r/92-92/assets/parts/1/1/4/6/3/13856-01.jpg</t>
  </si>
  <si>
    <t>Lithium Ion Battery - 6Ah</t>
  </si>
  <si>
    <t>WRL-11373</t>
  </si>
  <si>
    <t>https://www.sparkfun.com/products/11373</t>
  </si>
  <si>
    <t>https://cdn.sparkfun.com/r/92-92/assets/parts/7/1/1/5/11373-01.jpg</t>
  </si>
  <si>
    <t>SparkFun XBee Explorer Regulated</t>
  </si>
  <si>
    <t>WRL-11697</t>
  </si>
  <si>
    <t>https://www.sparkfun.com/products/11697</t>
  </si>
  <si>
    <t>https://cdn.sparkfun.com/r/92-92/assets/parts/7/8/6/5/11697-01b.jpg</t>
  </si>
  <si>
    <t>SparkFun XBee Explorer Dongle</t>
  </si>
  <si>
    <t>WRL-09434</t>
  </si>
  <si>
    <t>https://www.sparkfun.com/products/9434</t>
  </si>
  <si>
    <t>https://cdn.sparkfun.com/r/92-92/assets/parts/3/1/0/7/09434-03.jpg</t>
  </si>
  <si>
    <t>Bluetooth USB Module Mini</t>
  </si>
  <si>
    <t>WRL-11601</t>
  </si>
  <si>
    <t>https://www.sparkfun.com/products/11601</t>
  </si>
  <si>
    <t>https://cdn.sparkfun.com/r/92-92/assets/parts/7/6/1/7/11601-01.jpg</t>
  </si>
  <si>
    <t>RN42-XV Bluetooth Module - PCB Antenna</t>
  </si>
  <si>
    <t>SEN-00246</t>
  </si>
  <si>
    <t>https://www.sparkfun.com/products/246</t>
  </si>
  <si>
    <t>https://cdn.sparkfun.com/r/92-92/assets/parts/1/8/8/00246a-01.jpg</t>
  </si>
  <si>
    <t>Optical Detector / Phototransistor - QRD1114</t>
  </si>
  <si>
    <t>SEN-00241</t>
  </si>
  <si>
    <t>https://www.sparkfun.com/products/241</t>
  </si>
  <si>
    <t>https://cdn.sparkfun.com/r/92-92/assets/parts/1/8/3/00241-02.jpg</t>
  </si>
  <si>
    <t>Infrared Emitters and Detectors</t>
  </si>
  <si>
    <t>SEN-13968</t>
  </si>
  <si>
    <t>https://www.sparkfun.com/products/13968</t>
  </si>
  <si>
    <t>https://cdn.sparkfun.com/r/92-92/assets/parts/1/1/7/0/6/13968-01.jpg</t>
  </si>
  <si>
    <t>SparkFun OpenPIR</t>
  </si>
  <si>
    <t>SEN-13959</t>
  </si>
  <si>
    <t>https://www.sparkfun.com/products/13959</t>
  </si>
  <si>
    <t>https://cdn.sparkfun.com/r/92-92/assets/parts/1/1/6/6/8/13959-01a.jpg</t>
  </si>
  <si>
    <t>Ultrasonic Sensor - HC-SR04</t>
  </si>
  <si>
    <t>SEN-12785</t>
  </si>
  <si>
    <t>https://www.sparkfun.com/products/12785</t>
  </si>
  <si>
    <t>https://cdn.sparkfun.com/r/92-92/assets/parts/9/5/9/7/12785-01.jpg</t>
  </si>
  <si>
    <t>SparkFun ToF Range Finder Sensor - VL6180</t>
  </si>
  <si>
    <t>SEN-13162</t>
  </si>
  <si>
    <t>https://www.sparkfun.com/products/13162</t>
  </si>
  <si>
    <t>https://cdn.sparkfun.com/r/92-92/assets/parts/1/0/2/7/9/13162-01a.jpg</t>
  </si>
  <si>
    <t>ZX Distance and Gesture Sensor</t>
  </si>
  <si>
    <t>SEN-12787</t>
  </si>
  <si>
    <t>https://www.sparkfun.com/products/12787</t>
  </si>
  <si>
    <t>https://cdn.sparkfun.com/r/92-92/assets/parts/9/6/0/3/12787-01.jpg</t>
  </si>
  <si>
    <t>SparkFun RGB and Gesture Sensor - APDS-9960</t>
  </si>
  <si>
    <t>SPX-14343</t>
  </si>
  <si>
    <t>https://www.sparkfun.com/products/14343</t>
  </si>
  <si>
    <t>https://cdn.sparkfun.com/r/92-92/assets/parts/1/2/3/1/9/ToFQuarter.jpg</t>
  </si>
  <si>
    <t>Qwiic Distance Sensor - RFD77402</t>
  </si>
  <si>
    <t>SEN-00242</t>
  </si>
  <si>
    <t>https://www.sparkfun.com/products/242</t>
  </si>
  <si>
    <t>https://cdn.sparkfun.com/r/92-92/assets/parts/1/8/4/00242-1.jpg</t>
  </si>
  <si>
    <t>Infrared Proximity Sensor - Sharp GP2Y0A21YK</t>
  </si>
  <si>
    <t>SEN-09196</t>
  </si>
  <si>
    <t>https://www.sparkfun.com/products/9196</t>
  </si>
  <si>
    <t>https://cdn.sparkfun.com/r/92-92/assets/parts/2/6/4/2/09196-03-L.jpg</t>
  </si>
  <si>
    <t>Piezo Vibration Sensor - Large</t>
  </si>
  <si>
    <t>COM-14111</t>
  </si>
  <si>
    <t>https://www.sparkfun.com/products/14111</t>
  </si>
  <si>
    <t>https://cdn.sparkfun.com/r/92-92/assets/parts/1/1/9/9/4/14111-01.jpg</t>
  </si>
  <si>
    <t>EeonTex Pressure Sensing Fabric</t>
  </si>
  <si>
    <t>DEV-13293</t>
  </si>
  <si>
    <t>https://www.sparkfun.com/products/13293</t>
  </si>
  <si>
    <t>https://cdn.sparkfun.com/r/92-92/assets/parts/1/0/5/4/6/13293-01.jpg</t>
  </si>
  <si>
    <t>LCD Button Shield V2</t>
  </si>
  <si>
    <t>COM-12661</t>
  </si>
  <si>
    <t>https://www.sparkfun.com/products/12661</t>
  </si>
  <si>
    <t>https://cdn.sparkfun.com/r/92-92/assets/parts/9/3/7/2/12661-01a.jpg</t>
  </si>
  <si>
    <t>NeoPixel Stick - 8 x WS2812 5050 RGB LED</t>
  </si>
  <si>
    <t>COM-09637</t>
  </si>
  <si>
    <t>https://www.sparkfun.com/products/9637</t>
  </si>
  <si>
    <t>https://cdn.sparkfun.com/r/92-92/assets/parts/3/4/8/3/09637-01.jpg</t>
  </si>
  <si>
    <t>Luxeon Rebel High Power LED - Warm White</t>
  </si>
  <si>
    <t>COM-09906</t>
  </si>
  <si>
    <t>https://www.sparkfun.com/products/9906</t>
  </si>
  <si>
    <t>https://cdn.sparkfun.com/r/92-92/assets/parts/4/0/0/3/09906-01a.jpg</t>
  </si>
  <si>
    <t>Laser Module - Green</t>
  </si>
  <si>
    <t>COM-08674</t>
  </si>
  <si>
    <t>https://www.sparkfun.com/products/8674</t>
  </si>
  <si>
    <t>https://cdn.sparkfun.com/r/92-92/assets/parts/1/8/3/1/08674-03-L.jpg</t>
  </si>
  <si>
    <t>Laser Module Mount</t>
  </si>
  <si>
    <t>WIG-13660</t>
  </si>
  <si>
    <t>https://www.sparkfun.com/products/13660</t>
  </si>
  <si>
    <t>https://cdn.sparkfun.com/r/92-92/assets/parts/1/1/0/7/3/12897-02.jpg</t>
  </si>
  <si>
    <t>WAV Trigger</t>
  </si>
  <si>
    <t>DEV-11711</t>
  </si>
  <si>
    <t>https://www.sparkfun.com/products/11711</t>
  </si>
  <si>
    <t>https://cdn.sparkfun.com/r/92-92/assets/parts/7/8/9/4/11711-01.jpg</t>
  </si>
  <si>
    <t>Text-to-Speech Module - Emic 2</t>
  </si>
  <si>
    <t>SEN-12642</t>
  </si>
  <si>
    <t>https://www.sparkfun.com/products/12642</t>
  </si>
  <si>
    <t>https://cdn.sparkfun.com/r/92-92/assets/parts/9/3/3/0/12642-01.jpg</t>
  </si>
  <si>
    <t>SparkFun Sound Detector</t>
  </si>
  <si>
    <t>COM-14023</t>
  </si>
  <si>
    <t>https://www.sparkfun.com/products/14023</t>
  </si>
  <si>
    <t>https://cdn.sparkfun.com/r/92-92/assets/parts/1/1/8/3/1/14023-01.jpg</t>
  </si>
  <si>
    <t>Hamburger Mini Speaker</t>
  </si>
  <si>
    <t>COM-09151</t>
  </si>
  <si>
    <t>https://www.sparkfun.com/products/9151</t>
  </si>
  <si>
    <t>https://cdn.sparkfun.com/r/92-92/assets/parts/2/5/7/0/09151-03-L.jpg</t>
  </si>
  <si>
    <t>Speaker - 0.5W (8 Ohm)</t>
  </si>
  <si>
    <t>COM-11145</t>
  </si>
  <si>
    <t>https://www.sparkfun.com/products/11145</t>
  </si>
  <si>
    <t>https://cdn.sparkfun.com/r/92-92/assets/parts/6/6/0/6/11145-01.jpg</t>
  </si>
  <si>
    <t>Speaker Terminal - 4 Spring</t>
  </si>
  <si>
    <t>Thumb URL</t>
  </si>
  <si>
    <t>Item SKU</t>
  </si>
  <si>
    <t>Equipment Purchase List</t>
  </si>
  <si>
    <t>Category</t>
  </si>
  <si>
    <t>Cost</t>
  </si>
  <si>
    <t>2-2.5m</t>
  </si>
  <si>
    <t>5m</t>
  </si>
  <si>
    <t>2cm - 4m</t>
  </si>
  <si>
    <t>ToF</t>
  </si>
  <si>
    <t>Z-Axis Recognition</t>
  </si>
  <si>
    <t>12 inches (~30cm)</t>
  </si>
  <si>
    <t>X-Axis Recognition</t>
  </si>
  <si>
    <t>6 inches (~15cm)</t>
  </si>
  <si>
    <t>up to 10cm</t>
  </si>
  <si>
    <t>up to 25cm</t>
  </si>
  <si>
    <t>SparkFun ToF Range Finder Breakout - VL6180</t>
  </si>
  <si>
    <t>4 to 8 inches (10 to 20 cm)</t>
  </si>
  <si>
    <t>3.1V at 10cm to 0.4V at 80cm</t>
  </si>
  <si>
    <t>Infrared Proximity Sensor Long Range - Sharp GP2Y0A02YK0F</t>
  </si>
  <si>
    <t>2.8V at 15cm to 0.4V at 150cm</t>
  </si>
  <si>
    <t>Infrared Proximity Sensor Short Range - Sharp GP2Y0A41SK0F</t>
  </si>
  <si>
    <t>3.1V at 4cm to 0.3V at 30cm</t>
  </si>
  <si>
    <t>up to ~5ft</t>
  </si>
  <si>
    <t>0.5-1.0cm</t>
  </si>
  <si>
    <t>Detection Axis</t>
  </si>
  <si>
    <t>Nominal Range</t>
  </si>
  <si>
    <t>User Purported Range</t>
  </si>
  <si>
    <t>Detection Method</t>
  </si>
  <si>
    <t>45cm (150cm w/ prev ver)</t>
  </si>
  <si>
    <t>Comments/Notes</t>
  </si>
  <si>
    <t>Object Detection Component</t>
  </si>
  <si>
    <t>N/A</t>
  </si>
  <si>
    <t>Header Pin #s</t>
  </si>
  <si>
    <t>5, 5, 6</t>
  </si>
  <si>
    <t>JST</t>
  </si>
  <si>
    <t>2x4, 2x8, 2x8, 6</t>
  </si>
  <si>
    <t>Pre-Populated</t>
  </si>
  <si>
    <t>5, 5, 6, 8</t>
  </si>
  <si>
    <t>SparkFun Logomatic v2 - Serial SD Datalogger (FAT32)</t>
  </si>
  <si>
    <t>Component</t>
  </si>
  <si>
    <t>Header/Pin Configs</t>
  </si>
  <si>
    <t>Yes</t>
  </si>
  <si>
    <t>No</t>
  </si>
  <si>
    <t>SparkFun SD/MMC Card Breakout</t>
  </si>
  <si>
    <t>SD Sniffer</t>
  </si>
  <si>
    <t>SparkFun microSD Sniffer</t>
  </si>
  <si>
    <t>M</t>
  </si>
  <si>
    <t>M/F</t>
  </si>
  <si>
    <t>SparkFun Logic Level Converter - Bi-Directional </t>
  </si>
  <si>
    <t>6, 6</t>
  </si>
  <si>
    <t>SparkFun USB UART Serial Breakout - CY7C65213</t>
  </si>
  <si>
    <t>4, 4, 6, 8, 8</t>
  </si>
  <si>
    <t>SparkFun Luminosity Sensor Breakout - TSL2561</t>
  </si>
  <si>
    <t>SparkFun I2C DAC Breakout - MCP4725</t>
  </si>
  <si>
    <t>SparkFun Opto-isolator Breakout</t>
  </si>
  <si>
    <t>4, 4</t>
  </si>
  <si>
    <t>SparkFun Voltage-Level Translator Breakout - TXB0104</t>
  </si>
  <si>
    <t>7, 7</t>
  </si>
  <si>
    <t>SparkFun Analog/Digital MUX Breakout - CD74HC4067</t>
  </si>
  <si>
    <t>8, 8, 8</t>
  </si>
  <si>
    <t>SparkFun Ambient Light Sensor Breakout - TEMT6000</t>
  </si>
  <si>
    <t>SparkFun Shift-In Breakout - SN74HC165</t>
  </si>
  <si>
    <t>6, 6, 8</t>
  </si>
  <si>
    <t>SparkFun Level Shifting microSD Breakout</t>
  </si>
  <si>
    <t>SparkFun Serial Basic Breakout - CH340G</t>
  </si>
  <si>
    <t>F</t>
  </si>
  <si>
    <t>JST-PH (4-pin)</t>
  </si>
  <si>
    <t>~5cm to 200cm</t>
  </si>
  <si>
    <t>+/-10%</t>
  </si>
  <si>
    <t>Precision</t>
  </si>
  <si>
    <t>WIG-12772</t>
  </si>
  <si>
    <t>https://www.sparkfun.com/products/12772</t>
  </si>
  <si>
    <t>https://cdn.sparkfun.com/r/92-92/assets/parts/9/5/4/5/12772-01.jpg</t>
  </si>
  <si>
    <t>TOL-09419</t>
  </si>
  <si>
    <t>https://www.sparkfun.com/products/9419</t>
  </si>
  <si>
    <t>https://cdn.sparkfun.com/r/92-92/assets/parts/3/0/5/9/09419-01a.jpg</t>
  </si>
  <si>
    <t>PRT-14425</t>
  </si>
  <si>
    <t>https://www.sparkfun.com/products/14425</t>
  </si>
  <si>
    <t>https://cdn.sparkfun.com/r/92-92/assets/parts/1/2/4/5/1/14425-01.jpg</t>
  </si>
  <si>
    <t>Qwiic Cable - Breadboard Jumper (4-pin)</t>
  </si>
  <si>
    <t>SPX-14291</t>
  </si>
  <si>
    <t>https://www.sparkfun.com/products/14291</t>
  </si>
  <si>
    <t>https://cdn.sparkfun.com/r/92-92/assets/parts/1/2/2/5/0/1Wire_to_Qwiic_Bridge_DS28E17_05.jpg</t>
  </si>
  <si>
    <t>1-Wire to Qwiic Bridge - DS28E17</t>
  </si>
  <si>
    <t>CAB-12977</t>
  </si>
  <si>
    <t>https://www.sparkfun.com/products/12977</t>
  </si>
  <si>
    <t>https://cdn.sparkfun.com/r/92-92/assets/parts/9/9/1/8/12977-00.jpg</t>
  </si>
  <si>
    <t>USB to TTL Serial Cable</t>
  </si>
  <si>
    <t>CAB-11579</t>
  </si>
  <si>
    <t>https://www.sparkfun.com/products/11579</t>
  </si>
  <si>
    <t>https://cdn.sparkfun.com/r/92-92/assets/parts/7/5/6/8/11579-01.jpg</t>
  </si>
  <si>
    <t>SparkFun Hydra Power Cable - 6ft</t>
  </si>
  <si>
    <t>CAB-12016</t>
  </si>
  <si>
    <t>https://www.sparkfun.com/products/12016</t>
  </si>
  <si>
    <t>https://cdn.sparkfun.com/r/92-92/assets/parts/8/5/3/9/12016-01.jpg</t>
  </si>
  <si>
    <t>SparkFun Cerberus USB Cable - 6ft</t>
  </si>
  <si>
    <t>WRL-13677</t>
  </si>
  <si>
    <t>https://www.sparkfun.com/products/13677</t>
  </si>
  <si>
    <t>https://cdn.sparkfun.com/r/92-92/assets/parts/1/1/1/2/7/13677-01.jpg</t>
  </si>
  <si>
    <t>Edimax WiFi Adapter (EW-7811UN)</t>
  </si>
  <si>
    <t>WRL-13678</t>
  </si>
  <si>
    <t>https://www.sparkfun.com/products/13678</t>
  </si>
  <si>
    <t>https://cdn.sparkfun.com/r/92-92/assets/parts/1/1/1/2/9/13678-01.jpg</t>
  </si>
  <si>
    <t>WiFi Module - ESP8266</t>
  </si>
  <si>
    <t>BOB-12009</t>
  </si>
  <si>
    <t>https://www.sparkfun.com/products/12009</t>
  </si>
  <si>
    <t>https://cdn.sparkfun.com/r/92-92/assets/parts/8/5/2/2/12009-06.jpg</t>
  </si>
  <si>
    <t>SparkFun Logic Level Converter - Bi-Directional</t>
  </si>
  <si>
    <t>PRT-14428</t>
  </si>
  <si>
    <t>https://www.sparkfun.com/products/14428</t>
  </si>
  <si>
    <t>https://cdn.sparkfun.com/r/92-92/assets/parts/1/2/4/5/4/14428-01.jpg</t>
  </si>
  <si>
    <t>Qwiic Cable - 200mm</t>
  </si>
  <si>
    <t>PRT-14426</t>
  </si>
  <si>
    <t>https://www.sparkfun.com/products/14426</t>
  </si>
  <si>
    <t>https://cdn.sparkfun.com/r/92-92/assets/parts/1/2/4/5/2/14426-01.jpg</t>
  </si>
  <si>
    <t>Qwiic Cable - 50mm</t>
  </si>
  <si>
    <t>PRT-14427</t>
  </si>
  <si>
    <t>https://www.sparkfun.com/products/14427</t>
  </si>
  <si>
    <t>https://cdn.sparkfun.com/r/92-92/assets/parts/1/2/4/5/3/14427-01.jpg</t>
  </si>
  <si>
    <t>Qwiic Cable - 100mm</t>
  </si>
  <si>
    <t>DEV-14050</t>
  </si>
  <si>
    <t>https://www.sparkfun.com/products/14050</t>
  </si>
  <si>
    <t>https://cdn.sparkfun.com/r/92-92/assets/parts/1/1/8/8/8/14050-01.jpg</t>
  </si>
  <si>
    <t>BOB-13830</t>
  </si>
  <si>
    <t>https://www.sparkfun.com/products/13830</t>
  </si>
  <si>
    <t>https://cdn.sparkfun.com/r/92-92/assets/parts/1/1/4/2/7/13830-01.jpg</t>
  </si>
  <si>
    <t>BOB-12941</t>
  </si>
  <si>
    <t>https://www.sparkfun.com/products/12941</t>
  </si>
  <si>
    <t>https://cdn.sparkfun.com/r/92-92/assets/parts/9/8/7/2/12941-01.jpg</t>
  </si>
  <si>
    <t>SEN-10289</t>
  </si>
  <si>
    <t>https://www.sparkfun.com/products/10289</t>
  </si>
  <si>
    <t>https://cdn.sparkfun.com/r/92-92/assets/parts/4/6/8/5/10289-01.jpg</t>
  </si>
  <si>
    <t>Tilt Sensor - AT407</t>
  </si>
  <si>
    <t>BOB-11955</t>
  </si>
  <si>
    <t>https://www.sparkfun.com/products/11955</t>
  </si>
  <si>
    <t>https://cdn.sparkfun.com/r/92-92/assets/parts/8/4/3/0/11955-01.jpg</t>
  </si>
  <si>
    <t>SparkFun Level Translator Breakout - PCA9306</t>
  </si>
  <si>
    <t>BOB-11771</t>
  </si>
  <si>
    <t>https://www.sparkfun.com/products/11771</t>
  </si>
  <si>
    <t>https://cdn.sparkfun.com/r/92-92/assets/parts/8/0/0/6/11771-01.jpg</t>
  </si>
  <si>
    <t>DEV-13097</t>
  </si>
  <si>
    <t>https://www.sparkfun.com/products/13097</t>
  </si>
  <si>
    <t>https://cdn.sparkfun.com/r/92-92/assets/parts/1/0/1/3/9/13097-06.jpg</t>
  </si>
  <si>
    <t>IntelÂ® Edison and Arduino Breakout Kit</t>
  </si>
  <si>
    <t>DEV-13727</t>
  </si>
  <si>
    <t>https://www.sparkfun.com/products/13727</t>
  </si>
  <si>
    <t>https://cdn.sparkfun.com/r/92-92/assets/parts/1/1/2/3/7/13727-01.jpg</t>
  </si>
  <si>
    <t>SparkFun Block for IntelÂ® Edison - Power</t>
  </si>
  <si>
    <t>DEV-13038</t>
  </si>
  <si>
    <t>https://www.sparkfun.com/products/13038</t>
  </si>
  <si>
    <t>https://cdn.sparkfun.com/r/92-92/assets/parts/1/0/0/3/9/13038-04.jpg</t>
  </si>
  <si>
    <t>SparkFun Block for IntelÂ® Edison - GPIO</t>
  </si>
  <si>
    <t>DEV-13034</t>
  </si>
  <si>
    <t>https://www.sparkfun.com/products/13034</t>
  </si>
  <si>
    <t>https://cdn.sparkfun.com/r/92-92/assets/parts/1/0/0/3/5/13034-01_1.jpg</t>
  </si>
  <si>
    <t>SparkFun Block for IntelÂ® Edison - I2C</t>
  </si>
  <si>
    <t>DEV-13041</t>
  </si>
  <si>
    <t>https://www.sparkfun.com/products/13041</t>
  </si>
  <si>
    <t>https://cdn.sparkfun.com/r/92-92/assets/parts/1/0/0/4/2/13041-01.jpg</t>
  </si>
  <si>
    <t>SparkFun Block for IntelÂ® Edison - microSD</t>
  </si>
  <si>
    <t>DEV-13045</t>
  </si>
  <si>
    <t>https://www.sparkfun.com/products/13045</t>
  </si>
  <si>
    <t>https://cdn.sparkfun.com/r/92-92/assets/parts/1/0/0/4/7/13045-01.jpg</t>
  </si>
  <si>
    <t>SparkFun Block for IntelÂ® Edison - Base</t>
  </si>
  <si>
    <t>DEV-12923</t>
  </si>
  <si>
    <t>https://www.sparkfun.com/products/12923</t>
  </si>
  <si>
    <t>https://cdn.sparkfun.com/r/92-92/assets/parts/9/8/4/5/12923-01.jpg</t>
  </si>
  <si>
    <t>SparkFun MicroView - OLED Arduino Module</t>
  </si>
  <si>
    <t>DEV-12924</t>
  </si>
  <si>
    <t>https://www.sparkfun.com/products/12924</t>
  </si>
  <si>
    <t>https://cdn.sparkfun.com/r/92-92/assets/parts/9/8/4/6/12924-01.jpg</t>
  </si>
  <si>
    <t>SparkFun MicroView - USB Programmer</t>
  </si>
  <si>
    <t>DEV-11643</t>
  </si>
  <si>
    <t>https://www.sparkfun.com/products/11643</t>
  </si>
  <si>
    <t>https://cdn.sparkfun.com/r/92-92/assets/parts/7/7/1/7/11643-01.jpg</t>
  </si>
  <si>
    <t>XMEGA Xprotolab</t>
  </si>
  <si>
    <t>DEV-11695</t>
  </si>
  <si>
    <t>https://www.sparkfun.com/products/11695</t>
  </si>
  <si>
    <t>https://cdn.sparkfun.com/r/92-92/assets/parts/7/8/5/9/11695-01.jpg</t>
  </si>
  <si>
    <t>mbed Application Board</t>
  </si>
  <si>
    <t>DEV-09564</t>
  </si>
  <si>
    <t>https://www.sparkfun.com/products/9564</t>
  </si>
  <si>
    <t>https://cdn.sparkfun.com/r/92-92/assets/parts/3/3/3/6/09564-05.jpg</t>
  </si>
  <si>
    <t>mbed - LPC1768 (Cortex-M3)</t>
  </si>
  <si>
    <t>BOB-12918</t>
  </si>
  <si>
    <t>https://www.sparkfun.com/products/12918</t>
  </si>
  <si>
    <t>https://cdn.sparkfun.com/r/92-92/assets/parts/9/8/3/2/12918-01.jpg</t>
  </si>
  <si>
    <t>COM-13004</t>
  </si>
  <si>
    <t>https://www.sparkfun.com/products/13004</t>
  </si>
  <si>
    <t>https://cdn.sparkfun.com/r/92-92/assets/parts/9/9/5/8/13004-01.jpg</t>
  </si>
  <si>
    <t>microSD USB Reader</t>
  </si>
  <si>
    <t>WRL-14280</t>
  </si>
  <si>
    <t>https://www.sparkfun.com/products/14280</t>
  </si>
  <si>
    <t>https://cdn.sparkfun.com/r/92-92/assets/parts/1/2/2/3/6/14280-01.jpg</t>
  </si>
  <si>
    <t>Realtek Ameba Board</t>
  </si>
  <si>
    <t>DEV-13613</t>
  </si>
  <si>
    <t>https://www.sparkfun.com/products/13613</t>
  </si>
  <si>
    <t>https://cdn.sparkfun.com/r/92-92/assets/parts/1/0/9/8/3/13613-01.jpg</t>
  </si>
  <si>
    <t>IOIO-OTG - V2.2</t>
  </si>
  <si>
    <t>DEV-14135</t>
  </si>
  <si>
    <t>https://www.sparkfun.com/products/14135</t>
  </si>
  <si>
    <t>https://cdn.sparkfun.com/r/92-92/assets/parts/1/2/0/3/4/14135-03.jpg</t>
  </si>
  <si>
    <t>Arduino Tian</t>
  </si>
  <si>
    <t>SPX-14286</t>
  </si>
  <si>
    <t>https://www.sparkfun.com/products/14286</t>
  </si>
  <si>
    <t>https://cdn.sparkfun.com/r/92-92/assets/parts/1/2/2/4/5/Qwiic_Shield_for_Arduino_X1.1_04.jpg</t>
  </si>
  <si>
    <t>Qwiic Shield for Arduino</t>
  </si>
  <si>
    <t>KIT-13973</t>
  </si>
  <si>
    <t>https://www.sparkfun.com/products/13973</t>
  </si>
  <si>
    <t>https://cdn.sparkfun.com/r/92-92/assets/parts/1/1/7/1/5/13973-05.jpg</t>
  </si>
  <si>
    <t>SparkFun Beginner Parts Kit</t>
  </si>
  <si>
    <t>COM-10969</t>
  </si>
  <si>
    <t>https://www.sparkfun.com/products/10969</t>
  </si>
  <si>
    <t>https://cdn.sparkfun.com/r/92-92/assets/parts/6/1/7/1/10969-01.jpg</t>
  </si>
  <si>
    <t>Resistor Kit - 1/4W (500 total)</t>
  </si>
  <si>
    <t>KIT-13698</t>
  </si>
  <si>
    <t>https://www.sparkfun.com/products/13698</t>
  </si>
  <si>
    <t>https://cdn.sparkfun.com/r/92-92/assets/parts/1/1/1/7/0/13698-02.jpg</t>
  </si>
  <si>
    <t>SparkFun Capacitor Kit</t>
  </si>
  <si>
    <t>COM-00526</t>
  </si>
  <si>
    <t>https://www.sparkfun.com/products/526</t>
  </si>
  <si>
    <t>https://cdn.sparkfun.com/r/92-92/assets/parts/3/0/2/00526-03-L.jpg</t>
  </si>
  <si>
    <t>Voltage Regulator - 3.3V</t>
  </si>
  <si>
    <t>COM-00527</t>
  </si>
  <si>
    <t>https://www.sparkfun.com/products/527</t>
  </si>
  <si>
    <t>https://cdn.sparkfun.com/r/92-92/assets/parts/3/5/8/LM317.jpg</t>
  </si>
  <si>
    <t>Voltage Regulator - Adjustable</t>
  </si>
  <si>
    <t>COM-11707</t>
  </si>
  <si>
    <t>https://www.sparkfun.com/products/11707</t>
  </si>
  <si>
    <t>https://cdn.sparkfun.com/r/92-92/assets/parts/7/8/8/8/11707-01.jpg</t>
  </si>
  <si>
    <t>Barrel Jack Extension Cable - M-F (6 ft)</t>
  </si>
  <si>
    <t>COM-11078</t>
  </si>
  <si>
    <t>https://www.sparkfun.com/products/11078</t>
  </si>
  <si>
    <t>https://cdn.sparkfun.com/r/92-92/assets/parts/6/4/6/8/11078-01.jpg</t>
  </si>
  <si>
    <t>TL431 - Voltage Reference</t>
  </si>
  <si>
    <t>COM-00107</t>
  </si>
  <si>
    <t>https://www.sparkfun.com/products/107</t>
  </si>
  <si>
    <t>https://cdn.sparkfun.com/r/92-92/assets/parts/9/9/00107-1.jpg</t>
  </si>
  <si>
    <t>Voltage Regulator - 5V</t>
  </si>
  <si>
    <t>COM-08636</t>
  </si>
  <si>
    <t>https://www.sparkfun.com/products/8636</t>
  </si>
  <si>
    <t>https://cdn.sparkfun.com/r/92-92/assets/parts/1/7/7/0/08636-03-L.jpg</t>
  </si>
  <si>
    <t>Analog to Digital Converter - MCP3002</t>
  </si>
  <si>
    <t>COM-09273</t>
  </si>
  <si>
    <t>https://www.sparkfun.com/products/9273</t>
  </si>
  <si>
    <t>https://cdn.sparkfun.com/r/92-92/assets/parts/2/7/9/0/09273-1.jpg</t>
  </si>
  <si>
    <t>555 Timer</t>
  </si>
  <si>
    <t>COM-13699</t>
  </si>
  <si>
    <t>https://www.sparkfun.com/products/13699</t>
  </si>
  <si>
    <t>https://cdn.sparkfun.com/r/92-92/assets/parts/1/1/1/7/5/13699-01.jpg</t>
  </si>
  <si>
    <t>Shift Register 8-Bit - SN74HC595</t>
  </si>
  <si>
    <t>BOB-11733</t>
  </si>
  <si>
    <t>https://www.sparkfun.com/products/11733</t>
  </si>
  <si>
    <t>https://cdn.sparkfun.com/r/92-92/assets/parts/7/9/4/5/11733-01a.jpg</t>
  </si>
  <si>
    <t>DEV-13743</t>
  </si>
  <si>
    <t>https://www.sparkfun.com/products/13743</t>
  </si>
  <si>
    <t>https://cdn.sparkfun.com/r/92-92/assets/parts/1/1/2/6/7/13743-01.jpg</t>
  </si>
  <si>
    <t>PRT-00124</t>
  </si>
  <si>
    <t>https://www.sparkfun.com/products/124</t>
  </si>
  <si>
    <t>https://cdn.sparkfun.com/r/92-92/assets/parts/1/1/2/00124-04.jpg</t>
  </si>
  <si>
    <t>Jumper Wire Kit</t>
  </si>
  <si>
    <t>COM-10301</t>
  </si>
  <si>
    <t>https://www.sparkfun.com/products/10301</t>
  </si>
  <si>
    <t>https://cdn.sparkfun.com/r/92-92/assets/parts/4/7/0/4/10301-01.jpg</t>
  </si>
  <si>
    <t>Zener Diode - 5.1V 1W</t>
  </si>
  <si>
    <t>COM-08589</t>
  </si>
  <si>
    <t>https://www.sparkfun.com/products/8589</t>
  </si>
  <si>
    <t>https://cdn.sparkfun.com/r/92-92/assets/parts/1/5/7/8/08588-02-L.jpg</t>
  </si>
  <si>
    <t>Diode Rectifier - 1A 50V</t>
  </si>
  <si>
    <t>COM-08588</t>
  </si>
  <si>
    <t>https://www.sparkfun.com/products/8588</t>
  </si>
  <si>
    <t>https://cdn.sparkfun.com/r/92-92/assets/parts/1/5/6/7/08589-03-L.jpg</t>
  </si>
  <si>
    <t>Diode Small Signal - 1N4148</t>
  </si>
  <si>
    <t>COM-08034</t>
  </si>
  <si>
    <t>https://www.sparkfun.com/products/8034</t>
  </si>
  <si>
    <t>https://cdn.sparkfun.com/r/92-92/assets/parts/6/5/0/08034-1.jpg</t>
  </si>
  <si>
    <t>DIP Switch - 8 Position</t>
  </si>
  <si>
    <t>COM-10856</t>
  </si>
  <si>
    <t>https://www.sparkfun.com/products/10856</t>
  </si>
  <si>
    <t>https://cdn.sparkfun.com/r/92-92/assets/parts/5/8/6/9/10856-01a.jpg</t>
  </si>
  <si>
    <t>Resistor Network - 10K Ohm (6-pin bussed)</t>
  </si>
  <si>
    <t>COM-10855</t>
  </si>
  <si>
    <t>https://www.sparkfun.com/products/10855</t>
  </si>
  <si>
    <t>https://cdn.sparkfun.com/r/92-92/assets/parts/5/8/6/8/10855-01d.jpg</t>
  </si>
  <si>
    <t>Resistor Network - 330 Ohm (6-pin bussed)</t>
  </si>
  <si>
    <t>PRT-09749</t>
  </si>
  <si>
    <t>https://www.sparkfun.com/products/9749</t>
  </si>
  <si>
    <t>https://cdn.sparkfun.com/r/92-92/assets/parts/3/7/0/9/09749-01.jpg</t>
  </si>
  <si>
    <t>JST Right-Angle Connector - Through-Hole 2-Pin</t>
  </si>
  <si>
    <t>PRT-08077</t>
  </si>
  <si>
    <t>https://www.sparkfun.com/products/8077</t>
  </si>
  <si>
    <t>https://cdn.sparkfun.com/r/92-92/assets/parts/6/5/6/08077-01.jpg</t>
  </si>
  <si>
    <t>Spring Terminals - PCB Mount (6-Pin)</t>
  </si>
  <si>
    <t>PRT-08075</t>
  </si>
  <si>
    <t>https://www.sparkfun.com/products/8075</t>
  </si>
  <si>
    <t>https://cdn.sparkfun.com/r/92-92/assets/parts/6/5/4/08075-01.jpg</t>
  </si>
  <si>
    <t>Spring Terminals - PCB Mount (4-Pin)</t>
  </si>
  <si>
    <t>PRT-10571</t>
  </si>
  <si>
    <t>https://www.sparkfun.com/products/10571</t>
  </si>
  <si>
    <t>https://cdn.sparkfun.com/r/92-92/assets/parts/5/2/0/4/10571-01.jpg</t>
  </si>
  <si>
    <t>Screw Terminals 2.54mm Pitch (2-Pin)</t>
  </si>
  <si>
    <t>TOL-08639</t>
  </si>
  <si>
    <t>https://www.sparkfun.com/products/8639</t>
  </si>
  <si>
    <t>https://cdn.sparkfun.com/r/92-92/assets/parts/1/7/7/8/08639-01.jpg</t>
  </si>
  <si>
    <t>Barrel Jack Adapter - USB to 5.5mm</t>
  </si>
  <si>
    <t>PRT-08672</t>
  </si>
  <si>
    <t>https://www.sparkfun.com/products/8672</t>
  </si>
  <si>
    <t>https://cdn.sparkfun.com/r/92-92/assets/parts/1/8/2/8/08672-03-L.jpg</t>
  </si>
  <si>
    <t>Jumper Wire - PTH Black White</t>
  </si>
  <si>
    <t>PRT-08614</t>
  </si>
  <si>
    <t>https://www.sparkfun.com/products/8614</t>
  </si>
  <si>
    <t>https://cdn.sparkfun.com/r/92-92/assets/parts/1/6/9/8/08614-03-L.jpg</t>
  </si>
  <si>
    <t>Jumper Wire - Female to Female Connector</t>
  </si>
  <si>
    <t>PRT-12693</t>
  </si>
  <si>
    <t>https://www.sparkfun.com/products/12693</t>
  </si>
  <si>
    <t>https://cdn.sparkfun.com/r/92-92/assets/parts/9/4/2/7/12693-02.jpg</t>
  </si>
  <si>
    <t>Break Away Headers - 40-pin Male (Long Centered, PTH, 0.1\")</t>
  </si>
  <si>
    <t>PRT-13925</t>
  </si>
  <si>
    <t>https://www.sparkfun.com/products/13925</t>
  </si>
  <si>
    <t>https://cdn.sparkfun.com/r/92-92/assets/parts/1/1/5/9/7/13925-01.jpg</t>
  </si>
  <si>
    <t>Teensy Header Kit</t>
  </si>
  <si>
    <t>PRT-14322</t>
  </si>
  <si>
    <t>https://www.sparkfun.com/products/14322</t>
  </si>
  <si>
    <t>https://cdn.sparkfun.com/r/92-92/assets/parts/1/0/6/5/6/14322-02.jpg</t>
  </si>
  <si>
    <t>Photon Stackable Header - 12 Pin</t>
  </si>
  <si>
    <t>PRT-09916</t>
  </si>
  <si>
    <t>https://www.sparkfun.com/products/9916</t>
  </si>
  <si>
    <t>https://cdn.sparkfun.com/r/92-92/assets/parts/4/0/2/2/09916-02b.jpg</t>
  </si>
  <si>
    <t>JST Jumper 4 Wire Assembly</t>
  </si>
  <si>
    <t>PRT-10158</t>
  </si>
  <si>
    <t>https://www.sparkfun.com/products/10158</t>
  </si>
  <si>
    <t>https://cdn.sparkfun.com/r/92-92/assets/parts/4/4/5/2/10158-01.jpg</t>
  </si>
  <si>
    <t>Break Away Headers - Long</t>
  </si>
  <si>
    <t>BOB-09056</t>
  </si>
  <si>
    <t>https://www.sparkfun.com/products/9056</t>
  </si>
  <si>
    <t>https://cdn.sparkfun.com/r/92-92/assets/parts/2/4/2/0/09056-01.jpg</t>
  </si>
  <si>
    <t>BOB-09118</t>
  </si>
  <si>
    <t>https://www.sparkfun.com/products/9118</t>
  </si>
  <si>
    <t>https://cdn.sparkfun.com/r/92-92/assets/parts/2/5/2/2/09118-02.jpg</t>
  </si>
  <si>
    <t>PRT-10369</t>
  </si>
  <si>
    <t>https://www.sparkfun.com/products/10369</t>
  </si>
  <si>
    <t>https://cdn.sparkfun.com/r/92-92/assets/parts/4/8/2/1/10369-01.jpg</t>
  </si>
  <si>
    <t>Jumper Wire - 0.1\", 4-pin, 6\"</t>
  </si>
  <si>
    <t>PRT-10376</t>
  </si>
  <si>
    <t>https://www.sparkfun.com/products/10376</t>
  </si>
  <si>
    <t>https://cdn.sparkfun.com/r/92-92/assets/parts/4/8/2/8/10376-01.jpg</t>
  </si>
  <si>
    <t>Jumper Wire - 0.1\", 6-pin, 12\"</t>
  </si>
  <si>
    <t>PRT-10371</t>
  </si>
  <si>
    <t>https://www.sparkfun.com/products/10371</t>
  </si>
  <si>
    <t>https://cdn.sparkfun.com/r/92-92/assets/parts/4/8/2/3/10371-01.jpg</t>
  </si>
  <si>
    <t>Jumper Wire - 0.1\", 6-pin, 6\"</t>
  </si>
  <si>
    <t>PRT-09914</t>
  </si>
  <si>
    <t>https://www.sparkfun.com/products/9914</t>
  </si>
  <si>
    <t>https://cdn.sparkfun.com/r/92-92/assets/parts/4/0/2/0/09914-02b.jpg</t>
  </si>
  <si>
    <t>JST Jumper 2 Wire Assembly</t>
  </si>
  <si>
    <t>PRT-13156</t>
  </si>
  <si>
    <t>https://www.sparkfun.com/products/13156</t>
  </si>
  <si>
    <t>https://cdn.sparkfun.com/r/92-92/assets/parts/5/6/1/7/13156-01.jpg</t>
  </si>
  <si>
    <t xml:space="preserve">Header - 2x8 (Male, 0.1\") </t>
  </si>
  <si>
    <t>CAB-13685</t>
  </si>
  <si>
    <t>https://www.sparkfun.com/products/13685</t>
  </si>
  <si>
    <t>https://cdn.sparkfun.com/r/92-92/assets/parts/1/1/1/4/7/13685-01.jpg</t>
  </si>
  <si>
    <t>JST to Breadboard Jumper (3-pin)</t>
  </si>
  <si>
    <t>PRT-10007</t>
  </si>
  <si>
    <t>https://www.sparkfun.com/products/10007</t>
  </si>
  <si>
    <t>https://cdn.sparkfun.com/r/92-92/assets/parts/4/1/6/6/10007-01.jpg</t>
  </si>
  <si>
    <t>Arduino Stackable Header Kit</t>
  </si>
  <si>
    <t>PRT-11376</t>
  </si>
  <si>
    <t>https://www.sparkfun.com/products/11376</t>
  </si>
  <si>
    <t>https://cdn.sparkfun.com/r/92-92/assets/parts/7/1/2/2/11376-01a.jpg</t>
  </si>
  <si>
    <t>Arduino Stackable Header - 10 Pin</t>
  </si>
  <si>
    <t>COM-08837</t>
  </si>
  <si>
    <t>https://www.sparkfun.com/products/8837</t>
  </si>
  <si>
    <t>https://cdn.sparkfun.com/r/92-92/assets/parts/1/8/4/7/08837-03-L.jpg</t>
  </si>
  <si>
    <t>Rocker Switch - SPST (right-angle)</t>
  </si>
  <si>
    <t>PRT-10370</t>
  </si>
  <si>
    <t>https://www.sparkfun.com/products/10370</t>
  </si>
  <si>
    <t>https://cdn.sparkfun.com/r/92-92/assets/parts/4/8/2/2/10370-01.jpg</t>
  </si>
  <si>
    <t>Jumper Wire - 0.1\", 5-pin, 6\"</t>
  </si>
  <si>
    <t>PRT-13164</t>
  </si>
  <si>
    <t>https://www.sparkfun.com/products/13164</t>
  </si>
  <si>
    <t>https://cdn.sparkfun.com/r/92-92/assets/parts/1/0/2/8/5/13164-01.jpg</t>
  </si>
  <si>
    <t>Jumper Wire - 0.1\", 3-pin, 6\" (Black, Red, White)</t>
  </si>
  <si>
    <t>PRT-14284</t>
  </si>
  <si>
    <t>https://www.sparkfun.com/products/14284</t>
  </si>
  <si>
    <t>https://cdn.sparkfun.com/r/92-92/assets/parts/1/2/2/4/2/13870-01.jpg</t>
  </si>
  <si>
    <t>Jumper Wires Premium 4\" M/M - 26 AWG (30 Pack)</t>
  </si>
  <si>
    <t>PRT-12796</t>
  </si>
  <si>
    <t>https://www.sparkfun.com/products/12796</t>
  </si>
  <si>
    <t>https://cdn.sparkfun.com/r/92-92/assets/parts/9/6/1/4/12796-00.jpg</t>
  </si>
  <si>
    <t>Jumper Wires - Connected 6\" (F/F, 20 pack)</t>
  </si>
  <si>
    <t>PRT-11710</t>
  </si>
  <si>
    <t>https://www.sparkfun.com/products/11710</t>
  </si>
  <si>
    <t>https://cdn.sparkfun.com/r/92-92/assets/parts/7/8/9/3/11710-01.jpg</t>
  </si>
  <si>
    <t>Jumper Wires Premium 6\" F/F - 20 AWG (10 Pack)</t>
  </si>
  <si>
    <t>PRT-11026</t>
  </si>
  <si>
    <t>https://www.sparkfun.com/products/11026</t>
  </si>
  <si>
    <t>https://cdn.sparkfun.com/r/92-92/assets/parts/3/7/0/4/11026-02.jpg</t>
  </si>
  <si>
    <t>Jumper Wires Standard 7\" M/M - 30 AWG (30 Pack)</t>
  </si>
  <si>
    <t>PRT-09140</t>
  </si>
  <si>
    <t>https://www.sparkfun.com/products/9140</t>
  </si>
  <si>
    <t>https://cdn.sparkfun.com/r/92-92/assets/parts/2/5/5/7/09140-02-L.jpg</t>
  </si>
  <si>
    <t>Jumper Wires Premium 6\" M/F Pack of 10</t>
  </si>
  <si>
    <t>PRT-08431</t>
  </si>
  <si>
    <t>https://www.sparkfun.com/products/8431</t>
  </si>
  <si>
    <t>https://cdn.sparkfun.com/r/92-92/assets/parts/1/1/8/1/JumperWire-Male-01-L.jpg</t>
  </si>
  <si>
    <t>Jumper Wires Premium 6\" M/M Pack of 10</t>
  </si>
  <si>
    <t>PRT-09385</t>
  </si>
  <si>
    <t>https://www.sparkfun.com/products/9385</t>
  </si>
  <si>
    <t>https://cdn.sparkfun.com/r/92-92/assets/parts/2/9/8/7/09385-03.jpg</t>
  </si>
  <si>
    <t>Jumper Wires Premium 12\" M/F Pack of 10</t>
  </si>
  <si>
    <t>PRT-10811</t>
  </si>
  <si>
    <t>https://www.sparkfun.com/products/10811</t>
  </si>
  <si>
    <t>https://cdn.sparkfun.com/r/92-92/assets/parts/5/8/0/3/10811-01.jpg</t>
  </si>
  <si>
    <t>DC Barrel Jack Adapter - Breadboard Compatible</t>
  </si>
  <si>
    <t>PRT-10373</t>
  </si>
  <si>
    <t>https://www.sparkfun.com/products/10373</t>
  </si>
  <si>
    <t>https://cdn.sparkfun.com/r/92-92/assets/parts/4/8/2/5/10373-02.jpg</t>
  </si>
  <si>
    <t>Jumper Wire - 0.1\", 3-pin, 12\"</t>
  </si>
  <si>
    <t>PRT-14311</t>
  </si>
  <si>
    <t>https://www.sparkfun.com/products/14311</t>
  </si>
  <si>
    <t>https://cdn.sparkfun.com/r/92-92/assets/parts/1/2/2/7/9/14311-01.jpg</t>
  </si>
  <si>
    <t>ESP32 Thing Stackable Header Set</t>
  </si>
  <si>
    <t>PRT-08599</t>
  </si>
  <si>
    <t>https://www.sparkfun.com/products/8599</t>
  </si>
  <si>
    <t>https://cdn.sparkfun.com/r/92-92/assets/parts/1/6/4/1/08599-03-L.jpg</t>
  </si>
  <si>
    <t>Jumper Wire - JST to Female Connector</t>
  </si>
  <si>
    <t>PRT-10367</t>
  </si>
  <si>
    <t>https://www.sparkfun.com/products/10367</t>
  </si>
  <si>
    <t>https://cdn.sparkfun.com/r/92-92/assets/parts/4/8/1/9/10367-01.jpg</t>
  </si>
  <si>
    <t>Jumper Wire - 0.1\", 2-pin, 6\"</t>
  </si>
  <si>
    <t>PRT-08670</t>
  </si>
  <si>
    <t>https://www.sparkfun.com/products/8670</t>
  </si>
  <si>
    <t>https://cdn.sparkfun.com/r/92-92/assets/parts/1/8/2/6/08670-03-L.jpg</t>
  </si>
  <si>
    <t>Jumper Wire - JST Black Red</t>
  </si>
  <si>
    <t>PRT-08671</t>
  </si>
  <si>
    <t>https://www.sparkfun.com/products/8671</t>
  </si>
  <si>
    <t>https://cdn.sparkfun.com/r/92-92/assets/parts/1/8/2/7/08671-03-L.jpg</t>
  </si>
  <si>
    <t>Jumper Wire - JST Black Blue</t>
  </si>
  <si>
    <t>PRT-09389</t>
  </si>
  <si>
    <t>https://www.sparkfun.com/products/9389</t>
  </si>
  <si>
    <t>https://cdn.sparkfun.com/r/92-92/assets/parts/2/9/9/1/09389-01.jpg</t>
  </si>
  <si>
    <t>Jumper Wires Premium 12\" F/F Pack of 10</t>
  </si>
  <si>
    <t>COM-10443</t>
  </si>
  <si>
    <t>https://www.sparkfun.com/products/10443</t>
  </si>
  <si>
    <t>https://cdn.sparkfun.com/r/92-92/assets/parts/4/9/3/1/10443-01.jpg</t>
  </si>
  <si>
    <t>LED Tactile Button - Blue</t>
  </si>
  <si>
    <t>COM-10440</t>
  </si>
  <si>
    <t>https://www.sparkfun.com/products/10440</t>
  </si>
  <si>
    <t>https://cdn.sparkfun.com/r/92-92/assets/parts/4/9/2/8/10440-01.jpg</t>
  </si>
  <si>
    <t>LED Tactile Button - Green</t>
  </si>
  <si>
    <t>COM-09806</t>
  </si>
  <si>
    <t>https://www.sparkfun.com/products/9806</t>
  </si>
  <si>
    <t>https://cdn.sparkfun.com/r/92-92/assets/parts/3/8/2/3/09806-01.jpg</t>
  </si>
  <si>
    <t>Trimpot 10K with Knob</t>
  </si>
  <si>
    <t>COM-00097</t>
  </si>
  <si>
    <t>https://www.sparkfun.com/products/97</t>
  </si>
  <si>
    <t>https://cdn.sparkfun.com/r/92-92/assets/parts/9/0/00097-03-L.jpg</t>
  </si>
  <si>
    <t>Mini Pushbutton Switch</t>
  </si>
  <si>
    <t>COM-10791</t>
  </si>
  <si>
    <t>https://www.sparkfun.com/products/10791</t>
  </si>
  <si>
    <t>https://cdn.sparkfun.com/r/92-92/assets/parts/5/7/7/6/10791-01.jpg</t>
  </si>
  <si>
    <t>Right Angle Tactile Button</t>
  </si>
  <si>
    <t>COM-09190</t>
  </si>
  <si>
    <t>https://www.sparkfun.com/products/9190</t>
  </si>
  <si>
    <t>https://cdn.sparkfun.com/r/92-92/assets/parts/2/6/2/9/09190-03-L.jpg</t>
  </si>
  <si>
    <t>Momentary Pushbutton Switch - 12mm Square</t>
  </si>
  <si>
    <t>COM-08605</t>
  </si>
  <si>
    <t>https://www.sparkfun.com/products/8605</t>
  </si>
  <si>
    <t>https://cdn.sparkfun.com/r/92-92/assets/parts/1/6/7/9/08605-04-L.jpg</t>
  </si>
  <si>
    <t>Mini Pushbutton Switch - Tall</t>
  </si>
  <si>
    <t>COM-00102</t>
  </si>
  <si>
    <t>https://www.sparkfun.com/products/102</t>
  </si>
  <si>
    <t>https://cdn.sparkfun.com/r/92-92/assets/parts/9/5/00102-02-L.jpg</t>
  </si>
  <si>
    <t>SPDT Mini Power Switch</t>
  </si>
  <si>
    <t>COM-13833</t>
  </si>
  <si>
    <t>https://www.sparkfun.com/products/13833</t>
  </si>
  <si>
    <t>https://cdn.sparkfun.com/r/92-92/assets/parts/1/1/4/3/0/13833-02.jpg</t>
  </si>
  <si>
    <t>microSD Card with Adapter - 16GB (Class 10)</t>
  </si>
  <si>
    <t>PRT-11366</t>
  </si>
  <si>
    <t>https://www.sparkfun.com/products/11366</t>
  </si>
  <si>
    <t>https://cdn.sparkfun.com/r/92-92/assets/parts/7/1/0/7/11366-01.jpg</t>
  </si>
  <si>
    <t>Big Red Box - Enclosure</t>
  </si>
  <si>
    <t>PRT-11796</t>
  </si>
  <si>
    <t>https://www.sparkfun.com/products/11796</t>
  </si>
  <si>
    <t>https://cdn.sparkfun.com/r/92-92/assets/parts/8/0/8/2/10315_03b.jpg</t>
  </si>
  <si>
    <t>Standoff - Nylon (4-40; 3/4\"; 10 pack)</t>
  </si>
  <si>
    <t>COM-10594</t>
  </si>
  <si>
    <t>https://www.sparkfun.com/products/10594</t>
  </si>
  <si>
    <t>https://cdn.sparkfun.com/r/92-92/assets/parts/5/1/6/0/10594-01.jpg</t>
  </si>
  <si>
    <t>Silicone Bumpers - Large (10x16.5mm, 4 pack)</t>
  </si>
  <si>
    <t>PRT-10927</t>
  </si>
  <si>
    <t>https://www.sparkfun.com/products/10927</t>
  </si>
  <si>
    <t>https://cdn.sparkfun.com/r/92-92/assets/parts/6/0/7/1/10927-03.jpg</t>
  </si>
  <si>
    <t>Standoff - Nylon (4-40; 3/8\"; 10 pack)</t>
  </si>
  <si>
    <t>PRT-10230</t>
  </si>
  <si>
    <t>https://www.sparkfun.com/products/10230</t>
  </si>
  <si>
    <t>https://cdn.sparkfun.com/r/92-92/assets/parts/4/5/8/0/10230-01a.jpg</t>
  </si>
  <si>
    <t>Silicone Bumpers - Small, Clear (8x2mm, 5 pack)</t>
  </si>
  <si>
    <t>PRT-10088</t>
  </si>
  <si>
    <t>https://www.sparkfun.com/products/10088</t>
  </si>
  <si>
    <t>https://cdn.sparkfun.com/r/92-92/assets/parts/4/3/1/1/10088-01.jpg</t>
  </si>
  <si>
    <t>Arduino Project Enclosure</t>
  </si>
  <si>
    <t>COM-09456</t>
  </si>
  <si>
    <t>https://www.sparkfun.com/products/9456</t>
  </si>
  <si>
    <t>https://cdn.sparkfun.com/r/92-92/assets/parts/2/7/8/8/09456-01.jpg</t>
  </si>
  <si>
    <t>Op-Amp (Through-Hole) - LM358</t>
  </si>
  <si>
    <t>ROB-08449</t>
  </si>
  <si>
    <t>https://www.sparkfun.com/products/8449</t>
  </si>
  <si>
    <t>https://cdn.sparkfun.com/r/92-92/assets/parts/8/8/6/VibrationMotor-01-L.jpg</t>
  </si>
  <si>
    <t>Vibration Motor</t>
  </si>
  <si>
    <t>COM-10926</t>
  </si>
  <si>
    <t>https://www.sparkfun.com/products/10926</t>
  </si>
  <si>
    <t>https://cdn.sparkfun.com/r/92-92/assets/parts/6/0/6/0/10926-01b.jpg</t>
  </si>
  <si>
    <t>Schottky Diode</t>
  </si>
  <si>
    <t>SEN-09376</t>
  </si>
  <si>
    <t>https://www.sparkfun.com/products/9376</t>
  </si>
  <si>
    <t>https://cdn.sparkfun.com/r/92-92/assets/parts/2/9/6/8/09376-1.jpg</t>
  </si>
  <si>
    <t>Force Sensitive Resistor - Square</t>
  </si>
  <si>
    <t>COM-00525</t>
  </si>
  <si>
    <t>https://www.sparkfun.com/products/525</t>
  </si>
  <si>
    <t>https://cdn.sparkfun.com/r/92-92/assets/parts/3/0/5/EEPROM.jpg</t>
  </si>
  <si>
    <t>I2C EEPROM - 256kbit</t>
  </si>
  <si>
    <t>SEN-14348</t>
  </si>
  <si>
    <t>https://www.sparkfun.com/products/14348</t>
  </si>
  <si>
    <t>https://cdn.sparkfun.com/r/92-92/assets/parts/1/2/3/2/9/14348-01.jpg</t>
  </si>
  <si>
    <t>SparkFun Environmental Combo Breakout - CCS811/BME280 (Qwiic)</t>
  </si>
  <si>
    <t>SEN-14045</t>
  </si>
  <si>
    <t>https://www.sparkfun.com/products/14045</t>
  </si>
  <si>
    <t>https://cdn.sparkfun.com/r/92-92/assets/parts/1/1/8/7/4/14045-01.jpg</t>
  </si>
  <si>
    <t>SparkFun Particle Sensor Breakout - MAX30105</t>
  </si>
  <si>
    <t>BOB-08891</t>
  </si>
  <si>
    <t>https://www.sparkfun.com/products/8891</t>
  </si>
  <si>
    <t>https://cdn.sparkfun.com/r/92-92/assets/parts/2/1/6/8/08891-01.jpg</t>
  </si>
  <si>
    <t>Gas Sensor Breakout</t>
  </si>
  <si>
    <t>SEN-09403</t>
  </si>
  <si>
    <t>https://www.sparkfun.com/products/9403</t>
  </si>
  <si>
    <t>https://cdn.sparkfun.com/r/92-92/assets/parts/3/0/1/8/09403-01.jpg</t>
  </si>
  <si>
    <t>Carbon Monoxide Sensor - MQ-7</t>
  </si>
  <si>
    <t>COM-14195</t>
  </si>
  <si>
    <t>https://www.sparkfun.com/products/14195</t>
  </si>
  <si>
    <t>https://cdn.sparkfun.com/r/92-92/assets/parts/1/2/1/3/4/14195-01.jpg</t>
  </si>
  <si>
    <t>Amphenol FCI Clincher Connector (2 Position, Male)</t>
  </si>
  <si>
    <t>COM-14194</t>
  </si>
  <si>
    <t>https://www.sparkfun.com/products/14194</t>
  </si>
  <si>
    <t>https://cdn.sparkfun.com/r/92-92/assets/parts/1/2/1/3/3/14194-01.jpg</t>
  </si>
  <si>
    <t>Amphenol FCI Clincher Connector (2 Position, Female)</t>
  </si>
  <si>
    <t>PRT-10453</t>
  </si>
  <si>
    <t>https://www.sparkfun.com/products/10453</t>
  </si>
  <si>
    <t>https://cdn.sparkfun.com/r/92-92/assets/parts/4/9/4/7/10453-01.jpg</t>
  </si>
  <si>
    <t>Screw - Phillips Head (1/4\", 4-40, 10 pack)</t>
  </si>
  <si>
    <t>SEN-00250</t>
  </si>
  <si>
    <t>https://www.sparkfun.com/products/250</t>
  </si>
  <si>
    <t>https://cdn.sparkfun.com/r/92-92/assets/parts/1/9/2/thermistor.jpg</t>
  </si>
  <si>
    <t>Thermistor 10K</t>
  </si>
  <si>
    <t>COM-00746</t>
  </si>
  <si>
    <t>https://www.sparkfun.com/products/746</t>
  </si>
  <si>
    <t>https://cdn.sparkfun.com/r/92-92/assets/parts/5/1/9/SuperCap.jpg</t>
  </si>
  <si>
    <t>Super Capacitor - 10F/2.5V</t>
  </si>
  <si>
    <t>SEN-10293</t>
  </si>
  <si>
    <t>https://www.sparkfun.com/products/10293</t>
  </si>
  <si>
    <t>https://cdn.sparkfun.com/r/92-92/assets/parts/4/6/8/9/10293_01.jpg</t>
  </si>
  <si>
    <t>Piezo Element</t>
  </si>
  <si>
    <t>COM-00523</t>
  </si>
  <si>
    <t>https://www.sparkfun.com/products/523</t>
  </si>
  <si>
    <t>https://cdn.sparkfun.com/r/92-92/assets/parts/3/0/0/00523-02-L.jpg</t>
  </si>
  <si>
    <t>Electrolytic Decoupling Capacitors - 10uF/25V</t>
  </si>
  <si>
    <t>COM-00096</t>
  </si>
  <si>
    <t>https://www.sparkfun.com/products/96</t>
  </si>
  <si>
    <t>https://cdn.sparkfun.com/r/92-92/assets/parts/8/9/00096-03-L.jpg</t>
  </si>
  <si>
    <t>Electrolytic Decoupling Capacitors - 100uF/25V</t>
  </si>
  <si>
    <t>COM-10002</t>
  </si>
  <si>
    <t>https://www.sparkfun.com/products/10002</t>
  </si>
  <si>
    <t>https://cdn.sparkfun.com/r/92-92/assets/parts/4/1/4/6/10002-01.jpg</t>
  </si>
  <si>
    <t>Black Metal Knob - 14x24mm</t>
  </si>
  <si>
    <t>SPX-14323</t>
  </si>
  <si>
    <t>https://www.sparkfun.com/products/14323</t>
  </si>
  <si>
    <t>https://cdn.sparkfun.com/r/92-92/assets/parts/1/2/2/8/9/Qwiic_Connector_SMD-Black-1.jpg</t>
  </si>
  <si>
    <t>Qwiic Connector SMD - Black 10 Pcs</t>
  </si>
  <si>
    <t>COM-11143</t>
  </si>
  <si>
    <t>https://www.sparkfun.com/products/11143</t>
  </si>
  <si>
    <t>https://cdn.sparkfun.com/r/92-92/assets/parts/6/6/0/4/11143-01.jpg</t>
  </si>
  <si>
    <t>Audio Plug - 3.5mm</t>
  </si>
  <si>
    <t>PRT-08032</t>
  </si>
  <si>
    <t>https://www.sparkfun.com/products/8032</t>
  </si>
  <si>
    <t>https://cdn.sparkfun.com/r/92-92/assets/parts/1/5/8/2/Audio-3.5mm.jpg</t>
  </si>
  <si>
    <t>Audio Jack 3.5mm</t>
  </si>
  <si>
    <t>COM-11154</t>
  </si>
  <si>
    <t>https://www.sparkfun.com/products/11154</t>
  </si>
  <si>
    <t>https://cdn.sparkfun.com/r/92-92/assets/parts/6/6/1/5/11154-01.jpg</t>
  </si>
  <si>
    <t>Audio Jack - 3.5mm (Panel Mount)</t>
  </si>
  <si>
    <t>PRT-09044</t>
  </si>
  <si>
    <t>https://www.sparkfun.com/products/9044</t>
  </si>
  <si>
    <t>https://cdn.sparkfun.com/r/92-92/assets/parts/2/4/0/7/09044-02-L.jpg</t>
  </si>
  <si>
    <t>Jumper - 2 Pin</t>
  </si>
  <si>
    <t>PRT-00116</t>
  </si>
  <si>
    <t>https://www.sparkfun.com/products/116</t>
  </si>
  <si>
    <t>https://cdn.sparkfun.com/r/92-92/assets/parts/1/0/6/00116-02-L.jpg</t>
  </si>
  <si>
    <t>Break Away Headers - Straight</t>
  </si>
  <si>
    <t>PRT-00553</t>
  </si>
  <si>
    <t>https://www.sparkfun.com/products/553</t>
  </si>
  <si>
    <t>https://cdn.sparkfun.com/r/92-92/assets/parts/3/7/8/00553-03-L.jpg</t>
  </si>
  <si>
    <t>Break Away Male Headers - Right Angle</t>
  </si>
  <si>
    <t>COM-12792</t>
  </si>
  <si>
    <t>https://www.sparkfun.com/products/12792</t>
  </si>
  <si>
    <t>https://cdn.sparkfun.com/r/92-92/assets/parts/9/6/1/0/12792-01.jpg</t>
  </si>
  <si>
    <t>Break Away Headers - Right Angle 2x40</t>
  </si>
  <si>
    <t>PRT-13010</t>
  </si>
  <si>
    <t>https://www.sparkfun.com/products/13010</t>
  </si>
  <si>
    <t>https://cdn.sparkfun.com/r/92-92/assets/parts/8/1/2/1/13010-01a.jpg</t>
  </si>
  <si>
    <t>Header - 2x3 (Female, 0.1\")</t>
  </si>
  <si>
    <t>PRT-12807</t>
  </si>
  <si>
    <t>https://www.sparkfun.com/products/12807</t>
  </si>
  <si>
    <t>https://cdn.sparkfun.com/r/92-92/assets/parts/3/8/1/2/12807-02.jpg</t>
  </si>
  <si>
    <t>Header - 2x3 (Male, 0.1\")</t>
  </si>
  <si>
    <t>PRT-13875</t>
  </si>
  <si>
    <t>https://www.sparkfun.com/products/13875</t>
  </si>
  <si>
    <t>https://cdn.sparkfun.com/r/92-92/assets/parts/1/1/3/2/7/13875-02.jpg</t>
  </si>
  <si>
    <t>Stackable Header - 3 Pin (Female, 0.1\")</t>
  </si>
  <si>
    <t>PRT-08272</t>
  </si>
  <si>
    <t>https://www.sparkfun.com/products/8272</t>
  </si>
  <si>
    <t>https://cdn.sparkfun.com/r/92-92/assets/parts/1/8/8/1/2mmSocket-01-L.jpg</t>
  </si>
  <si>
    <t>2mm 10pin XBee Socket</t>
  </si>
  <si>
    <t>PRT-10112</t>
  </si>
  <si>
    <t>https://www.sparkfun.com/products/10112</t>
  </si>
  <si>
    <t>https://cdn.sparkfun.com/r/92-92/assets/parts/4/3/6/0/10112-01.jpg</t>
  </si>
  <si>
    <t>2mm 10pin XBee Header</t>
  </si>
  <si>
    <t>PRT-12614</t>
  </si>
  <si>
    <t>https://www.sparkfun.com/products/12614</t>
  </si>
  <si>
    <t>https://cdn.sparkfun.com/r/92-92/assets/parts/9/2/8/1/12614-01.jpg</t>
  </si>
  <si>
    <t>Breadboard - Giant</t>
  </si>
  <si>
    <t>TOL-12889</t>
  </si>
  <si>
    <t>https://www.sparkfun.com/products/12889</t>
  </si>
  <si>
    <t>https://cdn.sparkfun.com/r/92-92/assets/parts/9/7/8/1/12889-01.jpg</t>
  </si>
  <si>
    <t>Wall Adapter Power Supply - 5V DC 2A (Barrel Jack)</t>
  </si>
  <si>
    <t>PRT-13855</t>
  </si>
  <si>
    <t>https://www.sparkfun.com/products/13855</t>
  </si>
  <si>
    <t>https://cdn.sparkfun.com/r/92-92/assets/parts/1/1/4/6/2/13855-01.jpg</t>
  </si>
  <si>
    <t>Lithium Ion Battery - 2Ah</t>
  </si>
  <si>
    <t>COM-13187</t>
  </si>
  <si>
    <t>https://www.sparkfun.com/products/13187</t>
  </si>
  <si>
    <t>https://cdn.sparkfun.com/r/92-92/assets/parts/1/0/3/2/4/13187-01.jpg</t>
  </si>
  <si>
    <t>IntelÂ® Edison Hardware Pack</t>
  </si>
  <si>
    <t>TOL-08734</t>
  </si>
  <si>
    <t>https://www.sparkfun.com/products/8734</t>
  </si>
  <si>
    <t>https://cdn.sparkfun.com/r/92-92/assets/parts/1/9/2/1/08734-03-L.jpg</t>
  </si>
  <si>
    <t>Barrel Jack to 2-pin JST</t>
  </si>
  <si>
    <t>PRT-11214</t>
  </si>
  <si>
    <t>https://www.sparkfun.com/products/11214</t>
  </si>
  <si>
    <t>https://cdn.sparkfun.com/r/92-92/assets/parts/6/7/9/7/11214-02.jpg</t>
  </si>
  <si>
    <t>SparkFun MOSFET Power Controller</t>
  </si>
  <si>
    <t>COM-11705</t>
  </si>
  <si>
    <t>https://www.sparkfun.com/products/11705</t>
  </si>
  <si>
    <t>https://cdn.sparkfun.com/r/92-92/assets/parts/7/8/8/6/11705-01.jpg</t>
  </si>
  <si>
    <t>Barrel Jack Power Switch - M-F (3\")</t>
  </si>
  <si>
    <t>PRT-10287</t>
  </si>
  <si>
    <t>https://www.sparkfun.com/products/10287</t>
  </si>
  <si>
    <t>https://cdn.sparkfun.com/r/92-92/assets/parts/4/6/8/3/10287-01.jpg</t>
  </si>
  <si>
    <t>DC Barrel Jack Adapter - Male</t>
  </si>
  <si>
    <t>COM-14085</t>
  </si>
  <si>
    <t>https://www.sparkfun.com/products/14085</t>
  </si>
  <si>
    <t>https://cdn.sparkfun.com/r/92-92/assets/parts/1/1/9/5/0/14085-03.jpg</t>
  </si>
  <si>
    <t>Flip-Pin (8-pins)</t>
  </si>
  <si>
    <t>COM-14087</t>
  </si>
  <si>
    <t>https://www.sparkfun.com/products/14087</t>
  </si>
  <si>
    <t>https://cdn.sparkfun.com/r/92-92/assets/parts/1/1/9/5/2/14087-03.jpg</t>
  </si>
  <si>
    <t>Flip-Pin (20-pins)</t>
  </si>
  <si>
    <t>SEN-12055</t>
  </si>
  <si>
    <t>https://www.sparkfun.com/products/12055</t>
  </si>
  <si>
    <t>https://cdn.sparkfun.com/r/92-92/assets/parts/8/6/4/4/12055-01.jpg</t>
  </si>
  <si>
    <t>BOB-08688</t>
  </si>
  <si>
    <t>https://www.sparkfun.com/products/8688</t>
  </si>
  <si>
    <t>https://cdn.sparkfun.com/r/92-92/assets/parts/1/8/5/9/08688-01.jpg</t>
  </si>
  <si>
    <t>TOL-13114</t>
  </si>
  <si>
    <t>https://www.sparkfun.com/products/13114</t>
  </si>
  <si>
    <t>https://cdn.sparkfun.com/r/92-92/assets/parts/1/0/1/6/6/13114-01.jpg</t>
  </si>
  <si>
    <t>Resistor Lead Bending Tool</t>
  </si>
  <si>
    <t>TOL-11060</t>
  </si>
  <si>
    <t>https://www.sparkfun.com/products/11060</t>
  </si>
  <si>
    <t>https://cdn.sparkfun.com/r/92-92/assets/parts/6/4/3/2/11060-01.jpg</t>
  </si>
  <si>
    <t>Multimeter Probes - Tweezers</t>
  </si>
  <si>
    <t>TOL-08794</t>
  </si>
  <si>
    <t>https://www.sparkfun.com/products/8794</t>
  </si>
  <si>
    <t>https://cdn.sparkfun.com/r/92-92/assets/parts/2/0/3/4/08794-03-L.jpg</t>
  </si>
  <si>
    <t>Diagonal Cutters</t>
  </si>
  <si>
    <t>TOL-12572</t>
  </si>
  <si>
    <t>https://www.sparkfun.com/products/12572</t>
  </si>
  <si>
    <t>https://cdn.sparkfun.com/r/92-92/assets/parts/9/2/2/2/12572-01.jpg</t>
  </si>
  <si>
    <t>Tweezers - Curved (cross-lock, ESD Safe)</t>
  </si>
  <si>
    <t>TOL-10326</t>
  </si>
  <si>
    <t>https://www.sparkfun.com/products/10326</t>
  </si>
  <si>
    <t>https://cdn.sparkfun.com/r/92-92/assets/parts/4/7/3/4/10326-02.jpg</t>
  </si>
  <si>
    <t>Heaterizer XL-3000 Heat Gun</t>
  </si>
  <si>
    <t>TOL-09317</t>
  </si>
  <si>
    <t>https://www.sparkfun.com/products/9317</t>
  </si>
  <si>
    <t>https://cdn.sparkfun.com/r/92-92/assets/parts/2/8/5/8/09317-01.jpg</t>
  </si>
  <si>
    <t>Third Hand</t>
  </si>
  <si>
    <t>TOL-10706</t>
  </si>
  <si>
    <t>https://www.sparkfun.com/products/10706</t>
  </si>
  <si>
    <t>https://cdn.sparkfun.com/r/92-92/assets/parts/5/5/3/8/10706-02.jpg</t>
  </si>
  <si>
    <t>Hot-air Rework Station - 303D</t>
  </si>
  <si>
    <t>TOL-10602</t>
  </si>
  <si>
    <t>https://www.sparkfun.com/products/10602</t>
  </si>
  <si>
    <t>https://cdn.sparkfun.com/r/92-92/assets/parts/5/2/4/5/10602-01.jpg</t>
  </si>
  <si>
    <t>Tweezers - Curved (ESD Safe)</t>
  </si>
  <si>
    <t>TOL-09200</t>
  </si>
  <si>
    <t>https://www.sparkfun.com/products/9200</t>
  </si>
  <si>
    <t>https://cdn.sparkfun.com/r/92-92/assets/parts/2/6/4/6/09200-03.jpg</t>
  </si>
  <si>
    <t>Hobby Knife</t>
  </si>
  <si>
    <t>TOL-12573</t>
  </si>
  <si>
    <t>https://www.sparkfun.com/products/12573</t>
  </si>
  <si>
    <t>https://cdn.sparkfun.com/r/92-92/assets/parts/9/2/2/3/12573-02.jpg</t>
  </si>
  <si>
    <t>Tweezers - Straight (cross-lock, ESD Safe)</t>
  </si>
  <si>
    <t>TOL-09316</t>
  </si>
  <si>
    <t>https://www.sparkfun.com/products/9316</t>
  </si>
  <si>
    <t>https://cdn.sparkfun.com/r/92-92/assets/parts/2/8/5/7/09316-1.jpg</t>
  </si>
  <si>
    <t>Monocle Magnifier - Illuminated</t>
  </si>
  <si>
    <t>TOL-11952</t>
  </si>
  <si>
    <t>https://www.sparkfun.com/products/11952</t>
  </si>
  <si>
    <t>https://cdn.sparkfun.com/r/92-92/assets/parts/8/4/2/2/11952-01.jpg</t>
  </si>
  <si>
    <t>Flush Cutters - Hakko</t>
  </si>
  <si>
    <t>TOL-10410</t>
  </si>
  <si>
    <t>https://www.sparkfun.com/products/10410</t>
  </si>
  <si>
    <t>https://cdn.sparkfun.com/r/92-92/assets/parts/4/8/8/1/10410-01.jpg</t>
  </si>
  <si>
    <t>Panavise Jr. - Vacuum Base</t>
  </si>
  <si>
    <t>Connectors/Sockets/Terminals</t>
  </si>
  <si>
    <t>Servos/Motors/Actuators</t>
  </si>
  <si>
    <t>Visual Notification/Queuing</t>
  </si>
  <si>
    <t>Audible Notification/Queuing</t>
  </si>
  <si>
    <t>Home Base Station</t>
  </si>
  <si>
    <t>Hardware Components/Accessories</t>
  </si>
  <si>
    <t>Buttons/Switches/Knobs</t>
  </si>
  <si>
    <t>Location/Bearing</t>
  </si>
  <si>
    <t>Type</t>
  </si>
  <si>
    <t>Primary Component</t>
  </si>
  <si>
    <t>Secondary Component</t>
  </si>
  <si>
    <t>Hardware Component</t>
  </si>
  <si>
    <t>Low-Level Electronics</t>
  </si>
  <si>
    <t>Vitals/Environment Sensing</t>
  </si>
  <si>
    <t>QWIIC System/Components</t>
  </si>
  <si>
    <t>LiPO Battery Supply/Management</t>
  </si>
  <si>
    <t>PRT-08432</t>
  </si>
  <si>
    <t>https://www.sparkfun.com/products/8432</t>
  </si>
  <si>
    <t>https://cdn.sparkfun.com/r/92-92/assets/parts/1/3/6/5/2PinScrewTerminal-01-L.jpg</t>
  </si>
  <si>
    <t>Screw Terminals 5mm Pitch (2-Pin)</t>
  </si>
  <si>
    <t>PRT-10588</t>
  </si>
  <si>
    <t>https://www.sparkfun.com/products/10588</t>
  </si>
  <si>
    <t>https://cdn.sparkfun.com/r/92-92/assets/parts/5/2/2/9/10588-01a.jpg</t>
  </si>
  <si>
    <t>SparkFun Audio Jack Breakout</t>
  </si>
  <si>
    <t>PRT-10738</t>
  </si>
  <si>
    <t>https://www.sparkfun.com/products/10738</t>
  </si>
  <si>
    <t>https://cdn.sparkfun.com/r/92-92/assets/parts/5/6/4/4/10738-01.jpg</t>
  </si>
  <si>
    <t>Standoff - Metal (1\", 4-40, 10 pack)</t>
  </si>
  <si>
    <t>PRT-10450</t>
  </si>
  <si>
    <t>https://www.sparkfun.com/products/10450</t>
  </si>
  <si>
    <t>https://cdn.sparkfun.com/r/92-92/assets/parts/4/9/3/9/10450-02.jpg</t>
  </si>
  <si>
    <t>Screw - Phillips Head (1\", 4-40, 10 pack)</t>
  </si>
  <si>
    <t>SEN-13284</t>
  </si>
  <si>
    <t>https://www.sparkfun.com/products/13284</t>
  </si>
  <si>
    <t>https://cdn.sparkfun.com/r/92-92/assets/parts/1/0/5/3/3/13284-02.jpg</t>
  </si>
  <si>
    <t>SparkFun 9DoF IMU Breakout - LSM9DS1</t>
  </si>
  <si>
    <t>SEN-13762</t>
  </si>
  <si>
    <t>https://www.sparkfun.com/products/13762</t>
  </si>
  <si>
    <t>https://cdn.sparkfun.com/r/92-92/assets/parts/1/1/3/0/6/13762-00a.jpg</t>
  </si>
  <si>
    <t>SparkFun IMU Breakout - MPU-9250</t>
  </si>
  <si>
    <t>BOB-10160</t>
  </si>
  <si>
    <t>https://www.sparkfun.com/products/10160</t>
  </si>
  <si>
    <t>https://cdn.sparkfun.com/r/92-92/assets/parts/4/4/5/5/10160b-01.jpg</t>
  </si>
  <si>
    <t>SparkFun DeadOn RTC Breakout - DS3234</t>
  </si>
  <si>
    <t>BOB-12731</t>
  </si>
  <si>
    <t>https://www.sparkfun.com/products/12731</t>
  </si>
  <si>
    <t>https://cdn.sparkfun.com/r/92-92/assets/parts/9/4/9/6/12731-01.jpg</t>
  </si>
  <si>
    <t>SparkFun USB to Serial Breakout - FT232RL</t>
  </si>
  <si>
    <t>PRT-12699</t>
  </si>
  <si>
    <t>https://www.sparkfun.com/products/12699</t>
  </si>
  <si>
    <t>https://cdn.sparkfun.com/r/92-92/assets/parts/9/4/3/9/12699-02.jpg</t>
  </si>
  <si>
    <t>SparkFun Solder-able Breadboard - Large</t>
  </si>
  <si>
    <t>PRT-10463</t>
  </si>
  <si>
    <t>https://www.sparkfun.com/products/10463</t>
  </si>
  <si>
    <t>https://cdn.sparkfun.com/r/92-92/assets/parts/4/9/5/4/10463-01.jpg</t>
  </si>
  <si>
    <t>Standoff - Metal Hex (4-40; 3/8\"; 10 pack)</t>
  </si>
  <si>
    <t>DEV-13317</t>
  </si>
  <si>
    <t>https://www.sparkfun.com/products/13317</t>
  </si>
  <si>
    <t>https://cdn.sparkfun.com/r/92-92/assets/parts/1/0/6/0/3/13317-01.jpg</t>
  </si>
  <si>
    <t>SparkFun Big Red Box Proto Board</t>
  </si>
  <si>
    <t>PRT-13268</t>
  </si>
  <si>
    <t>https://www.sparkfun.com/products/13268</t>
  </si>
  <si>
    <t>https://cdn.sparkfun.com/r/92-92/assets/parts/1/0/4/8/9/13268-01.jpg</t>
  </si>
  <si>
    <t>SparkFun Snappable Protoboard</t>
  </si>
  <si>
    <t>GPS-00177</t>
  </si>
  <si>
    <t>https://www.sparkfun.com/products/177</t>
  </si>
  <si>
    <t>https://cdn.sparkfun.com/r/92-92/assets/parts/1/4/7/00177-01.jpg</t>
  </si>
  <si>
    <t>Antenna GPS Embedded SMA</t>
  </si>
  <si>
    <t>GPS-10920</t>
  </si>
  <si>
    <t>https://www.sparkfun.com/products/10920</t>
  </si>
  <si>
    <t>https://cdn.sparkfun.com/r/92-92/assets/parts/6/0/5/3/10920-01a.jpg</t>
  </si>
  <si>
    <t>SparkFun Venus GPS Logger - SMA Connector</t>
  </si>
  <si>
    <t>CAB-14043</t>
  </si>
  <si>
    <t>https://www.sparkfun.com/products/14043</t>
  </si>
  <si>
    <t>https://cdn.sparkfun.com/r/92-92/assets/parts/1/1/8/7/0/14043-01.jpg</t>
  </si>
  <si>
    <t>LIDAR-Lite Accessory Cable</t>
  </si>
  <si>
    <t>COM-10613</t>
  </si>
  <si>
    <t>https://www.sparkfun.com/products/10613</t>
  </si>
  <si>
    <t>https://cdn.sparkfun.com/r/92-92/assets/parts/5/2/6/9/10613-01.jpg</t>
  </si>
  <si>
    <t>Digital Potentiometer - 10K</t>
  </si>
  <si>
    <t>PRT-13126</t>
  </si>
  <si>
    <t>https://www.sparkfun.com/products/13126</t>
  </si>
  <si>
    <t>https://cdn.sparkfun.com/r/92-92/assets/parts/1/0/1/9/0/13126-01.jpg</t>
  </si>
  <si>
    <t>DC Barrel Jack Plug - Female</t>
  </si>
  <si>
    <t>SPX-14416</t>
  </si>
  <si>
    <t>https://www.sparkfun.com/products/14416</t>
  </si>
  <si>
    <t>https://cdn.sparkfun.com/r/92-92/assets/parts/1/2/4/4/2/20170801_112457_Scaled.jpg</t>
  </si>
  <si>
    <t>GeoFence - GPS Boundary Widget</t>
  </si>
  <si>
    <t>SEN-14117</t>
  </si>
  <si>
    <t>https://www.sparkfun.com/products/14117</t>
  </si>
  <si>
    <t>https://cdn.sparkfun.com/r/92-92/assets/parts/1/2/0/0/3/14117-04a.jpg</t>
  </si>
  <si>
    <t>Scanse Sweep</t>
  </si>
  <si>
    <t>COM-13316</t>
  </si>
  <si>
    <t>https://www.sparkfun.com/products/13316</t>
  </si>
  <si>
    <t>https://cdn.sparkfun.com/r/92-92/assets/parts/1/0/6/0/0/13316-01a.jpg</t>
  </si>
  <si>
    <t>EasyVR Shield 3.0 - Voice Recognition Shield</t>
  </si>
  <si>
    <t>DEV-14022</t>
  </si>
  <si>
    <t>https://www.sparkfun.com/products/14022</t>
  </si>
  <si>
    <t>https://cdn.sparkfun.com/r/92-92/assets/parts/1/1/8/2/8/14022-01a.jpg</t>
  </si>
  <si>
    <t>BITalino (r)evolution Board Kit</t>
  </si>
  <si>
    <t>LCD-12725</t>
  </si>
  <si>
    <t>https://www.sparkfun.com/products/12725</t>
  </si>
  <si>
    <t>https://cdn.sparkfun.com/r/92-92/assets/parts/9/4/8/2/12725-01.jpg</t>
  </si>
  <si>
    <t>Display Module - 7\" Touchscreen LCD</t>
  </si>
  <si>
    <t>GPS-13750</t>
  </si>
  <si>
    <t>https://www.sparkfun.com/products/13750</t>
  </si>
  <si>
    <t>https://cdn.sparkfun.com/r/92-92/assets/parts/1/1/2/8/4/13750-01.jpg</t>
  </si>
  <si>
    <t>SparkFun GPS Logger Shield</t>
  </si>
  <si>
    <t>Movement/IMU</t>
  </si>
  <si>
    <t>Breadboard/Protoboard</t>
  </si>
  <si>
    <t>Standoffs/Screws</t>
  </si>
  <si>
    <t>COM-09940</t>
  </si>
  <si>
    <t>https://www.sparkfun.com/products/9940</t>
  </si>
  <si>
    <t>https://cdn.sparkfun.com/r/92-92/assets/parts/4/0/5/0/09940-01.jpg</t>
  </si>
  <si>
    <t>Rotary Potentiometer - 10k Ohm, Logarithmic</t>
  </si>
  <si>
    <t>COM-09939</t>
  </si>
  <si>
    <t>https://www.sparkfun.com/products/9939</t>
  </si>
  <si>
    <t>https://cdn.sparkfun.com/r/92-92/assets/parts/4/0/4/9/09939-01.jpg</t>
  </si>
  <si>
    <t>Rotary Potentiometer - 10k Ohm, Linear</t>
  </si>
  <si>
    <t>COM-09288</t>
  </si>
  <si>
    <t>https://www.sparkfun.com/products/9288</t>
  </si>
  <si>
    <t>https://cdn.sparkfun.com/r/92-92/assets/parts/2/7/9/4/09288-1.jpg</t>
  </si>
  <si>
    <t>Rotary Potentiometer - Linear (10k ohm)</t>
  </si>
  <si>
    <t>COM-09117</t>
  </si>
  <si>
    <t>https://www.sparkfun.com/products/9117</t>
  </si>
  <si>
    <t>https://cdn.sparkfun.com/r/92-92/assets/parts/2/5/2/0/09117-03-L.jpg</t>
  </si>
  <si>
    <t>Rotary Encoder</t>
  </si>
  <si>
    <t>Passive Components</t>
  </si>
  <si>
    <t>GPS Logging/Fencing</t>
  </si>
  <si>
    <t>Lidar</t>
  </si>
  <si>
    <t>BOB-13263</t>
  </si>
  <si>
    <t>https://www.sparkfun.com/products/13263</t>
  </si>
  <si>
    <t>https://cdn.sparkfun.com/r/92-92/assets/parts/1/0/4/6/9/13263-01.jpg</t>
  </si>
  <si>
    <t>SparkFun FT231X Breakout</t>
  </si>
  <si>
    <t>DEV-12935</t>
  </si>
  <si>
    <t>https://www.sparkfun.com/products/12935</t>
  </si>
  <si>
    <t>https://cdn.sparkfun.com/r/92-92/assets/parts/9/8/6/1/12935-01.jpg</t>
  </si>
  <si>
    <t>SparkFun FTDI SmartBasic</t>
  </si>
  <si>
    <t>PRT-11476</t>
  </si>
  <si>
    <t>https://www.sparkfun.com/products/11476</t>
  </si>
  <si>
    <t>https://cdn.sparkfun.com/r/92-92/assets/parts/7/3/6/3/11476-01.jpg</t>
  </si>
  <si>
    <t>DC Barrel Jack Plug - Male</t>
  </si>
  <si>
    <t>PRT-10288</t>
  </si>
  <si>
    <t>https://www.sparkfun.com/products/10288</t>
  </si>
  <si>
    <t>https://cdn.sparkfun.com/r/92-92/assets/parts/4/6/8/4/10288-02.jpg</t>
  </si>
  <si>
    <t>DC Barrel Jack Adapter - Female</t>
  </si>
  <si>
    <t xml:space="preserve">Slip Ring - 6 Wire (2A) </t>
  </si>
  <si>
    <t>ROB-13064</t>
  </si>
  <si>
    <t>https://cdn.sparkfun.com/r/92-92/assets/parts/1/0/0/9/5/13064-01.jpg</t>
  </si>
  <si>
    <t>https://www.sparkfun.com/products/13064</t>
  </si>
  <si>
    <t>Equipment Classification Filtering</t>
  </si>
  <si>
    <t>Equipment Types</t>
  </si>
  <si>
    <t>Reminder Walker Functions</t>
  </si>
  <si>
    <t>Movement/Gesture Sensing</t>
  </si>
  <si>
    <t>User Queuing/Notification</t>
  </si>
  <si>
    <t xml:space="preserve">Processing/Control Unit </t>
  </si>
  <si>
    <t>Datalogging</t>
  </si>
  <si>
    <t>mBed Platform Base Station</t>
  </si>
  <si>
    <t>Intel Edison Iot/Base Station</t>
  </si>
  <si>
    <t>Java incorporating into Windows,Linux, OSX &amp; Android/iPhone</t>
  </si>
  <si>
    <t>Ethernet, C++ supporting Windows,Linux, OSX</t>
  </si>
  <si>
    <t>Smart-Home/IoT Network Integration (Fixed)</t>
  </si>
  <si>
    <t>Smart-Home/IoT Network Integration (Portable)</t>
  </si>
  <si>
    <t>MicroView Watch/Phone</t>
  </si>
  <si>
    <t xml:space="preserve">Realtek Ameba Handheld </t>
  </si>
  <si>
    <t>Ethernet,Wifi,USB+DDR2/Flash/uSD; MIPS CPU &amp; WAP: Linux LEDE(OpenWRT) &amp; C/C++,Python,NodeJS,Rust,Ruby,PHP,Perl,GoLang</t>
  </si>
  <si>
    <t>Ethernet, WiFi, NFC, USB OTG+ROM/SDRAM/SRAM, SDIO/SD control, ; 32-bit ARM: Windows/OSX &amp; Arduino IDE</t>
  </si>
  <si>
    <t>WiFi, BT4.0,USB OTG+1 GB LPDDR3/4GB eMMC  SD; Intel CPU+MCU (Atom/Quark): Yocto Linux, Arduino, C/C++, Python, Node.js, Wolfram,HTML5</t>
  </si>
  <si>
    <t>WiFi, BT4.0,USB OTG+1 GB LPDDR3/4GB eMMC/SD; Intel CPU+MCU (Atom/Quark): Yocto Linux, Arduino, C/C++, Python, Node.js, Wolfram,HTML5</t>
  </si>
  <si>
    <t>Ethernet, WiFi, BT4.0 + 4GB eMMC; MIPS CPU+ARM MCU: Linino (OpenWRT Linux derivative) &amp; Arduino IDE</t>
  </si>
  <si>
    <t>OLED+Flash; MCU: Arduino IDE</t>
  </si>
  <si>
    <t>Used to define a bounded region of space and raises an alert when the object of interest crosses over its boundary</t>
  </si>
  <si>
    <t xml:space="preserve">Maintain a record of GPS location </t>
  </si>
  <si>
    <t>Acquire detailed object/environment mapping</t>
  </si>
  <si>
    <t>Measuring user movement, accumulating then helps assess user activity level and patterns and potentially detect falls/etc.</t>
  </si>
  <si>
    <t>Touchscreen for easier interaction with walker system: set user preferences, access local/remote data, family/doctor FaceTime/Skype calls, etc.</t>
  </si>
  <si>
    <t>Make some features particularly emergency services able to be initiated via voice commands alone, perhaps some features restricted only to user voice</t>
  </si>
  <si>
    <t xml:space="preserve">System/kit of vitals/health status sensors measuring EMG/ECG/EEG, EDA; requires electrodes/biomedical sensor pads be attached to user body </t>
  </si>
  <si>
    <t>Antenna to be attached to GPS devices' SMA connectors</t>
  </si>
  <si>
    <t>Allows full/continuous Lidar rotation</t>
  </si>
  <si>
    <t>Required for Scanse Sweep</t>
  </si>
  <si>
    <t>MicroView Watch/Relay</t>
  </si>
  <si>
    <t>Realtek Ameba Handheld</t>
  </si>
  <si>
    <t>Linux + Arduino Home Base Station</t>
  </si>
  <si>
    <t>Smart Phone &amp; Computer App Companion</t>
  </si>
  <si>
    <t>Advanced &amp; Optional Components</t>
  </si>
  <si>
    <t>Vitals/Health Status Sensing</t>
  </si>
  <si>
    <t>Remote/Home IoT Communication</t>
  </si>
  <si>
    <t>User-System Interaction: Access/Control</t>
  </si>
  <si>
    <t>Successful Queuing Verification/Response</t>
  </si>
  <si>
    <t>Onion Omega2+ Handheld</t>
  </si>
  <si>
    <t>DEV-14439</t>
  </si>
  <si>
    <t>https://www.sparkfun.com/products/14439</t>
  </si>
  <si>
    <t>https://cdn.sparkfun.com/r/92-92/assets/parts/1/2/4/6/9/14439-03.jpg</t>
  </si>
  <si>
    <t>Expansion Dock for Onion Omega</t>
  </si>
  <si>
    <t>PRT-09771</t>
  </si>
  <si>
    <t>https://www.sparkfun.com/products/9771</t>
  </si>
  <si>
    <t>https://cdn.sparkfun.com/r/92-92/assets/parts/3/7/4/5/09771-04.jpg</t>
  </si>
  <si>
    <t>Theragrip Thermal Tape</t>
  </si>
  <si>
    <t>PRT-00121</t>
  </si>
  <si>
    <t>https://www.sparkfun.com/products/121</t>
  </si>
  <si>
    <t>https://cdn.sparkfun.com/r/92-92/assets/parts/1/1/0/00121-02.jpg</t>
  </si>
  <si>
    <t>Heatsink TO-220</t>
  </si>
  <si>
    <t>PRT-11510</t>
  </si>
  <si>
    <t>https://www.sparkfun.com/products/11510</t>
  </si>
  <si>
    <t>https://cdn.sparkfun.com/r/92-92/assets/parts/5/7/0/4/10746-02a.jpg</t>
  </si>
  <si>
    <t>Small Heatsink</t>
  </si>
  <si>
    <t>SEN-08733</t>
  </si>
  <si>
    <t>https://www.sparkfun.com/products/8733</t>
  </si>
  <si>
    <t>https://cdn.sparkfun.com/r/92-92/assets/parts/1/9/2/0/08733-03-L.jpg</t>
  </si>
  <si>
    <t>Infrared Sensor Jumper Wire - 3-Pin JST</t>
  </si>
  <si>
    <t>COM-00317</t>
  </si>
  <si>
    <t>https://www.sparkfun.com/products/317</t>
  </si>
  <si>
    <t>https://cdn.sparkfun.com/r/92-92/assets/parts/2/5/3/dc_dc_regulator.jpg</t>
  </si>
  <si>
    <t>Step Up/Down Inverting Switching Regulator</t>
  </si>
  <si>
    <t>PRT-12044</t>
  </si>
  <si>
    <t>https://www.sparkfun.com/products/12044</t>
  </si>
  <si>
    <t>https://cdn.sparkfun.com/r/92-92/assets/parts/8/6/2/7/12044-01.jpg</t>
  </si>
  <si>
    <t>Breadboard - Mini Modular (Red)</t>
  </si>
  <si>
    <t>DEV-11632</t>
  </si>
  <si>
    <t>https://www.sparkfun.com/products/11632</t>
  </si>
  <si>
    <t>https://cdn.sparkfun.com/r/92-92/assets/parts/7/6/8/8/11632-01.jpg</t>
  </si>
  <si>
    <t>IOIO and Breadboard Holder</t>
  </si>
  <si>
    <t>DEV-11723</t>
  </si>
  <si>
    <t>https://www.sparkfun.com/products/11723</t>
  </si>
  <si>
    <t>https://cdn.sparkfun.com/r/92-92/assets/parts/7/9/3/4/11723-01.jpg</t>
  </si>
  <si>
    <t>Mux Shield II</t>
  </si>
  <si>
    <t>TOL-12890</t>
  </si>
  <si>
    <t>https://www.sparkfun.com/products/12890</t>
  </si>
  <si>
    <t>https://cdn.sparkfun.com/r/92-92/assets/parts/9/7/8/2/12890-01.jpg</t>
  </si>
  <si>
    <t>Wall Adapter Power Supply - 5V DC 2A (USB Micro-B)</t>
  </si>
  <si>
    <t>BOB-13098</t>
  </si>
  <si>
    <t>https://www.sparkfun.com/products/13098</t>
  </si>
  <si>
    <t>https://cdn.sparkfun.com/r/92-92/assets/parts/1/0/1/4/0/13098-03.jpg</t>
  </si>
  <si>
    <t>SparkFun Rotary Switch Breakout</t>
  </si>
  <si>
    <t>COM-13253</t>
  </si>
  <si>
    <t>https://www.sparkfun.com/products/13253</t>
  </si>
  <si>
    <t>https://cdn.sparkfun.com/r/92-92/assets/parts/9/8/3/4/13253-01.jpg</t>
  </si>
  <si>
    <t>Rotary Switch - 10 Position</t>
  </si>
  <si>
    <t>BOB-13099</t>
  </si>
  <si>
    <t>https://www.sparkfun.com/products/13099</t>
  </si>
  <si>
    <t>https://cdn.sparkfun.com/r/92-92/assets/parts/1/0/1/4/1/13099-01.jpg</t>
  </si>
  <si>
    <t>SparkFun Rotary Switch Potentiometer Breakout</t>
  </si>
  <si>
    <t>DEV-13035</t>
  </si>
  <si>
    <t>https://www.sparkfun.com/products/13035</t>
  </si>
  <si>
    <t>https://cdn.sparkfun.com/r/92-92/assets/parts/1/0/0/3/6/13035-01.jpg</t>
  </si>
  <si>
    <t>SparkFun Block for IntelÂ® Edison - OLED</t>
  </si>
  <si>
    <t>BOB-13884</t>
  </si>
  <si>
    <t>https://www.sparkfun.com/products/13884</t>
  </si>
  <si>
    <t>https://cdn.sparkfun.com/r/92-92/assets/parts/1/1/5/2/0/13884-02.jpg</t>
  </si>
  <si>
    <t xml:space="preserve">SparkFun LED Driver Breakout - LP55231 </t>
  </si>
  <si>
    <t>BOB-13282</t>
  </si>
  <si>
    <t>https://www.sparkfun.com/products/13282</t>
  </si>
  <si>
    <t>https://cdn.sparkfun.com/r/92-92/assets/parts/1/0/5/2/2/13282-03.jpg</t>
  </si>
  <si>
    <t>SparkFun RGB LED Breakout - WS2812B</t>
  </si>
  <si>
    <t>COM-12014</t>
  </si>
  <si>
    <t>https://www.sparkfun.com/products/12014</t>
  </si>
  <si>
    <t>https://cdn.sparkfun.com/r/92-92/assets/parts/8/5/3/5/12014-01.jpg</t>
  </si>
  <si>
    <t>LED Light Bar - White (SMD)</t>
  </si>
  <si>
    <t>TOL-11784</t>
  </si>
  <si>
    <t>https://www.sparkfun.com/products/11784</t>
  </si>
  <si>
    <t>https://cdn.sparkfun.com/r/92-92/assets/parts/8/0/3/1/11784-05.jpg</t>
  </si>
  <si>
    <t>SparkFun Third Hand Kit</t>
  </si>
  <si>
    <t>DEV-13770</t>
  </si>
  <si>
    <t>https://www.sparkfun.com/products/13770</t>
  </si>
  <si>
    <t>https://cdn.sparkfun.com/r/92-92/assets/parts/1/1/3/2/1/13770-00.jpg</t>
  </si>
  <si>
    <t>SparkFun Block for Intel Edison - ADC</t>
  </si>
  <si>
    <t>DEV-14431</t>
  </si>
  <si>
    <t>https://www.sparkfun.com/products/14431</t>
  </si>
  <si>
    <t>https://cdn.sparkfun.com/r/92-92/assets/parts/1/2/4/6/1/14431-01.jpg</t>
  </si>
  <si>
    <t>Onion Omega2+ IoT Computer</t>
  </si>
  <si>
    <t>DEV-14443</t>
  </si>
  <si>
    <t>https://www.sparkfun.com/products/14443</t>
  </si>
  <si>
    <t>https://cdn.sparkfun.com/r/92-92/assets/parts/1/2/4/7/3/14443-01.jpg</t>
  </si>
  <si>
    <t>Proto Expansion Board for Onion Omega</t>
  </si>
  <si>
    <t>DEV-14446</t>
  </si>
  <si>
    <t>https://www.sparkfun.com/products/14446</t>
  </si>
  <si>
    <t>https://cdn.sparkfun.com/r/92-92/assets/parts/1/2/4/7/6/14446-01.jpg</t>
  </si>
  <si>
    <t>GPS Expansion Board for Onion Omega</t>
  </si>
  <si>
    <t>DEV-14442</t>
  </si>
  <si>
    <t>https://www.sparkfun.com/products/14442</t>
  </si>
  <si>
    <t>https://cdn.sparkfun.com/r/92-92/assets/parts/1/2/4/7/2/14442-01.jpg</t>
  </si>
  <si>
    <t>OLED Expansion Board for Onion Omega</t>
  </si>
  <si>
    <t>DEV-14441</t>
  </si>
  <si>
    <t>https://www.sparkfun.com/products/14441</t>
  </si>
  <si>
    <t>https://cdn.sparkfun.com/r/92-92/assets/parts/1/2/4/7/1/14441-02.jpg</t>
  </si>
  <si>
    <t>Ethernet Expansion Board for Onion Omega</t>
  </si>
  <si>
    <t>DEV-14438</t>
  </si>
  <si>
    <t>https://www.sparkfun.com/products/14438</t>
  </si>
  <si>
    <t>https://cdn.sparkfun.com/r/92-92/assets/parts/1/2/4/6/8/14438-01.jpg</t>
  </si>
  <si>
    <t>Arduino Dock R2 for Onion Omega</t>
  </si>
  <si>
    <t>TOL-10325</t>
  </si>
  <si>
    <t>https://www.sparkfun.com/products/10325</t>
  </si>
  <si>
    <t>https://cdn.sparkfun.com/r/92-92/assets/parts/4/7/3/3/10325-02.jpg</t>
  </si>
  <si>
    <t>Hobby Knife Replacement Blades</t>
  </si>
  <si>
    <t>Onion Omega2+ + Arduino Base Station</t>
  </si>
  <si>
    <t>LCD-00710</t>
  </si>
  <si>
    <t>https://www.sparkfun.com/products/710</t>
  </si>
  <si>
    <t>https://cdn.sparkfun.com/r/92-92/assets/parts/4/9/2/00710-01.jpg</t>
  </si>
  <si>
    <t>Graphic LCD 128x64 STN LED Backlight</t>
  </si>
  <si>
    <t>SPX-14257</t>
  </si>
  <si>
    <t>https://www.sparkfun.com/products/14257</t>
  </si>
  <si>
    <t>https://cdn.sparkfun.com/r/92-92/assets/parts/1/2/2/0/5/Qwiic_Mux_Shield_Arduino_04.jpg</t>
  </si>
  <si>
    <t>Qwiic Mux Shield for Arduino - PCA9548A</t>
  </si>
  <si>
    <t>SPX-14293</t>
  </si>
  <si>
    <t>https://www.sparkfun.com/products/14293</t>
  </si>
  <si>
    <t>https://cdn.sparkfun.com/r/92-92/assets/parts/1/2/2/5/2/Qwiic-Mux-PCA9548A-3.jpg</t>
  </si>
  <si>
    <t>Qwiic Mux - PCA9548A</t>
  </si>
  <si>
    <t>KIT-11734</t>
  </si>
  <si>
    <t>https://www.sparkfun.com/products/11734</t>
  </si>
  <si>
    <t>https://cdn.sparkfun.com/r/92-92/assets/parts/7/9/4/6/11734-01.jpg</t>
  </si>
  <si>
    <t>SparkFun BigTime Watch Kit</t>
  </si>
  <si>
    <t>TOL-13086</t>
  </si>
  <si>
    <t>https://www.sparkfun.com/products/13086</t>
  </si>
  <si>
    <t>https://cdn.sparkfun.com/r/92-92/assets/parts/1/0/1/2/0/13086-02.jpg</t>
  </si>
  <si>
    <t>Tool Kit - Beginner</t>
  </si>
  <si>
    <t>KIT-11488</t>
  </si>
  <si>
    <t>https://www.sparkfun.com/products/11488</t>
  </si>
  <si>
    <t>https://cdn.sparkfun.com/r/92-92/assets/parts/7/3/7/9/11488-04b.jpg</t>
  </si>
  <si>
    <t>Solder : Time II Watch Kit</t>
  </si>
  <si>
    <t>PRT-00114</t>
  </si>
  <si>
    <t>https://www.sparkfun.com/products/114</t>
  </si>
  <si>
    <t>https://cdn.sparkfun.com/r/92-92/assets/parts/1/0/4/00114-05.jpg</t>
  </si>
  <si>
    <t>SparkFun Breadboard Power Supply 5V/3.3V</t>
  </si>
  <si>
    <t>Comes in "Tool Kit - Beginner" TOL-13086</t>
  </si>
  <si>
    <t>For Luxeon Rebel High Power LED COM-09637</t>
  </si>
  <si>
    <t># &gt; 0 ? T/F</t>
  </si>
  <si>
    <t>COM-10994</t>
  </si>
  <si>
    <t>https://www.sparkfun.com/products/10994</t>
  </si>
  <si>
    <t>https://cdn.sparkfun.com/r/92-92/assets/parts/6/2/3/7/10994-01b.jpg</t>
  </si>
  <si>
    <t>Bare Conductive - Electric Paint (50ml)</t>
  </si>
  <si>
    <t>SEN-12041</t>
  </si>
  <si>
    <t>https://www.sparkfun.com/products/12041</t>
  </si>
  <si>
    <t>https://cdn.sparkfun.com/r/92-92/assets/parts/8/6/1/8/12041-01a.jpg</t>
  </si>
  <si>
    <t>SparkFun Capacitive Touch Breakout - AT42QT1010</t>
  </si>
  <si>
    <t>PRT-13144</t>
  </si>
  <si>
    <t>https://www.sparkfun.com/products/13144</t>
  </si>
  <si>
    <t>https://cdn.sparkfun.com/r/92-92/assets/parts/1/0/2/1/8/13144-02.jpg</t>
  </si>
  <si>
    <t>SparkFun Touch Potentiometer</t>
  </si>
  <si>
    <t>DEV-13298</t>
  </si>
  <si>
    <t>https://www.sparkfun.com/products/13298</t>
  </si>
  <si>
    <t>https://cdn.sparkfun.com/r/92-92/assets/parts/1/0/5/5/4/13298-02.jpg</t>
  </si>
  <si>
    <t>Bare Conductive Touch Board</t>
  </si>
  <si>
    <t>COM-13254</t>
  </si>
  <si>
    <t>https://www.sparkfun.com/products/13254</t>
  </si>
  <si>
    <t>https://cdn.sparkfun.com/r/92-92/assets/parts/1/0/4/5/5/13254-01.jpg</t>
  </si>
  <si>
    <t>Circuit Scribe Conductive Ink Pen</t>
  </si>
  <si>
    <t>PRT-13828</t>
  </si>
  <si>
    <t>https://www.sparkfun.com/products/13828</t>
  </si>
  <si>
    <t>https://cdn.sparkfun.com/r/92-92/assets/parts/1/1/4/2/3/13828-01.jpg</t>
  </si>
  <si>
    <t>Copper Tape - Conductive Adhesive, 2\" (50ft)</t>
  </si>
  <si>
    <t>PRT-11081</t>
  </si>
  <si>
    <t>https://www.sparkfun.com/products/11081</t>
  </si>
  <si>
    <t>https://cdn.sparkfun.com/r/92-92/assets/parts/6/4/7/1/11081-02.jpg</t>
  </si>
  <si>
    <t>Copper Tape - 2\" (50ft)</t>
  </si>
  <si>
    <t>PRT-10561</t>
  </si>
  <si>
    <t>https://www.sparkfun.com/products/10561</t>
  </si>
  <si>
    <t>https://cdn.sparkfun.com/r/92-92/assets/parts/5/1/8/1/10561-01.jpg</t>
  </si>
  <si>
    <t>Copper Tape - 5mm (50ft)</t>
  </si>
  <si>
    <t>PRT-13827</t>
  </si>
  <si>
    <t>https://www.sparkfun.com/products/13827</t>
  </si>
  <si>
    <t>https://cdn.sparkfun.com/r/92-92/assets/parts/1/1/4/2/2/13827-01.jpg</t>
  </si>
  <si>
    <t>Copper Tape - Conductive Adhesive, 5mm (50ft)</t>
  </si>
  <si>
    <t>PRT-09353</t>
  </si>
  <si>
    <t>https://www.sparkfun.com/products/9353</t>
  </si>
  <si>
    <t>https://cdn.sparkfun.com/r/92-92/assets/parts/2/9/2/3/09353-01.jpg</t>
  </si>
  <si>
    <t>Heat Shrink Kit</t>
  </si>
  <si>
    <t>COM-11521</t>
  </si>
  <si>
    <t>https://www.sparkfun.com/products/11521</t>
  </si>
  <si>
    <t>https://cdn.sparkfun.com/r/92-92/assets/parts/7/4/4/1/11521-02_1.jpg</t>
  </si>
  <si>
    <t>Bare Conductive - Electric Paint Pen (10ml)</t>
  </si>
  <si>
    <t>TOL-10951</t>
  </si>
  <si>
    <t>https://www.sparkfun.com/products/10951</t>
  </si>
  <si>
    <t>https://cdn.sparkfun.com/r/92-92/assets/parts/6/1/2/8/10951-01a.jpg</t>
  </si>
  <si>
    <t>Polymorph - 1000g</t>
  </si>
  <si>
    <t>TOL-10950</t>
  </si>
  <si>
    <t>https://www.sparkfun.com/products/10950</t>
  </si>
  <si>
    <t>https://cdn.sparkfun.com/r/92-92/assets/parts/6/1/2/7/10950-01.jpg</t>
  </si>
  <si>
    <t>Polymorph - 250g</t>
  </si>
  <si>
    <t>PRT-09599</t>
  </si>
  <si>
    <t>https://www.sparkfun.com/products/9599</t>
  </si>
  <si>
    <t>https://cdn.sparkfun.com/r/92-92/assets/parts/3/4/2/2/09599-01.jpg</t>
  </si>
  <si>
    <t>Heatsink Compound</t>
  </si>
  <si>
    <t>PRT-14340</t>
  </si>
  <si>
    <t>https://www.sparkfun.com/products/14340</t>
  </si>
  <si>
    <t>https://cdn.sparkfun.com/r/92-92/assets/parts/1/2/3/1/6/14340-01.jpg</t>
  </si>
  <si>
    <t>Medium Heatsink</t>
  </si>
  <si>
    <t>COM-12766</t>
  </si>
  <si>
    <t>https://www.sparkfun.com/products/12766</t>
  </si>
  <si>
    <t>https://cdn.sparkfun.com/r/92-92/assets/parts/4/4/2/4/12766-01.jpg</t>
  </si>
  <si>
    <t>Voltage Regulator - 12V</t>
  </si>
  <si>
    <t>COM-10827</t>
  </si>
  <si>
    <t>https://www.sparkfun.com/products/10827</t>
  </si>
  <si>
    <t>https://cdn.sparkfun.com/r/92-92/assets/parts/3/0/2/2/10827-02.jpg</t>
  </si>
  <si>
    <t>Voltage Regulator - BD10KA5W (500mA)</t>
  </si>
  <si>
    <t>BOB-00717</t>
  </si>
  <si>
    <t>https://www.sparkfun.com/products/717</t>
  </si>
  <si>
    <t>https://cdn.sparkfun.com/r/92-92/assets/parts/4/7/9/00717-01.jpg</t>
  </si>
  <si>
    <t>SparkFun SOT23 to DIP Adapter</t>
  </si>
  <si>
    <t>COM-10828</t>
  </si>
  <si>
    <t>https://www.sparkfun.com/products/10828</t>
  </si>
  <si>
    <t>https://cdn.sparkfun.com/r/92-92/assets/parts/3/0/2/1/10828-00.jpg</t>
  </si>
  <si>
    <t>Voltage Detector - NCP303</t>
  </si>
  <si>
    <t>COM-00595</t>
  </si>
  <si>
    <t>https://www.sparkfun.com/products/595</t>
  </si>
  <si>
    <t>https://cdn.sparkfun.com/r/92-92/assets/parts/4/1/4/LM1117.jpg</t>
  </si>
  <si>
    <t>Voltage Regulator - Adjustable LM1117 SMD</t>
  </si>
  <si>
    <t>Extras &amp; Alternatives</t>
  </si>
  <si>
    <t>COM-10442</t>
  </si>
  <si>
    <t>LED Tactile Button - Red</t>
  </si>
  <si>
    <t>BOB-10467</t>
  </si>
  <si>
    <t>https://www.sparkfun.com/products/10467</t>
  </si>
  <si>
    <t>https://cdn.sparkfun.com/r/92-92/assets/parts/4/9/5/9/10467-01.jpg</t>
  </si>
  <si>
    <t>LED Tactile Button Breakout</t>
  </si>
  <si>
    <t>https://www.sparkfun.com/products/10442</t>
  </si>
  <si>
    <t>https://cdn.sparkfun.com/r/92-92/assets/parts/4/9/3/0/10442-01.jpg</t>
  </si>
  <si>
    <t>Enclosures/Mounts</t>
  </si>
  <si>
    <t>Heat Insulation/Dissipation</t>
  </si>
  <si>
    <t>Trace/Shielding Construction</t>
  </si>
  <si>
    <t>COM-10095</t>
  </si>
  <si>
    <t>https://www.sparkfun.com/products/10095</t>
  </si>
  <si>
    <t>https://cdn.sparkfun.com/r/92-92/assets/parts/4/3/1/9/10095-01.jpg</t>
  </si>
  <si>
    <t>Break Away Headers - Right Angle 3x40</t>
  </si>
  <si>
    <t>Not needed if purchasing Hat-air Rework Station TOL-10706</t>
  </si>
  <si>
    <t>47 x 35 x 10mm</t>
  </si>
  <si>
    <t>PRT-12047</t>
  </si>
  <si>
    <t>https://www.sparkfun.com/products/12047</t>
  </si>
  <si>
    <t>https://cdn.sparkfun.com/r/92-92/assets/parts/8/6/3/0/12047-01.jpg</t>
  </si>
  <si>
    <t>Breadboard - Mini Modular (Black)</t>
  </si>
  <si>
    <t>PRT-12842</t>
  </si>
  <si>
    <t>https://www.sparkfun.com/products/12842</t>
  </si>
  <si>
    <t>https://cdn.sparkfun.com/r/92-92/assets/parts/9/6/9/2/12842-01.jpg</t>
  </si>
  <si>
    <t>BeagleBone Black Enclosure - Clear Plastic</t>
  </si>
  <si>
    <t>DEV-12774</t>
  </si>
  <si>
    <t>https://www.sparkfun.com/products/12774</t>
  </si>
  <si>
    <t>https://cdn.sparkfun.com/r/92-92/assets/parts/9/5/5/9/12774-02.jpg</t>
  </si>
  <si>
    <t>SparkFun BeagleBone Black Proto Cape</t>
  </si>
  <si>
    <t>DEV-12086</t>
  </si>
  <si>
    <t>https://www.sparkfun.com/products/12086</t>
  </si>
  <si>
    <t>https://cdn.sparkfun.com/r/92-92/assets/parts/8/7/1/8/12086-01.jpg</t>
  </si>
  <si>
    <t>BeagleBone Black Cape - LCD (7.0\")</t>
  </si>
  <si>
    <t>DEV-12085</t>
  </si>
  <si>
    <t>https://www.sparkfun.com/products/12085</t>
  </si>
  <si>
    <t>https://cdn.sparkfun.com/r/92-92/assets/parts/8/7/1/7/12085-01.jpg</t>
  </si>
  <si>
    <t>BeagleBone Black Cape - LCD (4.3\")</t>
  </si>
  <si>
    <t>DEV-14162</t>
  </si>
  <si>
    <t>https://www.sparkfun.com/products/14162</t>
  </si>
  <si>
    <t>https://cdn.sparkfun.com/r/92-92/assets/parts/1/2/0/7/6/14162-02.jpg</t>
  </si>
  <si>
    <t>BeagleBone Black Wireless</t>
  </si>
  <si>
    <t>COM-09609</t>
  </si>
  <si>
    <t>https://www.sparkfun.com/products/9609</t>
  </si>
  <si>
    <t>https://cdn.sparkfun.com/r/92-92/assets/parts/3/4/3/1/09609-01.jpg</t>
  </si>
  <si>
    <t>SPDT Slide Switch</t>
  </si>
  <si>
    <t>SEN-09197</t>
  </si>
  <si>
    <t>https://www.sparkfun.com/products/9197</t>
  </si>
  <si>
    <t>https://cdn.sparkfun.com/r/92-92/assets/parts/2/6/4/3/09197-02-L.jpg</t>
  </si>
  <si>
    <t>Piezo Vibration Sensor - Large with Mass</t>
  </si>
  <si>
    <t>SEN-09198</t>
  </si>
  <si>
    <t>https://www.sparkfun.com/products/9198</t>
  </si>
  <si>
    <t>https://cdn.sparkfun.com/r/92-92/assets/parts/2/6/4/4/09198-03-L.jpg</t>
  </si>
  <si>
    <t>Piezo Vibration Sensor - Small Horizontal</t>
  </si>
  <si>
    <t>SEN-09199</t>
  </si>
  <si>
    <t>https://www.sparkfun.com/products/9199</t>
  </si>
  <si>
    <t>https://cdn.sparkfun.com/r/92-92/assets/parts/2/6/4/5/09199-03-L.jpg</t>
  </si>
  <si>
    <t>Piezo Vibration Sensor - Small Vertical</t>
  </si>
  <si>
    <t xml:space="preserve">WiFi, BT4.0,USB,HDMI+512MB DDR3/4GB eMMC  SD,3D; 1GHz ARM+2xPRU 32b-MCU: Debian/Android + WinCE/Ubuntu/Yocto/Linaro/TI/Fedora &amp; Node.js + C/C++,HTML, CSS, PHP, Java, Ruby </t>
  </si>
  <si>
    <t>Jumper Wires Premium 6\" M/M - 20 AWG (10 Pack)</t>
  </si>
  <si>
    <t>PRT-11709</t>
  </si>
  <si>
    <t>PRT-09915</t>
  </si>
  <si>
    <t>https://www.sparkfun.com/products/9915</t>
  </si>
  <si>
    <t>https://cdn.sparkfun.com/r/92-92/assets/parts/4/0/2/1/09915-02b.jpg</t>
  </si>
  <si>
    <t>JST Jumper 3 Wire Assembly</t>
  </si>
  <si>
    <t>PRT-08097</t>
  </si>
  <si>
    <t>https://www.sparkfun.com/products/8097</t>
  </si>
  <si>
    <t>https://cdn.sparkfun.com/r/92-92/assets/parts/6/6/3/Connectors.jpg</t>
  </si>
  <si>
    <t>Polarized Connectors - Housing (4-Pin)</t>
  </si>
  <si>
    <t>PRT-10501</t>
  </si>
  <si>
    <t>https://www.sparkfun.com/products/10501</t>
  </si>
  <si>
    <t>https://cdn.sparkfun.com/r/92-92/assets/parts/5/0/3/5/10501-01.jpg</t>
  </si>
  <si>
    <t>JST RCY Connector - Male/Female Set (2-pin)</t>
  </si>
  <si>
    <t>PRT-08233</t>
  </si>
  <si>
    <t>https://www.sparkfun.com/products/8233</t>
  </si>
  <si>
    <t>https://cdn.sparkfun.com/r/92-92/assets/parts/5/5/8/Connectors.jpg</t>
  </si>
  <si>
    <t>Polarized Connectors - Header (2-Pin)</t>
  </si>
  <si>
    <t>PRT-08231</t>
  </si>
  <si>
    <t>https://www.sparkfun.com/products/8231</t>
  </si>
  <si>
    <t>https://cdn.sparkfun.com/r/92-92/assets/parts/4/9/9/Connectors.jpg</t>
  </si>
  <si>
    <t>Polarized Connectors - Header (4-Pin)</t>
  </si>
  <si>
    <t>PRT-08095</t>
  </si>
  <si>
    <t>https://www.sparkfun.com/products/8095</t>
  </si>
  <si>
    <t>https://cdn.sparkfun.com/r/92-92/assets/parts/6/6/1/08095-03-L.jpg</t>
  </si>
  <si>
    <t>Polarized Connectors - Housing (2-Pin)</t>
  </si>
  <si>
    <t>PRT-08073</t>
  </si>
  <si>
    <t>https://www.sparkfun.com/products/8073</t>
  </si>
  <si>
    <t>https://cdn.sparkfun.com/r/92-92/assets/parts/6/5/2/08073-01.jpg</t>
  </si>
  <si>
    <t>Spring Terminals - PCB Mount (2-Pin)</t>
  </si>
  <si>
    <t>PRT-08232</t>
  </si>
  <si>
    <t>https://www.sparkfun.com/products/8232</t>
  </si>
  <si>
    <t>https://cdn.sparkfun.com/r/92-92/assets/parts/1/7/0/8/Connectors.jpg</t>
  </si>
  <si>
    <t>Polarized Connectors - Header (3-Pin)</t>
  </si>
  <si>
    <t>PRT-08096</t>
  </si>
  <si>
    <t>https://www.sparkfun.com/products/8096</t>
  </si>
  <si>
    <t>https://cdn.sparkfun.com/r/92-92/assets/parts/6/6/2/Connectors.jpg</t>
  </si>
  <si>
    <t>Polarized Connectors - Housing (3-Pin)</t>
  </si>
  <si>
    <t>PRT-08026</t>
  </si>
  <si>
    <t>https://www.sparkfun.com/products/8026</t>
  </si>
  <si>
    <t>https://cdn.sparkfun.com/r/92-92/assets/parts/6/4/6/08026-01.jpg</t>
  </si>
  <si>
    <t>Hook-up Wire - White (22 AWG)</t>
  </si>
  <si>
    <t>PRT-08024</t>
  </si>
  <si>
    <t>https://www.sparkfun.com/products/8024</t>
  </si>
  <si>
    <t>https://cdn.sparkfun.com/r/92-92/assets/parts/6/4/4/08024-01a.jpg</t>
  </si>
  <si>
    <t>Hook-up Wire - Yellow (22 AWG)</t>
  </si>
  <si>
    <t>PRT-08022</t>
  </si>
  <si>
    <t>https://www.sparkfun.com/products/8022</t>
  </si>
  <si>
    <t>https://cdn.sparkfun.com/r/92-92/assets/parts/6/4/2/08022-01.jpg</t>
  </si>
  <si>
    <t>Hook-up Wire - Black (22 AWG)</t>
  </si>
  <si>
    <t>PRT-08023</t>
  </si>
  <si>
    <t>https://www.sparkfun.com/products/8023</t>
  </si>
  <si>
    <t>https://cdn.sparkfun.com/r/92-92/assets/parts/6/4/3/08023-01.jpg</t>
  </si>
  <si>
    <t>Hook-up Wire - Red (22 AWG)</t>
  </si>
  <si>
    <t>SEN-12916</t>
  </si>
  <si>
    <t>https://www.sparkfun.com/products/12916</t>
  </si>
  <si>
    <t>https://cdn.sparkfun.com/r/92-92/assets/parts/9/8/2/8/12916-01.jpg</t>
  </si>
  <si>
    <t>SparkFun HMC6343 Breakout</t>
  </si>
  <si>
    <t>BeagleBone Black Iot/Base Station</t>
  </si>
  <si>
    <t>Wall/Breadboard Power Supply</t>
  </si>
  <si>
    <t>Total</t>
  </si>
  <si>
    <t>Total Price</t>
  </si>
  <si>
    <t>PRT-08433</t>
  </si>
  <si>
    <t>https://www.sparkfun.com/products/8433</t>
  </si>
  <si>
    <t>https://cdn.sparkfun.com/r/92-92/assets/parts/1/3/6/4/3PinScrewTerminal-01-L.jpg</t>
  </si>
  <si>
    <t>Screw Terminals 5mm Pitch (3-Pin)</t>
  </si>
  <si>
    <t>PRT-08074</t>
  </si>
  <si>
    <t>https://www.sparkfun.com/products/8074</t>
  </si>
  <si>
    <t>https://cdn.sparkfun.com/r/92-92/assets/parts/6/5/3/08074-01.jpg</t>
  </si>
  <si>
    <t>Spring Terminals - PCB Mount (3-Pin)</t>
  </si>
  <si>
    <t>SEN-09375</t>
  </si>
  <si>
    <t>https://www.sparkfun.com/products/9375</t>
  </si>
  <si>
    <t>https://cdn.sparkfun.com/r/92-92/assets/parts/2/9/6/7/09375-1.jpg</t>
  </si>
  <si>
    <t>Force Sensitive Resistor 0.5\"</t>
  </si>
  <si>
    <t>SEN-08606</t>
  </si>
  <si>
    <t>https://www.sparkfun.com/products/8606</t>
  </si>
  <si>
    <t>https://cdn.sparkfun.com/r/92-92/assets/parts/1/6/8/6/08606-03-L.jpg</t>
  </si>
  <si>
    <t>Flex Sensor 4.5\"</t>
  </si>
  <si>
    <t>SEN-09674</t>
  </si>
  <si>
    <t>https://www.sparkfun.com/products/9674</t>
  </si>
  <si>
    <t>https://cdn.sparkfun.com/r/92-92/assets/parts/3/5/3/8/09674-01.jpg</t>
  </si>
  <si>
    <t>Force Sensitive Resistor - Long</t>
  </si>
  <si>
    <t>SEN-09673</t>
  </si>
  <si>
    <t>https://www.sparkfun.com/products/9673</t>
  </si>
  <si>
    <t>https://cdn.sparkfun.com/r/92-92/assets/parts/3/5/3/7/09673-01.jpg</t>
  </si>
  <si>
    <t>Force Sensitive Resistor - Small</t>
  </si>
  <si>
    <t>Voice Recognition</t>
  </si>
  <si>
    <t>Touchscreen</t>
  </si>
  <si>
    <t>High-Precision Compass</t>
  </si>
  <si>
    <t>Equipment PO List</t>
  </si>
  <si>
    <t>TOL-12878</t>
  </si>
  <si>
    <t>https://www.sparkfun.com/products/12878</t>
  </si>
  <si>
    <t>https://cdn.sparkfun.com/r/92-92/assets/parts/9/7/6/3/12878-01.jpg</t>
  </si>
  <si>
    <t>Solder Paste - 50g (Lead Free)</t>
  </si>
  <si>
    <t>COM-09938</t>
  </si>
  <si>
    <t>https://www.sparkfun.com/products/9938</t>
  </si>
  <si>
    <t>https://cdn.sparkfun.com/r/92-92/assets/parts/3/9/3/1/09935-01.jpg</t>
  </si>
  <si>
    <t>10 Segment LED Bar Graph - Green</t>
  </si>
  <si>
    <t>COM-00312</t>
  </si>
  <si>
    <t>https://www.sparkfun.com/products/312</t>
  </si>
  <si>
    <t>https://cdn.sparkfun.com/r/92-92/assets/parts/2/4/7/ULN2803A.jpg</t>
  </si>
  <si>
    <t>Darlington Driver 8-Channel ULN2803 DIP</t>
  </si>
  <si>
    <t>COM-13885</t>
  </si>
  <si>
    <t>https://www.sparkfun.com/products/13885</t>
  </si>
  <si>
    <t>https://cdn.sparkfun.com/r/92-92/assets/parts/1/1/5/2/2/13885-01.jpg</t>
  </si>
  <si>
    <t>Transistor Array - ULN2803 (3 Pack)</t>
  </si>
  <si>
    <t>BOB-13655</t>
  </si>
  <si>
    <t>https://www.sparkfun.com/products/13655</t>
  </si>
  <si>
    <t>https://cdn.sparkfun.com/r/92-92/assets/parts/1/1/0/6/6/13655-01.jpg</t>
  </si>
  <si>
    <t>SparkFun SOIC to DIP Adapter - 8-Pin</t>
  </si>
  <si>
    <t>BOB-00495</t>
  </si>
  <si>
    <t>https://www.sparkfun.com/products/495</t>
  </si>
  <si>
    <t>https://cdn.sparkfun.com/r/92-92/assets/parts/2/8/1/00495-01.jpg</t>
  </si>
  <si>
    <t>SparkFun SOIC to DIP Adapter - 20-Pin</t>
  </si>
  <si>
    <t>BOB-13994</t>
  </si>
  <si>
    <t>https://www.sparkfun.com/products/13994</t>
  </si>
  <si>
    <t>https://cdn.sparkfun.com/r/92-92/assets/parts/1/1/7/6/7/13994-01.jpg</t>
  </si>
  <si>
    <t>SparkFun SSOP to DIP Adapter - 16-Pin</t>
  </si>
  <si>
    <t>BOB-00497</t>
  </si>
  <si>
    <t>https://www.sparkfun.com/products/497</t>
  </si>
  <si>
    <t>https://cdn.sparkfun.com/r/92-92/assets/parts/2/8/2/00497-01b.jpg</t>
  </si>
  <si>
    <t>SparkFun SSOP to DIP Adapter - 8-Pin</t>
  </si>
  <si>
    <t>BOB-00500</t>
  </si>
  <si>
    <t>https://www.sparkfun.com/products/500</t>
  </si>
  <si>
    <t>https://cdn.sparkfun.com/r/92-92/assets/parts/3/4/0/00500-01.jpg</t>
  </si>
  <si>
    <t>SparkFun SSOP to DIP Adapter - 28-Pin</t>
  </si>
  <si>
    <t>BOB-00496</t>
  </si>
  <si>
    <t>https://www.sparkfun.com/products/496</t>
  </si>
  <si>
    <t>https://cdn.sparkfun.com/r/92-92/assets/parts/1/6/2/00496-1.jpg</t>
  </si>
  <si>
    <t>SparkFun SOIC to DIP Adapter - 28-Pin</t>
  </si>
  <si>
    <t>COM-11107</t>
  </si>
  <si>
    <t>https://www.sparkfun.com/products/11107</t>
  </si>
  <si>
    <t>https://cdn.sparkfun.com/r/92-92/assets/parts/9/1/1/11107-01.jpg</t>
  </si>
  <si>
    <t>MSP430 SMD IC</t>
  </si>
  <si>
    <t>BOB-00499</t>
  </si>
  <si>
    <t>https://www.sparkfun.com/products/499</t>
  </si>
  <si>
    <t>https://cdn.sparkfun.com/r/92-92/assets/parts/2/8/3/00499-01.jpg</t>
  </si>
  <si>
    <t>SparkFun SSOP to DIP Adapter - 20-Pin</t>
  </si>
  <si>
    <t>Play .wav files from uSD, drives speakers</t>
  </si>
  <si>
    <t>WRL-11924</t>
  </si>
  <si>
    <t>https://www.sparkfun.com/products/11924</t>
  </si>
  <si>
    <t>https://cdn.sparkfun.com/r/92-92/assets/parts/8/3/8/0/11924-01.jpg</t>
  </si>
  <si>
    <t>SparkFun Purpletooth Jamboree - BC127 Development Board</t>
  </si>
  <si>
    <t>WRL-11927</t>
  </si>
  <si>
    <t>https://www.sparkfun.com/products/11927</t>
  </si>
  <si>
    <t>https://cdn.sparkfun.com/r/92-92/assets/parts/8/3/8/7/11927-01.jpg</t>
  </si>
  <si>
    <t>SparkFun Bluetooth Audio Breakout - BC127</t>
  </si>
  <si>
    <t>BOB-09868</t>
  </si>
  <si>
    <t>https://www.sparkfun.com/products/9868</t>
  </si>
  <si>
    <t>https://cdn.sparkfun.com/r/92-92/assets/parts/3/9/5/1/09868-01a.jpg</t>
  </si>
  <si>
    <t>SparkFun MEMS Microphone Breakout - INMP401 (ADMP401)</t>
  </si>
  <si>
    <t>Bluetooth Audio</t>
  </si>
  <si>
    <t>CAB-11604</t>
  </si>
  <si>
    <t>https://www.sparkfun.com/products/11604</t>
  </si>
  <si>
    <t>https://cdn.sparkfun.com/r/92-92/assets/parts/7/6/2/8/11604-01.jpg</t>
  </si>
  <si>
    <t>USB OTG Cable - Female A to Micro A - 4\"</t>
  </si>
  <si>
    <t>CAB-10215</t>
  </si>
  <si>
    <t>https://www.sparkfun.com/products/10215</t>
  </si>
  <si>
    <t>https://cdn.sparkfun.com/r/92-92/assets/parts/4/5/5/8/10215-01.jpg</t>
  </si>
  <si>
    <t>USB micro-B Cable - 6 Foot</t>
  </si>
  <si>
    <t>CAB-13244</t>
  </si>
  <si>
    <t>https://www.sparkfun.com/products/13244</t>
  </si>
  <si>
    <t>https://cdn.sparkfun.com/r/92-92/assets/parts/1/0/4/3/0/13244-01.jpg</t>
  </si>
  <si>
    <t>USB Micro-B Cable - 6\"</t>
  </si>
  <si>
    <t>CAB-14276</t>
  </si>
  <si>
    <t>https://www.sparkfun.com/products/14276</t>
  </si>
  <si>
    <t>https://cdn.sparkfun.com/r/92-92/assets/parts/1/2/2/3/1/14276-01.jpg</t>
  </si>
  <si>
    <t>USB OTG Cable - Female A to Micro B - 5in</t>
  </si>
  <si>
    <t>COM-08635</t>
  </si>
  <si>
    <t>https://www.sparkfun.com/products/8635</t>
  </si>
  <si>
    <t>https://cdn.sparkfun.com/r/92-92/assets/parts/1/7/6/9/08635-03-L.jpg</t>
  </si>
  <si>
    <t>Electret Microphone</t>
  </si>
  <si>
    <t>LCD-09568</t>
  </si>
  <si>
    <t>https://www.sparkfun.com/products/9568</t>
  </si>
  <si>
    <t>https://cdn.sparkfun.com/r/92-92/assets/parts/3/3/4/6/09568Actiona.jpg</t>
  </si>
  <si>
    <t>Serial Enabled 20x4 LCD - Black on Green 5V</t>
  </si>
  <si>
    <t>PRT-12885</t>
  </si>
  <si>
    <t>https://www.sparkfun.com/products/12885</t>
  </si>
  <si>
    <t>https://cdn.sparkfun.com/r/92-92/assets/parts/9/7/7/2/12885-01.jpg</t>
  </si>
  <si>
    <t>SparkFun Sunny Buddy - MPPT Solar Charger</t>
  </si>
  <si>
    <t>PRT-08535</t>
  </si>
  <si>
    <t>https://www.sparkfun.com/products/8535</t>
  </si>
  <si>
    <t>https://cdn.sparkfun.com/r/92-92/assets/parts/1/2/4/8/CAB-08535-03-L.jpg</t>
  </si>
  <si>
    <t>2x5 Pin IDC Ribbon Cable</t>
  </si>
  <si>
    <t>PRT-10877</t>
  </si>
  <si>
    <t>https://www.sparkfun.com/products/10877</t>
  </si>
  <si>
    <t>https://cdn.sparkfun.com/r/92-92/assets/parts/5/9/3/3/10877-01b.jpg</t>
  </si>
  <si>
    <t>2x3 Pin Shrouded Header</t>
  </si>
  <si>
    <t>PRT-08506</t>
  </si>
  <si>
    <t>https://www.sparkfun.com/products/8506</t>
  </si>
  <si>
    <t>https://cdn.sparkfun.com/r/92-92/assets/parts/1/1/7/4/08506-02.jpg</t>
  </si>
  <si>
    <t>2x5 Pin Shrouded Header</t>
  </si>
  <si>
    <t>DEV-09215</t>
  </si>
  <si>
    <t>https://www.sparkfun.com/products/9215</t>
  </si>
  <si>
    <t>https://cdn.sparkfun.com/r/92-92/assets/parts/2/6/7/5/09215-3.jpg</t>
  </si>
  <si>
    <t>AVR Programming Cable</t>
  </si>
  <si>
    <t>KIT-11591</t>
  </si>
  <si>
    <t>https://www.sparkfun.com/products/11591</t>
  </si>
  <si>
    <t>https://cdn.sparkfun.com/r/92-92/assets/parts/7/5/9/7/11591-02.jpg</t>
  </si>
  <si>
    <t>SparkFun ISP Pogo Adapter</t>
  </si>
  <si>
    <t>PRT-09739</t>
  </si>
  <si>
    <t>https://www.sparkfun.com/products/9739</t>
  </si>
  <si>
    <t>https://cdn.sparkfun.com/r/92-92/assets/parts/3/6/9/3/09739-01.jpg</t>
  </si>
  <si>
    <t>Binding Post - Red</t>
  </si>
  <si>
    <t>COM-08928</t>
  </si>
  <si>
    <t>https://www.sparkfun.com/products/8928</t>
  </si>
  <si>
    <t>https://cdn.sparkfun.com/r/92-92/assets/parts/2/2/0/7/08928-03-L.jpg</t>
  </si>
  <si>
    <t>Transistor - NPN (BC547)</t>
  </si>
  <si>
    <t>COM-10213</t>
  </si>
  <si>
    <t>https://www.sparkfun.com/products/10213</t>
  </si>
  <si>
    <t>https://cdn.sparkfun.com/r/92-92/assets/parts/4/5/5/5/10213-01.jpg</t>
  </si>
  <si>
    <t>N-Channel MOSFET 60V 30A</t>
  </si>
  <si>
    <t>COM-10349</t>
  </si>
  <si>
    <t>https://www.sparkfun.com/products/10349</t>
  </si>
  <si>
    <t>https://cdn.sparkfun.com/r/92-92/assets/parts/4/7/7/8/10349-01.jpg</t>
  </si>
  <si>
    <t>P-Channel MOSFET 60V 27A</t>
  </si>
  <si>
    <t>COM-00522</t>
  </si>
  <si>
    <t>https://www.sparkfun.com/products/522</t>
  </si>
  <si>
    <t>https://cdn.sparkfun.com/r/92-92/assets/parts/1/6/5/00522-1.jpg</t>
  </si>
  <si>
    <t>Transistor - PNP (2N3906)</t>
  </si>
  <si>
    <t>COM-00521</t>
  </si>
  <si>
    <t>https://www.sparkfun.com/products/521</t>
  </si>
  <si>
    <t>https://cdn.sparkfun.com/r/92-92/assets/parts/2/9/9/00521-1.jpg</t>
  </si>
  <si>
    <t>Transistor - NPN (2N3904)</t>
  </si>
  <si>
    <t>COM-12901</t>
  </si>
  <si>
    <t>https://www.sparkfun.com/products/12901</t>
  </si>
  <si>
    <t>https://cdn.sparkfun.com/r/92-92/assets/parts/9/8/0/2/12901-01.jpg</t>
  </si>
  <si>
    <t>P-Channel MOSFET 20V 24A - low Vgs(th)</t>
  </si>
  <si>
    <t>PRT-09740</t>
  </si>
  <si>
    <t>https://www.sparkfun.com/products/9740</t>
  </si>
  <si>
    <t>https://cdn.sparkfun.com/r/92-92/assets/parts/3/6/9/4/09740-01.jpg</t>
  </si>
  <si>
    <t>Binding Post - Black</t>
  </si>
  <si>
    <t>PRT-10650</t>
  </si>
  <si>
    <t>https://www.sparkfun.com/products/10650</t>
  </si>
  <si>
    <t>https://cdn.sparkfun.com/r/92-92/assets/parts/5/4/2/5/10650-02.jpg</t>
  </si>
  <si>
    <t>Ribbon Crimp Connector - 10-pin (2x5, Female)</t>
  </si>
  <si>
    <t>PRT-10651</t>
  </si>
  <si>
    <t>https://www.sparkfun.com/products/10651</t>
  </si>
  <si>
    <t>https://cdn.sparkfun.com/r/92-92/assets/parts/5/4/2/6/10651-02.jpg</t>
  </si>
  <si>
    <t>Ribbon Crimp Connector - 6-pin (2x3, Female)</t>
  </si>
  <si>
    <t>CAB-10649</t>
  </si>
  <si>
    <t>https://www.sparkfun.com/products/10649</t>
  </si>
  <si>
    <t>https://cdn.sparkfun.com/r/92-92/assets/parts/5/4/2/4/10649-01.jpg</t>
  </si>
  <si>
    <t>Ribbon Cable - 10 wire (3ft)</t>
  </si>
  <si>
    <t>CAB-10646</t>
  </si>
  <si>
    <t>https://www.sparkfun.com/products/10646</t>
  </si>
  <si>
    <t>https://cdn.sparkfun.com/r/92-92/assets/parts/5/4/2/1/10646-02.jpg</t>
  </si>
  <si>
    <t>Ribbon Cable - 6 wire (15ft)</t>
  </si>
  <si>
    <t>CAB-10647</t>
  </si>
  <si>
    <t>https://www.sparkfun.com/products/10647</t>
  </si>
  <si>
    <t>https://cdn.sparkfun.com/r/92-92/assets/parts/5/4/2/2/10647-04.jpg</t>
  </si>
  <si>
    <t>Ribbon Cable - 10 wire (15ft)</t>
  </si>
  <si>
    <t>Energy Harvesting</t>
  </si>
  <si>
    <t>USB/Serial Interface Breakouts</t>
  </si>
  <si>
    <t>Communication/Power Cables</t>
  </si>
  <si>
    <t>AVR/ISP Programmer Adapters/Cables</t>
  </si>
  <si>
    <t>Signal Multiplexing/Conditioning</t>
  </si>
  <si>
    <t>Jumper Wires, PTH</t>
  </si>
  <si>
    <t>Jumper Wires, JST</t>
  </si>
  <si>
    <t>Ribbon Cables</t>
  </si>
  <si>
    <t>Jumper Wires, Mixed</t>
  </si>
  <si>
    <t>Solid/Stranded Hookup Wire</t>
  </si>
  <si>
    <t>Hand Tools</t>
  </si>
  <si>
    <t>Solder/SMD Rework Tools</t>
  </si>
  <si>
    <t>PCB/Breadboard Work Tools</t>
  </si>
  <si>
    <t>MCU/Development Board</t>
  </si>
  <si>
    <t>DIP/TO-#/SMD Components</t>
  </si>
  <si>
    <t>Phone/Computer App Companion</t>
  </si>
  <si>
    <r>
      <t>Onion Omega2</t>
    </r>
    <r>
      <rPr>
        <vertAlign val="superscript"/>
        <sz val="11"/>
        <color theme="1"/>
        <rFont val="Calibri"/>
        <family val="2"/>
        <scheme val="minor"/>
      </rPr>
      <t>+</t>
    </r>
    <r>
      <rPr>
        <sz val="11"/>
        <color theme="1"/>
        <rFont val="Calibri"/>
        <family val="2"/>
        <scheme val="minor"/>
      </rPr>
      <t xml:space="preserve"> + Arduino Base Station</t>
    </r>
  </si>
  <si>
    <r>
      <t>Onion Omega2</t>
    </r>
    <r>
      <rPr>
        <vertAlign val="superscript"/>
        <sz val="11"/>
        <color theme="1"/>
        <rFont val="Calibri"/>
        <family val="2"/>
        <scheme val="minor"/>
      </rPr>
      <t>+</t>
    </r>
    <r>
      <rPr>
        <sz val="11"/>
        <color theme="1"/>
        <rFont val="Calibri"/>
        <family val="2"/>
        <scheme val="minor"/>
      </rPr>
      <t xml:space="preserve"> Handheld</t>
    </r>
  </si>
  <si>
    <t>Description/Comments</t>
  </si>
  <si>
    <t>TOL-08964</t>
  </si>
  <si>
    <t>https://www.sparkfun.com/products/8964</t>
  </si>
  <si>
    <t>https://cdn.sparkfun.com/r/92-92/assets/parts/2/2/6/8/08964-02-L.jpg</t>
  </si>
  <si>
    <t>Brass Sponge</t>
  </si>
  <si>
    <t>TOL-12078</t>
  </si>
  <si>
    <t>https://www.sparkfun.com/products/12078</t>
  </si>
  <si>
    <t>https://cdn.sparkfun.com/r/92-92/assets/parts/8/6/9/5/12078-01.jpg</t>
  </si>
  <si>
    <t>Multimeter Probes - Needle Tipped</t>
  </si>
  <si>
    <t>TOL-11528</t>
  </si>
  <si>
    <t>https://www.sparkfun.com/products/11528</t>
  </si>
  <si>
    <t>https://cdn.sparkfun.com/r/92-92/assets/parts/7/4/5/3/11528-01.jpg</t>
  </si>
  <si>
    <t>Modular Plastic Storage Box - Medium (4 pack)</t>
  </si>
  <si>
    <t>TOL-11527</t>
  </si>
  <si>
    <t>https://www.sparkfun.com/products/11527</t>
  </si>
  <si>
    <t>https://cdn.sparkfun.com/r/92-92/assets/parts/7/4/5/2/11527-01.jpg</t>
  </si>
  <si>
    <t>Modular Plastic Storage Box - Small (10 pack)</t>
  </si>
  <si>
    <t>TOL-07925</t>
  </si>
  <si>
    <t>https://www.sparkfun.com/products/7925</t>
  </si>
  <si>
    <t>https://cdn.sparkfun.com/r/92-92/assets/parts/6/0/7/07925-01.jpg</t>
  </si>
  <si>
    <t>Hot-air Rework Nozzles - Y1126</t>
  </si>
  <si>
    <t>TOL-14226</t>
  </si>
  <si>
    <t>https://www.sparkfun.com/products/14226</t>
  </si>
  <si>
    <t>https://cdn.sparkfun.com/r/92-92/assets/parts/1/2/1/7/1/14226-02.jpg</t>
  </si>
  <si>
    <t>Weller Portasol Butane Soldering Iron Kit</t>
  </si>
  <si>
    <t>TOL-08793</t>
  </si>
  <si>
    <t>https://www.sparkfun.com/products/8793</t>
  </si>
  <si>
    <t>https://cdn.sparkfun.com/r/92-92/assets/parts/2/0/3/3/08793-03-L.jpg</t>
  </si>
  <si>
    <t>Needle Nose Pliers</t>
  </si>
  <si>
    <t>TOL-13203</t>
  </si>
  <si>
    <t>https://www.sparkfun.com/products/13203</t>
  </si>
  <si>
    <t>https://cdn.sparkfun.com/r/92-92/assets/parts/1/0/3/4/4/13203-01.jpg</t>
  </si>
  <si>
    <t>Solder Vacuum</t>
  </si>
  <si>
    <t>Storage/Organization</t>
  </si>
  <si>
    <t>PRT-08025</t>
  </si>
  <si>
    <t>https://www.sparkfun.com/products/8025</t>
  </si>
  <si>
    <t>https://cdn.sparkfun.com/r/92-92/assets/parts/6/4/5/08025-01.jpg</t>
  </si>
  <si>
    <t>Hook-up Wire - Gray (22 AWG)</t>
  </si>
  <si>
    <t>PRT-08027</t>
  </si>
  <si>
    <t>https://www.sparkfun.com/products/8027</t>
  </si>
  <si>
    <t>https://cdn.sparkfun.com/r/92-92/assets/parts/6/4/7/08027-01.jpg</t>
  </si>
  <si>
    <t>Hook-up Wire - Brown (22 AWG)</t>
  </si>
  <si>
    <t>PRT-11367</t>
  </si>
  <si>
    <t>https://www.sparkfun.com/products/11367</t>
  </si>
  <si>
    <t>https://cdn.sparkfun.com/r/92-92/assets/parts/7/1/0/8/11367-04a.jpg</t>
  </si>
  <si>
    <t>Hook-Up Wire - Assortment (Solid Core, 22 AWG)</t>
  </si>
  <si>
    <t>Silver Metal Knob - 14x24mm</t>
  </si>
  <si>
    <t>COM-10001</t>
  </si>
  <si>
    <t>PRT-00139</t>
  </si>
  <si>
    <t>https://www.sparkfun.com/products/139</t>
  </si>
  <si>
    <t>https://cdn.sparkfun.com/r/92-92/assets/parts/1/2/3/00139-03-L.jpg</t>
  </si>
  <si>
    <t>USB Female Type B Connector</t>
  </si>
  <si>
    <t>COM-13999</t>
  </si>
  <si>
    <t>https://www.sparkfun.com/products/13999</t>
  </si>
  <si>
    <t>https://cdn.sparkfun.com/r/92-92/assets/parts/1/1/7/7/2/13999-01.jpg</t>
  </si>
  <si>
    <t>Dual 7-Segment Display - LED (RGB)</t>
  </si>
  <si>
    <t>COM-13834</t>
  </si>
  <si>
    <t>https://www.sparkfun.com/products/13834</t>
  </si>
  <si>
    <t>https://cdn.sparkfun.com/r/92-92/assets/parts/1/1/4/3/1/13834-01.jpg</t>
  </si>
  <si>
    <t>Cherry MX Switch</t>
  </si>
  <si>
    <t>COM-11621</t>
  </si>
  <si>
    <t>https://www.sparkfun.com/products/11621</t>
  </si>
  <si>
    <t>https://cdn.sparkfun.com/r/92-92/assets/parts/7/6/5/5/11621-01.jpg</t>
  </si>
  <si>
    <t>Slide Pot - Medium (10k Linear Taper)</t>
  </si>
  <si>
    <t>COM-10982</t>
  </si>
  <si>
    <t>https://www.sparkfun.com/products/10982</t>
  </si>
  <si>
    <t>https://cdn.sparkfun.com/r/92-92/assets/parts/6/2/1/9/10982-01a.jpg</t>
  </si>
  <si>
    <t>Rotary Encoder - Illuminated (RGB)</t>
  </si>
  <si>
    <t>COM-09426</t>
  </si>
  <si>
    <t>https://www.sparkfun.com/products/9426</t>
  </si>
  <si>
    <t>https://cdn.sparkfun.com/r/92-92/assets/parts/3/0/7/2/09426-01.jpg</t>
  </si>
  <si>
    <t>Thumb Slide Joystick</t>
  </si>
  <si>
    <t>COM-10063</t>
  </si>
  <si>
    <t>https://www.sparkfun.com/products/10063</t>
  </si>
  <si>
    <t>https://cdn.sparkfun.com/r/92-92/assets/parts/4/3/3/7/10063-01.jpg</t>
  </si>
  <si>
    <t>5-way Tactile Switch</t>
  </si>
  <si>
    <t>COM-09120</t>
  </si>
  <si>
    <t>https://www.sparkfun.com/products/9120</t>
  </si>
  <si>
    <t>https://cdn.sparkfun.com/r/92-92/assets/parts/2/5/2/5/09120-03-L.jpg</t>
  </si>
  <si>
    <t>Slide Potentiometer Knob</t>
  </si>
  <si>
    <t>COM-11620</t>
  </si>
  <si>
    <t>https://www.sparkfun.com/products/11620</t>
  </si>
  <si>
    <t>https://cdn.sparkfun.com/r/92-92/assets/parts/7/6/5/4/11620-01.jpg</t>
  </si>
  <si>
    <t>Slide Pot - Small (10k Linear Taper)</t>
  </si>
  <si>
    <t>COM-10596</t>
  </si>
  <si>
    <t>https://www.sparkfun.com/products/10596</t>
  </si>
  <si>
    <t>https://cdn.sparkfun.com/r/92-92/assets/parts/5/2/3/9/10596-01.jpg</t>
  </si>
  <si>
    <t>Rotary Encoder - Illuminated (Red/Green)</t>
  </si>
  <si>
    <t>COM-10441</t>
  </si>
  <si>
    <t>https://www.sparkfun.com/products/10441</t>
  </si>
  <si>
    <t>https://cdn.sparkfun.com/r/92-92/assets/parts/4/9/2/9/10441-01b.jpg</t>
  </si>
  <si>
    <t>LED Tactile Button - Orange</t>
  </si>
  <si>
    <t>COM-10439</t>
  </si>
  <si>
    <t>https://www.sparkfun.com/products/10439</t>
  </si>
  <si>
    <t>https://cdn.sparkfun.com/r/92-92/assets/parts/4/9/2/7/10439-01.jpg</t>
  </si>
  <si>
    <t>LED Tactile Button- White</t>
  </si>
  <si>
    <t>BOB-09966</t>
  </si>
  <si>
    <t>https://www.sparkfun.com/products/9966</t>
  </si>
  <si>
    <t>https://cdn.sparkfun.com/r/92-92/assets/parts/4/0/9/9/09966-01.jpg</t>
  </si>
  <si>
    <t>SparkFun USB Mini-B Breakout</t>
  </si>
  <si>
    <t>BOB-12035</t>
  </si>
  <si>
    <t>https://www.sparkfun.com/products/12035</t>
  </si>
  <si>
    <t>https://cdn.sparkfun.com/r/92-92/assets/parts/8/5/7/8/12035-01.jpg</t>
  </si>
  <si>
    <t>SparkFun microB USB Breakout</t>
  </si>
  <si>
    <t>BOB-10031</t>
  </si>
  <si>
    <t>https://www.sparkfun.com/products/10031</t>
  </si>
  <si>
    <t>https://cdn.sparkfun.com/r/92-92/assets/parts/4/2/1/8/10031-01a.jpg</t>
  </si>
  <si>
    <t>SparkFun USB MicroB Plug Breakout</t>
  </si>
  <si>
    <t>COM-11408</t>
  </si>
  <si>
    <t>https://www.sparkfun.com/products/11408</t>
  </si>
  <si>
    <t>https://cdn.sparkfun.com/r/92-92/assets/parts/7/1/9/9/11408-03.jpg</t>
  </si>
  <si>
    <t>7-Segment Display - 20mm (Blue)</t>
  </si>
  <si>
    <t>BOB-11722</t>
  </si>
  <si>
    <t>https://www.sparkfun.com/products/11722</t>
  </si>
  <si>
    <t>https://cdn.sparkfun.com/r/92-92/assets/parts/7/9/3/3/11722-03.jpg</t>
  </si>
  <si>
    <t>SparkFun Rotary Encoder Breakout - Illuminated (RG/RGB)</t>
  </si>
  <si>
    <r>
      <t>Onion Omega2</t>
    </r>
    <r>
      <rPr>
        <vertAlign val="superscript"/>
        <sz val="11"/>
        <color rgb="FF00B0F0"/>
        <rFont val="Calibri"/>
        <family val="2"/>
        <scheme val="minor"/>
      </rPr>
      <t>+</t>
    </r>
    <r>
      <rPr>
        <sz val="11"/>
        <color rgb="FF00B0F0"/>
        <rFont val="Calibri"/>
        <family val="2"/>
        <scheme val="minor"/>
      </rPr>
      <t xml:space="preserve"> + Arduino Base Station</t>
    </r>
  </si>
  <si>
    <r>
      <t>Onion Omega2</t>
    </r>
    <r>
      <rPr>
        <vertAlign val="superscript"/>
        <sz val="11"/>
        <color rgb="FF00B0F0"/>
        <rFont val="Calibri"/>
        <family val="2"/>
        <scheme val="minor"/>
      </rPr>
      <t>+</t>
    </r>
    <r>
      <rPr>
        <sz val="11"/>
        <color rgb="FF00B0F0"/>
        <rFont val="Calibri"/>
        <family val="2"/>
        <scheme val="minor"/>
      </rPr>
      <t xml:space="preserve"> Handheld</t>
    </r>
  </si>
  <si>
    <t>DEV-14082</t>
  </si>
  <si>
    <t>https://www.sparkfun.com/products/14082</t>
  </si>
  <si>
    <t>https://cdn.sparkfun.com/r/92-92/assets/parts/1/1/9/4/5/14082-01.jpg</t>
  </si>
  <si>
    <t>STEMTera (Black)</t>
  </si>
  <si>
    <t>DEV-11814</t>
  </si>
  <si>
    <t>https://www.sparkfun.com/products/11814</t>
  </si>
  <si>
    <t>https://cdn.sparkfun.com/r/92-92/assets/parts/8/1/4/6/11814-01.jpg</t>
  </si>
  <si>
    <t>USB-to-Serial Bridge - ÂµUSB-PA5</t>
  </si>
  <si>
    <t>LCD-11677</t>
  </si>
  <si>
    <t>https://www.sparkfun.com/products/11677</t>
  </si>
  <si>
    <t>https://cdn.sparkfun.com/r/92-92/assets/parts/7/7/7/7/11677-01.jpg</t>
  </si>
  <si>
    <t>Serial TFT LCD - 3.2\" with Touchscreen (uLCD-32PTU-GFX)</t>
  </si>
  <si>
    <t>PRT-08598</t>
  </si>
  <si>
    <t>https://www.sparkfun.com/products/8598</t>
  </si>
  <si>
    <t>https://cdn.sparkfun.com/r/92-92/assets/parts/1/6/3/9/08598-03-L.jpg</t>
  </si>
  <si>
    <t>Jumper Wire - JST to Molex</t>
  </si>
  <si>
    <t>PRT-09918</t>
  </si>
  <si>
    <t>https://www.sparkfun.com/products/9918</t>
  </si>
  <si>
    <t>https://cdn.sparkfun.com/r/92-92/assets/parts/4/0/2/4/09918-01.jpg</t>
  </si>
  <si>
    <t>Molex Jumper 2 Wire Assembly</t>
  </si>
  <si>
    <t>PRT-08612</t>
  </si>
  <si>
    <t>https://www.sparkfun.com/products/8612</t>
  </si>
  <si>
    <t>https://cdn.sparkfun.com/r/92-92/assets/parts/1/6/9/6/08612-04-L.jpg</t>
  </si>
  <si>
    <t>JST Right Angle Connector - White</t>
  </si>
  <si>
    <t>PRT-08613</t>
  </si>
  <si>
    <t>https://www.sparkfun.com/products/8613</t>
  </si>
  <si>
    <t>https://cdn.sparkfun.com/r/92-92/assets/parts/1/6/9/7/08613-04-L.jpg</t>
  </si>
  <si>
    <t>JST Vertical Connector</t>
  </si>
  <si>
    <t>PRT-09922</t>
  </si>
  <si>
    <t>https://www.sparkfun.com/products/9922</t>
  </si>
  <si>
    <t>https://cdn.sparkfun.com/r/92-92/assets/parts/4/0/2/8/09922-01.jpg</t>
  </si>
  <si>
    <t>Molex Jumper 6 Wire Assembly</t>
  </si>
  <si>
    <t>DEV-07914</t>
  </si>
  <si>
    <t>https://www.sparkfun.com/products/7914</t>
  </si>
  <si>
    <t>https://cdn.sparkfun.com/r/92-92/assets/parts/5/6/3/07914-001.jpg</t>
  </si>
  <si>
    <t>SparkFun ProtoShield Kit</t>
  </si>
  <si>
    <t>PRT-12790</t>
  </si>
  <si>
    <t>https://www.sparkfun.com/products/12790</t>
  </si>
  <si>
    <t>https://cdn.sparkfun.com/r/92-92/assets/parts/9/6/0/8/12790-01.jpg</t>
  </si>
  <si>
    <t>Stackable Header - 2x23 Pin Female</t>
  </si>
  <si>
    <t>TOL-09442</t>
  </si>
  <si>
    <t>https://www.sparkfun.com/products/9442</t>
  </si>
  <si>
    <t>https://cdn.sparkfun.com/r/92-92/assets/parts/3/1/2/4/09442-01.jpg</t>
  </si>
  <si>
    <t>Wall Adapter Power Supply - 12VDC 600mA</t>
  </si>
  <si>
    <t>LCD-11741</t>
  </si>
  <si>
    <t>https://www.sparkfun.com/products/11741</t>
  </si>
  <si>
    <t>https://cdn.sparkfun.com/r/92-92/assets/parts/7/9/6/3/11741-01a.jpg</t>
  </si>
  <si>
    <t>Arduino Display Module - 3.2\" Touchscreen LCD</t>
  </si>
  <si>
    <t>SPX-14269</t>
  </si>
  <si>
    <t>https://www.sparkfun.com/products/14269</t>
  </si>
  <si>
    <t>https://cdn.sparkfun.com/r/92-92/assets/parts/1/2/2/2/4/Qwiic_Micro_OLED_04.jpg</t>
  </si>
  <si>
    <t>Qwiic Micro OLED</t>
  </si>
  <si>
    <t>PRT-12791</t>
  </si>
  <si>
    <t>https://www.sparkfun.com/products/12791</t>
  </si>
  <si>
    <t>https://cdn.sparkfun.com/r/92-92/assets/parts/9/6/0/9/12791-01.jpg</t>
  </si>
  <si>
    <t>Header - 2x23-pin Male (PTH, 0.1\")</t>
  </si>
  <si>
    <t>DEV-11649</t>
  </si>
  <si>
    <t>https://www.sparkfun.com/products/11649</t>
  </si>
  <si>
    <t>https://cdn.sparkfun.com/r/92-92/assets/parts/7/7/2/8/11649-Built_Up.jpg</t>
  </si>
  <si>
    <t>SparkFun Danger Shield</t>
  </si>
  <si>
    <t>COM-11477</t>
  </si>
  <si>
    <t>https://www.sparkfun.com/products/11477</t>
  </si>
  <si>
    <t>https://cdn.sparkfun.com/r/92-92/assets/parts/7/3/6/4/11477-03.jpg</t>
  </si>
  <si>
    <t>Lamp Switch - SPST (inline)</t>
  </si>
  <si>
    <t>PRT-10361</t>
  </si>
  <si>
    <t>https://www.sparkfun.com/products/10361</t>
  </si>
  <si>
    <t>https://cdn.sparkfun.com/r/92-92/assets/parts/4/8/1/3/10361-01.jpg</t>
  </si>
  <si>
    <t>JST SH Jumper 6 Wire Assembly - 8\"</t>
  </si>
  <si>
    <t>SPX-14324</t>
  </si>
  <si>
    <t>https://www.sparkfun.com/products/14324</t>
  </si>
  <si>
    <t>https://cdn.sparkfun.com/r/92-92/assets/parts/1/2/2/9/0/Qwiic_Connector_SMD-White-2.jpg</t>
  </si>
  <si>
    <t>Qwiic Connector SMD - White 10 Pcs</t>
  </si>
  <si>
    <t>GPS-00574</t>
  </si>
  <si>
    <t>https://www.sparkfun.com/products/574</t>
  </si>
  <si>
    <t>https://cdn.sparkfun.com/r/92-92/assets/parts/3/9/3/GPS-Cable.jpg</t>
  </si>
  <si>
    <t>JST SH Jumper 6 Wire  - 1.75\"</t>
  </si>
  <si>
    <t>GPS-09123</t>
  </si>
  <si>
    <t>https://www.sparkfun.com/products/9123</t>
  </si>
  <si>
    <t>https://cdn.sparkfun.com/r/92-92/assets/parts/2/5/3/7/09123-03-L.jpg</t>
  </si>
  <si>
    <t>JST SH Jumper 6 Wire  - 1 Foot</t>
  </si>
  <si>
    <t>PRT-10359</t>
  </si>
  <si>
    <t>https://www.sparkfun.com/products/10359</t>
  </si>
  <si>
    <t>https://cdn.sparkfun.com/r/92-92/assets/parts/4/8/1/1/10359-01.jpg</t>
  </si>
  <si>
    <t>JST SH Jumper 4 Wire Assembly - 8\"</t>
  </si>
  <si>
    <t>PRT-14429</t>
  </si>
  <si>
    <t>https://www.sparkfun.com/products/14429</t>
  </si>
  <si>
    <t>https://cdn.sparkfun.com/r/92-92/assets/parts/1/2/4/5/5/14429-01.jpg</t>
  </si>
  <si>
    <t>Qwiic Cable - 500mm</t>
  </si>
  <si>
    <t>SPX-14289</t>
  </si>
  <si>
    <t>https://www.sparkfun.com/products/14289</t>
  </si>
  <si>
    <t>https://cdn.sparkfun.com/r/92-92/assets/parts/1/2/2/4/8/Qwiic-AK9750-3.jpg</t>
  </si>
  <si>
    <t>Qwiic Human Presence Sensor - AK9750</t>
  </si>
  <si>
    <t>DEV-13712</t>
  </si>
  <si>
    <t>https://www.sparkfun.com/products/13712</t>
  </si>
  <si>
    <t>https://cdn.sparkfun.com/r/92-92/assets/parts/1/1/2/0/2/13712-01a.jpg</t>
  </si>
  <si>
    <t>SparkFun OpenLog</t>
  </si>
  <si>
    <t>COM-09119</t>
  </si>
  <si>
    <t>https://www.sparkfun.com/products/9119</t>
  </si>
  <si>
    <t>https://cdn.sparkfun.com/r/92-92/assets/parts/2/5/2/4/09119-01a.jpg</t>
  </si>
  <si>
    <t>Slide Pot - X-Large (10k Linear Taper)</t>
  </si>
  <si>
    <t>PRT-12070</t>
  </si>
  <si>
    <t>https://www.sparkfun.com/products/12070</t>
  </si>
  <si>
    <t>https://cdn.sparkfun.com/r/92-92/assets/parts/8/6/7/7/12070-01.jpg</t>
  </si>
  <si>
    <t>SparkFun Solder-able Breadboard</t>
  </si>
  <si>
    <t>PRT-07937</t>
  </si>
  <si>
    <t>https://www.sparkfun.com/products/7937</t>
  </si>
  <si>
    <t>https://cdn.sparkfun.com/r/92-92/assets/parts/2/2/4/DIP-8.jpg</t>
  </si>
  <si>
    <t>DIP Sockets Solder Tail - 8-Pin</t>
  </si>
  <si>
    <t>PRT-12702</t>
  </si>
  <si>
    <t>https://www.sparkfun.com/products/12702</t>
  </si>
  <si>
    <t>https://cdn.sparkfun.com/r/92-92/assets/parts/9/4/4/3/12702-01.jpg</t>
  </si>
  <si>
    <t>SparkFun Solder-able Breadboard - Mini</t>
  </si>
  <si>
    <t>BOB-12758</t>
  </si>
  <si>
    <t>https://www.sparkfun.com/products/12758</t>
  </si>
  <si>
    <t>https://cdn.sparkfun.com/r/92-92/assets/parts/9/5/2/0/12758-02.jpg</t>
  </si>
  <si>
    <t>SparkFun Electret Microphone Breakout</t>
  </si>
  <si>
    <t>PRT-09750</t>
  </si>
  <si>
    <t>https://www.sparkfun.com/products/9750</t>
  </si>
  <si>
    <t>https://cdn.sparkfun.com/r/92-92/assets/parts/3/7/1/0/09750-01.jpg</t>
  </si>
  <si>
    <t>JST Right Angle Connector - Through-Hole 3-Pin</t>
  </si>
  <si>
    <t>PRT-12978</t>
  </si>
  <si>
    <t>https://www.sparkfun.com/products/12978</t>
  </si>
  <si>
    <t>https://cdn.sparkfun.com/r/92-92/assets/parts/9/9/1/9/12978-01.jpg</t>
  </si>
  <si>
    <t>Alligator Test Leads - Multicolored (10 Pack)</t>
  </si>
  <si>
    <t>CAB-00509</t>
  </si>
  <si>
    <t>https://www.sparkfun.com/products/509</t>
  </si>
  <si>
    <t>https://cdn.sparkfun.com/r/92-92/assets/parts/3/4/9/00509-1.jpg</t>
  </si>
  <si>
    <t>Banana to Alligator Cable</t>
  </si>
  <si>
    <t>CAB-00506</t>
  </si>
  <si>
    <t>https://www.sparkfun.com/products/506</t>
  </si>
  <si>
    <t>https://cdn.sparkfun.com/r/92-92/assets/parts/3/4/6/00506-02-L.jpg</t>
  </si>
  <si>
    <t>Banana to IC Hook Cables</t>
  </si>
  <si>
    <t>CAB-09486</t>
  </si>
  <si>
    <t>https://www.sparkfun.com/products/9486</t>
  </si>
  <si>
    <t>https://cdn.sparkfun.com/r/92-92/assets/parts/3/2/1/7/09486-01.jpg</t>
  </si>
  <si>
    <t>BNC Probe Kit</t>
  </si>
  <si>
    <t>CAB-00508</t>
  </si>
  <si>
    <t>https://www.sparkfun.com/products/508</t>
  </si>
  <si>
    <t>https://cdn.sparkfun.com/r/92-92/assets/parts/3/4/8/00508-02-L.jpg</t>
  </si>
  <si>
    <t>Banana to Alligator Coax Cable</t>
  </si>
  <si>
    <t>TOL-10829</t>
  </si>
  <si>
    <t>https://www.sparkfun.com/products/10829</t>
  </si>
  <si>
    <t>https://cdn.sparkfun.com/r/92-92/assets/parts/5/8/3/0/10829-01.jpg</t>
  </si>
  <si>
    <t>Smart SMD Tester</t>
  </si>
  <si>
    <t>Jumper Wires, Molex</t>
  </si>
  <si>
    <t>Connectors, JST</t>
  </si>
  <si>
    <t>Connectors, Ribbon Crimp</t>
  </si>
  <si>
    <t>Connectors, Polarized (Molex)</t>
  </si>
  <si>
    <t>Connectors, USB</t>
  </si>
  <si>
    <t>Connectors, Spring/Screw Terminals</t>
  </si>
  <si>
    <t>Connectors/Sockets/Terminals, Other</t>
  </si>
  <si>
    <t>Flip-Pins</t>
  </si>
  <si>
    <t>Headers, Male</t>
  </si>
  <si>
    <t>Headers, Female</t>
  </si>
  <si>
    <t>Headers, Stackable</t>
  </si>
  <si>
    <t>Plugs/Jacks/Adapters, Audio</t>
  </si>
  <si>
    <t>Plugs/Jacks/Adapters, Barrel Jack</t>
  </si>
  <si>
    <t>Data &amp; Signal Logging/Monitoring</t>
  </si>
  <si>
    <t>Vendors</t>
  </si>
  <si>
    <t>Adafruit</t>
  </si>
  <si>
    <t>Seeed Studio</t>
  </si>
  <si>
    <t>DFRobot</t>
  </si>
  <si>
    <t>Arduino</t>
  </si>
  <si>
    <t>RobotShop</t>
  </si>
  <si>
    <t>LynxMotion</t>
  </si>
  <si>
    <t>MCPros</t>
  </si>
  <si>
    <t>Digi-Key</t>
  </si>
  <si>
    <t>Mouser</t>
  </si>
  <si>
    <t>Out of Stock</t>
  </si>
  <si>
    <t>Single Unit Purchase Item</t>
  </si>
  <si>
    <t>Standard Item</t>
  </si>
  <si>
    <t>A</t>
  </si>
  <si>
    <t>B</t>
  </si>
  <si>
    <t>C</t>
  </si>
  <si>
    <t>D</t>
  </si>
  <si>
    <t>E</t>
  </si>
  <si>
    <t>Key :</t>
  </si>
  <si>
    <t>Row Formatting</t>
  </si>
  <si>
    <t>Format Shortcut Tag</t>
  </si>
  <si>
    <t>Tag</t>
  </si>
  <si>
    <t>Per Customer QTY Restriction</t>
  </si>
  <si>
    <t>Format Encoded Info Definitions</t>
  </si>
  <si>
    <r>
      <t xml:space="preserve">Qty = </t>
    </r>
    <r>
      <rPr>
        <b/>
        <sz val="11"/>
        <color theme="0"/>
        <rFont val="Calibri"/>
        <family val="2"/>
      </rPr>
      <t>ƒ(</t>
    </r>
    <r>
      <rPr>
        <b/>
        <sz val="11"/>
        <color theme="0"/>
        <rFont val="Calibri"/>
        <family val="2"/>
        <scheme val="minor"/>
      </rPr>
      <t># Walker Units)</t>
    </r>
  </si>
  <si>
    <t>MAX(Qty.) = 1</t>
  </si>
  <si>
    <t>Qty = 0</t>
  </si>
  <si>
    <t>uSD</t>
  </si>
  <si>
    <t>Pri mary</t>
  </si>
  <si>
    <t>Secondary</t>
  </si>
  <si>
    <t>USB</t>
  </si>
  <si>
    <t>BarrelJack</t>
  </si>
  <si>
    <t>LiPO Battery</t>
  </si>
  <si>
    <t>Column5</t>
  </si>
  <si>
    <t>Column6</t>
  </si>
  <si>
    <t>Column7</t>
  </si>
  <si>
    <t>Column8</t>
  </si>
  <si>
    <t>Column9</t>
  </si>
  <si>
    <t>Column10</t>
  </si>
  <si>
    <t>Column11</t>
  </si>
  <si>
    <t>Column12</t>
  </si>
  <si>
    <t>Column13</t>
  </si>
  <si>
    <t>Column14</t>
  </si>
  <si>
    <t>Column15</t>
  </si>
  <si>
    <t>Column16</t>
  </si>
  <si>
    <t>Column17</t>
  </si>
  <si>
    <t>3.3V/5V</t>
  </si>
  <si>
    <t>OUT</t>
  </si>
  <si>
    <t>Qty</t>
  </si>
  <si>
    <t>CHG</t>
  </si>
  <si>
    <t xml:space="preserve"> DIP/TO-#/SMD Components</t>
  </si>
  <si>
    <t xml:space="preserve"> Headers</t>
  </si>
  <si>
    <t xml:space="preserve"> Male</t>
  </si>
  <si>
    <t>0</t>
  </si>
  <si>
    <t xml:space="preserve"> Jumper Wires</t>
  </si>
  <si>
    <t xml:space="preserve"> Molex</t>
  </si>
  <si>
    <t xml:space="preserve"> Passive Components</t>
  </si>
  <si>
    <t>FALSE</t>
  </si>
  <si>
    <t>Value=Breadboard/Protoboard</t>
  </si>
  <si>
    <t>Value=Buttons/Switches/Knobs</t>
  </si>
  <si>
    <t>Value=Connectors, JST</t>
  </si>
  <si>
    <t>Value=Connectors, Polarized (Molex)</t>
  </si>
  <si>
    <t>Value=Connectors, Ribbon Crimp</t>
  </si>
  <si>
    <t>Value=Connectors, Spring/Screw Terminals</t>
  </si>
  <si>
    <t>Value=Connectors, USB</t>
  </si>
  <si>
    <t>Value=Connectors/Sockets/Terminals, Other</t>
  </si>
  <si>
    <t>Value=DIP/TO-#/SMD Components</t>
  </si>
  <si>
    <t>Value=Enclosures/Mounts</t>
  </si>
  <si>
    <t>Value=Flip-Pins</t>
  </si>
  <si>
    <t>Value=Hardware Components/Accessories</t>
  </si>
  <si>
    <t>Value=Headers, Female</t>
  </si>
  <si>
    <t>Value=Headers, Male</t>
  </si>
  <si>
    <t>Value=Headers, Stackable</t>
  </si>
  <si>
    <t>Value=Heat Insulation/Dissipation</t>
  </si>
  <si>
    <t>Value=Jumper Wires, JST</t>
  </si>
  <si>
    <t>Value=Jumper Wires, Mixed</t>
  </si>
  <si>
    <t>Value=Jumper Wires, Molex</t>
  </si>
  <si>
    <t>Value=Jumper Wires, PTH</t>
  </si>
  <si>
    <t>Value=Passive Components</t>
  </si>
  <si>
    <t>Value=Plugs/Jacks/Adapters, Audio</t>
  </si>
  <si>
    <t>Value=Plugs/Jacks/Adapters, Barrel Jack</t>
  </si>
  <si>
    <t>Value=Ribbon Cables</t>
  </si>
  <si>
    <t>Value=Solid/Stranded Hookup Wire</t>
  </si>
  <si>
    <t>Value=Standoffs/Screws</t>
  </si>
  <si>
    <t>Value=Trace/Shielding Construction</t>
  </si>
  <si>
    <t>Value=Audible Notification/Queuing</t>
  </si>
  <si>
    <t>Value=AVR/ISP Programmer Adapters/Cables</t>
  </si>
  <si>
    <t>Value=BeagleBone Black Iot/Base Station</t>
  </si>
  <si>
    <t>Value=Bluetooth</t>
  </si>
  <si>
    <t>Value=Communication/Power Cables</t>
  </si>
  <si>
    <t>Value=Data &amp; Signal Logging/Monitoring</t>
  </si>
  <si>
    <t>Value=Energy Harvesting</t>
  </si>
  <si>
    <t>Value=GPS Logging/Fencing</t>
  </si>
  <si>
    <t>Value=Hand Tools</t>
  </si>
  <si>
    <t>Value=High-Precision Compass</t>
  </si>
  <si>
    <t>Value=Intel Edison Iot/Base Station</t>
  </si>
  <si>
    <t>Value=Interface/Level/Logic Conversion</t>
  </si>
  <si>
    <t>Value=Lidar</t>
  </si>
  <si>
    <t>Value=Linux + Arduino Home Base Station</t>
  </si>
  <si>
    <t>Value=mBed Platform Base Station</t>
  </si>
  <si>
    <t>Value=MCU/Development Board</t>
  </si>
  <si>
    <t>Value=MicroView Watch/Relay</t>
  </si>
  <si>
    <t>Value=Movement/IMU</t>
  </si>
  <si>
    <t>Value=Onion Omega2+ + Arduino Base Station</t>
  </si>
  <si>
    <t>Value=Onion Omega2+ Handheld</t>
  </si>
  <si>
    <t>Value=PCB/Breadboard Work Tools</t>
  </si>
  <si>
    <t>Value=Phone/Computer App Companion</t>
  </si>
  <si>
    <t>Value=Power Supply</t>
  </si>
  <si>
    <t>Value=Proximity/Distance</t>
  </si>
  <si>
    <t>Value=QWIIC System/Components</t>
  </si>
  <si>
    <t>Value=Realtek Ameba Handheld</t>
  </si>
  <si>
    <t>Value=Signal Multiplexing/Conditioning</t>
  </si>
  <si>
    <t>Value=Solder/SMD Rework Tools</t>
  </si>
  <si>
    <t>Value=Storage/Organization</t>
  </si>
  <si>
    <t>Value=Touch/Vibration</t>
  </si>
  <si>
    <t>Value=Touchscreen</t>
  </si>
  <si>
    <t>Value=USB/Serial Interface Breakouts</t>
  </si>
  <si>
    <t>Value=Visual Notification/Queuing</t>
  </si>
  <si>
    <t>Value=Vitals/Environment Sensing</t>
  </si>
  <si>
    <t>Value=Vitals/Health Status Sensing</t>
  </si>
  <si>
    <t>Value=Voice Recognition</t>
  </si>
  <si>
    <t>Value=Wall/Breadboard Power Supply</t>
  </si>
  <si>
    <t>Value=WiFi</t>
  </si>
  <si>
    <t>Buttons/Switches/Knobs, DIP/TO-#/SMD Components, Headers, Male, Jumper Wires, Molex, Passive Components</t>
  </si>
  <si>
    <t>Equipment Type</t>
  </si>
  <si>
    <t>PogoPins</t>
  </si>
  <si>
    <t>Wireless Charging</t>
  </si>
  <si>
    <t>Ribbon/IDC Cables</t>
  </si>
  <si>
    <t>Jumper Wires, DIY</t>
  </si>
  <si>
    <t>Plastics Fabrication</t>
  </si>
  <si>
    <t>Connectors, IDC</t>
  </si>
  <si>
    <t>User Interface, Touchscreen</t>
  </si>
  <si>
    <t>User Interface, Keypad</t>
  </si>
  <si>
    <t>LED Indicators/Lighting</t>
  </si>
  <si>
    <t>User Interface, IO</t>
  </si>
  <si>
    <t>Signal Manipulation, Mux/ADC/DAC/Conditioning</t>
  </si>
  <si>
    <t>Rotary Potentiometers/Encoders/Switches</t>
  </si>
  <si>
    <t>Power Supply, Breadboard</t>
  </si>
  <si>
    <t>Power Supply, Control/Switch</t>
  </si>
  <si>
    <t>Power Supply, USB Cables</t>
  </si>
  <si>
    <t>Power Supply, DIY Cables</t>
  </si>
  <si>
    <t>Power Supply,  USB Wall Wart</t>
  </si>
  <si>
    <t>Power Supply, Barrel Jack Wall Wart</t>
  </si>
  <si>
    <t>Power Supply, LiPO Battery Supply/Management</t>
  </si>
  <si>
    <t>USB Cables/Adapters</t>
  </si>
  <si>
    <t>Power Supply, Controller/Switch</t>
  </si>
  <si>
    <t>Power Supply, Barrel Jack Cables/Adapters</t>
  </si>
  <si>
    <t>Power Supply, Barrel Jack Plugs/Terminations</t>
  </si>
  <si>
    <t>Power Supply, USB Wall Wart</t>
  </si>
  <si>
    <t>+</t>
  </si>
  <si>
    <t>-</t>
  </si>
  <si>
    <t>Group</t>
  </si>
  <si>
    <t>Power Supply, Breadboard Connectors</t>
  </si>
  <si>
    <t>IoT Network Components</t>
  </si>
  <si>
    <t>User Input &amp; Control</t>
  </si>
  <si>
    <t>Power Supply, Supplemental</t>
  </si>
  <si>
    <t>Base Functionality</t>
  </si>
  <si>
    <t>Supplemental Functionality</t>
  </si>
  <si>
    <t>DIY Components</t>
  </si>
  <si>
    <t>Protection</t>
  </si>
  <si>
    <t>Breadboard Connections</t>
  </si>
  <si>
    <t>Design Dependent</t>
  </si>
  <si>
    <t>Power Supply, Wall Warts/LiPO</t>
  </si>
  <si>
    <t>Construction Materials</t>
  </si>
  <si>
    <t>Construction Tools</t>
  </si>
  <si>
    <t>Breadboard Components</t>
  </si>
  <si>
    <t>Jumper Wires/Cables</t>
  </si>
  <si>
    <t>Power Supply, USB + Barrel Jack</t>
  </si>
  <si>
    <t>GSM/Cellular Communication</t>
  </si>
  <si>
    <t>Location/Movement Info</t>
  </si>
  <si>
    <t>Verbal Communication</t>
  </si>
  <si>
    <t>Slim Sticker-type GSM/Cellular Quad-Band Antenna - 3dBi uFL</t>
  </si>
  <si>
    <t>1991</t>
  </si>
  <si>
    <t>GSM 2G SIM Card from Ting &amp; Adafruit - Data/Voice/Text USA Only</t>
  </si>
  <si>
    <t>2505</t>
  </si>
  <si>
    <t>Adafruit FONA 800 Shield - Voice/Data Cellular GSM for Arduino</t>
  </si>
  <si>
    <t>2468</t>
  </si>
  <si>
    <t>Standard LCD 20x4 + extras - white on blue</t>
  </si>
  <si>
    <t>198</t>
  </si>
  <si>
    <t>Tiny Modular Snap Boxes - SMD component storage - 10 pack - White</t>
  </si>
  <si>
    <t>431</t>
  </si>
  <si>
    <t>Pogo Pin Probe Clip</t>
  </si>
  <si>
    <t>1969</t>
  </si>
  <si>
    <t>Small Modular Snap Boxes - SMD component storage - 3 pack - Green</t>
  </si>
  <si>
    <t>432</t>
  </si>
  <si>
    <t>Tiny Modular Snap Boxes - SMD component storage - 10 pack - Blue</t>
  </si>
  <si>
    <t>427</t>
  </si>
  <si>
    <t>Medium Modular Snap Boxes - SMD component storage - 2 pack - Pink</t>
  </si>
  <si>
    <t>433</t>
  </si>
  <si>
    <t>Latching 5-Compartment Storage Box</t>
  </si>
  <si>
    <t>2938</t>
  </si>
  <si>
    <t>Waterproof DC Power Cable Set - 5.5/2.1mm</t>
  </si>
  <si>
    <t>743</t>
  </si>
  <si>
    <t>Extruded Aluminum Enclosure Box - 94mm x 83mm x 30mm</t>
  </si>
  <si>
    <t>2230</t>
  </si>
  <si>
    <t>Extruded Aluminum Enclosure Box - 100mm x 67mm x 26mm</t>
  </si>
  <si>
    <t>2229</t>
  </si>
  <si>
    <t>1272</t>
  </si>
  <si>
    <t>Adafruit Ultimate GPS Logger Shield - Includes GPS Module</t>
  </si>
  <si>
    <t>2090</t>
  </si>
  <si>
    <t>2.8" TFT LCD with Cap Touch Breakout Board w/MicroSD Socket</t>
  </si>
  <si>
    <t>1947</t>
  </si>
  <si>
    <t>2.8" TFT Touch Shield for Arduino w/Capacitive Touch</t>
  </si>
  <si>
    <t>2077</t>
  </si>
  <si>
    <t>Adafruit Proto Shield for Arduino Kit - Stackable Version R3</t>
  </si>
  <si>
    <t>443</t>
  </si>
  <si>
    <t>Large Solderless Breadboard</t>
  </si>
  <si>
    <t>192</t>
  </si>
  <si>
    <t>Mega protoshield for Arduino</t>
  </si>
  <si>
    <t>2017</t>
  </si>
  <si>
    <t>Mini Solderless Breadboard - 2x4 Points</t>
  </si>
  <si>
    <t>2018</t>
  </si>
  <si>
    <t>Mini Solderless Breadboard - 2x8 Points</t>
  </si>
  <si>
    <t>2463</t>
  </si>
  <si>
    <t>Mini Solderless Breadboard - 4x4 Points</t>
  </si>
  <si>
    <t>196</t>
  </si>
  <si>
    <t>Proto-Screwshield (Wingshield) R3 Kit for Arduino</t>
  </si>
  <si>
    <t>65</t>
  </si>
  <si>
    <t>Tiny breadboard</t>
  </si>
  <si>
    <t>550</t>
  </si>
  <si>
    <t xml:space="preserve">Little Rubber Bumper Feet - Pack of 4 </t>
  </si>
  <si>
    <t>977</t>
  </si>
  <si>
    <t xml:space="preserve">TO-220 Clip-On Heatsink </t>
  </si>
  <si>
    <t>2504</t>
  </si>
  <si>
    <t>Hand-Moldable Plastic - Low Temperature Thermoplastic - 100g Bag</t>
  </si>
  <si>
    <t>437</t>
  </si>
  <si>
    <t>Sugru - Black and White Pack</t>
  </si>
  <si>
    <t>3105</t>
  </si>
  <si>
    <t xml:space="preserve">Mini Illuminated Momentary Pushbutton - Blue Power Symbol </t>
  </si>
  <si>
    <t>3104</t>
  </si>
  <si>
    <t>Mini Illuminated Momentary Pushbutton - Red Power Symbol</t>
  </si>
  <si>
    <t>2047</t>
  </si>
  <si>
    <t xml:space="preserve">Potentiometer Knob - Soft Touch T18 - White </t>
  </si>
  <si>
    <t>2055</t>
  </si>
  <si>
    <t xml:space="preserve">Scrubber Knob for Rotary Encoder - 35mm </t>
  </si>
  <si>
    <t>2058</t>
  </si>
  <si>
    <t xml:space="preserve">Slim Metal Potentiometer Knob - 10mm Diameter x 10mm - T18 </t>
  </si>
  <si>
    <t>2056</t>
  </si>
  <si>
    <t xml:space="preserve">Solid Machined Metal Knob - 1" Diameter </t>
  </si>
  <si>
    <t>1119</t>
  </si>
  <si>
    <t xml:space="preserve">Tactile Switch Buttons (12mm square, 6mm tall) x 10 pack </t>
  </si>
  <si>
    <t>2103</t>
  </si>
  <si>
    <t xml:space="preserve">IDC Breakout Helper - 2x16 (32 pin) </t>
  </si>
  <si>
    <t>2270</t>
  </si>
  <si>
    <t>IDC Breakout Helper - 2x20 (40 pin)</t>
  </si>
  <si>
    <t>2102</t>
  </si>
  <si>
    <t>IDC Breakout Helper - 2x5 (10 pin)</t>
  </si>
  <si>
    <t>1862</t>
  </si>
  <si>
    <t xml:space="preserve">JST-PH 2-Pin SMT Right Angle Breakout Board </t>
  </si>
  <si>
    <t>1769</t>
  </si>
  <si>
    <t xml:space="preserve">JST-PH 2-Pin SMT Right Angle Connector </t>
  </si>
  <si>
    <t>1863</t>
  </si>
  <si>
    <t xml:space="preserve">Switched JST-PH 2-Pin SMT Right Angle Breakout Board </t>
  </si>
  <si>
    <t xml:space="preserve">Jumper Shunt with Handle (0.1" / 2.54mm) – 10 Pack </t>
  </si>
  <si>
    <t>1787</t>
  </si>
  <si>
    <t xml:space="preserve">74AHCT125 - Quad Level-Shifter (3V to 5V) - 74AHCT125 </t>
  </si>
  <si>
    <t>2975</t>
  </si>
  <si>
    <t>Adafruit Parts Pal</t>
  </si>
  <si>
    <t>935</t>
  </si>
  <si>
    <t xml:space="preserve">MCP4725 Breakout Board - 12-Bit DAC w/I2C Interface </t>
  </si>
  <si>
    <t>2823</t>
  </si>
  <si>
    <t xml:space="preserve">0.1" 2x20-pin Strip Right Angle Female Header </t>
  </si>
  <si>
    <t>1543</t>
  </si>
  <si>
    <t>0.1" 2x36-pin Strip Right-Angle Socket (Female) Header (5 pack)</t>
  </si>
  <si>
    <t>1544</t>
  </si>
  <si>
    <t>0.1" 2x36-pin Strip Straight Socket (Female) Header (5 pack)</t>
  </si>
  <si>
    <t>1542</t>
  </si>
  <si>
    <t>0.1" 36-pin Strip Right-Angle Female/Socket Header (5 pack)</t>
  </si>
  <si>
    <t>366</t>
  </si>
  <si>
    <t>2mm 10 pin Socket Headers (for XBee) - Pack of 2</t>
  </si>
  <si>
    <t>2672</t>
  </si>
  <si>
    <t>2mm Pitch 25-Pin Female Socket Headers - Pack of 5</t>
  </si>
  <si>
    <t>3342</t>
  </si>
  <si>
    <t xml:space="preserve">2x40 Right Angle Edge Connector for micro:bit </t>
  </si>
  <si>
    <t>598</t>
  </si>
  <si>
    <t>36-pin 0.1" Female header - pack of 5!</t>
  </si>
  <si>
    <t>3008</t>
  </si>
  <si>
    <t xml:space="preserve">36-pin 0.1" Short Female Header - Pack of 5 </t>
  </si>
  <si>
    <t>3366</t>
  </si>
  <si>
    <t>36-pin Stacking header - pack of 5!</t>
  </si>
  <si>
    <t>2886</t>
  </si>
  <si>
    <t xml:space="preserve">Feather Header Kit - 12-pin and 16-pin Female Header Set </t>
  </si>
  <si>
    <t>2671</t>
  </si>
  <si>
    <t>2mm Pitch 40-Pin Break-apart Male Headers - Pack of 5</t>
  </si>
  <si>
    <t>3009</t>
  </si>
  <si>
    <t xml:space="preserve">36-pin 0.1" Short Break-away Male Header - Pack of 10 </t>
  </si>
  <si>
    <t>2822</t>
  </si>
  <si>
    <t>Break-away 0.1" 2x20-pin Strip Dual Male Header</t>
  </si>
  <si>
    <t>1539</t>
  </si>
  <si>
    <t>Break-away 0.1" 2x36-pin strip dual male header (10 pieces)</t>
  </si>
  <si>
    <t>1541</t>
  </si>
  <si>
    <t xml:space="preserve">Break-away 0.1" 2x36-pin strip right-angle male header (5 pack) </t>
  </si>
  <si>
    <t>392</t>
  </si>
  <si>
    <t>Break-away 0.1" 36-pin strip male header (10 pieces)</t>
  </si>
  <si>
    <t>1540</t>
  </si>
  <si>
    <t xml:space="preserve">Break-away 0.1" 36-pin strip right-angle male header (10 pack) </t>
  </si>
  <si>
    <t>85</t>
  </si>
  <si>
    <t>Shield stacking headers for Arduino (R3 Compatible)</t>
  </si>
  <si>
    <t>3144</t>
  </si>
  <si>
    <t>Large Dual Row Wire Housing Pack for DIY Jumper Cables</t>
  </si>
  <si>
    <t>3146</t>
  </si>
  <si>
    <t>Large Single Row Housing Pack for DIY Jumper Cables</t>
  </si>
  <si>
    <t>3141</t>
  </si>
  <si>
    <t>Premium Female/Female Raw Custom Jumper Wires - 40 x 6" (150mm)</t>
  </si>
  <si>
    <t>3142</t>
  </si>
  <si>
    <t>Premium Male/Male Raw Jumper Wires - 40 x 6" (150mm)</t>
  </si>
  <si>
    <t>3143</t>
  </si>
  <si>
    <t>Small Dual Row Wire Housing Pack for DIY Jumper Cables</t>
  </si>
  <si>
    <t>3145</t>
  </si>
  <si>
    <t>Small Single Row Wire Housing Pack for DIY Jumper Cables</t>
  </si>
  <si>
    <t>578</t>
  </si>
  <si>
    <t xml:space="preserve">4-pin JST SM Plug + Receptacle Cable Set </t>
  </si>
  <si>
    <t>3064</t>
  </si>
  <si>
    <t xml:space="preserve">JST 2-pin Extension Cable with On/Off Switch - JST PH2 </t>
  </si>
  <si>
    <t>3568</t>
  </si>
  <si>
    <t>STEMMA Cable - 150mm/6" Long 4 Pin JST-PH Cable–Female/Female</t>
  </si>
  <si>
    <t>2911</t>
  </si>
  <si>
    <t xml:space="preserve">1/4" (6.35mm) Stereo Plug Terminal Block </t>
  </si>
  <si>
    <t>2791</t>
  </si>
  <si>
    <t xml:space="preserve">3.5mm (1/8") Stereo Audio Jack Terminal Block </t>
  </si>
  <si>
    <t>2790</t>
  </si>
  <si>
    <t xml:space="preserve">3.5mm (1/8") Stereo Audio Plug Terminal Block </t>
  </si>
  <si>
    <t>1699</t>
  </si>
  <si>
    <t xml:space="preserve">Breadboard-Friendly 3.5mm Stereo Headphone Jack </t>
  </si>
  <si>
    <t>373</t>
  </si>
  <si>
    <t xml:space="preserve">Breadboard-friendly 2.1mm DC barrel jack </t>
  </si>
  <si>
    <t>368</t>
  </si>
  <si>
    <t>Female DC Power adapter - 2.1mm jack to screw terminal block</t>
  </si>
  <si>
    <t>369</t>
  </si>
  <si>
    <t>Male DC Power adapter - 2.1mm plug to screw terminal block</t>
  </si>
  <si>
    <t>2429</t>
  </si>
  <si>
    <t xml:space="preserve">Pogo Pins "Crown Head" (10 pack) - P75-H2 </t>
  </si>
  <si>
    <t>2428</t>
  </si>
  <si>
    <t xml:space="preserve">Pogo Pins "Cupped Head" (10 pack) - P75-A2 </t>
  </si>
  <si>
    <t>2430</t>
  </si>
  <si>
    <t>Pogo Pins "Needle Head" (10 pack) - P75-B1</t>
  </si>
  <si>
    <t>394</t>
  </si>
  <si>
    <t xml:space="preserve">Pogo Pins "Spear Head" (10 pack) - P75-LM3 </t>
  </si>
  <si>
    <t>370</t>
  </si>
  <si>
    <t xml:space="preserve">10-pin Socket/Socket IDC cable - 6" </t>
  </si>
  <si>
    <t>2925</t>
  </si>
  <si>
    <t xml:space="preserve">Mini 8-Way Rotary Selector Switch - SP8T </t>
  </si>
  <si>
    <t>3392</t>
  </si>
  <si>
    <t xml:space="preserve">Panel Mount 10K Dual Linear Potentiometer - 10K Dual Linear </t>
  </si>
  <si>
    <t>3393</t>
  </si>
  <si>
    <t xml:space="preserve">Panel Mount 10K Dual Linear Potentiometer w/ On-Off Switch - 10K Dual Linear w/ Switch </t>
  </si>
  <si>
    <t>562</t>
  </si>
  <si>
    <t xml:space="preserve">Panel Mount 10K potentiometer (Breadboard Friendly) - 10K Linear </t>
  </si>
  <si>
    <t>1789</t>
  </si>
  <si>
    <t xml:space="preserve">Panel Mount 1K potentiometer (Breadboard Friendly) - 1K Linear </t>
  </si>
  <si>
    <t>3395</t>
  </si>
  <si>
    <t xml:space="preserve">Panel Mount Right Angle 10K Linear Potentiometer w/On-Off Switch - 10K Linear w/ Switch </t>
  </si>
  <si>
    <t>377</t>
  </si>
  <si>
    <t xml:space="preserve">Rotary Encoder + Extras </t>
  </si>
  <si>
    <t>94</t>
  </si>
  <si>
    <t xml:space="preserve">Adafruit Wave Shield for Arduino Kit - v1.1 </t>
  </si>
  <si>
    <t>3369</t>
  </si>
  <si>
    <t xml:space="preserve">Mini External USB Stereo Speaker </t>
  </si>
  <si>
    <t>3367</t>
  </si>
  <si>
    <t xml:space="preserve">Mini USB Microphone </t>
  </si>
  <si>
    <t>3351</t>
  </si>
  <si>
    <t xml:space="preserve">Mono Enclosed Speaker - 3W 4 Ohm </t>
  </si>
  <si>
    <t>1314</t>
  </si>
  <si>
    <t xml:space="preserve">Speaker - 3" Diameter - 4 Ohm 3 Watt </t>
  </si>
  <si>
    <t>1313</t>
  </si>
  <si>
    <t xml:space="preserve">Speaker - 3" Diameter - 8 Ohm 1 Watt </t>
  </si>
  <si>
    <t>1669</t>
  </si>
  <si>
    <t xml:space="preserve">Stereo Enclosed Speaker Set - 3W 4 Ohm </t>
  </si>
  <si>
    <t>1363</t>
  </si>
  <si>
    <t xml:space="preserve">USB Powered Speakers </t>
  </si>
  <si>
    <t>102</t>
  </si>
  <si>
    <t xml:space="preserve">4GB Blank SD/MicroSD Memory Card </t>
  </si>
  <si>
    <t>2693</t>
  </si>
  <si>
    <t xml:space="preserve">SD/MicroSD Memory Card - 16GB Class 10 - Adapter Included </t>
  </si>
  <si>
    <t>1294</t>
  </si>
  <si>
    <t xml:space="preserve">SD/MicroSD Memory Card (8 GB SDHC) </t>
  </si>
  <si>
    <t>327</t>
  </si>
  <si>
    <t>2.1mm female/male barrel jack extension cable - 1.5m / 5 ft</t>
  </si>
  <si>
    <t>411</t>
  </si>
  <si>
    <t>2.1mm to 1.7mm DC jack adapter</t>
  </si>
  <si>
    <t>2897</t>
  </si>
  <si>
    <t>2.1mm to 2.5mm DC Barrel Plug Adapter</t>
  </si>
  <si>
    <t>2788</t>
  </si>
  <si>
    <t>3.5 / 1.3mm or 3.8 / 1.1mm to 5.5 / 2.1mm DC Jack Adapter Cable</t>
  </si>
  <si>
    <t>1125</t>
  </si>
  <si>
    <t>In-line power switch for 2.1mm barrel jack</t>
  </si>
  <si>
    <t>276</t>
  </si>
  <si>
    <t>5V 2A (2000mA) switching power supply - UL Listed</t>
  </si>
  <si>
    <t>1448</t>
  </si>
  <si>
    <t>Compact Switching Power Supply - Selectable Output 3-12VDC</t>
  </si>
  <si>
    <t>184</t>
  </si>
  <si>
    <t>Adjustable breadboard power supply kit - v1.0</t>
  </si>
  <si>
    <t>1829</t>
  </si>
  <si>
    <t>USB DIY Connector - MicroB Female Plug</t>
  </si>
  <si>
    <t>1388</t>
  </si>
  <si>
    <t>USB DIY Connector Shell - Type A Socket</t>
  </si>
  <si>
    <t>1390</t>
  </si>
  <si>
    <t>USB DIY Connector Shell - Type Micro-B Plug</t>
  </si>
  <si>
    <t>1389</t>
  </si>
  <si>
    <t>USB DIY Connector Shell - Type Mini-B Plug</t>
  </si>
  <si>
    <t>1827</t>
  </si>
  <si>
    <t>USB DIY Slim Connector Shell - A-M Plug</t>
  </si>
  <si>
    <t>1826</t>
  </si>
  <si>
    <t>USB DIY Slim Connector Shell - MicroB Plug</t>
  </si>
  <si>
    <t>2727</t>
  </si>
  <si>
    <t>MicroUSB Plug to 5.5/2.1mm DC Barrel Jack Adapter</t>
  </si>
  <si>
    <t>988</t>
  </si>
  <si>
    <t>USB A Jack to 5.5/2.1mm jack adapter</t>
  </si>
  <si>
    <t>2778</t>
  </si>
  <si>
    <t>USB to 2.1mm DC Booster Cable - 12V</t>
  </si>
  <si>
    <t>2777</t>
  </si>
  <si>
    <t>USB to 2.1mm DC Booster Cable - 9V</t>
  </si>
  <si>
    <t>2697</t>
  </si>
  <si>
    <t>USB to 2.1mm Male Barrel Jack Cable - 22AWG &amp; 1 meter</t>
  </si>
  <si>
    <t xml:space="preserve">Power Supply, USB + Barrel Jack </t>
  </si>
  <si>
    <t>2789</t>
  </si>
  <si>
    <t>MicroUSB to 5.5/2.1mm DC Barrel Jack Adapter</t>
  </si>
  <si>
    <t>501</t>
  </si>
  <si>
    <t>5V 1A (1000mA) USB port power supply - UL Listed</t>
  </si>
  <si>
    <t>1994</t>
  </si>
  <si>
    <t>5V 2A Switching Power Supply w/ USB-A Connector</t>
  </si>
  <si>
    <t>3538</t>
  </si>
  <si>
    <t xml:space="preserve">Adafruit AMG8833 IR Thermal Camera Breakout </t>
  </si>
  <si>
    <t>3317</t>
  </si>
  <si>
    <t>Adafruit VL53L0X Time of Flight Distance Sensor - ~30 to 1000mm</t>
  </si>
  <si>
    <t>3316</t>
  </si>
  <si>
    <t>Adafruit VL6180X Time of Flight Distance Ranging Sensor (VL6180)</t>
  </si>
  <si>
    <t>1568</t>
  </si>
  <si>
    <t>IR Distance Sensor - Includes Cable (100cm-500cm) - GP2Y0A710K0F</t>
  </si>
  <si>
    <t>164</t>
  </si>
  <si>
    <t>IR distance sensor includes cable (10cm-80cm) - GP2Y0A21YK0F</t>
  </si>
  <si>
    <t>1031</t>
  </si>
  <si>
    <t>IR distance sensor includes cable (20cm-150cm) - GP2Y0A02YK</t>
  </si>
  <si>
    <t>1917</t>
  </si>
  <si>
    <t>DIY Sensor Film Kit - 4x6" Small Kit</t>
  </si>
  <si>
    <t>1071</t>
  </si>
  <si>
    <t xml:space="preserve">Extra-long force-sensitive resistor (FSR) - Interlink 408 </t>
  </si>
  <si>
    <t>1739</t>
  </si>
  <si>
    <t xml:space="preserve">Large Enclosed Piezo Element w/Wires </t>
  </si>
  <si>
    <t>1361</t>
  </si>
  <si>
    <t>Pressure-Sensitive Conductive Sheet (Velostat/Linqstat)</t>
  </si>
  <si>
    <t>1075</t>
  </si>
  <si>
    <t>Square Force-Sensitive Resistor (FSR) - Interlink 406</t>
  </si>
  <si>
    <t>1168</t>
  </si>
  <si>
    <t>Woven Conductive Fabric - 20cm square</t>
  </si>
  <si>
    <t>3330</t>
  </si>
  <si>
    <t xml:space="preserve">Liquid Crystal Light Valve - LCD Controllable Shutter Glass </t>
  </si>
  <si>
    <t>1621</t>
  </si>
  <si>
    <t xml:space="preserve">White LED Backlight Module - Large 45mm x 86mm </t>
  </si>
  <si>
    <t>1622</t>
  </si>
  <si>
    <t xml:space="preserve">White LED Backlight Module - Medium 23mm x 75mm </t>
  </si>
  <si>
    <t>1407</t>
  </si>
  <si>
    <t>Inductive Charging Set - 5V @ 500mA max</t>
  </si>
  <si>
    <t>2116</t>
  </si>
  <si>
    <t xml:space="preserve">Universal Qi Wireless Charging Module - 20mm Forward MicroUSB </t>
  </si>
  <si>
    <t>2162</t>
  </si>
  <si>
    <t xml:space="preserve">Universal Qi Wireless Charging Transmitter </t>
  </si>
  <si>
    <t>1901</t>
  </si>
  <si>
    <t>Universal Qi Wireless Receiver Module</t>
  </si>
  <si>
    <t>1895</t>
  </si>
  <si>
    <t xml:space="preserve">Adafruit I2C Non-Volatile FRAM Breakout - 256Kbit / 32KByte </t>
  </si>
  <si>
    <t>1897</t>
  </si>
  <si>
    <t xml:space="preserve">Adafruit SPI Non-Volatile FRAM Breakout - 64Kbit / 8KByte </t>
  </si>
  <si>
    <t>1085</t>
  </si>
  <si>
    <t xml:space="preserve">ADS1115 16-Bit ADC - 4 Channel with Programmable Gain Amplifier </t>
  </si>
  <si>
    <t>856</t>
  </si>
  <si>
    <t xml:space="preserve">MCP3008 - 8-Channel 10-Bit ADC With SPI Interface </t>
  </si>
  <si>
    <t>2717</t>
  </si>
  <si>
    <t xml:space="preserve">TCA9548A I2C Multiplexer </t>
  </si>
  <si>
    <t>2910</t>
  </si>
  <si>
    <t>Tiny OTG Adapter - USB Micro to USB</t>
  </si>
  <si>
    <t>1620</t>
  </si>
  <si>
    <t>USB Cable with Switch</t>
  </si>
  <si>
    <t>1099</t>
  </si>
  <si>
    <t>USB OTG Host Cable - MicroB OTG male to A female</t>
  </si>
  <si>
    <t>1332</t>
  </si>
  <si>
    <t xml:space="preserve">Membrane 1x4 Keypad + Extras </t>
  </si>
  <si>
    <t>419</t>
  </si>
  <si>
    <t xml:space="preserve">Membrane 3x4 Matrix Keypad + extras - 3x4 </t>
  </si>
  <si>
    <t>3396</t>
  </si>
  <si>
    <t>4.3" LCD Capacitive Touchscreen Display Cape for BeagleBone</t>
  </si>
  <si>
    <t>1555</t>
  </si>
  <si>
    <t>Adafruit BBB Case - Enclosure for Beagle Bone Black</t>
  </si>
  <si>
    <t>699</t>
  </si>
  <si>
    <t>Adafruit Bone Box - Enclosure for Beagle Bone/Beagle Bone Black</t>
  </si>
  <si>
    <t>572</t>
  </si>
  <si>
    <t>Adafruit Proto Cape Kit for Beagle Bone &amp; Beagle Bone Black</t>
  </si>
  <si>
    <t>702</t>
  </si>
  <si>
    <t>Adafruit Proto Plate for Beagle Bone &amp; Beagle Bone Black</t>
  </si>
  <si>
    <t>2627</t>
  </si>
  <si>
    <t>Anidees Beaglebone Black Case - Black Aluminum with Smoke Top</t>
  </si>
  <si>
    <t>2628</t>
  </si>
  <si>
    <t>Anidees BeagleBoneBlack Case - Silver Aluminum with Crystal Top</t>
  </si>
  <si>
    <t>1810</t>
  </si>
  <si>
    <t>uniBBB - Unibody Aluminum Case for BeagleBone Black</t>
  </si>
  <si>
    <t>1869</t>
  </si>
  <si>
    <t xml:space="preserve">Hot Air Soldering Rework Station w/ Three Nozzles - Quick 957D </t>
  </si>
  <si>
    <t>3019</t>
  </si>
  <si>
    <t>Third Hand Pana Hand Workstation Add-On for Panavise</t>
  </si>
  <si>
    <t>3536</t>
  </si>
  <si>
    <t>Insulated Silicone Rework Mat - 34cm x 23cm x 4mm Work Surface</t>
  </si>
  <si>
    <t>SH</t>
  </si>
  <si>
    <t>PH</t>
  </si>
  <si>
    <t>Column1</t>
  </si>
  <si>
    <t>SF</t>
  </si>
  <si>
    <t>Ada</t>
  </si>
  <si>
    <t xml:space="preserve">3V at 10 cm to 0.4V at 80 cm </t>
  </si>
  <si>
    <t>Good linearity</t>
  </si>
  <si>
    <t>3-100cm</t>
  </si>
  <si>
    <t>Long R Mode: up to 1.2-1.5m</t>
  </si>
  <si>
    <t>3 to 12% (D up/% down)</t>
  </si>
  <si>
    <t>5mm to 100mm</t>
  </si>
  <si>
    <t>PTH</t>
  </si>
  <si>
    <t xml:space="preserve">3V at  100cm to 1.4V at 500cm </t>
  </si>
  <si>
    <t>Non-Linear, 1/L for 100cm-500cm</t>
  </si>
  <si>
    <t>3V  at 20 cm to 0.4V at 150 cm</t>
  </si>
  <si>
    <t>Non-Linear L &amp; 1/L</t>
  </si>
  <si>
    <t>@ 80 cm: ±10 cm</t>
  </si>
  <si>
    <t>Non-Linear L</t>
  </si>
  <si>
    <t>up to 150-200mm</t>
  </si>
  <si>
    <t>small!</t>
  </si>
  <si>
    <t>6 PTH</t>
  </si>
  <si>
    <t>5 PTH</t>
  </si>
  <si>
    <t>up tp 3mm</t>
  </si>
  <si>
    <t>User Interface, Display</t>
  </si>
  <si>
    <t>PRT-11474</t>
  </si>
  <si>
    <t>https://www.sparkfun.com/products/11474</t>
  </si>
  <si>
    <t>https://cdn.sparkfun.com/r/92-92/assets/parts/7/3/6/1/11474-01.jpg</t>
  </si>
  <si>
    <t>Car Adapter Plug - Red LED</t>
  </si>
  <si>
    <t>PRT-08100</t>
  </si>
  <si>
    <t>https://www.sparkfun.com/products/8100</t>
  </si>
  <si>
    <t>https://cdn.sparkfun.com/r/92-92/assets/parts/6/6/6/08100-01a.jpg</t>
  </si>
  <si>
    <t>Polarized Connectors - Crimp Pins</t>
  </si>
  <si>
    <t>PRT-10853</t>
  </si>
  <si>
    <t>https://www.sparkfun.com/products/10853</t>
  </si>
  <si>
    <t>https://cdn.sparkfun.com/r/92-92/assets/parts/5/8/6/5/10853-01b.jpg</t>
  </si>
  <si>
    <t>Mega Pro Mini Cable - 8\" (8-wire)</t>
  </si>
  <si>
    <t>Jumper Wires, JST-PH</t>
  </si>
  <si>
    <t>Jumper Wires, JST-SH</t>
  </si>
  <si>
    <t>Jumper Wires, JST-SM</t>
  </si>
  <si>
    <t>DEV-14437</t>
  </si>
  <si>
    <t>https://www.sparkfun.com/products/14437</t>
  </si>
  <si>
    <t>https://cdn.sparkfun.com/r/92-92/assets/parts/1/2/4/6/7/14437-01.jpg</t>
  </si>
  <si>
    <t>Mini Dock for Onion Omega</t>
  </si>
  <si>
    <t>DEV-14436</t>
  </si>
  <si>
    <t>https://www.sparkfun.com/products/14436</t>
  </si>
  <si>
    <t>https://cdn.sparkfun.com/r/92-92/assets/parts/1/2/4/6/6/14436-01.jpg</t>
  </si>
  <si>
    <t>Breadboard Dock for Onion Omega</t>
  </si>
  <si>
    <t>TOL-12630</t>
  </si>
  <si>
    <t>https://www.sparkfun.com/products/12630</t>
  </si>
  <si>
    <t>https://cdn.sparkfun.com/r/92-92/assets/parts/9/3/1/2/12630-01.jpg</t>
  </si>
  <si>
    <t>Wire Strippers - 30AWG (Hakko)</t>
  </si>
  <si>
    <t>2-pin JST SM Plug + Receptacle Cable Set</t>
  </si>
  <si>
    <t>2880</t>
  </si>
  <si>
    <t>JST 2-pin cable</t>
  </si>
  <si>
    <t>261</t>
  </si>
  <si>
    <t>JST-PH 2-Pin SMT Right Angle Connector</t>
  </si>
  <si>
    <t>10-pin 2x5 Socket-Socket 1.27mm IDC (SWD) Cable - 150mm long</t>
  </si>
  <si>
    <t>1675</t>
  </si>
  <si>
    <t>10-pin IDC Socket Rainbow Breakout Cable</t>
  </si>
  <si>
    <t>1199</t>
  </si>
  <si>
    <t>10-pin Socket/Socket IDC cable - Short 1.5"</t>
  </si>
  <si>
    <t>556</t>
  </si>
  <si>
    <t>6-pin Socket/Socket IDC cable - 6"</t>
  </si>
  <si>
    <t>371</t>
  </si>
  <si>
    <t>4-pin AT/ATX/IDE power cable</t>
  </si>
  <si>
    <t>425</t>
  </si>
  <si>
    <t>Ladyada's Electronics Toolkit</t>
  </si>
  <si>
    <t>136</t>
  </si>
  <si>
    <t>Hook-up Wire Spool Set - 22AWG Solid Core - 10 x 25ft</t>
  </si>
  <si>
    <t>3174</t>
  </si>
  <si>
    <t>Half Size Breadboard + 78 Piece 22AWG Jumper Wire Bundle</t>
  </si>
  <si>
    <t>3314</t>
  </si>
  <si>
    <t>Hakko Professsional Quality 20-30 AWG Wire Strippers - CSP-30-1</t>
  </si>
  <si>
    <t>527</t>
  </si>
  <si>
    <t>Professional IC Extraction Tool</t>
  </si>
  <si>
    <t>1598</t>
  </si>
  <si>
    <t>Hakko Precision Flat Pliers</t>
  </si>
  <si>
    <t>1368</t>
  </si>
  <si>
    <t>IC Socket - for 8-pin 0.3" Chips - Pack of 3</t>
  </si>
  <si>
    <t>2202</t>
  </si>
  <si>
    <t>Heat Shrink Pack</t>
  </si>
  <si>
    <t>344</t>
  </si>
  <si>
    <t>Adafruit 6-pin AVR ISP Breadboard Adapter Mini Kit</t>
  </si>
  <si>
    <t>1465</t>
  </si>
  <si>
    <t>Extra-long break-away 0.1" 16-pin strip male header (5 pieces)</t>
  </si>
  <si>
    <t>400</t>
  </si>
  <si>
    <t>Mega Components</t>
  </si>
  <si>
    <t>Mega Components/Shields</t>
  </si>
  <si>
    <t>Full Equipment              List</t>
  </si>
  <si>
    <t>G</t>
  </si>
  <si>
    <t>Retired</t>
  </si>
  <si>
    <t>Not Available for Backorder</t>
  </si>
  <si>
    <t>H</t>
  </si>
  <si>
    <t>CAB-00512</t>
  </si>
  <si>
    <t>https://www.sparkfun.com/products/512</t>
  </si>
  <si>
    <t>https://cdn.sparkfun.com/r/92-92/assets/parts/2/7/7/00512-1.jpg</t>
  </si>
  <si>
    <t>USB Cable A to B - 6 Foot</t>
  </si>
  <si>
    <t>CAB-11301</t>
  </si>
  <si>
    <t>https://www.sparkfun.com/products/11301</t>
  </si>
  <si>
    <t>https://cdn.sparkfun.com/r/92-92/assets/parts/6/9/8/0/11301-01.jpg</t>
  </si>
  <si>
    <t>SparkFun USB Mini-B Cable - 6 Foot</t>
  </si>
  <si>
    <t>CAB-13243</t>
  </si>
  <si>
    <t>https://www.sparkfun.com/products/13243</t>
  </si>
  <si>
    <t>https://cdn.sparkfun.com/r/92-92/assets/parts/1/0/4/2/9/13243-01.jpg</t>
  </si>
  <si>
    <t>USB Mini-B Cable - 6\"</t>
  </si>
  <si>
    <t>CAB-10177</t>
  </si>
  <si>
    <t>https://www.sparkfun.com/products/10177</t>
  </si>
  <si>
    <t>https://cdn.sparkfun.com/r/92-92/assets/parts/4/4/8/3/10177-01.jpg</t>
  </si>
  <si>
    <t>Panel Mount USB to 4-pin Female Header Cable - 6\'</t>
  </si>
  <si>
    <t>DEV-12761</t>
  </si>
  <si>
    <t>https://www.sparkfun.com/products/12761</t>
  </si>
  <si>
    <t>https://cdn.sparkfun.com/r/92-92/assets/parts/9/5/2/8/12761-05.jpg</t>
  </si>
  <si>
    <t>SparkFun microSD Shield</t>
  </si>
  <si>
    <t>Power</t>
  </si>
  <si>
    <t>Communication</t>
  </si>
  <si>
    <t>Charging</t>
  </si>
  <si>
    <t>Micro-B</t>
  </si>
  <si>
    <t>Bootloading</t>
  </si>
  <si>
    <t>Barrel Jack</t>
  </si>
  <si>
    <t>Barrel Jack
+Micro-B</t>
  </si>
  <si>
    <t>Host/Peripherals</t>
  </si>
  <si>
    <t>USB A</t>
  </si>
  <si>
    <t xml:space="preserve">Barrel Jack+Micro-B
</t>
  </si>
  <si>
    <t>WiFi+Micro-B</t>
  </si>
  <si>
    <t xml:space="preserve"> Micro-B</t>
  </si>
  <si>
    <t>JST+PTH</t>
  </si>
  <si>
    <t>WiFi+BT</t>
  </si>
  <si>
    <t>Mini-B+USB A</t>
  </si>
  <si>
    <t>Mini-B+PTH</t>
  </si>
  <si>
    <t xml:space="preserve">Barrel Jack+Mini-B
</t>
  </si>
  <si>
    <t>3.5mm</t>
  </si>
  <si>
    <t>10-bit</t>
  </si>
  <si>
    <t>12-bit</t>
  </si>
  <si>
    <t>WRL-12579</t>
  </si>
  <si>
    <t>https://www.sparkfun.com/products/12579</t>
  </si>
  <si>
    <t>https://cdn.sparkfun.com/r/92-92/assets/parts/9/2/3/1/10559-01.jpg</t>
  </si>
  <si>
    <t>SparkFun Bluetooth Module Breakout - Roving Networks (RN-41 v6.15)</t>
  </si>
  <si>
    <t>WRL-11048</t>
  </si>
  <si>
    <t>https://www.sparkfun.com/products/11048</t>
  </si>
  <si>
    <t>https://cdn.sparkfun.com/r/92-92/assets/parts/6/4/1/0/11048-01.jpg</t>
  </si>
  <si>
    <t>RN-XV WiFly Module - U.FL Connector</t>
  </si>
  <si>
    <t>WRL-11320</t>
  </si>
  <si>
    <t>https://www.sparkfun.com/products/11320</t>
  </si>
  <si>
    <t>https://cdn.sparkfun.com/r/92-92/assets/parts/7/0/1/7/11320-01.jpg</t>
  </si>
  <si>
    <t>2.4GHz Antenna - Adhesive (U.FL Connector)</t>
  </si>
  <si>
    <t>WRL-13287</t>
  </si>
  <si>
    <t>https://www.sparkfun.com/products/13287</t>
  </si>
  <si>
    <t>https://cdn.sparkfun.com/r/92-92/assets/parts/1/0/5/3/8/13287-01.jpg</t>
  </si>
  <si>
    <t>SparkFun WiFi Shield - ESP8266</t>
  </si>
  <si>
    <t>2217.4135, 1515.5218, 3.0920, -3.1186,  -4.2865, -1.9194, -2.7559, -4.1331, 4111.3763, 3428.6342, 0.0640, -0.4597, -1.7025, 0.3528, -0.7728, -2.5591, 4981.7609, 4321.0805, 1.6899, 0.9201, -0.3884, 1.5522, 0.2834, -1.6734, 5309.5095, 4672.0931, 2.4863, 1.5957, 0.2523, 2.1598, 0.8297, -1.1724, 5350.4742, 4736.3807, 2.8319, 1.8942, 0.5264, 2.4447, 1.0969, -0.8851, 5242.7214, 4651.3430, 2.9332, 1.9902, 0.6042, 2.5554, 1.2124, -0.7170, 5061.7428, 4492.0985, 2.9041, 1.9791, 0.5789, 2.5729, 1.2458, -0.6160, 4848.6624, 4299.5617, 2.8078, 1.9133, 0.5009, 2.5419, 1.2356, -0.5527, 4625.7547, 4095.8910, 2.6791, 1.8217, 0.3981, 2.4872, 1.2033, -0.5109, 4404.9308, 3893.0010, 2.5371, 1.7200, 0.2860, 2.4223, 1.1609, -0.4813, 4192.4150, 3697.1316, 2.3925, 1.6173, 0.1731, 2.3549, 1.1151, -0.4583, 3991.2896, 3511.4183, 2.2513, 1.5179, 0.0642, 2.2888, 1.0693, -0.4388, 3802.8942, 3337.2721, 2.1166, 1.4245, -0.0390, 2.2265, 1.0255, -0.4210, 2217.4199, 1515.5173, -3.0920, -3.1186, -4.2865, -1.9194, -2.7559, -4.1331, 4150.1360, 3466.9576, 0.1116, -0.4632, -1.6963, 0.3100, -0.8049, -2.5864, 5013.7590, 4352.6324, 1.7311, 0.9115, -0.3834, 1.5183, 0.2573, -1.6953, 5337.6208, 4699.7815, 2.5232, 1.5885, 0.2555, 2.1306, 0.8067, -1.1912, 5375.5177, 4761.0532, 2.8651, 1.8879, 0.5305, 2.4189, 1.0764, -0.9018, 5264.2197, 4672.5401, 2.9620, 1.9845, 0.6084, 2.5336, 1.1949, -0.7313, 5081.1624, 4511.2506, 2.9304, 1.9737, 0.5828, 2.5533, 1.2300, -0.6288, 4867.1214, 4317.7619, 2.8328, 1.9078, 0.5048, 2.5233, 1.2207, -0.5651, 4643.3206, 4113.2073, 2.7029, 1.8164, 0.4019, 2.4693, 1.1892, -0.5227, 4422.0125, 3909.8329, 2.5602, 1.7149, 0.2899, 2.4048, 1.1471, -0.4929, 4208.9333, 3713.4044, 2.4149, 1.6121, 0.1770, 2.3379, 1.1017, -0.4695, 4007.2798, 3527.1646, 2.2729, 1.5128, 0.0679, 2.2724, 1.0563, -0.4497, 3818.3944, 3352.5243, 2.1375, 1.4193, -0.0351, 2.2107, 1.0129, -0.4316, 2217.4069, 1515.5256, -3.0920, -3.1186, -4.2865, -1.9194, -2.7558, -4.1331, 4171.9276, 3488.4628, 0.1398, -0.4687, -1.6945, 0.2861, -0.8232, -2.6017, 5025.0800, 4363.8037, 1.7459, 0.9087, -0.3823, 1.5067, 0.2481, -1.7028, 5364.8676, 4726.6152, 2.5602, 1.5828, 0.2588, 2.1011, 0.7836, -1.2100, 5399.2786, 4784.4705, 2.8977, 1.8831, 0.5328, 2.3938, 1.0566, -0.9179, 5292.2929, 4700.1867, 3.0004, 1.9785, 0.6105, 2.5034, 1.1712, -0.7505, 5110.5753, 4540.2248, 2.9707, 1.9672, 0.5852, 2.5215, 1.2051, -0.6491, 4896.3137, 4346.5177, 2.8728, 1.9013, 0.5071, 2.4915, 1.1960, -0.5853, 4671.7171, 4141.1988, 2.7418, 1.8098, 0.4042, 2.4383, 1.1651, -0.5425, 4449.4798, 3936.9143, 2.5979, 1.7082, 0.2923, 2.3746, 1.1237, -0.5120, 4235.5599, 3739.6611, 2.4515, 1.6056, 0.1794, 2.3084, 1.0789, -0.4882, 4033.0204, 3552.5531, 2.3083, 1.5062, 0.0702, 2.2438, 1.0341, -0.4680, 3843.3098, 3377.1140, 2.1718, 1.4127, -0.0327, 2.1827, 0.9914, -0.4493, 2217.4125, 1515.5260, -3.0920, -3.1186, -4.2865, -1.9194, -2.7559, -4.1331, 4183.7952, 3500.1413, 0.1555, -0.4719, -1.6939, 0.2732, -0.8333, -2.6100, 5029.7019, 4368.3353, 1.7519, 0.9080, -0.3808, 1.5021, 0.2444, -1.7058, 5344.0788, 4706.1349, 2.5311, 1.5872, 0.2581, 2.1250, 0.8020, -1.1951, 5382.3065, 4767.7125, 2.8735, 1.8865, 0.5321, 2.4128, 1.0713, -0.9060, 5275.3160, 4683.4083, 2.9760, 1.9822, 0.6102, 2.5223, 1.1859, -0.7386, 5094.0570, 4523.8663, 2.9467, 1.9710, 0.5846, 2.5400, 1.2195, -0.6375, 4879.6599, 4330.0175, 2.8486, 1.9051, 0.5067, 2.5104, 1.2105, -0.5734, 4655.9445, 4125.5495, 2.7188, 1.8136, 0.4039, 2.4563, 1.1789, -0.5312, 4434.0393, 3921.5857, 2.5753, 1.7122, 0.2919, 2.3925, 1.1372, -0.5009, 4220.5455, 3724.7387, 2.4295, 1.6095, 0.1791, 2.3258, 1.0921, -0.4773, 4018.5486, 3538.1603, 2.2870, 1.5101, 0.0700, 2.2608, 1.0470, -0.4573, 3829.3256, 3363.1843, 2.1512, 1.4167, -0.0331, 2.1993, 1.0039, -0.4390, 2217.4050, 1515.5140, -3.0920, -3.1186, -4.2865, -1.9194, -2.7558, -4.1331, 4189.9910, 3506.2273, 0.1638, -0.4731, -1.6933, 0.2666, -0.8387, -2.6143, 5092.9100, 4430.4661, 1.8388, 0.8936, -0.3760, 1.4328, 0.1892, -1.7500, 5431.9803, 4792.5110, 2.6537, 1.5665, 0.2594, 2.0296, 0.7258, -1.2557, 5464.5476, 4848.5669, 2.9890, 1.8671, 0.5343, 2.3247, 1.0008, -0.9620, 5352.1301, 4758.9732, 3.0848, 1.9635, 0.6126, 2.4404, 1.1203, -0.7909, 5165.7368, 4594.4412, 3.0489, 1.9531, 0.5873, 2.4635, 1.1583, -0.6863, 4948.6194, 4397.9368, 2.9473, 1.8875, 0.5095, 2.4365, 1.1514, -0.6208, 4721.9767, 4190.6089, 2.8135, 1.7960, 0.4066, 2.3851, 1.1221, -0.5768, 4497.7867, 3984.4019, 2.6668, 1.6945, 0.2948, 2.3234, 1.0822, -0.5452, 4282.1572, 3785.4555, 2.5179, 1.5920, 0.1821, 2.2588, 1.0387, -0.5204, 4078.1933, 3596.9341, 2.3726, 1.4927, 0.0728, 2.1955, 0.9951, -0.4993, 3887.0493, 3420.0670, 2.2340, 1.3995, -0.0301, 2.1358, 0.9536, -0.4799, 2217.4086, 1515.5140, -3.0920, -3.1186, -4.2865, -1.9194, -2.7558, -4.1331, 4193.1624, 3509.3362, 0.1681, -0.4739, -1.6929, 0.2631, -0.8414, -2.6166, 5038.9210, 4377.3990, 1.7643, 0.9061, -0.3796, 1.4924, 0.2367, -1.7122, 5356.8088, 4718.6609, 2.5486, 1.5846, 0.2597, 2.1114, 0.7913, -1.2038, 5400.9353, 4786.0287, 2.8992, 1.8825, 0.5340, 2.3926, 1.0554, -0.9188, 5288.8923, 4696.7896, 2.9952, 1.9793, 0.6120, 2.5081, 1.1745, -0.7478, 5104.5732, 4534.2725, 2.9620, 1.9686, 0.5865, 2.5292, 1.2108, -0.6446, 4889.2270, 4339.5029, 2.8628, 1.9029, 0.5086, 2.5005, 1.2025, -0.5800, 4664.7227, 4134.2643, 2.7320, 1.8114, 0.4059, 2.4472, 1.1715, -0.5373, 4442.4503, 3929.9420, 2.5880, 1.7100, 0.2940, 2.3837, 1.1303, -0.5068, 4228.8245, 3732.9620, 2.4418, 1.6073, 0.1810, 2.3172, 1.0852, -0.4830, 4026.5330, 3546.0936, 2.2990, 1.5079, 0.0718, 2.2524, 1.0403, -0.4629, 3837.0532, 3370.8649, 2.1627, 1.4145, -0.0310, 2.1912, 0.9975, -0.4444, 2217.4128, 1515.5142, -3.0920, -3.1186, -4.2865, -1.9194, -2.7559, -4.1331, 4194.7518, 3510.9047, 0.1702, -0.4742, -1.6929, 0.2614, -0.8427, -2.6177, 5040.4210, 4378.8746, 1.7664, 0.9058, -0.3794, 1.4907, 0.2354, -1.7132, 5351.4960, 4713.4293, 2.5412, 1.5858, 0.2590, 2.1176, 0.7960, -1.2000, 5384.2753, 4769.6451, 2.8762, 1.8861, 0.5328, 2.4115, 1.0701, -0.9071, 5274.0391, 4682.1541, 2.9744, 1.9824, 0.6105, 2.5247, 1.1874, -0.7375, 5091.3564, 4521.2122, 2.9432, 1.9715, 0.5849, 2.5439, 1.2221, -0.6354, 4876.3950, 4326.8056, 2.8445, 1.9059, 0.5070, 2.5148, 1.2135, -0.5710, 4652.1788, 4121.8410, 2.7140, 1.8144, 0.4043, 2.4614, 1.1823, -0.5284, 4430.6815, 3918.2573, 2.5710, 1.7129, 0.2922, 2.3971, 1.1405, -0.4984, 4217.3333, 3721.5443, 2.4253, 1.6101, 0.1794, 2.3304, 1.0953, -0.4749, 4015.4388, 3535.0603, 2.2829, 1.5109, 0.0703, 2.2653, 1.0500, -0.4549, 3826.3374, 3360.1987, 2.1472, 1.4174, -0.0327, 2.2037, 1.0070, -0.4366, 2217.4021, 1515.5140, -3.0920, -3.1186, -4.2865, -1.9194, -2.7558, -4.1331, 4195.5482, 3511.6917, 0.1713, -0.4744, -1.6928, 0.2605, -0.8434, -2.6182, 5033.4435, 4372.0073, 1.7568, 0.9074, -0.3801, 1.4984, 0.2414, -1.7082, 5343.7809, 4705.8281, 2.5305, 1.5874, 0.2580, 2.1259, 0.8026, -1.1947, 5375.1692, 4760.6724, 2.8636, 1.8879, 0.5317, 2.4214, 1.0778, -0.9008, 5262.3526, 4670.6389, 2.9584, 1.9847, 0.6094, 2.5376, 1.1974, -0.7294, 5078.7175, 4508.7512, 2.9260, 1.9739, 0.5839, 2.5579, 1.2329, -0.6266, 4864.1564, 4314.7276, 2.8277, 1.9083, 0.5058, 2.5284, 1.2240, -0.5625, 4640.3567, 4110.1594, 2.6978, 1.8168, 0.4031, 2.4746, 1.1925, -0.5201, 4418.9360, 3906.6468, 2.5549, 1.7153, 0.2912, 2.4104, 1.1506, -0.4900, 4205.9651, 3710.3079, 2.4096, 1.6126, 0.1783, 2.3434, 1.1051, -0.4668, 4004.4622, 3524.2024, 2.2678, 1.5132, 0.0693, 2.2779, 1.0596, -0.4470, 3815.7729, 3349.7437, 2.1325, 1.4199, -0.0337, 2.2161, 1.0162, -0.4290, 2217.3962, 1515.5179, -3.0921, -3.1186, -4.2865, -1.9194, -2.7558, -4.1331, 4195.9411, 3512.0887, 0.1718, -0.4745, -1.6927, 0.2601, -0.8438, -2.6185, 5065.9181, 4403.9623, 1.8014, 0.8999, -0.3774, 1.4627, 0.2131, -1.7310, 5390.0697, 4751.3765, 2.5948, 1.5770, 0.2605, 2.0754, 0.7626, -1.2267, 5420.6090, 4805.4258, 2.9269, 1.8779, 0.5347, 2.3722, 1.0389, -0.9319, 5312.3873, 4719.9322, 3.0282, 1.9736, 0.6125, 2.4830, 1.1545, -0.7638, 5127.1231, 4556.4990, 2.9938, 1.9631, 0.5873, 2.5053, 1.1915, -0.6600, 4910.9497, 4360.9170, 2.8935, 1.8976, 0.5093, 2.4773, 1.1839, -0.5948, 4685.5582, 4154.8139, 2.7614, 1.8061, 0.4065, 2.4250, 1.1536, -0.5517, 4462.5935, 3949.8077, 2.6165, 1.7046, 0.2947, 2.3620, 1.1129, -0.5208, 4248.1443, 3752.0260, 2.4692, 1.6020, 0.1817, 2.2964, 1.0684, -0.4967, 4045.3125, 3564.6156, 2.3256, 1.5027, 0.0727, 2.2321, 1.0239, -0.4761, 3855.2281, 3388.7918, 2.1884, 1.4094, -0.0304, 2.1715, 0.9817, -0.4573, 2217.4104, 1515.5222, -3.0920, -3.1186, -4.2865, -1.9194, -2.7558, -4.1331, 4196.1568, 3512.2909, 0.1721, -0.4746, -1.6927, 0.2599, -0.8440, -2.6186, 5033.2120, 4371.7834, 1.7564, 0.9074, -0.3802, 1.4987, 0.2417, -1.7080, 5350.6767, 4712.6200, 2.5400, 1.5860, 0.2589, 2.1181, 0.7966, -1.1995, 5382.0073, 4767.4032, 2.8731, 1.8867, 0.5327, 2.4139, 1.0720, -0.9056, 5269.0815, 4677.2738, 2.9678, 1.9834, 0.6105, 2.5302, 1.1916, -0.7340, 5085.1964, 4515.1576, 2.9351, 1.9727, 0.5849, 2.5507, 1.2275, -0.6311, 4870.4160, 4320.9201, 2.8365, 1.9071, 0.5069, 2.5215, 1.2187, -0.5668, 4646.3986, 4116.1466, 2.7062, 1.8156, 0.4042, 2.4678, 1.1874, -0.5243, 4424.7665, 3912.4362, 2.5631, 1.7142, 0.2923, 2.4038, 1.1456, -0.4942, 4211.5971, 3715.8927, 2.4176, 1.6114, 0.1794, 2.3370, 1.1002, -0.4708, 4009.8994, 3529.5994, 2.2755, 1.5121, 0.0703, 2.2717, 1.0549, -0.4509, 3820.9879, 3354.9239, 2.1400, 1.4188, -0.0327, 2.2100, 1.0117, -0.4328, 2217.4012, 1515.5299, -3.0920, -3.1186, -4.2865, -1.9194, -2.7559, -4.1331, 4196.2466, 3512.3962, 0.1722, -0.4746, -1.6927, 0.2597, -0.8441, -2.6187, 5097.5006, 4434.9803, 1.8452, 0.8923, -0.3760, 1.4279, 0.1853, -1.7531, 5406.3385, 4767.3784, 2.6171, 1.5736, 0.2633, 2.0584, 0.7490, -1.2376, 5435.9438, 4820.5061, 2.9480, 1.8747, 0.5376, 2.3564, 1.0262, -0.9423, 5321.2185, 4728.6389, 3.0404, 1.9717, 0.6157, 2.4746, 1.1475, -0.7696, 5135.6258, 4564.8615, 3.0055, 1.9613, 0.5903, 2.4969, 1.1846, -0.6655, 4919.1668, 4368.9863, 2.9048, 1.8957, 0.5124, 2.4692, 1.1774, -0.6004, 4693.5239, 4162.6158, 2.7724, 1.8042, 0.4095, 2.4171, 1.1473, -0.5571, 4470.3218, 3957.3657, 2.6271, 1.7028, 0.2976, 2.3543, 1.1068, -0.5260, 4255.6524, 3759.3486, 2.4794, 1.6000, 0.1848, 2.2889, 1.0624, -0.5018, 4052.5291, 3571.6395, 2.3353, 1.5008, 0.0758, 2.2250, 1.0182, -0.4811, 3862.2472, 3395.6057, 2.1979, 1.4075, -0.0273, 2.1646, 0.9762, -0.4621, 2217.4019, 1515.5259, -3.0920, -3.1186, -4.2865, -1.9194, -2.7558, -4.1331, 4196.2996, 3512.4423, 0.1723, -0.4746, -1.6927, 0.2597, -0.8441, -2.6187, 5034.1218, 4372.6907, 1.7577, 0.9072, -0.3801, 1.4977, 0.2409, -1.7087, 5346.1160, 4708.1358, 2.5337, 1.5869, 0.2583, 2.1233, 0.8006, -1.1963, 5377.4692, 4762.9488, 2.8668, 1.8874, 0.5320, 2.4189, 1.0758, -0.9024, 5264.6752, 4672.9318, 2.9616, 1.9842, 0.6097, 2.5350, 1.1954, -0.7310, 5080.9601, 4510.9740, 2.9291, 1.9735, 0.5842, 2.5555, 1.2311, -0.6282, 4866.3249, 4316.8792, 2.8308, 1.9078, 0.5061, 2.5261, 1.2222, -0.5640, 4642.4505, 4112.2383, 2.7007, 1.8164, 0.4034, 2.4722, 1.1907, -0.5216, 4420.9547, 3908.6624, 2.5577, 1.7149, 0.2916, 2.4082, 1.1488, -0.4915, 4207.9146, 3712.2538, 2.4123, 1.6121, 0.1787, 2.3412, 1.1034, -0.4682, 4006.3578, 3526.0935, 2.2704, 1.5129, 0.0696, 2.2758, 1.0580, -0.4484, 3817.5694, 3351.5326, 2.1351, 1.4194, -0.0333, 2.2141, 1.0147, -0.4304</t>
  </si>
  <si>
    <t>SKU2</t>
  </si>
  <si>
    <t>List #</t>
  </si>
  <si>
    <t>Sku Copy Check</t>
  </si>
  <si>
    <t>Initial</t>
  </si>
  <si>
    <t>Qty.</t>
  </si>
  <si>
    <t>511-53L0-SATEL-I1</t>
  </si>
  <si>
    <t>53L0-SATEL-I1</t>
  </si>
  <si>
    <t>STMicroelectronics</t>
  </si>
  <si>
    <t>Satellite: mini-PCB with VL53L0X</t>
  </si>
  <si>
    <t>Column2</t>
  </si>
  <si>
    <t>Column3</t>
  </si>
  <si>
    <t>Column4</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</si>
  <si>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</si>
  <si>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</si>
  <si>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</si>
  <si>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</si>
  <si>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</si>
  <si>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</si>
  <si>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</si>
  <si>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</si>
  <si>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</si>
  <si>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</si>
  <si>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</si>
  <si>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</si>
  <si>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</si>
  <si>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</si>
  <si>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</si>
  <si>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</si>
  <si>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</si>
  <si>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</si>
  <si>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</si>
  <si>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</si>
  <si>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</si>
  <si>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</si>
  <si>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</si>
  <si>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</si>
  <si>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</si>
  <si>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</si>
  <si>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</si>
  <si>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</si>
  <si>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</si>
  <si>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</si>
  <si>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</si>
  <si>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</si>
  <si>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</si>
  <si>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</si>
  <si>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</si>
  <si>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</si>
  <si>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</si>
  <si>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</si>
  <si>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</si>
  <si>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</si>
  <si>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</si>
  <si>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</si>
  <si>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</si>
  <si>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</si>
  <si>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</si>
  <si>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</si>
  <si>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</si>
  <si>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</si>
  <si>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</si>
  <si>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</si>
  <si>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</si>
  <si>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</si>
  <si>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</si>
  <si>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</si>
  <si>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</si>
  <si>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</si>
  <si>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</si>
  <si>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</si>
  <si>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</si>
  <si>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</si>
  <si>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</si>
  <si>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</si>
  <si>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</si>
  <si>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</si>
  <si>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</si>
  <si>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</si>
  <si>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</si>
  <si>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</si>
  <si>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</si>
  <si>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</si>
  <si>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</si>
  <si>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</si>
  <si>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</si>
  <si>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</si>
  <si>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</si>
  <si>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</si>
  <si>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</si>
  <si>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</si>
  <si>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</si>
  <si>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</si>
  <si>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</si>
  <si>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</si>
  <si>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</si>
  <si>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</si>
  <si>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</si>
  <si>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</si>
  <si>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</si>
  <si>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</si>
  <si>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</si>
  <si>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</si>
  <si>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</si>
  <si>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</si>
  <si>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</si>
  <si>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</si>
  <si>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</si>
  <si>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</si>
  <si>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</si>
  <si>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</si>
  <si>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</si>
  <si>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</si>
  <si>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</si>
  <si>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</si>
  <si>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</si>
  <si>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</si>
  <si>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</si>
  <si>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</si>
  <si>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</si>
  <si>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</si>
  <si>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</si>
  <si>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</si>
  <si>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</si>
  <si>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</si>
  <si>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</si>
  <si>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</si>
  <si>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</si>
  <si>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</si>
  <si>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</si>
  <si>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</si>
  <si>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</si>
  <si>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</si>
  <si>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</si>
  <si>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</si>
  <si>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</si>
  <si>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</si>
  <si>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</si>
  <si>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</si>
  <si>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</si>
  <si>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</si>
  <si>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</si>
  <si>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</si>
  <si>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</si>
  <si>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</si>
  <si>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</si>
  <si>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</si>
  <si>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</si>
  <si>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</si>
  <si>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</si>
  <si>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</si>
  <si>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</si>
  <si>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</si>
  <si>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</si>
  <si>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</si>
  <si>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</si>
  <si>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</si>
  <si>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</si>
  <si>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</si>
  <si>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</si>
  <si>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</si>
  <si>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</si>
  <si>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</si>
  <si>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</si>
  <si>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</si>
  <si>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</si>
  <si>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</si>
  <si>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</si>
  <si>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</si>
  <si>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</si>
  <si>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</si>
  <si>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</si>
  <si>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</si>
  <si>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</si>
  <si>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</si>
  <si>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</si>
  <si>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</si>
  <si>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</si>
  <si>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</si>
  <si>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</si>
  <si>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</si>
  <si>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</si>
  <si>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</si>
  <si>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</si>
  <si>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</si>
  <si>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</si>
  <si>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</si>
  <si>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</si>
  <si>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</si>
  <si>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</si>
  <si>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</si>
  <si>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</si>
  <si>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</si>
  <si>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</si>
  <si>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</si>
  <si>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</si>
  <si>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</si>
  <si>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</si>
  <si>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</si>
  <si>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</si>
  <si>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</si>
  <si>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</si>
  <si>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</si>
  <si>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</si>
  <si>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</si>
  <si>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</si>
  <si>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</si>
  <si>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</si>
  <si>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</si>
  <si>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</si>
  <si>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</si>
  <si>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</si>
  <si>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</si>
  <si>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</si>
  <si>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</si>
  <si>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</si>
  <si>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</si>
  <si>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</si>
  <si>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</si>
  <si>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</si>
  <si>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</si>
  <si>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</si>
  <si>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</si>
  <si>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</si>
  <si>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</si>
  <si>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</si>
  <si>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</si>
  <si>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</si>
  <si>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</si>
  <si>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</si>
  <si>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</si>
  <si>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</si>
  <si>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</si>
  <si>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</si>
  <si>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</si>
  <si>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</si>
  <si>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</si>
  <si>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</si>
  <si>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</si>
  <si>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</si>
  <si>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</si>
  <si>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</si>
  <si>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</si>
  <si>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</si>
  <si>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</si>
  <si>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</si>
  <si>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</si>
  <si>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</si>
  <si>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</si>
  <si>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</si>
  <si>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</si>
  <si>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</si>
  <si>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</si>
  <si>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</si>
  <si>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</si>
  <si>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</si>
  <si>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</si>
  <si>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</si>
  <si>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</si>
  <si>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</si>
  <si>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</si>
  <si>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</si>
  <si>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</si>
  <si>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</si>
  <si>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</si>
  <si>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</si>
  <si>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</si>
  <si>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</si>
  <si>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</si>
  <si>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</si>
  <si>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</si>
  <si>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</si>
  <si>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</si>
  <si>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</si>
  <si>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</si>
  <si>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</si>
  <si>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</si>
  <si>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</si>
  <si>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</si>
  <si>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</si>
  <si>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</si>
  <si>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</si>
  <si>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</si>
  <si>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</si>
  <si>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</si>
  <si>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</si>
  <si>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</si>
  <si>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</si>
  <si>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</si>
  <si>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</si>
  <si>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</si>
  <si>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</si>
  <si>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</si>
  <si>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</si>
  <si>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</si>
  <si>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</si>
  <si>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</si>
  <si>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</si>
  <si>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</si>
  <si>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</si>
  <si>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</si>
  <si>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</si>
  <si>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</si>
  <si>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</si>
  <si>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</si>
  <si>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</si>
  <si>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</si>
  <si>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</si>
  <si>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</si>
  <si>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</si>
  <si>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</si>
  <si>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</si>
  <si>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</si>
  <si>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</si>
  <si>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</si>
  <si>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</si>
  <si>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</si>
  <si>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</si>
  <si>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</si>
  <si>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</si>
  <si>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</si>
  <si>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</si>
  <si>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</si>
  <si>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</si>
  <si>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</si>
  <si>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</si>
  <si>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</si>
  <si>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</si>
  <si>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</si>
  <si>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</si>
  <si>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</si>
  <si>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</si>
  <si>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</si>
  <si>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</si>
  <si>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</si>
  <si>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</si>
  <si>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</si>
  <si>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</si>
  <si>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</si>
  <si>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</si>
  <si>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</si>
  <si>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</si>
  <si>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</si>
  <si>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</si>
  <si>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</si>
  <si>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</si>
  <si>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</si>
  <si>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</si>
  <si>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</si>
  <si>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</si>
  <si>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</si>
  <si>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</si>
  <si>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</si>
  <si>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</si>
  <si>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</si>
  <si>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</si>
  <si>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</si>
  <si>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</si>
  <si>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</si>
  <si>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</si>
  <si>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</si>
  <si>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</si>
  <si>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</si>
  <si>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</si>
  <si>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</si>
  <si>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</si>
  <si>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</si>
  <si>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</si>
  <si>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</si>
  <si>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</si>
  <si>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</si>
  <si>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</si>
  <si>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</si>
  <si>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</si>
  <si>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</si>
  <si>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</si>
  <si>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</si>
  <si>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</si>
  <si>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</si>
  <si>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</si>
  <si>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</si>
  <si>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</si>
  <si>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</si>
  <si>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</si>
  <si>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</si>
  <si>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</si>
  <si>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</si>
  <si>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</si>
  <si>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</si>
  <si>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</si>
  <si>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</si>
  <si>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</si>
  <si>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</si>
  <si>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</si>
  <si>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</si>
  <si>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</si>
  <si>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</si>
  <si>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</si>
  <si>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</si>
  <si>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</si>
  <si>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</si>
  <si>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</si>
  <si>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</si>
  <si>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</si>
  <si>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</si>
  <si>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</si>
  <si>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</si>
  <si>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</si>
  <si>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</si>
  <si>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</si>
  <si>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</si>
  <si>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</si>
  <si>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</si>
  <si>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</si>
  <si>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</si>
  <si>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</si>
  <si>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</si>
  <si>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</si>
  <si>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</si>
  <si>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</si>
  <si>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</si>
  <si>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</si>
  <si>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</si>
  <si>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</si>
  <si>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</si>
  <si>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</si>
  <si>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</si>
  <si>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</si>
  <si>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</si>
  <si>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</si>
  <si>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</si>
  <si>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</si>
  <si>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</si>
  <si>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</si>
  <si>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</si>
  <si>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</si>
  <si>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</si>
  <si>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</si>
  <si>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</si>
  <si>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</si>
  <si>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</si>
  <si>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</si>
  <si>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</si>
  <si>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</si>
  <si>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</si>
  <si>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</si>
  <si>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</si>
  <si>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</si>
  <si>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</si>
  <si>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</si>
  <si>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</si>
  <si>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</si>
  <si>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</si>
  <si>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</si>
  <si>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</si>
  <si>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</si>
  <si>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</si>
  <si>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</si>
  <si>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</si>
  <si>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</si>
  <si>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</si>
  <si>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</si>
  <si>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</si>
  <si>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</si>
  <si>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</si>
  <si>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</si>
  <si>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</si>
  <si>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</si>
  <si>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</si>
  <si>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</si>
  <si>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</si>
  <si>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</si>
  <si>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</si>
  <si>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</si>
  <si>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</si>
  <si>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</si>
  <si>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</si>
  <si>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</si>
  <si>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</si>
  <si>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</si>
  <si>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</si>
  <si>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</si>
  <si>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</si>
  <si>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</si>
  <si>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</si>
  <si>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</si>
  <si>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</si>
  <si>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</si>
  <si>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</si>
  <si>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</si>
  <si>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</si>
  <si>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</si>
  <si>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</si>
  <si>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</si>
  <si>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</si>
  <si>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</si>
  <si>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</si>
  <si>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</si>
  <si>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</si>
  <si>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</si>
  <si>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</si>
  <si>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</si>
  <si>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</si>
  <si>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</si>
  <si>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</si>
  <si>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</si>
  <si>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</si>
  <si>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</si>
  <si>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</si>
  <si>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</si>
  <si>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</si>
  <si>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</si>
  <si>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</si>
  <si>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</si>
  <si>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</si>
  <si>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</si>
  <si>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</si>
  <si>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</si>
  <si>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</si>
  <si>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</si>
  <si>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</si>
  <si>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</si>
  <si>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</si>
  <si>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</si>
  <si>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</si>
  <si>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</si>
  <si>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</si>
  <si>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</si>
  <si>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</si>
  <si>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</si>
  <si>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</si>
  <si>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</si>
  <si>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</si>
  <si>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</si>
  <si>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</si>
  <si>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</si>
  <si>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</si>
  <si>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</si>
  <si>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</si>
  <si>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</si>
  <si>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</si>
  <si>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</si>
  <si>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</si>
  <si>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</si>
  <si>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</si>
  <si>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</si>
  <si>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</si>
  <si>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</si>
  <si>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</si>
  <si>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</si>
  <si>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</si>
  <si>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</si>
  <si>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</si>
  <si>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</si>
  <si>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</si>
  <si>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</si>
  <si>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</si>
  <si>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</si>
  <si>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</si>
  <si>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</si>
  <si>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</si>
  <si>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</si>
  <si>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</si>
  <si>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</si>
  <si>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</si>
  <si>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</si>
  <si>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</si>
  <si>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</si>
  <si>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</si>
  <si>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</si>
  <si>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</si>
  <si>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</si>
  <si>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</si>
  <si>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</si>
  <si>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</si>
  <si>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</si>
  <si>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</si>
  <si>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</si>
  <si>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</si>
  <si>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</si>
  <si>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</si>
  <si>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</si>
  <si>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</si>
  <si>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</si>
  <si>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</si>
  <si>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</si>
  <si>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</si>
  <si>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</si>
  <si>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</si>
  <si>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</si>
  <si>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</si>
  <si>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</si>
  <si>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</si>
  <si>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</si>
  <si>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</si>
  <si>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</si>
  <si>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</si>
  <si>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</si>
  <si>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</si>
  <si>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</si>
  <si>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</si>
  <si>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</si>
  <si>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</si>
  <si>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</si>
  <si>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</si>
  <si>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</si>
  <si>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</si>
  <si>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</si>
  <si>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</si>
  <si>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</si>
  <si>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</si>
  <si>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</si>
  <si>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</si>
  <si>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</si>
  <si>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</si>
  <si>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</si>
  <si>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</si>
  <si>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</si>
  <si>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</si>
  <si>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</si>
  <si>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</si>
  <si>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</si>
  <si>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</si>
  <si>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</si>
  <si>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</si>
  <si>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</si>
  <si>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</si>
  <si>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</si>
  <si>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</si>
  <si>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</si>
  <si>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</si>
  <si>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</si>
  <si>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</si>
  <si>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</si>
  <si>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</si>
  <si>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</si>
  <si>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</si>
  <si>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</si>
  <si>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</si>
  <si>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</si>
  <si>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</si>
  <si>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</si>
  <si>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</si>
  <si>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</si>
  <si>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</si>
  <si>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</si>
  <si>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</si>
  <si>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</si>
  <si>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</si>
  <si>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</si>
  <si>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</si>
  <si>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</si>
  <si>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</si>
  <si>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</si>
  <si>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</si>
  <si>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</si>
  <si>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</si>
  <si>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</si>
  <si>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</si>
  <si>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</si>
  <si>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</si>
  <si>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</si>
  <si>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</si>
  <si>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</si>
  <si>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</si>
  <si>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</si>
  <si>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</si>
  <si>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</si>
  <si>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</si>
  <si>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</si>
  <si>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</si>
  <si>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</si>
  <si>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</si>
  <si>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</si>
  <si>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</si>
  <si>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</si>
  <si>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</si>
  <si>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</si>
  <si>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</si>
  <si>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</si>
  <si>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</si>
  <si>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</si>
  <si>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</si>
  <si>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</si>
  <si>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</si>
  <si>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</si>
  <si>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</si>
  <si>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</si>
  <si>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</si>
  <si>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</si>
  <si>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</si>
  <si>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</si>
  <si>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</si>
  <si>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</si>
  <si>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</si>
  <si>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</si>
  <si>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</si>
  <si>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</si>
  <si>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</si>
  <si>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</si>
  <si>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</si>
  <si>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</si>
  <si>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</si>
  <si>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</si>
  <si>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</si>
  <si>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</si>
  <si>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</si>
  <si>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</si>
  <si>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</si>
  <si>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</si>
  <si>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</si>
  <si>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</si>
  <si>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</si>
  <si>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</si>
  <si>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</si>
  <si>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</si>
  <si>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</si>
  <si>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</si>
  <si>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</si>
  <si>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</si>
  <si>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</si>
  <si>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</si>
  <si>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</si>
  <si>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</si>
  <si>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</si>
  <si>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</si>
  <si>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</si>
  <si>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</si>
  <si>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</si>
  <si>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</si>
  <si>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</si>
  <si>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</si>
  <si>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</si>
  <si>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</si>
  <si>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</si>
  <si>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</si>
  <si>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</si>
  <si>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</si>
  <si>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</si>
  <si>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</si>
  <si>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</si>
  <si>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</si>
  <si>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</si>
  <si>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</si>
  <si>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</si>
  <si>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</si>
  <si>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</si>
  <si>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</si>
  <si>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</si>
  <si>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</si>
  <si>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</si>
  <si>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</si>
  <si>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</si>
  <si>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</si>
  <si>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</si>
  <si>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</si>
  <si>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</si>
  <si>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</si>
  <si>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</si>
  <si>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</si>
  <si>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</si>
  <si>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</si>
  <si>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</si>
  <si>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</si>
  <si>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</si>
  <si>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</si>
  <si>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</si>
  <si>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</si>
  <si>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</si>
  <si>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</si>
  <si>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</si>
  <si>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</si>
  <si>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</si>
  <si>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</si>
  <si>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</si>
  <si>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</si>
  <si>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</si>
  <si>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</si>
  <si>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</si>
  <si>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</si>
  <si>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</si>
  <si>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</si>
  <si>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</si>
  <si>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</si>
  <si>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</si>
  <si>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</si>
  <si>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</si>
  <si>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</si>
  <si>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</si>
  <si>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</si>
  <si>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</si>
  <si>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</si>
  <si>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</si>
  <si>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</si>
  <si>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</si>
  <si>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</si>
  <si>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</si>
  <si>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</si>
  <si>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</si>
  <si>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</si>
  <si>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</si>
  <si>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</si>
  <si>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</si>
  <si>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</si>
  <si>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</si>
  <si>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</si>
  <si>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</si>
  <si>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</si>
  <si>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</si>
  <si>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</si>
  <si>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</si>
  <si>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</si>
  <si>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</si>
  <si>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</si>
  <si>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</si>
  <si>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</si>
  <si>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</si>
  <si>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</si>
  <si>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</si>
  <si>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</si>
  <si>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</si>
  <si>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</si>
  <si>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</si>
  <si>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</si>
  <si>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</si>
  <si>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</si>
  <si>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</si>
  <si>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</si>
  <si>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</si>
  <si>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</si>
  <si>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</si>
  <si>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</si>
  <si>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</si>
  <si>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</si>
  <si>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</si>
  <si>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</si>
  <si>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</si>
  <si>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</si>
  <si>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</si>
  <si>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</si>
  <si>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</si>
  <si>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</si>
  <si>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</si>
  <si>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</si>
  <si>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</si>
  <si>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</si>
  <si>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</si>
  <si>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</si>
  <si>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</si>
  <si>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</si>
  <si>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</si>
  <si>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</si>
  <si>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</si>
  <si>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</si>
  <si>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</si>
  <si>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</si>
  <si>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</si>
  <si>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</si>
  <si>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</si>
  <si>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</si>
  <si>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</si>
  <si>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</si>
  <si>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</si>
  <si>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</si>
  <si>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</si>
  <si>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</si>
  <si>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</si>
  <si>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</si>
  <si>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</si>
  <si>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</si>
  <si>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</si>
  <si>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</si>
  <si>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</si>
  <si>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</si>
  <si>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</si>
  <si>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</si>
  <si>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</si>
  <si>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</si>
  <si>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</si>
  <si>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</si>
  <si>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</si>
  <si>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</si>
  <si>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</si>
  <si>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</si>
  <si>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</si>
  <si>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</si>
  <si>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</si>
  <si>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</si>
  <si>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</si>
  <si>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</si>
  <si>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</si>
  <si>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</si>
  <si>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</si>
  <si>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</si>
  <si>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</si>
  <si>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</si>
  <si>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</si>
  <si>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</si>
  <si>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</si>
  <si>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</si>
  <si>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</si>
  <si>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</si>
  <si>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</si>
  <si>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</si>
  <si>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</si>
  <si>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</si>
  <si>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</si>
  <si>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</si>
  <si>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</si>
  <si>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</si>
  <si>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</si>
  <si>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</si>
  <si>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</si>
  <si>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</si>
  <si>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</si>
  <si>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</si>
  <si>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</si>
  <si>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</si>
  <si>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</si>
  <si>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</si>
  <si>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</si>
  <si>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</si>
  <si>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</si>
  <si>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</si>
  <si>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</si>
  <si>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</si>
  <si>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</si>
  <si>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</si>
  <si>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</si>
  <si>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</si>
  <si>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</si>
  <si>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</si>
  <si>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</si>
  <si>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</si>
  <si>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</si>
  <si>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</si>
  <si>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</si>
  <si>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</si>
  <si>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</si>
  <si>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</si>
  <si>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</si>
  <si>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</si>
  <si>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</si>
  <si>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</si>
  <si>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</si>
  <si>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</si>
  <si>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</si>
  <si>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</si>
  <si>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</si>
  <si>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</si>
  <si>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</si>
  <si>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</si>
  <si>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</si>
  <si>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</si>
  <si>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</si>
  <si>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</si>
  <si>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</si>
  <si>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</si>
  <si>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</si>
  <si>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</si>
  <si>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</si>
  <si>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</si>
  <si>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</si>
  <si>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</si>
  <si>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</si>
  <si>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</si>
  <si>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</si>
  <si>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</si>
  <si>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</si>
  <si>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</si>
  <si>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</si>
  <si>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</si>
  <si>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</si>
  <si>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</si>
  <si>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</si>
  <si>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</si>
  <si>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</si>
  <si>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</si>
  <si>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</si>
  <si>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</si>
  <si>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</si>
  <si>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</si>
  <si>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</si>
  <si>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</si>
  <si>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</si>
  <si>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</si>
  <si>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</si>
  <si>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</si>
  <si>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</si>
  <si>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</si>
  <si>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</si>
  <si>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</si>
  <si>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</si>
  <si>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</si>
  <si>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</si>
  <si>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</si>
  <si>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</si>
  <si>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</si>
  <si>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</si>
  <si>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</si>
  <si>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</si>
  <si>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</si>
  <si>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</si>
  <si>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</si>
  <si>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</si>
  <si>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</si>
  <si>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</si>
  <si>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</si>
  <si>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</si>
  <si>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</si>
  <si>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</si>
  <si>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</si>
  <si>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</si>
  <si>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</si>
  <si>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</si>
  <si>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</si>
  <si>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</si>
  <si>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</si>
  <si>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</si>
  <si>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</si>
  <si>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</si>
  <si>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</si>
  <si>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</si>
  <si>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</si>
  <si>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</si>
  <si>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</si>
  <si>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</si>
  <si>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</si>
  <si>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</si>
  <si>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</si>
  <si>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</si>
  <si>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</si>
  <si>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</si>
  <si>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</si>
  <si>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</si>
  <si>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</si>
  <si>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</si>
  <si>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</si>
  <si>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</si>
  <si>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</si>
  <si>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</si>
  <si>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</si>
  <si>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</si>
  <si>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</si>
  <si>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</si>
  <si>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</si>
  <si>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</si>
  <si>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</si>
  <si>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</si>
  <si>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</si>
  <si>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</si>
  <si>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</si>
  <si>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</si>
  <si>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</si>
  <si>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</si>
  <si>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</si>
  <si>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</si>
  <si>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</si>
  <si>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</si>
  <si>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</si>
  <si>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</si>
  <si>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</si>
  <si>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</si>
  <si>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</si>
  <si>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</si>
  <si>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</si>
  <si>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</si>
  <si>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</si>
  <si>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</si>
  <si>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</si>
  <si>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</si>
  <si>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</si>
  <si>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</si>
  <si>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</si>
  <si>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</si>
  <si>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</si>
  <si>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</si>
  <si>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</si>
  <si>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</si>
  <si>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</si>
  <si>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</si>
  <si>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</si>
  <si>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</si>
  <si>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</si>
  <si>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</si>
  <si>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</si>
  <si>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</si>
  <si>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</si>
  <si>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</si>
  <si>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</si>
  <si>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</si>
  <si>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</si>
  <si>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</si>
  <si>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</si>
  <si>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</si>
  <si>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</si>
  <si>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</si>
  <si>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</si>
  <si>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</si>
  <si>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</si>
  <si>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</si>
  <si>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</si>
  <si>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</si>
  <si>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</si>
  <si>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</si>
  <si>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</si>
  <si>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</si>
  <si>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</si>
  <si>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</si>
  <si>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</si>
  <si>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</si>
  <si>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</si>
  <si>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</si>
  <si>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</si>
  <si>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</si>
  <si>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</si>
  <si>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</si>
  <si>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</si>
  <si>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</si>
  <si>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</si>
  <si>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</si>
  <si>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</si>
  <si>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</si>
  <si>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</si>
  <si>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</si>
  <si>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</si>
  <si>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</si>
  <si>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</si>
  <si>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</si>
  <si>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</si>
  <si>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</si>
  <si>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</si>
  <si>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</si>
  <si>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</si>
  <si>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</si>
  <si>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</si>
  <si>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</si>
  <si>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</si>
  <si>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</si>
  <si>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</si>
  <si>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</si>
  <si>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</si>
  <si>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</si>
  <si>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</si>
  <si>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</si>
  <si>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</si>
  <si>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</si>
  <si>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</si>
  <si>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</si>
  <si>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</si>
  <si>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</si>
  <si>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</si>
  <si>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</si>
  <si>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</si>
  <si>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</si>
  <si>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</si>
  <si>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</si>
  <si>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</si>
  <si>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</si>
  <si>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</si>
  <si>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</si>
  <si>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</si>
  <si>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</si>
  <si>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</si>
  <si>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</si>
  <si>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</si>
  <si>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</si>
  <si>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</si>
  <si>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</si>
  <si>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</si>
  <si>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</si>
  <si>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</si>
  <si>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</si>
  <si>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</si>
  <si>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</si>
  <si>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</si>
  <si>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</si>
  <si>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</si>
  <si>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</si>
  <si>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</si>
  <si>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</si>
  <si>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</si>
  <si>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</si>
  <si>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</si>
  <si>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</si>
  <si>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</si>
  <si>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</si>
  <si>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</si>
  <si>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</si>
  <si>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</si>
  <si>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</si>
  <si>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</si>
  <si>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</si>
  <si>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</si>
  <si>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</si>
  <si>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</si>
  <si>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</si>
  <si>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</si>
  <si>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</si>
  <si>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</si>
  <si>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</si>
  <si>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</si>
  <si>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</si>
  <si>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</si>
  <si>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</si>
  <si>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</si>
  <si>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</si>
  <si>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</si>
  <si>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</si>
  <si>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</si>
  <si>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</si>
  <si>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</si>
  <si>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</si>
  <si>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</si>
  <si>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</si>
  <si>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</si>
  <si>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</si>
  <si>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</si>
  <si>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</si>
  <si>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</si>
  <si>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</si>
  <si>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</si>
  <si>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</si>
  <si>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</si>
  <si>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</si>
  <si>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</si>
  <si>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</si>
  <si>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</si>
  <si>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</si>
  <si>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</si>
  <si>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</si>
  <si>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</si>
  <si>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</si>
  <si>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</si>
  <si>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</si>
  <si>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</si>
  <si>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</si>
  <si>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</si>
  <si>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</si>
  <si>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</si>
  <si>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</si>
  <si>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</si>
  <si>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</si>
  <si>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</si>
  <si>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</si>
  <si>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</si>
  <si>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</si>
  <si>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</si>
  <si>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</si>
  <si>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</si>
  <si>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</si>
  <si>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</si>
  <si>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</si>
  <si>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</si>
  <si>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</si>
  <si>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</si>
  <si>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</si>
  <si>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</si>
  <si>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</si>
  <si>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</si>
  <si>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</si>
  <si>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</si>
  <si>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</si>
  <si>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</si>
  <si>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</si>
  <si>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</si>
  <si>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</si>
  <si>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</si>
  <si>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</si>
  <si>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</si>
  <si>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</si>
  <si>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</si>
  <si>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</si>
  <si>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</si>
  <si>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</si>
  <si>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</si>
  <si>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</si>
  <si>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</si>
  <si>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</si>
  <si>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</si>
  <si>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</si>
  <si>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</si>
  <si>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</si>
  <si>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</si>
  <si>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</si>
  <si>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</si>
  <si>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</si>
  <si>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</si>
  <si>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</si>
  <si>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</si>
  <si>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</si>
  <si>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</si>
  <si>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</si>
  <si>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</si>
  <si>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</si>
  <si>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</si>
  <si>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</si>
  <si>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</si>
  <si>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</si>
  <si>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</si>
  <si>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</si>
  <si>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</si>
  <si>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</si>
  <si>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</si>
  <si>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</si>
  <si>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</si>
  <si>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</si>
  <si>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</si>
  <si>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</si>
  <si>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</si>
  <si>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</si>
  <si>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</si>
  <si>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</si>
  <si>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</si>
  <si>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</si>
  <si>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</si>
  <si>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</si>
  <si>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</si>
  <si>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</si>
  <si>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</si>
  <si>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</si>
  <si>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</si>
  <si>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</si>
  <si>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</si>
  <si>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</si>
  <si>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</si>
  <si>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</si>
  <si>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</si>
  <si>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</si>
  <si>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</si>
  <si>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</si>
  <si>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</si>
  <si>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</si>
  <si>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</si>
  <si>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</si>
  <si>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</si>
  <si>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</si>
  <si>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</si>
  <si>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</si>
  <si>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</si>
  <si>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</si>
  <si>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</si>
  <si>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</si>
  <si>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</si>
  <si>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</si>
  <si>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</si>
  <si>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</si>
  <si>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</si>
  <si>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</si>
  <si>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</si>
  <si>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</si>
  <si>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</si>
  <si>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</si>
  <si>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</si>
  <si>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</si>
  <si>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</si>
  <si>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</si>
  <si>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</si>
  <si>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</si>
  <si>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</si>
  <si>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</si>
  <si>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</si>
  <si>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</si>
  <si>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</si>
  <si>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</si>
  <si>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</si>
  <si>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</si>
  <si>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</si>
  <si>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</si>
  <si>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</si>
  <si>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</si>
  <si>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</si>
  <si>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</si>
  <si>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</si>
  <si>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</si>
  <si>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</si>
  <si>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</si>
  <si>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</si>
  <si>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</si>
  <si>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</si>
  <si>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</si>
  <si>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</si>
  <si>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</si>
  <si>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</si>
  <si>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</si>
  <si>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</si>
  <si>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</si>
  <si>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</si>
  <si>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</si>
  <si>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</si>
  <si>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</si>
  <si>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</si>
  <si>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</si>
  <si>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</si>
  <si>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</si>
  <si>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</si>
  <si>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</si>
  <si>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</si>
  <si>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</si>
  <si>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</si>
  <si>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</si>
  <si>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</si>
  <si>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</si>
  <si>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</si>
  <si>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</si>
  <si>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</si>
  <si>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</si>
  <si>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</si>
  <si>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</si>
  <si>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</si>
  <si>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</si>
  <si>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</si>
  <si>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</si>
  <si>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</si>
  <si>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</si>
  <si>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</si>
  <si>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</si>
  <si>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</si>
  <si>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</si>
  <si>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</si>
  <si>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</si>
  <si>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</si>
  <si>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</si>
  <si>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</si>
  <si>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</si>
  <si>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</si>
  <si>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</si>
  <si>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</si>
  <si>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</si>
  <si>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</si>
  <si>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</si>
  <si>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</si>
  <si>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</si>
  <si>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</si>
  <si>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</si>
  <si>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</si>
  <si>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</si>
  <si>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</si>
  <si>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</si>
  <si>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</si>
  <si>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</si>
  <si>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</si>
  <si>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</si>
  <si>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</si>
  <si>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</si>
  <si>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</si>
  <si>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</si>
  <si>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</si>
  <si>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</si>
  <si>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</si>
  <si>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</si>
  <si>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</si>
  <si>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</si>
  <si>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</si>
  <si>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</si>
  <si>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</si>
  <si>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</si>
  <si>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</si>
  <si>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</si>
  <si>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</si>
  <si>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</si>
  <si>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</si>
  <si>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</si>
  <si>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</si>
  <si>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</si>
  <si>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</si>
  <si>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</si>
  <si>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</si>
  <si>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</si>
  <si>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</si>
  <si>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</si>
  <si>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</si>
  <si>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</si>
  <si>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</si>
  <si>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</si>
  <si>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</si>
  <si>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</si>
  <si>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</si>
  <si>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</si>
  <si>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</si>
  <si>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</si>
  <si>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</si>
  <si>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</si>
  <si>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</si>
  <si>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</si>
  <si>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</si>
  <si>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</si>
  <si>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</si>
  <si>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</si>
  <si>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</si>
  <si>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</si>
  <si>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</si>
  <si>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</si>
  <si>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</si>
  <si>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</si>
  <si>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</si>
  <si>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</si>
  <si>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</si>
  <si>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</si>
  <si>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</si>
  <si>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</si>
  <si>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</si>
  <si>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</si>
  <si>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</si>
  <si>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</si>
  <si>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</si>
  <si>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</si>
  <si>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</si>
  <si>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</si>
  <si>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</si>
  <si>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</si>
  <si>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</si>
  <si>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</si>
  <si>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</si>
  <si>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</si>
  <si>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</si>
  <si>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</si>
  <si>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</si>
  <si>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</si>
  <si>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</si>
  <si>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</si>
  <si>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</si>
  <si>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</si>
  <si>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</si>
  <si>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</si>
  <si>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</si>
  <si>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</si>
  <si>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</si>
  <si>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</si>
  <si>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</si>
  <si>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</si>
  <si>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</si>
  <si>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</si>
  <si>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</si>
  <si>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</si>
  <si>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</si>
  <si>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</si>
  <si>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</si>
  <si>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</si>
  <si>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</si>
  <si>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</si>
  <si>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</si>
  <si>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</si>
  <si>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</si>
  <si>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</si>
  <si>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</si>
  <si>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</si>
  <si>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</si>
  <si>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</si>
  <si>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</si>
  <si>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</si>
  <si>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</si>
  <si>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</si>
  <si>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</si>
  <si>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</si>
  <si>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</si>
  <si>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</si>
  <si>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</si>
  <si>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</si>
  <si>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</si>
  <si>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</si>
  <si>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</si>
  <si>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</si>
  <si>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</si>
  <si>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</si>
  <si>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</si>
  <si>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</si>
  <si>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</si>
  <si>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</si>
  <si>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</si>
  <si>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</si>
  <si>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</si>
  <si>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</si>
  <si>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</si>
  <si>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</si>
  <si>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</si>
  <si>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</si>
  <si>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</si>
  <si>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</si>
  <si>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</si>
  <si>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</si>
  <si>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</si>
  <si>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</si>
  <si>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</si>
  <si>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</si>
  <si>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</si>
  <si>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</si>
  <si>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</si>
  <si>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</si>
  <si>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</si>
  <si>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</si>
  <si>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</si>
  <si>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</si>
  <si>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</si>
  <si>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</si>
  <si>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</si>
  <si>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</si>
  <si>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</si>
  <si>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</si>
  <si>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</si>
  <si>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</si>
  <si>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</si>
  <si>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</si>
  <si>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</si>
  <si>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</si>
  <si>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</si>
  <si>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</si>
  <si>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</si>
  <si>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</si>
  <si>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</si>
  <si>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</si>
  <si>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</si>
  <si>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</si>
  <si>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</si>
  <si>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</si>
  <si>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</si>
  <si>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</si>
  <si>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</si>
  <si>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</si>
  <si>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</si>
  <si>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</si>
  <si>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</si>
  <si>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</si>
  <si>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</si>
  <si>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</si>
  <si>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</si>
  <si>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</si>
  <si>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</si>
  <si>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</si>
  <si>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</si>
  <si>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</si>
  <si>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</si>
  <si>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</si>
  <si>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</si>
  <si>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</si>
  <si>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</si>
  <si>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</si>
  <si>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</si>
  <si>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</si>
  <si>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</si>
  <si>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</si>
  <si>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</si>
  <si>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</si>
  <si>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</si>
  <si>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</si>
  <si>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</si>
  <si>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</si>
  <si>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</si>
  <si>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</si>
  <si>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</si>
  <si>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</si>
  <si>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</si>
  <si>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</si>
  <si>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</si>
  <si>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</si>
  <si>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</si>
  <si>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</si>
  <si>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</si>
  <si>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</si>
  <si>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</si>
  <si>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</si>
  <si>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</si>
  <si>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</si>
  <si>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</si>
  <si>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</si>
  <si>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</si>
  <si>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</si>
  <si>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</si>
  <si>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</si>
  <si>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</si>
  <si>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</si>
  <si>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</si>
  <si>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</si>
  <si>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</si>
  <si>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</si>
  <si>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</si>
  <si>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</si>
  <si>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</si>
  <si>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</si>
  <si>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</si>
  <si>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</si>
  <si>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</si>
  <si>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</si>
  <si>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</si>
  <si>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</si>
  <si>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</si>
  <si>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</si>
  <si>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</si>
  <si>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</si>
  <si>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</si>
  <si>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</si>
  <si>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</si>
  <si>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</si>
  <si>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</si>
  <si>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</si>
  <si>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</si>
  <si>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</si>
  <si>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</si>
  <si>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</si>
  <si>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</si>
  <si>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</si>
  <si>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</si>
  <si>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</si>
  <si>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</si>
  <si>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</si>
  <si>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</si>
  <si>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</si>
  <si>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</si>
  <si>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</si>
  <si>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</si>
  <si>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</si>
  <si>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</si>
  <si>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</si>
  <si>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</si>
  <si>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</si>
  <si>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</si>
  <si>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</si>
  <si>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</si>
  <si>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</si>
  <si>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</si>
  <si>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</si>
  <si>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</si>
  <si>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</si>
  <si>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</si>
  <si>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</si>
  <si>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</si>
  <si>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</si>
  <si>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</si>
  <si>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</si>
  <si>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</si>
  <si>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</si>
  <si>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</si>
  <si>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</si>
  <si>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</si>
  <si>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</si>
  <si>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</si>
  <si>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</si>
  <si>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</si>
  <si>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</si>
  <si>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</si>
  <si>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</si>
  <si>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</si>
  <si>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</si>
  <si>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</si>
  <si>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</si>
  <si>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</si>
  <si>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</si>
  <si>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</si>
  <si>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</si>
  <si>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</si>
  <si>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</si>
  <si>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</si>
  <si>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</si>
  <si>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</si>
  <si>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</si>
  <si>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</si>
  <si>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</si>
  <si>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</si>
  <si>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</si>
  <si>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</si>
  <si>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</si>
  <si>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</si>
  <si>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</si>
  <si>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</si>
  <si>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</si>
  <si>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</si>
  <si>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</si>
  <si>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</si>
  <si>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</si>
  <si>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</si>
  <si>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</si>
  <si>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</si>
  <si>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</si>
  <si>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</si>
  <si>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</si>
  <si>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</si>
  <si>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</si>
  <si>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</si>
  <si>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</si>
  <si>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</si>
  <si>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</si>
  <si>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</si>
  <si>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</si>
  <si>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</si>
  <si>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</si>
  <si>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</si>
  <si>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</si>
  <si>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</si>
  <si>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</si>
  <si>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</si>
  <si>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</si>
  <si>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</si>
  <si>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</si>
  <si>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</si>
  <si>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</si>
  <si>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</si>
  <si>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</si>
  <si>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</si>
  <si>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</si>
  <si>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</si>
  <si>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</si>
  <si>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</si>
  <si>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</si>
  <si>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</si>
  <si>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</si>
  <si>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</si>
  <si>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</si>
  <si>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</si>
  <si>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</si>
  <si>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</si>
  <si>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</si>
  <si>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</si>
  <si>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</si>
  <si>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</si>
  <si>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</si>
  <si>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</si>
  <si>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</si>
  <si>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</si>
  <si>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</si>
  <si>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</si>
  <si>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</si>
  <si>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</si>
  <si>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</si>
  <si>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</si>
  <si>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</si>
  <si>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</si>
  <si>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</si>
  <si>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</si>
  <si>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</si>
  <si>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</si>
  <si>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</si>
  <si>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</si>
  <si>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</si>
  <si>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</si>
  <si>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</si>
  <si>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</si>
  <si>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</si>
  <si>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</si>
  <si>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</si>
  <si>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</si>
  <si>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</si>
  <si>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</si>
  <si>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</si>
  <si>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</si>
  <si>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</si>
  <si>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</si>
  <si>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</si>
  <si>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</si>
  <si>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</si>
  <si>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</si>
  <si>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</si>
  <si>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</si>
  <si>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</si>
  <si>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</si>
  <si>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</si>
  <si>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</si>
  <si>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</si>
  <si>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</si>
  <si>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</si>
  <si>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</si>
  <si>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</si>
  <si>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</si>
  <si>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</si>
  <si>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</si>
  <si>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</si>
  <si>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</si>
  <si>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</si>
  <si>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</si>
  <si>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</si>
  <si>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</si>
  <si>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</si>
  <si>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</si>
  <si>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</si>
  <si>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</si>
  <si>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</si>
  <si>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</si>
  <si>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</si>
  <si>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</si>
  <si>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</si>
  <si>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</si>
  <si>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</si>
  <si>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</si>
  <si>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</si>
  <si>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</si>
  <si>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</si>
  <si>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</si>
  <si>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</si>
  <si>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</si>
  <si>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</si>
  <si>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</si>
  <si>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</si>
  <si>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</si>
  <si>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</si>
  <si>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</si>
  <si>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</si>
  <si>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</si>
  <si>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</si>
  <si>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</si>
  <si>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</si>
  <si>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</si>
  <si>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</si>
  <si>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</si>
  <si>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</si>
  <si>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</si>
  <si>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</si>
  <si>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</si>
  <si>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</si>
  <si>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</si>
  <si>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</si>
  <si>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</si>
  <si>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</si>
  <si>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</si>
  <si>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</si>
  <si>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</si>
  <si>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</si>
  <si>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</si>
  <si>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</si>
  <si>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</si>
  <si>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</si>
  <si>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</si>
  <si>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</si>
  <si>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</si>
  <si>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</si>
  <si>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</si>
  <si>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</si>
  <si>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</si>
  <si>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</si>
  <si>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</si>
  <si>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</si>
  <si>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</si>
  <si>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</si>
  <si>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</si>
  <si>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</si>
  <si>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</si>
  <si>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</si>
  <si>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</si>
  <si>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</si>
  <si>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</si>
  <si>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</si>
  <si>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</si>
  <si>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</si>
  <si>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</si>
  <si>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</si>
  <si>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</si>
  <si>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</si>
  <si>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</si>
  <si>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</si>
  <si>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</si>
  <si>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</si>
  <si>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</si>
  <si>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</si>
  <si>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</si>
  <si>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</si>
  <si>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</si>
  <si>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</si>
  <si>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</si>
  <si>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</si>
  <si>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</si>
  <si>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</si>
  <si>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</si>
  <si>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</si>
  <si>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</si>
  <si>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</si>
  <si>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</si>
  <si>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</si>
  <si>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</si>
  <si>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</si>
  <si>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</si>
  <si>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</si>
  <si>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</si>
  <si>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</si>
  <si>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</si>
  <si>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</si>
  <si>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</si>
  <si>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</si>
  <si>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</si>
  <si>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</si>
  <si>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</si>
  <si>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</si>
  <si>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</si>
  <si>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</si>
  <si>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</si>
  <si>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</si>
  <si>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</si>
  <si>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</si>
  <si>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</si>
  <si>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</si>
  <si>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</si>
  <si>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</si>
  <si>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</si>
  <si>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</si>
  <si>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</si>
  <si>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</si>
  <si>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</si>
  <si>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</si>
  <si>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</si>
  <si>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</si>
  <si>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</si>
  <si>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</si>
  <si>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</si>
  <si>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</si>
  <si>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</si>
  <si>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</si>
  <si>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</si>
  <si>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</si>
  <si>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</si>
  <si>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</si>
  <si>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</si>
  <si>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</si>
  <si>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</si>
  <si>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</si>
  <si>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</si>
  <si>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</si>
  <si>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</si>
  <si>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</si>
  <si>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</si>
  <si>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</si>
  <si>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</si>
  <si>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</si>
  <si>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</si>
  <si>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</si>
  <si>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</si>
  <si>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</si>
  <si>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</si>
  <si>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</si>
  <si>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</si>
  <si>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</si>
  <si>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</si>
  <si>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</si>
  <si>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</si>
  <si>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</si>
  <si>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</si>
  <si>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</si>
  <si>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</si>
  <si>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</si>
  <si>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</si>
  <si>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</si>
  <si>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</si>
  <si>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</si>
  <si>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</si>
  <si>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</si>
  <si>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</si>
  <si>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</si>
  <si>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</si>
  <si>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</si>
  <si>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</si>
  <si>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</si>
  <si>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</si>
  <si>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</si>
  <si>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</si>
  <si>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</si>
  <si>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</si>
  <si>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</si>
  <si>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</si>
  <si>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</si>
  <si>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</si>
  <si>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</si>
  <si>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</si>
  <si>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</si>
  <si>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</si>
  <si>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</si>
  <si>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</si>
  <si>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</si>
  <si>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</si>
  <si>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</si>
  <si>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</si>
  <si>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</si>
  <si>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</si>
  <si>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</si>
  <si>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</si>
  <si>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</si>
  <si>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</si>
  <si>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</si>
  <si>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</si>
  <si>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</si>
  <si>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</si>
  <si>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</si>
  <si>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</si>
  <si>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</si>
  <si>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</si>
  <si>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</si>
  <si>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</si>
  <si>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</si>
  <si>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</si>
  <si>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</si>
  <si>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</si>
  <si>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</si>
  <si>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</si>
  <si>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</si>
  <si>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</si>
  <si>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</si>
  <si>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</si>
  <si>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</si>
  <si>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</si>
  <si>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</si>
  <si>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</si>
  <si>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</si>
  <si>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</si>
  <si>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</si>
  <si>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</si>
  <si>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</si>
  <si>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</si>
  <si>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</si>
  <si>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</si>
  <si>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</si>
  <si>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</si>
  <si>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</si>
  <si>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</si>
  <si>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</si>
  <si>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</si>
  <si>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</si>
  <si>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</si>
  <si>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</si>
  <si>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</si>
  <si>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</si>
  <si>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</si>
  <si>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</si>
  <si>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</si>
  <si>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</si>
  <si>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</si>
  <si>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</si>
  <si>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</si>
  <si>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</si>
  <si>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</si>
  <si>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</si>
  <si>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</si>
  <si>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</si>
  <si>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</si>
  <si>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</si>
  <si>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</si>
  <si>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</si>
  <si>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</si>
  <si>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</si>
  <si>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</si>
  <si>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</si>
  <si>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</si>
  <si>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</si>
  <si>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</si>
  <si>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</si>
  <si>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</si>
  <si>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</si>
  <si>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</si>
  <si>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</si>
  <si>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</si>
  <si>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</si>
  <si>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</si>
  <si>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</si>
  <si>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</si>
  <si>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</si>
  <si>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</si>
  <si>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</si>
  <si>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</si>
  <si>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</si>
  <si>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</si>
  <si>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</si>
  <si>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</si>
  <si>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</si>
  <si>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</si>
  <si>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</si>
  <si>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</si>
  <si>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</si>
  <si>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</si>
  <si>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</si>
  <si>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</si>
  <si>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</si>
  <si>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</si>
  <si>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</si>
  <si>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</si>
  <si>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</si>
  <si>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</si>
  <si>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</si>
  <si>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</si>
  <si>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</si>
  <si>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</si>
  <si>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</si>
  <si>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</si>
  <si>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</si>
  <si>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</si>
  <si>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</si>
  <si>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</si>
  <si>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</si>
  <si>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</si>
  <si>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</si>
  <si>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</si>
  <si>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</si>
  <si>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</si>
  <si>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</si>
  <si>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</si>
  <si>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</si>
  <si>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</si>
  <si>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</si>
  <si>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</si>
  <si>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</si>
  <si>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</si>
  <si>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</si>
  <si>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</si>
  <si>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</si>
  <si>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</si>
  <si>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</si>
  <si>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</si>
  <si>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</si>
  <si>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</si>
  <si>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</si>
  <si>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</si>
  <si>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</si>
  <si>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</si>
  <si>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</si>
  <si>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</si>
  <si>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</si>
  <si>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</si>
  <si>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</si>
  <si>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</si>
  <si>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</si>
  <si>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</si>
  <si>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</si>
  <si>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</si>
  <si>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</si>
  <si>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</si>
  <si>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</si>
  <si>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</si>
  <si>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</si>
  <si>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</si>
  <si>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</si>
  <si>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</si>
  <si>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</si>
  <si>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</si>
  <si>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</si>
  <si>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</si>
  <si>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</si>
  <si>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</si>
  <si>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</si>
  <si>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</si>
  <si>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</si>
  <si>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</si>
  <si>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</si>
  <si>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</si>
  <si>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</si>
  <si>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</si>
  <si>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</si>
  <si>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</si>
  <si>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</si>
  <si>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</si>
  <si>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</si>
  <si>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</si>
  <si>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</si>
  <si>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</si>
  <si>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</si>
  <si>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</si>
  <si>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</si>
  <si>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</si>
  <si>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</si>
  <si>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</si>
  <si>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</si>
  <si>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</si>
  <si>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</si>
  <si>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</si>
  <si>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</si>
  <si>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</si>
  <si>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</si>
  <si>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</si>
  <si>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</si>
  <si>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</si>
  <si>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</si>
  <si>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</si>
  <si>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</si>
  <si>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</si>
  <si>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</si>
  <si>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</si>
  <si>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</si>
  <si>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</si>
  <si>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</si>
  <si>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</si>
  <si>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</si>
  <si>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</si>
  <si>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</si>
  <si>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</si>
  <si>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</si>
  <si>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</si>
  <si>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</si>
  <si>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</si>
  <si>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</si>
  <si>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</si>
  <si>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</si>
  <si>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</si>
  <si>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</si>
  <si>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</si>
  <si>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</si>
  <si>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</si>
  <si>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</si>
  <si>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</si>
  <si>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</si>
  <si>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</si>
  <si>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</si>
  <si>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</si>
  <si>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</si>
  <si>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</si>
  <si>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</si>
  <si>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</si>
  <si>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</si>
  <si>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</si>
  <si>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</si>
  <si>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</si>
  <si>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</si>
  <si>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</si>
  <si>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</si>
  <si>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</si>
  <si>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</si>
  <si>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</si>
  <si>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</si>
  <si>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</si>
  <si>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</si>
  <si>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</si>
  <si>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</si>
  <si>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</si>
  <si>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</si>
  <si>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</si>
  <si>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</si>
  <si>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</si>
  <si>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</si>
  <si>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</si>
  <si>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</si>
  <si>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</si>
  <si>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</si>
  <si>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</si>
  <si>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</si>
  <si>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</si>
  <si>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</si>
  <si>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</si>
  <si>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</si>
  <si>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</si>
  <si>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</si>
  <si>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</si>
  <si>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</si>
  <si>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</si>
  <si>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</si>
  <si>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</si>
  <si>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</si>
  <si>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</si>
  <si>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</si>
  <si>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</si>
  <si>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</si>
  <si>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</si>
  <si>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</si>
  <si>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</si>
  <si>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</si>
  <si>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</si>
  <si>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</si>
  <si>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</si>
  <si>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</si>
  <si>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</si>
  <si>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</si>
  <si>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</si>
  <si>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</si>
  <si>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</si>
  <si>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</si>
  <si>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</si>
  <si>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</si>
  <si>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</si>
  <si>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</si>
  <si>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</si>
  <si>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</si>
  <si>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</si>
  <si>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</si>
  <si>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</si>
  <si>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</si>
  <si>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</si>
  <si>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</si>
  <si>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</si>
  <si>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</si>
  <si>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</si>
  <si>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</si>
  <si>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</si>
  <si>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</si>
  <si>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</si>
  <si>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</si>
  <si>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</si>
  <si>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</si>
  <si>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</si>
  <si>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</si>
  <si>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</si>
  <si>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</si>
  <si>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</si>
  <si>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</si>
  <si>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</si>
  <si>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</si>
  <si>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</si>
  <si>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</si>
  <si>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</si>
  <si>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</si>
  <si>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</si>
  <si>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</si>
  <si>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</si>
  <si>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</si>
  <si>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</si>
  <si>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</si>
  <si>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</si>
  <si>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</si>
  <si>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</si>
  <si>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</si>
  <si>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</si>
  <si>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</si>
  <si>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</si>
  <si>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</si>
  <si>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</si>
  <si>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</si>
  <si>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</si>
  <si>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</si>
  <si>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</si>
  <si>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</si>
  <si>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</si>
  <si>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</si>
  <si>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</si>
  <si>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</si>
  <si>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</si>
  <si>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</si>
  <si>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</si>
  <si>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</si>
  <si>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</si>
  <si>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</si>
  <si>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</si>
  <si>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</si>
  <si>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</si>
  <si>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</si>
  <si>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</si>
  <si>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</si>
  <si>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</si>
  <si>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</si>
  <si>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</si>
  <si>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</si>
  <si>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</si>
  <si>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</si>
  <si>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</si>
  <si>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</si>
  <si>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</si>
  <si>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</si>
  <si>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</si>
  <si>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</si>
  <si>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</si>
  <si>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</si>
  <si>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</si>
  <si>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</si>
  <si>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</si>
  <si>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</si>
  <si>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</si>
  <si>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</si>
  <si>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</si>
  <si>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</si>
  <si>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</si>
  <si>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</si>
  <si>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</si>
  <si>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</si>
  <si>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</si>
  <si>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</si>
  <si>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</si>
  <si>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</si>
  <si>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</si>
  <si>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</si>
  <si>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</si>
  <si>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</si>
  <si>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</si>
  <si>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</si>
  <si>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</si>
  <si>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</si>
  <si>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</si>
  <si>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</si>
  <si>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</si>
  <si>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</si>
  <si>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</si>
  <si>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</si>
  <si>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</si>
  <si>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</si>
  <si>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</si>
  <si>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</si>
  <si>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</si>
  <si>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</si>
  <si>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</si>
  <si>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</si>
  <si>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</si>
  <si>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</si>
  <si>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</si>
  <si>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</si>
  <si>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</si>
  <si>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</si>
  <si>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</si>
  <si>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</si>
  <si>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</si>
  <si>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</si>
  <si>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</si>
  <si>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</si>
  <si>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</si>
  <si>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</si>
  <si>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</si>
  <si>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</si>
  <si>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</si>
  <si>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</si>
  <si>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</si>
  <si>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</si>
  <si>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</si>
  <si>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</si>
  <si>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</si>
  <si>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</si>
  <si>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</si>
  <si>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</si>
  <si>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</si>
  <si>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</si>
  <si>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</si>
  <si>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</si>
  <si>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</si>
  <si>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</si>
  <si>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</si>
  <si>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</si>
  <si>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</si>
  <si>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</si>
  <si>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</si>
  <si>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</si>
  <si>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</si>
  <si>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</si>
  <si>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</si>
  <si>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</si>
  <si>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</si>
  <si>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</si>
  <si>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</si>
  <si>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</si>
  <si>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</si>
  <si>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</si>
  <si>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</si>
  <si>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</si>
  <si>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</si>
  <si>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</si>
  <si>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</si>
  <si>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</si>
  <si>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</si>
  <si>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</si>
  <si>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</si>
  <si>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</si>
  <si>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</si>
  <si>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</si>
  <si>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</si>
  <si>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</si>
  <si>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</si>
  <si>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</si>
  <si>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</si>
  <si>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</si>
  <si>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</si>
  <si>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</si>
  <si>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</si>
  <si>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</si>
  <si>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</si>
  <si>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</si>
  <si>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</si>
  <si>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</si>
  <si>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</si>
  <si>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</si>
  <si>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</si>
  <si>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</si>
  <si>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</si>
  <si>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</si>
  <si>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</si>
  <si>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</si>
  <si>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</si>
  <si>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</si>
  <si>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</si>
  <si>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</si>
  <si>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</si>
  <si>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</si>
  <si>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</si>
  <si>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</si>
  <si>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</si>
  <si>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</si>
  <si>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</si>
  <si>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</si>
  <si>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</si>
  <si>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</si>
  <si>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</si>
  <si>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</si>
  <si>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</si>
  <si>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</si>
  <si>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</si>
  <si>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</si>
  <si>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</si>
  <si>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</si>
  <si>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</si>
  <si>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</si>
  <si>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</si>
  <si>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</si>
  <si>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</si>
  <si>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</si>
  <si>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</si>
  <si>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</si>
  <si>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</si>
  <si>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</si>
  <si>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</si>
  <si>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</si>
  <si>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</si>
  <si>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</si>
  <si>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</si>
  <si>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</si>
  <si>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</si>
  <si>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</si>
  <si>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</si>
  <si>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</si>
  <si>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</si>
  <si>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</si>
  <si>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</si>
  <si>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</si>
  <si>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</si>
  <si>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</si>
  <si>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</si>
  <si>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</si>
  <si>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</si>
  <si>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</si>
  <si>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</si>
  <si>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</si>
  <si>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</si>
  <si>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</si>
  <si>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</si>
  <si>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</si>
  <si>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</si>
  <si>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</si>
  <si>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</si>
  <si>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</si>
  <si>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</si>
  <si>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</si>
  <si>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</si>
  <si>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</si>
  <si>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</si>
  <si>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</si>
  <si>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</si>
  <si>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</si>
  <si>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</si>
  <si>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</si>
  <si>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</si>
  <si>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</si>
  <si>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</si>
  <si>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</si>
  <si>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</si>
  <si>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</si>
  <si>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</si>
  <si>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</si>
  <si>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</si>
  <si>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</si>
  <si>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</si>
  <si>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</si>
  <si>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</si>
  <si>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</si>
  <si>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</si>
  <si>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</si>
  <si>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</si>
  <si>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</si>
  <si>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</si>
  <si>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</si>
  <si>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</si>
  <si>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</si>
  <si>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</si>
  <si>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</si>
  <si>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</si>
  <si>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</si>
  <si>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</si>
  <si>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</si>
  <si>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</si>
  <si>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</si>
  <si>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</si>
  <si>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</si>
  <si>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</si>
  <si>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</si>
  <si>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</si>
  <si>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</si>
  <si>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</si>
  <si>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</si>
  <si>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</si>
  <si>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</si>
  <si>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</si>
  <si>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</si>
  <si>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</si>
  <si>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</si>
  <si>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</si>
  <si>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</si>
  <si>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</si>
  <si>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</si>
  <si>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</si>
  <si>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</si>
  <si>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</si>
  <si>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</si>
  <si>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</si>
  <si>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</si>
  <si>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</si>
  <si>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</si>
  <si>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</si>
  <si>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</si>
  <si>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</si>
  <si>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</si>
  <si>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</si>
  <si>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</si>
  <si>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</si>
  <si>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</si>
  <si>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</si>
  <si>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</si>
  <si>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</si>
  <si>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</si>
  <si>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</si>
  <si>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</si>
  <si>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</si>
  <si>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</si>
  <si>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</si>
  <si>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</si>
  <si>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</si>
  <si>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</si>
  <si>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</si>
  <si>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</si>
  <si>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</si>
  <si>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</si>
  <si>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</si>
  <si>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</si>
  <si>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</si>
  <si>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</si>
  <si>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</si>
  <si>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</si>
  <si>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</si>
  <si>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</si>
  <si>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</si>
  <si>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</si>
  <si>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</si>
  <si>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</si>
  <si>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</si>
  <si>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</si>
  <si>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</si>
  <si>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</si>
  <si>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</si>
  <si>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</si>
  <si>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</si>
  <si>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</si>
  <si>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</si>
  <si>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</si>
  <si>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</si>
  <si>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</si>
  <si>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</si>
  <si>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</si>
  <si>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</si>
  <si>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</si>
  <si>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</si>
  <si>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</si>
  <si>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</si>
  <si>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</si>
  <si>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</si>
  <si>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</si>
  <si>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</si>
  <si>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</si>
  <si>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</si>
  <si>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</si>
  <si>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</si>
  <si>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</si>
  <si>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</si>
  <si>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</si>
  <si>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</si>
  <si>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</si>
  <si>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</si>
  <si>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</si>
  <si>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</si>
  <si>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</si>
  <si>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</si>
  <si>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</si>
  <si>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</si>
  <si>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</si>
  <si>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</si>
  <si>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</si>
  <si>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</si>
  <si>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</si>
  <si>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</si>
  <si>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</si>
  <si>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</si>
  <si>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</si>
  <si>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</si>
  <si>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</si>
  <si>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</si>
  <si>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</si>
  <si>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</si>
  <si>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</si>
  <si>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</si>
  <si>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</si>
  <si>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</si>
  <si>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</si>
  <si>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</si>
  <si>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</si>
  <si>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</si>
  <si>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</si>
  <si>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</si>
  <si>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</si>
  <si>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</si>
  <si>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</si>
  <si>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</si>
  <si>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</si>
  <si>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</si>
  <si>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</si>
  <si>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</si>
  <si>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</si>
  <si>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</si>
  <si>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</si>
  <si>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</si>
  <si>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</si>
  <si>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</si>
  <si>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</si>
  <si>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</si>
  <si>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</si>
  <si>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</si>
  <si>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</si>
  <si>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</si>
  <si>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</si>
  <si>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</si>
  <si>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</si>
  <si>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</si>
  <si>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</si>
  <si>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</si>
  <si>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</si>
  <si>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</si>
  <si>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</si>
  <si>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</si>
  <si>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</si>
  <si>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</si>
  <si>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</si>
  <si>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</si>
  <si>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</si>
  <si>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</si>
  <si>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</si>
  <si>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</si>
  <si>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</si>
  <si>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</si>
  <si>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</si>
  <si>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</si>
  <si>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</si>
  <si>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</si>
  <si>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</si>
  <si>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</si>
  <si>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</si>
  <si>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</si>
  <si>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</si>
  <si>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</si>
  <si>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</si>
  <si>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</si>
  <si>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</si>
  <si>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</si>
  <si>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</si>
  <si>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</si>
  <si>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</si>
  <si>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</si>
  <si>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</si>
  <si>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</si>
  <si>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</si>
  <si>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</si>
  <si>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</si>
  <si>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</si>
  <si>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</si>
  <si>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</si>
  <si>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</si>
  <si>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</si>
  <si>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</si>
  <si>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</si>
  <si>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</si>
  <si>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</si>
  <si>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</si>
  <si>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</si>
  <si>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</si>
  <si>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</si>
  <si>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</si>
  <si>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</si>
  <si>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</si>
  <si>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</si>
  <si>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</si>
  <si>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</si>
  <si>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</si>
  <si>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</si>
  <si>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</si>
  <si>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</si>
  <si>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</si>
  <si>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</si>
  <si>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</si>
  <si>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</si>
  <si>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</si>
  <si>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</si>
  <si>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</si>
  <si>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</si>
  <si>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</si>
  <si>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</si>
  <si>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</si>
  <si>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</si>
  <si>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</si>
  <si>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</si>
  <si>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</si>
  <si>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</si>
  <si>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</si>
  <si>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</si>
  <si>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</si>
  <si>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</si>
  <si>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</si>
  <si>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</si>
  <si>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</si>
  <si>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</si>
  <si>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</si>
  <si>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</si>
  <si>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</si>
  <si>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</si>
  <si>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</si>
  <si>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</si>
  <si>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</si>
  <si>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</si>
  <si>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</si>
  <si>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</si>
  <si>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</si>
  <si>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</si>
  <si>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</si>
  <si>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</si>
  <si>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</si>
  <si>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</si>
  <si>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</si>
  <si>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</si>
  <si>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</si>
  <si>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</si>
  <si>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</si>
  <si>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</si>
  <si>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</si>
  <si>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</si>
  <si>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</si>
  <si>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</si>
  <si>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</si>
  <si>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</si>
  <si>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</si>
  <si>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</si>
  <si>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</si>
  <si>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</si>
  <si>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</si>
  <si>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</si>
  <si>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</si>
  <si>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</si>
  <si>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</si>
  <si>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</si>
  <si>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</si>
  <si>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</si>
  <si>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</si>
  <si>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</si>
  <si>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</si>
  <si>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</si>
  <si>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</si>
  <si>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</si>
  <si>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</si>
  <si>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</si>
  <si>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</si>
  <si>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</si>
  <si>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</si>
  <si>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</si>
  <si>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</si>
  <si>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</si>
  <si>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</si>
  <si>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</si>
  <si>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</si>
  <si>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</si>
  <si>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</si>
  <si>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</si>
  <si>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</si>
  <si>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</si>
  <si>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</si>
  <si>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</si>
  <si>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</si>
  <si>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</si>
  <si>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</si>
  <si>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</si>
  <si>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</si>
  <si>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</si>
  <si>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</si>
  <si>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</si>
  <si>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</si>
  <si>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</si>
  <si>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</si>
  <si>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</si>
  <si>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</si>
  <si>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</si>
  <si>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</si>
  <si>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</si>
  <si>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</si>
  <si>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</si>
  <si>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</si>
  <si>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</si>
  <si>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</si>
  <si>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</si>
  <si>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</si>
  <si>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</si>
  <si>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</si>
  <si>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</si>
  <si>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</si>
  <si>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</si>
  <si>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</si>
  <si>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</si>
  <si>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</si>
  <si>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</si>
  <si>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</si>
  <si>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</si>
  <si>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</si>
  <si>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</si>
  <si>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</si>
  <si>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</si>
  <si>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</si>
  <si>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</si>
  <si>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</si>
  <si>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</si>
  <si>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</si>
  <si>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</si>
  <si>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</si>
  <si>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</si>
  <si>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</si>
  <si>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</si>
  <si>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</si>
  <si>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</si>
  <si>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</si>
  <si>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</si>
  <si>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</si>
  <si>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</si>
  <si>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</si>
  <si>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</si>
  <si>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</si>
  <si>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</si>
  <si>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</si>
  <si>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</si>
  <si>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</si>
  <si>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</si>
  <si>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</si>
  <si>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</si>
  <si>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</si>
  <si>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</si>
  <si>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</si>
  <si>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</si>
  <si>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</si>
  <si>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</si>
  <si>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</si>
  <si>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</si>
  <si>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</si>
  <si>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</si>
  <si>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</si>
  <si>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</si>
  <si>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</si>
  <si>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</si>
  <si>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</si>
  <si>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</si>
  <si>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</si>
  <si>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</si>
  <si>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</si>
  <si>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</si>
  <si>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</si>
  <si>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</si>
  <si>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</si>
  <si>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</si>
  <si>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</si>
  <si>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</si>
  <si>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</si>
  <si>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</si>
  <si>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</si>
  <si>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</si>
  <si>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</si>
  <si>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</si>
  <si>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</si>
  <si>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</si>
  <si>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</si>
  <si>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</si>
  <si>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</si>
  <si>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</si>
  <si>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</si>
  <si>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</si>
  <si>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</si>
  <si>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</si>
  <si>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</si>
  <si>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</si>
  <si>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</si>
  <si>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</si>
  <si>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</si>
  <si>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</si>
  <si>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</si>
  <si>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</si>
  <si>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</si>
  <si>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</si>
  <si>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</si>
  <si>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</si>
  <si>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</si>
  <si>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</si>
  <si>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</si>
  <si>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</si>
  <si>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</si>
  <si>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</si>
  <si>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</si>
  <si>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</si>
  <si>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</si>
  <si>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</si>
  <si>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</si>
  <si>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</si>
  <si>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</si>
  <si>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</si>
  <si>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</si>
  <si>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</si>
  <si>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</si>
  <si>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</si>
  <si>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</si>
  <si>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</si>
  <si>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</si>
  <si>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</si>
  <si>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</si>
  <si>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</si>
  <si>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</si>
  <si>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</si>
  <si>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</si>
  <si>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</si>
  <si>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</si>
  <si>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</si>
  <si>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</si>
  <si>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</si>
  <si>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</si>
  <si>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</si>
  <si>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</si>
  <si>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</si>
  <si>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</si>
  <si>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</si>
  <si>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</si>
  <si>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</si>
  <si>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</si>
  <si>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</si>
  <si>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</si>
  <si>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</si>
  <si>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</si>
  <si>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</si>
  <si>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</si>
  <si>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</si>
  <si>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</si>
  <si>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</si>
  <si>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</si>
  <si>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</si>
  <si>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</si>
  <si>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</si>
  <si>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</si>
  <si>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</si>
  <si>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</si>
  <si>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</si>
  <si>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</si>
  <si>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</si>
  <si>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</si>
  <si>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</si>
  <si>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</si>
  <si>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</si>
  <si>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</si>
  <si>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</si>
  <si>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</si>
  <si>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</si>
  <si>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</si>
  <si>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</si>
  <si>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</si>
  <si>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</si>
  <si>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</si>
  <si>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</si>
  <si>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</si>
  <si>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</si>
  <si>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</si>
  <si>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</si>
  <si>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</si>
  <si>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</si>
  <si>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</si>
  <si>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</si>
  <si>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</si>
  <si>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</si>
  <si>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</si>
  <si>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</si>
  <si>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</si>
  <si>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</si>
  <si>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</si>
  <si>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</si>
  <si>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</si>
  <si>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</si>
  <si>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</si>
  <si>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</si>
  <si>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</si>
  <si>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</si>
  <si>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</si>
  <si>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</si>
  <si>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</si>
  <si>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</si>
  <si>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</si>
  <si>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</si>
  <si>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</si>
  <si>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</si>
  <si>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</si>
  <si>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</si>
  <si>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</si>
  <si>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</si>
  <si>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</si>
  <si>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</si>
  <si>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</si>
  <si>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</si>
  <si>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</si>
  <si>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</si>
  <si>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</si>
  <si>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</si>
  <si>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</si>
  <si>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</si>
  <si>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</si>
  <si>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</si>
  <si>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</si>
  <si>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</si>
  <si>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</si>
  <si>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</si>
  <si>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</si>
  <si>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</si>
  <si>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</si>
  <si>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</si>
  <si>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</si>
  <si>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</si>
  <si>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</si>
  <si>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</si>
  <si>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</si>
  <si>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</si>
  <si>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</si>
  <si>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</si>
  <si>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</si>
  <si>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</si>
  <si>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</si>
  <si>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</si>
  <si>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</si>
  <si>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</si>
  <si>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</si>
  <si>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</si>
  <si>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</si>
  <si>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</si>
  <si>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</si>
  <si>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</si>
  <si>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</si>
  <si>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</si>
  <si>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</si>
  <si>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</si>
  <si>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</si>
  <si>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</si>
  <si>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</si>
  <si>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</si>
  <si>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</si>
  <si>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</si>
  <si>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</si>
  <si>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</si>
  <si>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</si>
  <si>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</si>
  <si>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</si>
  <si>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</si>
  <si>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</si>
  <si>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</si>
  <si>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</si>
  <si>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</si>
  <si>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</si>
  <si>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</si>
  <si>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</si>
  <si>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</si>
  <si>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</si>
  <si>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</si>
  <si>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</si>
  <si>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</si>
  <si>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</si>
  <si>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</si>
  <si>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</si>
  <si>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</si>
  <si>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</si>
  <si>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</si>
  <si>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</si>
  <si>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</si>
  <si>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</si>
  <si>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</si>
  <si>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</si>
  <si>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</si>
  <si>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</si>
  <si>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</si>
  <si>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</si>
  <si>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</si>
  <si>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</si>
  <si>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</si>
  <si>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</si>
  <si>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</si>
  <si>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</si>
  <si>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</si>
  <si>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</si>
  <si>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</si>
  <si>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</si>
  <si>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</si>
  <si>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</si>
  <si>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</si>
  <si>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</si>
  <si>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</si>
  <si>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</si>
  <si>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</si>
  <si>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</si>
  <si>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</si>
  <si>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</si>
  <si>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</si>
  <si>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</si>
  <si>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</si>
  <si>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</si>
  <si>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</si>
  <si>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</si>
  <si>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</si>
  <si>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</si>
  <si>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</si>
  <si>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</si>
  <si>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</si>
  <si>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</si>
  <si>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</si>
  <si>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</si>
  <si>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</si>
  <si>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</si>
  <si>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</si>
  <si>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</si>
  <si>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</si>
  <si>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</si>
  <si>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</si>
  <si>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</si>
  <si>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</si>
  <si>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</si>
  <si>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</si>
  <si>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</si>
  <si>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</si>
  <si>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</si>
  <si>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</si>
  <si>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</si>
  <si>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</si>
  <si>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</si>
  <si>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</si>
  <si>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</si>
  <si>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</si>
  <si>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</si>
  <si>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</si>
  <si>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</si>
  <si>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</si>
  <si>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</si>
  <si>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</si>
  <si>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</si>
  <si>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</si>
  <si>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</si>
  <si>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</si>
  <si>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</si>
  <si>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</si>
  <si>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</si>
  <si>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</si>
  <si>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</si>
  <si>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</si>
  <si>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</si>
  <si>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</si>
  <si>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</si>
  <si>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</si>
  <si>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</si>
  <si>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</si>
  <si>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</si>
  <si>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</si>
  <si>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</si>
  <si>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</si>
  <si>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</si>
  <si>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</si>
  <si>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</si>
  <si>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</si>
  <si>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</si>
  <si>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</si>
  <si>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</si>
  <si>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</si>
  <si>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</si>
  <si>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</si>
  <si>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</si>
  <si>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</si>
  <si>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</si>
  <si>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</si>
  <si>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</si>
  <si>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</si>
  <si>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</si>
  <si>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</si>
  <si>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</si>
  <si>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</si>
  <si>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</si>
  <si>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</si>
  <si>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</si>
  <si>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</si>
  <si>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</si>
  <si>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</si>
  <si>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</si>
  <si>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</si>
  <si>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</si>
  <si>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</si>
  <si>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</si>
  <si>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</si>
  <si>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</si>
  <si>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</si>
  <si>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</si>
  <si>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</si>
  <si>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</si>
  <si>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</si>
  <si>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</si>
  <si>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</si>
  <si>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</si>
  <si>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</si>
  <si>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</si>
  <si>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</si>
  <si>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</si>
  <si>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</si>
  <si>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</si>
  <si>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</si>
  <si>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</si>
  <si>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</si>
  <si>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</si>
  <si>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</si>
  <si>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</si>
  <si>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</si>
  <si>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</si>
  <si>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</si>
  <si>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</si>
  <si>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</si>
  <si>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</si>
  <si>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</si>
  <si>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</si>
  <si>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</si>
  <si>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</si>
  <si>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</si>
  <si>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</si>
  <si>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</si>
  <si>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</si>
  <si>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</si>
  <si>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</si>
  <si>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</si>
  <si>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</si>
  <si>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</si>
  <si>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</si>
  <si>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</si>
  <si>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</si>
  <si>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</si>
  <si>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</si>
  <si>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</si>
  <si>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</si>
  <si>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</si>
  <si>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</si>
  <si>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</si>
  <si>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</si>
  <si>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</si>
  <si>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</si>
  <si>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</si>
  <si>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</si>
  <si>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</si>
  <si>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</si>
  <si>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</si>
  <si>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</si>
  <si>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</si>
  <si>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</si>
  <si>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</si>
  <si>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</si>
  <si>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</si>
  <si>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</si>
  <si>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</si>
  <si>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</si>
  <si>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</si>
  <si>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</si>
  <si>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</si>
  <si>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</si>
  <si>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</si>
  <si>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</si>
  <si>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</si>
  <si>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</si>
  <si>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</si>
  <si>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</si>
  <si>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</si>
  <si>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</si>
  <si>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</si>
  <si>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</si>
  <si>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</si>
  <si>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</si>
  <si>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</si>
  <si>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</si>
  <si>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</si>
  <si>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</si>
  <si>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</si>
  <si>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</si>
  <si>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</si>
  <si>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</si>
  <si>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</si>
  <si>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</si>
  <si>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</si>
  <si>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</si>
  <si>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</si>
  <si>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</si>
  <si>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</si>
  <si>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</si>
  <si>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</si>
  <si>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</si>
  <si>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</si>
  <si>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</si>
  <si>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</si>
  <si>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</si>
  <si>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</si>
  <si>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</si>
  <si>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</si>
  <si>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</si>
  <si>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</si>
  <si>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</si>
  <si>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</si>
  <si>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</si>
  <si>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</si>
  <si>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</si>
  <si>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</si>
  <si>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</si>
  <si>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</si>
  <si>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</si>
  <si>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</si>
  <si>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</si>
  <si>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</si>
  <si>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</si>
  <si>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</si>
  <si>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</si>
  <si>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</si>
  <si>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</si>
  <si>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</si>
  <si>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</si>
  <si>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</si>
  <si>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</si>
  <si>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</si>
  <si>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</si>
  <si>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</si>
  <si>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</si>
  <si>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</si>
  <si>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</si>
  <si>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</si>
  <si>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</si>
  <si>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</si>
  <si>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</si>
  <si>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</si>
  <si>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</si>
  <si>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</si>
  <si>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</si>
  <si>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</si>
  <si>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</si>
  <si>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</si>
  <si>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</si>
  <si>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</si>
  <si>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</si>
  <si>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</si>
  <si>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</si>
  <si>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</si>
  <si>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</si>
  <si>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</si>
  <si>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</si>
  <si>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</si>
  <si>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</si>
  <si>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</si>
  <si>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</si>
  <si>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</si>
  <si>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</si>
  <si>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</si>
  <si>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</si>
  <si>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</si>
  <si>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</si>
  <si>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</si>
  <si>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</si>
  <si>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</si>
  <si>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</si>
  <si>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</si>
  <si>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</si>
  <si>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</si>
  <si>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</si>
  <si>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</si>
  <si>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</si>
  <si>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</si>
  <si>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</si>
  <si>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</si>
  <si>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</si>
  <si>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</si>
  <si>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</si>
  <si>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</si>
  <si>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</si>
  <si>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</si>
  <si>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</si>
  <si>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</si>
  <si>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</si>
  <si>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</si>
  <si>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</si>
  <si>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</si>
  <si>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</si>
  <si>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</si>
  <si>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</si>
  <si>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</si>
  <si>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</si>
  <si>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</si>
  <si>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</si>
  <si>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</si>
  <si>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</si>
  <si>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</si>
  <si>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</si>
  <si>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</si>
  <si>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</si>
  <si>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</si>
  <si>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</si>
  <si>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</si>
  <si>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</si>
  <si>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</si>
  <si>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</si>
  <si>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</si>
  <si>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</si>
  <si>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</si>
  <si>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</si>
  <si>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</si>
  <si>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</si>
  <si>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</si>
  <si>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</si>
  <si>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</si>
  <si>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</si>
  <si>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</si>
  <si>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</si>
  <si>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</si>
  <si>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</si>
  <si>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</si>
  <si>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</si>
  <si>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</si>
  <si>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</si>
  <si>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</si>
  <si>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</si>
  <si>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</si>
  <si>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</si>
  <si>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</si>
  <si>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</si>
  <si>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</si>
  <si>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</si>
  <si>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</si>
  <si>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</si>
  <si>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</si>
  <si>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</si>
  <si>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</si>
  <si>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</si>
  <si>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</si>
  <si>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</si>
  <si>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</si>
  <si>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</si>
  <si>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</si>
  <si>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</si>
  <si>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</si>
  <si>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</si>
  <si>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</si>
  <si>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</si>
  <si>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</si>
  <si>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</si>
  <si>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</si>
  <si>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</si>
  <si>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</si>
  <si>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</si>
  <si>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</si>
  <si>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</si>
  <si>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</si>
  <si>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</si>
  <si>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</si>
  <si>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</si>
  <si>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</si>
  <si>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</si>
  <si>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</si>
  <si>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</si>
  <si>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</si>
  <si>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</si>
  <si>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</si>
  <si>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</si>
  <si>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</si>
  <si>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</si>
  <si>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</si>
  <si>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</si>
  <si>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</si>
  <si>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</si>
  <si>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</si>
  <si>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</si>
  <si>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</si>
  <si>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</si>
  <si>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</si>
  <si>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</si>
  <si>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</si>
  <si>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</si>
  <si>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</si>
  <si>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</si>
  <si>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</si>
  <si>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</si>
  <si>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</si>
  <si>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</si>
  <si>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</si>
  <si>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</si>
  <si>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</si>
  <si>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</si>
  <si>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</si>
  <si>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</si>
  <si>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</si>
  <si>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</si>
  <si>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</si>
  <si>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</si>
  <si>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</si>
  <si>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</si>
  <si>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</si>
  <si>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</si>
  <si>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</si>
  <si>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</si>
  <si>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</si>
  <si>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</si>
  <si>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</si>
  <si>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</si>
  <si>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</si>
  <si>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</si>
  <si>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</si>
  <si>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</si>
  <si>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</si>
  <si>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</si>
  <si>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</si>
  <si>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</si>
  <si>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</si>
  <si>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</si>
  <si>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</si>
  <si>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</si>
  <si>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</si>
  <si>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</si>
  <si>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</si>
  <si>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</si>
  <si>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</si>
  <si>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</si>
  <si>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</si>
  <si>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</si>
  <si>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</si>
  <si>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</si>
  <si>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</si>
  <si>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</si>
  <si>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</si>
  <si>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</si>
  <si>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</si>
  <si>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</si>
  <si>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</si>
  <si>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</si>
  <si>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</si>
  <si>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</si>
  <si>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</si>
  <si>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</si>
  <si>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</si>
  <si>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</si>
  <si>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</si>
  <si>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</si>
  <si>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</si>
  <si>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</si>
  <si>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</si>
  <si>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</si>
  <si>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</si>
  <si>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</si>
  <si>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</si>
  <si>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</si>
  <si>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</si>
  <si>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</si>
  <si>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</si>
  <si>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</si>
  <si>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</si>
  <si>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</si>
  <si>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</si>
  <si>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</si>
  <si>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</si>
  <si>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</si>
  <si>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</si>
  <si>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</si>
  <si>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</si>
  <si>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</si>
  <si>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</si>
  <si>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</si>
  <si>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</si>
  <si>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</si>
  <si>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</si>
  <si>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</si>
  <si>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</si>
  <si>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</si>
  <si>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</si>
  <si>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</si>
  <si>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</si>
  <si>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</si>
  <si>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</si>
  <si>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</si>
  <si>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</si>
  <si>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</si>
  <si>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</si>
  <si>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</si>
  <si>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</si>
  <si>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</si>
  <si>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</si>
  <si>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</si>
  <si>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</si>
  <si>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</si>
  <si>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</si>
  <si>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</si>
  <si>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</si>
  <si>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</si>
  <si>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</si>
  <si>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</si>
  <si>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</si>
  <si>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</si>
  <si>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</si>
  <si>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</si>
  <si>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</si>
  <si>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</si>
  <si>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</si>
  <si>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</si>
  <si>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</si>
  <si>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</si>
  <si>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</si>
  <si>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</si>
  <si>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</si>
  <si>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</si>
  <si>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</si>
  <si>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</si>
  <si>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</si>
  <si>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</si>
  <si>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</si>
  <si>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</si>
  <si>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</si>
  <si>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</si>
  <si>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</si>
  <si>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</si>
  <si>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</si>
  <si>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</si>
  <si>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</si>
  <si>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</si>
  <si>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</si>
  <si>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</si>
  <si>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</si>
  <si>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</si>
  <si>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</si>
  <si>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</si>
  <si>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</si>
  <si>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</si>
  <si>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</si>
  <si>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</si>
  <si>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</si>
  <si>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</si>
  <si>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</si>
  <si>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</si>
  <si>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</si>
  <si>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</si>
  <si>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</si>
  <si>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</si>
  <si>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</si>
  <si>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</si>
  <si>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</si>
  <si>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</si>
  <si>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</si>
  <si>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</si>
  <si>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</si>
  <si>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</si>
  <si>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</si>
  <si>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</si>
  <si>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</si>
  <si>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</si>
  <si>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</si>
  <si>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</si>
  <si>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</si>
  <si>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</si>
  <si>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</si>
  <si>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</si>
  <si>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</si>
  <si>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</si>
  <si>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</si>
  <si>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</si>
  <si>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</si>
  <si>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</si>
  <si>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</si>
  <si>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</si>
  <si>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</si>
  <si>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</si>
  <si>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</si>
  <si>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</si>
  <si>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</si>
  <si>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</si>
  <si>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</si>
  <si>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</si>
  <si>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</si>
  <si>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</si>
  <si>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</si>
  <si>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</si>
  <si>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</si>
  <si>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</si>
  <si>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</si>
  <si>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</si>
  <si>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</si>
  <si>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</si>
  <si>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</si>
  <si>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</si>
  <si>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</si>
  <si>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</si>
  <si>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</si>
  <si>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</si>
  <si>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</si>
  <si>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</si>
  <si>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</si>
  <si>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</si>
  <si>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</si>
  <si>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</si>
  <si>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</si>
  <si>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</si>
  <si>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</si>
  <si>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</si>
  <si>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</si>
  <si>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</si>
  <si>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</si>
  <si>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</si>
  <si>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</si>
  <si>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</si>
  <si>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</si>
  <si>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</si>
  <si>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</si>
  <si>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</si>
  <si>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</si>
  <si>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</si>
  <si>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</si>
  <si>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</si>
  <si>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</si>
  <si>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</si>
  <si>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</si>
  <si>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</si>
  <si>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</si>
  <si>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</si>
  <si>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</si>
  <si>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</si>
  <si>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</si>
  <si>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</si>
  <si>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</si>
  <si>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</si>
  <si>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</si>
  <si>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</si>
  <si>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</si>
  <si>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</si>
  <si>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</si>
  <si>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</si>
  <si>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</si>
  <si>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</si>
  <si>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</si>
  <si>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</si>
  <si>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</si>
  <si>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</si>
  <si>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</si>
  <si>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</si>
  <si>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</si>
  <si>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</si>
  <si>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</si>
  <si>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</si>
  <si>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</si>
  <si>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</si>
  <si>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</si>
  <si>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</si>
  <si>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</si>
  <si>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</si>
  <si>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</si>
  <si>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</si>
  <si>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</si>
  <si>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</si>
  <si>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</si>
  <si>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</si>
  <si>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</si>
  <si>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</si>
  <si>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</si>
  <si>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</si>
  <si>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</si>
  <si>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</si>
  <si>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</si>
  <si>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</si>
  <si>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</si>
  <si>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</si>
  <si>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</si>
  <si>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</si>
  <si>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</si>
  <si>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</si>
  <si>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</si>
  <si>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</si>
  <si>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</si>
  <si>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</si>
  <si>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</si>
  <si>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</si>
  <si>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</si>
  <si>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</si>
  <si>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</si>
  <si>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</si>
  <si>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</si>
  <si>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</si>
  <si>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</si>
  <si>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</si>
  <si>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</si>
  <si>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</si>
  <si>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</si>
  <si>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</si>
  <si>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</si>
  <si>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</si>
  <si>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</si>
  <si>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</si>
  <si>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</si>
  <si>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</si>
  <si>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</si>
  <si>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</si>
  <si>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</si>
  <si>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</si>
  <si>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</si>
  <si>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</si>
  <si>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</si>
  <si>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</si>
  <si>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</si>
  <si>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</si>
  <si>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</si>
  <si>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</si>
  <si>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</si>
  <si>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</si>
  <si>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</si>
  <si>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</si>
  <si>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</si>
  <si>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</si>
  <si>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</si>
  <si>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</si>
  <si>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</si>
  <si>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</si>
  <si>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</si>
  <si>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</si>
  <si>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</si>
  <si>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</si>
  <si>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</si>
  <si>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</si>
  <si>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</si>
  <si>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</si>
  <si>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</si>
  <si>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</si>
  <si>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</si>
  <si>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</si>
  <si>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</si>
  <si>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</si>
  <si>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</si>
  <si>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</si>
  <si>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</si>
  <si>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</si>
  <si>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</si>
  <si>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</si>
  <si>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</si>
  <si>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</si>
  <si>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</si>
  <si>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</si>
  <si>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</si>
  <si>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</si>
  <si>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</si>
  <si>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</si>
  <si>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</si>
  <si>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</si>
  <si>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</si>
  <si>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</si>
  <si>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</si>
  <si>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</si>
  <si>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</si>
  <si>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</si>
  <si>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</si>
  <si>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</si>
  <si>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</si>
  <si>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</si>
  <si>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</si>
  <si>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</si>
  <si>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</si>
  <si>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</si>
  <si>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</si>
  <si>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</si>
  <si>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</si>
  <si>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</si>
  <si>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</si>
  <si>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</si>
  <si>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</si>
  <si>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</si>
  <si>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</si>
  <si>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</si>
  <si>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</si>
  <si>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</si>
  <si>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</si>
  <si>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</si>
  <si>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</si>
  <si>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</si>
  <si>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</si>
  <si>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</si>
  <si>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</si>
  <si>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</si>
  <si>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</si>
  <si>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</si>
  <si>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</si>
  <si>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</si>
  <si>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</si>
  <si>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</si>
  <si>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</si>
  <si>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</si>
  <si>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</si>
  <si>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</si>
  <si>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</si>
  <si>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</si>
  <si>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</si>
  <si>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</si>
  <si>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</si>
  <si>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</si>
  <si>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</si>
  <si>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</si>
  <si>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</si>
  <si>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</si>
  <si>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</si>
  <si>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</si>
  <si>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</si>
  <si>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</si>
  <si>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</si>
  <si>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</si>
  <si>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</si>
  <si>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</si>
  <si>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</si>
  <si>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</si>
  <si>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</si>
  <si>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</si>
  <si>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</si>
  <si>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</si>
  <si>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</si>
  <si>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</si>
  <si>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</si>
  <si>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</si>
  <si>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</si>
  <si>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</si>
  <si>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</si>
  <si>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</si>
  <si>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</si>
  <si>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</si>
  <si>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</si>
  <si>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</si>
  <si>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</si>
  <si>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</si>
  <si>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</si>
  <si>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</si>
  <si>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</si>
  <si>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</si>
  <si>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</si>
  <si>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</si>
  <si>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</si>
  <si>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</si>
  <si>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</si>
  <si>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</si>
  <si>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</si>
  <si>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</si>
  <si>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</si>
  <si>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</si>
  <si>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</si>
  <si>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</si>
  <si>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</si>
  <si>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</si>
  <si>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</si>
  <si>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</si>
  <si>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</si>
  <si>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</si>
  <si>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</si>
  <si>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</si>
  <si>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</si>
  <si>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</si>
  <si>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</si>
  <si>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</si>
  <si>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</si>
  <si>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</si>
  <si>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</si>
  <si>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</si>
  <si>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</si>
  <si>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</si>
  <si>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</si>
  <si>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</si>
  <si>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</si>
  <si>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</si>
  <si>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</si>
  <si>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</si>
  <si>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</si>
  <si>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</si>
  <si>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</si>
  <si>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</si>
  <si>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</si>
  <si>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</si>
  <si>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</si>
  <si>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</si>
  <si>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</si>
  <si>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</si>
  <si>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</si>
  <si>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</si>
  <si>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</si>
  <si>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</si>
  <si>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</si>
  <si>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</si>
  <si>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</si>
  <si>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</si>
  <si>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</si>
  <si>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</si>
  <si>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</si>
  <si>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</si>
  <si>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</si>
  <si>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</si>
  <si>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</si>
  <si>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</si>
  <si>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</si>
  <si>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</si>
  <si>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</si>
  <si>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</si>
  <si>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</si>
  <si>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</si>
  <si>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</si>
  <si>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</si>
  <si>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</si>
  <si>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</si>
  <si>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</si>
  <si>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</si>
  <si>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</si>
  <si>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</si>
  <si>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</si>
  <si>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</si>
  <si>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</si>
  <si>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</si>
  <si>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</si>
  <si>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</si>
  <si>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</si>
  <si>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</si>
  <si>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</si>
  <si>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</si>
  <si>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</si>
  <si>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</si>
  <si>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</si>
  <si>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</si>
  <si>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</si>
  <si>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</si>
  <si>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</si>
  <si>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</si>
  <si>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</si>
  <si>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</si>
  <si>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</si>
  <si>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</si>
  <si>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</si>
  <si>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</si>
  <si>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</si>
  <si>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</si>
  <si>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</si>
  <si>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</si>
  <si>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</si>
  <si>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</si>
  <si>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</si>
  <si>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</si>
  <si>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</si>
  <si>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</si>
  <si>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</si>
  <si>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</si>
  <si>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</si>
  <si>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</si>
  <si>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</si>
  <si>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</si>
  <si>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</si>
  <si>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</si>
  <si>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</si>
  <si>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</si>
  <si>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</si>
  <si>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</si>
  <si>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</si>
  <si>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</si>
  <si>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</si>
  <si>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</si>
  <si>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</si>
  <si>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</si>
  <si>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</si>
  <si>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</si>
  <si>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</si>
  <si>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</si>
  <si>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</si>
  <si>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</si>
  <si>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</si>
  <si>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</si>
  <si>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</si>
  <si>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</si>
  <si>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</si>
  <si>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</si>
  <si>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</si>
  <si>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</si>
  <si>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</si>
  <si>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</si>
  <si>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</si>
  <si>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</si>
  <si>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</si>
  <si>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</si>
  <si>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</si>
  <si>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</si>
  <si>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</si>
  <si>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</si>
  <si>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</si>
  <si>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</si>
  <si>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</si>
  <si>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</si>
  <si>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</si>
  <si>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</si>
  <si>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</si>
  <si>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</si>
  <si>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</si>
  <si>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</si>
  <si>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</si>
  <si>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</si>
  <si>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</si>
  <si>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</si>
  <si>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</si>
  <si>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</si>
  <si>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</si>
  <si>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</si>
  <si>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</si>
  <si>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</si>
  <si>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</si>
  <si>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</si>
  <si>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</si>
  <si>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</si>
  <si>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</si>
  <si>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</si>
  <si>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</si>
  <si>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</si>
  <si>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</si>
  <si>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</si>
  <si>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</si>
  <si>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</si>
  <si>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</si>
  <si>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</si>
  <si>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</si>
  <si>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</si>
  <si>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</si>
  <si>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</si>
  <si>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</si>
  <si>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</si>
  <si>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</si>
  <si>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</si>
  <si>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</si>
  <si>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</si>
  <si>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</si>
  <si>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</si>
  <si>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</si>
  <si>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</si>
  <si>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</si>
  <si>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</si>
  <si>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</si>
  <si>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</si>
  <si>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</si>
  <si>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</si>
  <si>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</si>
  <si>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</si>
  <si>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</si>
  <si>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</si>
  <si>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</si>
  <si>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</si>
  <si>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</si>
  <si>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</si>
  <si>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</si>
  <si>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</si>
  <si>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</si>
  <si>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</si>
  <si>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</si>
  <si>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</si>
  <si>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</si>
  <si>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</si>
  <si>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</si>
  <si>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</si>
  <si>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</si>
  <si>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</si>
  <si>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</si>
  <si>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</si>
  <si>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</si>
  <si>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</si>
  <si>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</si>
  <si>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</si>
  <si>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</si>
  <si>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</si>
  <si>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</si>
  <si>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</si>
  <si>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</si>
  <si>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</si>
  <si>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</si>
  <si>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</si>
  <si>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</si>
  <si>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</si>
  <si>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</si>
  <si>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</si>
  <si>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</si>
  <si>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</si>
  <si>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</si>
  <si>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</si>
  <si>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</si>
  <si>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</si>
  <si>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</si>
  <si>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</si>
  <si>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</si>
  <si>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</si>
  <si>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</si>
  <si>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</si>
  <si>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</si>
  <si>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</si>
  <si>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</si>
  <si>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</si>
  <si>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</si>
  <si>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</si>
  <si>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</si>
  <si>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</si>
  <si>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</si>
  <si>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</si>
  <si>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</si>
  <si>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</si>
  <si>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</si>
  <si>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</si>
  <si>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</si>
  <si>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</si>
  <si>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</si>
  <si>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</si>
  <si>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</si>
  <si>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</si>
  <si>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</si>
  <si>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</si>
  <si>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</si>
  <si>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</si>
  <si>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</si>
  <si>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</si>
  <si>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</si>
  <si>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</si>
  <si>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</si>
  <si>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</si>
  <si>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</si>
  <si>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</si>
  <si>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</si>
  <si>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</si>
  <si>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</si>
  <si>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</si>
  <si>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</si>
  <si>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</si>
  <si>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</si>
  <si>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</si>
  <si>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</si>
  <si>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</si>
  <si>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</si>
  <si>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</si>
  <si>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</si>
  <si>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</si>
  <si>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</si>
  <si>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</si>
  <si>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</si>
  <si>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</si>
  <si>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</si>
  <si>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</si>
  <si>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</si>
  <si>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</si>
  <si>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</si>
  <si>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</si>
  <si>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</si>
  <si>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</si>
  <si>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</si>
  <si>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</si>
  <si>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</si>
  <si>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</si>
  <si>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</si>
  <si>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</si>
  <si>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</si>
  <si>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</si>
  <si>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</si>
  <si>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</si>
  <si>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</si>
  <si>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</si>
  <si>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</si>
  <si>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</si>
  <si>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</si>
  <si>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</si>
  <si>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</si>
  <si>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</si>
  <si>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</si>
  <si>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</si>
  <si>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</si>
  <si>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</si>
  <si>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</si>
  <si>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</si>
  <si>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</si>
  <si>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</si>
  <si>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</si>
  <si>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</si>
  <si>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</si>
  <si>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</si>
  <si>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</si>
  <si>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</si>
  <si>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</si>
  <si>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</si>
  <si>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</si>
  <si>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</si>
  <si>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</si>
  <si>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</si>
  <si>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</si>
  <si>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</si>
  <si>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</si>
  <si>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</si>
  <si>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</si>
  <si>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</si>
  <si>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</si>
  <si>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</si>
  <si>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</si>
  <si>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</si>
  <si>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</si>
  <si>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</si>
  <si>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</si>
  <si>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</si>
  <si>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</si>
  <si>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</si>
  <si>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</si>
  <si>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</si>
  <si>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</si>
  <si>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</si>
  <si>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</si>
  <si>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</si>
  <si>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</si>
  <si>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</si>
  <si>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</si>
  <si>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</si>
  <si>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</si>
  <si>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</si>
  <si>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</si>
  <si>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</si>
  <si>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</si>
  <si>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</si>
  <si>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</si>
  <si>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</si>
  <si>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</si>
  <si>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</si>
  <si>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</si>
  <si>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</si>
  <si>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</si>
  <si>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</si>
  <si>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</si>
  <si>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</si>
  <si>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</si>
  <si>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</si>
  <si>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</si>
  <si>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</si>
  <si>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</si>
  <si>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</si>
  <si>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</si>
  <si>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</si>
  <si>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</si>
  <si>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</si>
  <si>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</si>
  <si>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</si>
  <si>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</si>
  <si>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</si>
  <si>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</si>
  <si>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</si>
  <si>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</si>
  <si>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</si>
  <si>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</si>
  <si>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</si>
  <si>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</si>
  <si>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</si>
  <si>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</si>
  <si>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</si>
  <si>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</si>
  <si>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</si>
  <si>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</si>
  <si>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</si>
  <si>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</si>
  <si>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</si>
  <si>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</si>
  <si>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</si>
  <si>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</si>
  <si>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</si>
  <si>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</si>
  <si>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</si>
  <si>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</si>
  <si>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</si>
  <si>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</si>
  <si>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</si>
  <si>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</si>
  <si>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</si>
  <si>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</si>
  <si>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</si>
  <si>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</si>
  <si>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</si>
  <si>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</si>
  <si>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</si>
  <si>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</si>
  <si>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</si>
  <si>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</si>
  <si>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</si>
  <si>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</si>
  <si>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</si>
  <si>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</si>
  <si>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</si>
  <si>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</si>
  <si>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</si>
  <si>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</si>
  <si>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</si>
  <si>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</si>
  <si>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</si>
  <si>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</si>
  <si>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</si>
  <si>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</si>
  <si>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</si>
  <si>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</si>
  <si>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</si>
  <si>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</si>
  <si>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</si>
  <si>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</si>
  <si>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</si>
  <si>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</si>
  <si>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</si>
  <si>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</si>
  <si>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</si>
  <si>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</si>
  <si>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</si>
  <si>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</si>
  <si>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</si>
  <si>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</si>
  <si>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</si>
  <si>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</si>
  <si>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</si>
  <si>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</si>
  <si>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</si>
  <si>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</si>
  <si>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</si>
  <si>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</si>
  <si>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</si>
  <si>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</si>
  <si>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</si>
  <si>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</si>
  <si>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</si>
  <si>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</si>
  <si>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</si>
  <si>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</si>
  <si>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</si>
  <si>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</si>
  <si>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</si>
  <si>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</si>
  <si>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</si>
  <si>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</si>
  <si>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</si>
  <si>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</si>
  <si>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</si>
  <si>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</si>
  <si>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</si>
  <si>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</si>
  <si>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</si>
  <si>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</si>
  <si>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</si>
  <si>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</si>
  <si>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</si>
  <si>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</si>
  <si>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</si>
  <si>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</si>
  <si>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</si>
  <si>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</si>
  <si>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</si>
  <si>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</si>
  <si>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</si>
  <si>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</si>
  <si>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</si>
  <si>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</si>
  <si>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</si>
  <si>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</si>
  <si>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</si>
  <si>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</si>
  <si>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</si>
  <si>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</si>
  <si>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</si>
  <si>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</si>
  <si>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</si>
  <si>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</si>
  <si>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</si>
  <si>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</si>
  <si>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</si>
  <si>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</si>
  <si>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</si>
  <si>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</si>
  <si>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</si>
  <si>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</si>
  <si>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</si>
  <si>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</si>
  <si>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</si>
  <si>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</si>
  <si>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</si>
  <si>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</si>
  <si>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</si>
  <si>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</si>
  <si>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</si>
  <si>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</si>
  <si>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</si>
  <si>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</si>
  <si>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</si>
  <si>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</si>
  <si>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</si>
  <si>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</si>
  <si>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</si>
  <si>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</si>
  <si>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</si>
  <si>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</si>
  <si>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</si>
  <si>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</si>
  <si>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</si>
  <si>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</si>
  <si>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</si>
  <si>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</si>
  <si>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</si>
  <si>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</si>
  <si>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</si>
  <si>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</si>
  <si>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</si>
  <si>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</si>
  <si>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</si>
  <si>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</si>
  <si>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</si>
  <si>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</si>
  <si>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</si>
  <si>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</si>
  <si>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</si>
  <si>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</si>
  <si>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</si>
  <si>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</si>
  <si>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</si>
  <si>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</si>
  <si>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</si>
  <si>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</si>
  <si>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</si>
  <si>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</si>
  <si>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</si>
  <si>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</si>
  <si>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</si>
  <si>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</si>
  <si>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</si>
  <si>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</si>
  <si>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</si>
  <si>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</si>
  <si>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</si>
  <si>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</si>
  <si>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</si>
  <si>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</si>
  <si>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</si>
  <si>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</si>
  <si>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</si>
  <si>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</si>
  <si>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</si>
  <si>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</si>
  <si>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</si>
  <si>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</si>
  <si>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</si>
  <si>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</si>
  <si>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</si>
  <si>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</si>
  <si>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</si>
  <si>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</si>
  <si>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</si>
  <si>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</si>
  <si>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</si>
  <si>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</si>
  <si>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</si>
  <si>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</si>
  <si>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</si>
  <si>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</si>
  <si>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</si>
  <si>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</si>
  <si>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</si>
  <si>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</si>
  <si>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</si>
  <si>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</si>
  <si>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</si>
  <si>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</si>
  <si>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</si>
  <si>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</si>
  <si>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</si>
  <si>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</si>
  <si>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</si>
  <si>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</si>
  <si>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</si>
  <si>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</si>
  <si>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</si>
  <si>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</si>
  <si>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</si>
  <si>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</si>
  <si>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</si>
  <si>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</si>
  <si>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</si>
  <si>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</si>
  <si>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</si>
  <si>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</si>
  <si>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</si>
  <si>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</si>
  <si>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</si>
  <si>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</si>
  <si>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</si>
  <si>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</si>
  <si>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</si>
  <si>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</si>
  <si>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</si>
  <si>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</si>
  <si>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</si>
  <si>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</si>
  <si>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</si>
  <si>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</si>
  <si>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</si>
  <si>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</si>
  <si>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</si>
  <si>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</si>
  <si>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</si>
  <si>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</si>
  <si>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</si>
  <si>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</si>
  <si>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</si>
  <si>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</si>
  <si>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</si>
  <si>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</si>
  <si>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</si>
  <si>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</si>
  <si>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</si>
  <si>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</si>
  <si>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</si>
  <si>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</si>
  <si>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</si>
  <si>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</si>
  <si>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</si>
  <si>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</si>
  <si>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</si>
  <si>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</si>
  <si>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</si>
  <si>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</si>
  <si>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</si>
  <si>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</si>
  <si>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</si>
  <si>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</si>
  <si>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</si>
  <si>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</si>
  <si>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</si>
  <si>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</si>
  <si>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</si>
  <si>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</si>
  <si>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</si>
  <si>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</si>
  <si>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</si>
  <si>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</si>
  <si>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</si>
  <si>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</si>
  <si>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</si>
  <si>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</si>
  <si>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</si>
  <si>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</si>
  <si>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</si>
  <si>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</si>
  <si>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</si>
  <si>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</si>
  <si>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</si>
  <si>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</si>
  <si>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</si>
  <si>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</si>
  <si>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</si>
  <si>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</si>
  <si>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</si>
  <si>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</si>
  <si>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</si>
  <si>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</si>
  <si>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</si>
  <si>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</si>
  <si>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</si>
  <si>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</si>
  <si>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</si>
  <si>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</si>
  <si>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</si>
  <si>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</si>
  <si>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</si>
  <si>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</si>
  <si>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</si>
  <si>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</si>
  <si>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</si>
  <si>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</si>
  <si>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</si>
  <si>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</si>
  <si>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</si>
  <si>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</si>
  <si>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</si>
  <si>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</si>
  <si>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</si>
  <si>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</si>
  <si>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</si>
  <si>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</si>
  <si>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</si>
  <si>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</si>
  <si>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</si>
  <si>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</si>
  <si>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</si>
  <si>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</si>
  <si>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</si>
  <si>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</si>
  <si>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</si>
  <si>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</si>
  <si>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</si>
  <si>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</si>
  <si>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</si>
  <si>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</si>
  <si>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</si>
  <si>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</si>
  <si>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</si>
  <si>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</si>
  <si>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</si>
  <si>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</si>
  <si>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</si>
  <si>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</si>
  <si>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</si>
  <si>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</si>
  <si>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</si>
  <si>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</si>
  <si>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</si>
  <si>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</si>
  <si>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</si>
  <si>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</si>
  <si>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</si>
  <si>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</si>
  <si>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</si>
  <si>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</si>
  <si>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</si>
  <si>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</si>
  <si>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</si>
  <si>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</si>
  <si>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</si>
  <si>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</si>
  <si>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</si>
  <si>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</si>
  <si>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</si>
  <si>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</si>
  <si>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</si>
  <si>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</si>
  <si>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</si>
  <si>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</si>
  <si>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</si>
  <si>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</si>
  <si>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</si>
  <si>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</si>
  <si>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</si>
  <si>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</si>
  <si>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</si>
  <si>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</si>
  <si>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</si>
  <si>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</si>
  <si>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</si>
  <si>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</si>
  <si>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</si>
  <si>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</si>
  <si>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</si>
  <si>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</si>
  <si>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</si>
  <si>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</si>
  <si>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</si>
  <si>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</si>
  <si>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</si>
  <si>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</si>
  <si>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</si>
  <si>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</si>
  <si>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</si>
  <si>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</si>
  <si>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</si>
  <si>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</si>
  <si>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</si>
  <si>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</si>
  <si>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</si>
  <si>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</si>
  <si>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</si>
  <si>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</si>
  <si>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</si>
  <si>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</si>
  <si>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</si>
  <si>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</si>
  <si>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</si>
  <si>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</si>
  <si>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</si>
  <si>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</si>
  <si>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</si>
  <si>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</si>
  <si>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</si>
  <si>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</si>
  <si>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</si>
  <si>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</si>
  <si>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</si>
  <si>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</si>
  <si>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</si>
  <si>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</si>
  <si>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</si>
  <si>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</si>
  <si>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</si>
  <si>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</si>
  <si>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</si>
  <si>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</si>
  <si>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</si>
  <si>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</si>
  <si>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</si>
  <si>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</si>
  <si>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</si>
  <si>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</si>
  <si>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</si>
  <si>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</si>
  <si>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</si>
  <si>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</si>
  <si>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</si>
  <si>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</si>
  <si>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</si>
  <si>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</si>
  <si>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</si>
  <si>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</si>
  <si>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</si>
  <si>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</si>
  <si>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</si>
  <si>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</si>
  <si>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</si>
  <si>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</si>
  <si>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</si>
  <si>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</si>
  <si>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</si>
  <si>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</si>
  <si>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</si>
  <si>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</si>
  <si>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</si>
  <si>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</si>
  <si>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</si>
  <si>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</si>
  <si>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</si>
  <si>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</si>
  <si>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</si>
  <si>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</si>
  <si>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</si>
  <si>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</si>
  <si>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</si>
  <si>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</si>
  <si>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</si>
  <si>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</si>
  <si>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</si>
  <si>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</si>
  <si>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</si>
  <si>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</si>
  <si>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</si>
  <si>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</si>
  <si>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</si>
  <si>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</si>
  <si>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</si>
  <si>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</si>
  <si>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</si>
  <si>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</si>
  <si>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</si>
  <si>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</si>
  <si>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</si>
  <si>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</si>
  <si>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</si>
  <si>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</si>
  <si>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</si>
  <si>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</si>
  <si>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</si>
  <si>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</si>
  <si>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</si>
  <si>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</si>
  <si>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</si>
  <si>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</si>
  <si>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</si>
  <si>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</si>
  <si>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</si>
  <si>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</si>
  <si>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</si>
  <si>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</si>
  <si>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</si>
  <si>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</si>
  <si>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</si>
  <si>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</si>
  <si>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</si>
  <si>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</si>
  <si>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</si>
  <si>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</si>
  <si>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</si>
  <si>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</si>
  <si>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</si>
  <si>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</si>
  <si>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</si>
  <si>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</si>
  <si>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</si>
  <si>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</si>
  <si>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</si>
  <si>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</si>
  <si>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</si>
  <si>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</si>
  <si>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</si>
  <si>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</si>
  <si>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</si>
  <si>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</si>
  <si>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</si>
  <si>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</si>
  <si>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</si>
  <si>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</si>
  <si>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</si>
  <si>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</si>
  <si>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</si>
  <si>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</si>
  <si>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</si>
  <si>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</si>
  <si>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</si>
  <si>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</si>
  <si>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</si>
  <si>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</si>
  <si>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</si>
  <si>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</si>
  <si>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</si>
  <si>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</si>
  <si>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</si>
  <si>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</si>
  <si>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</si>
  <si>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</si>
  <si>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</si>
  <si>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</si>
  <si>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</si>
  <si>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</si>
  <si>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</si>
  <si>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</si>
  <si>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</si>
  <si>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</si>
  <si>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</si>
  <si>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</si>
  <si>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</si>
  <si>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</si>
  <si>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</si>
  <si>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</si>
  <si>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</si>
  <si>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</si>
  <si>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</si>
  <si>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</si>
  <si>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</si>
  <si>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</si>
  <si>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</si>
  <si>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</si>
  <si>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</si>
  <si>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</si>
  <si>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</si>
  <si>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</si>
  <si>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</si>
  <si>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</si>
  <si>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</si>
  <si>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</si>
  <si>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</si>
  <si>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</si>
  <si>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</si>
  <si>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</si>
  <si>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</si>
  <si>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</si>
  <si>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</si>
  <si>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</si>
  <si>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</si>
  <si>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</si>
  <si>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</si>
  <si>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</si>
  <si>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</si>
  <si>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</si>
  <si>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</si>
  <si>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</si>
  <si>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</si>
  <si>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</si>
  <si>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</si>
  <si>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</si>
  <si>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</si>
  <si>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</si>
  <si>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</si>
  <si>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</si>
  <si>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</si>
  <si>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</si>
  <si>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</si>
  <si>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</si>
  <si>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</si>
  <si>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</si>
  <si>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</si>
  <si>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</si>
  <si>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</si>
  <si>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</si>
  <si>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</si>
  <si>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</si>
  <si>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</si>
  <si>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</si>
  <si>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</si>
  <si>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</si>
  <si>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</si>
  <si>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</si>
  <si>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</si>
  <si>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</si>
  <si>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</si>
  <si>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</si>
  <si>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</si>
  <si>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</si>
  <si>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</si>
  <si>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</si>
  <si>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</si>
  <si>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</si>
  <si>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</si>
  <si>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</si>
  <si>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</si>
  <si>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</si>
  <si>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</si>
  <si>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</si>
  <si>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</si>
  <si>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</si>
  <si>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</si>
  <si>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</si>
  <si>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</si>
  <si>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</si>
  <si>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</si>
  <si>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</si>
  <si>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</si>
  <si>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</si>
  <si>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</si>
  <si>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</si>
  <si>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</si>
  <si>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</si>
  <si>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</si>
  <si>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</si>
  <si>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</si>
  <si>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</si>
  <si>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</si>
  <si>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</si>
  <si>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</si>
  <si>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</si>
  <si>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</si>
  <si>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</si>
  <si>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</si>
  <si>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</si>
  <si>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</si>
  <si>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</si>
  <si>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</si>
  <si>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</si>
  <si>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</si>
  <si>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</si>
  <si>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</si>
  <si>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</si>
  <si>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</si>
  <si>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</si>
  <si>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</si>
  <si>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</si>
  <si>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</si>
  <si>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</si>
  <si>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</si>
  <si>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</si>
  <si>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</si>
  <si>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</si>
  <si>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</si>
  <si>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</si>
  <si>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</si>
  <si>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</si>
  <si>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</si>
  <si>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</si>
  <si>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</si>
  <si>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</si>
  <si>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</si>
  <si>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</si>
  <si>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</si>
  <si>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</si>
  <si>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</si>
  <si>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</si>
  <si>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</si>
  <si>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</si>
  <si>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</si>
  <si>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</si>
  <si>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</si>
  <si>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</si>
  <si>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</si>
  <si>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</si>
  <si>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</si>
  <si>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</si>
  <si>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</si>
  <si>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</si>
  <si>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</si>
  <si>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</si>
  <si>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</si>
  <si>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</si>
  <si>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</si>
  <si>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</si>
  <si>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</si>
  <si>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</si>
  <si>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</si>
  <si>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</si>
  <si>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</si>
  <si>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</si>
  <si>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</si>
  <si>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</si>
  <si>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</si>
  <si>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</si>
  <si>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</si>
  <si>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</si>
  <si>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</si>
  <si>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</si>
  <si>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</si>
  <si>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</si>
  <si>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</si>
  <si>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</si>
  <si>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</si>
  <si>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</si>
  <si>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</si>
  <si>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</si>
  <si>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</si>
  <si>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</si>
  <si>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</si>
  <si>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</si>
  <si>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</si>
  <si>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</si>
  <si>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</si>
  <si>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</si>
  <si>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</si>
  <si>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</si>
  <si>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</si>
  <si>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</si>
  <si>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</si>
  <si>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</si>
  <si>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</si>
  <si>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</si>
  <si>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</si>
  <si>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</si>
  <si>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</si>
  <si>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</si>
  <si>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</si>
  <si>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</si>
  <si>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</si>
  <si>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</si>
  <si>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</si>
  <si>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</si>
  <si>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</si>
  <si>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</si>
  <si>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</si>
  <si>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</si>
  <si>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</si>
  <si>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</si>
  <si>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</si>
  <si>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</si>
  <si>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</si>
  <si>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</si>
  <si>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</si>
  <si>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</si>
  <si>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</si>
  <si>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</si>
  <si>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</si>
  <si>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</si>
  <si>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</si>
  <si>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</si>
  <si>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</si>
  <si>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</si>
  <si>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</si>
  <si>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</si>
  <si>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</si>
  <si>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</si>
  <si>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</si>
  <si>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</si>
  <si>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</si>
  <si>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</si>
  <si>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</si>
  <si>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</si>
  <si>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</si>
  <si>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</si>
  <si>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</si>
  <si>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</si>
  <si>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</si>
  <si>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</si>
  <si>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</si>
  <si>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</si>
  <si>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</si>
  <si>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</si>
  <si>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</si>
  <si>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</si>
  <si>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</si>
  <si>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</si>
  <si>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</si>
  <si>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</si>
  <si>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</si>
  <si>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</si>
  <si>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</si>
  <si>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</si>
  <si>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</si>
  <si>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</si>
  <si>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</si>
  <si>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</si>
  <si>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</si>
  <si>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</si>
  <si>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</si>
  <si>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</si>
  <si>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</si>
  <si>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</si>
  <si>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</si>
  <si>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</si>
  <si>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</si>
  <si>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</si>
  <si>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</si>
  <si>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</si>
  <si>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</si>
  <si>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</si>
  <si>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</si>
  <si>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</si>
  <si>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</si>
  <si>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</si>
  <si>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</si>
  <si>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</si>
  <si>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</si>
  <si>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</si>
  <si>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</si>
  <si>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</si>
  <si>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</si>
  <si>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</si>
  <si>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</si>
  <si>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</si>
  <si>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</si>
  <si>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</si>
  <si>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</si>
  <si>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</si>
  <si>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</si>
  <si>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</si>
  <si>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</si>
  <si>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</si>
  <si>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</si>
  <si>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</si>
  <si>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</si>
  <si>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</si>
  <si>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</si>
  <si>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</si>
  <si>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</si>
  <si>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</si>
  <si>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</si>
  <si>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</si>
  <si>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</si>
  <si>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</si>
  <si>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</si>
  <si>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</si>
  <si>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</si>
  <si>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</si>
  <si>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</si>
  <si>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</si>
  <si>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</si>
  <si>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</si>
  <si>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</si>
  <si>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</si>
  <si>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</si>
  <si>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</si>
  <si>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</si>
  <si>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</si>
  <si>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</si>
  <si>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</si>
  <si>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</si>
  <si>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</si>
  <si>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</si>
  <si>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</si>
  <si>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</si>
  <si>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</si>
  <si>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</si>
  <si>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</si>
  <si>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</si>
  <si>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</si>
  <si>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</si>
  <si>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</si>
  <si>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</si>
  <si>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</si>
  <si>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</si>
  <si>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</si>
  <si>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</si>
  <si>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</si>
  <si>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</si>
  <si>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</si>
  <si>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</si>
  <si>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</si>
  <si>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</si>
  <si>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</si>
  <si>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</si>
  <si>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</si>
  <si>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</si>
  <si>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</si>
  <si>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</si>
  <si>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</si>
  <si>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</si>
  <si>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</si>
  <si>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</si>
  <si>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</si>
  <si>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</si>
  <si>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</si>
  <si>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</si>
  <si>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</si>
  <si>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</si>
  <si>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</si>
  <si>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</si>
  <si>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</si>
  <si>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</si>
  <si>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</si>
  <si>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</si>
  <si>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</si>
  <si>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</si>
  <si>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</si>
  <si>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</si>
  <si>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</si>
  <si>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</si>
  <si>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</si>
  <si>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</si>
  <si>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</si>
  <si>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</si>
  <si>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</si>
  <si>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</si>
  <si>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</si>
  <si>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</si>
  <si>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</si>
  <si>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</si>
  <si>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</si>
  <si>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</si>
  <si>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</si>
  <si>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</si>
  <si>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</si>
  <si>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</si>
  <si>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</si>
  <si>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</si>
  <si>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</si>
  <si>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</si>
  <si>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</si>
  <si>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</si>
  <si>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</si>
  <si>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</si>
  <si>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</si>
  <si>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</si>
  <si>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</si>
  <si>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</si>
  <si>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</si>
  <si>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</si>
  <si>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</si>
  <si>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</si>
  <si>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</si>
  <si>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</si>
  <si>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</si>
  <si>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</si>
  <si>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</si>
  <si>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</si>
  <si>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</si>
  <si>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</si>
  <si>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</si>
  <si>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</si>
  <si>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</si>
  <si>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</si>
  <si>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</si>
  <si>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</si>
  <si>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</si>
  <si>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</si>
  <si>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</si>
  <si>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</si>
  <si>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</si>
  <si>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</si>
  <si>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</si>
  <si>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</si>
  <si>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</si>
  <si>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</si>
  <si>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</si>
  <si>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</si>
  <si>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</si>
  <si>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</si>
  <si>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</si>
  <si>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</si>
  <si>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</si>
  <si>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</si>
  <si>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</si>
  <si>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</si>
  <si>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</si>
  <si>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</si>
  <si>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</si>
  <si>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</si>
  <si>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</si>
  <si>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</si>
  <si>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</si>
  <si>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</si>
  <si>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</si>
  <si>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</si>
  <si>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</si>
  <si>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</si>
  <si>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</si>
  <si>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</si>
  <si>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</si>
  <si>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</si>
  <si>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</si>
  <si>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</si>
  <si>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</si>
  <si>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</si>
  <si>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</si>
  <si>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</si>
  <si>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</si>
  <si>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</si>
  <si>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</si>
  <si>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</si>
  <si>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</si>
  <si>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</si>
  <si>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</si>
  <si>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</si>
  <si>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</si>
  <si>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</si>
  <si>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</si>
  <si>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</si>
  <si>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</si>
  <si>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</si>
  <si>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</si>
  <si>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</si>
  <si>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</si>
  <si>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</si>
  <si>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</si>
  <si>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</si>
  <si>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</si>
  <si>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</si>
  <si>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</si>
  <si>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</si>
  <si>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</si>
  <si>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</si>
  <si>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</si>
  <si>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</si>
  <si>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</si>
  <si>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</si>
  <si>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</si>
  <si>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</si>
  <si>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</si>
  <si>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</si>
  <si>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</si>
  <si>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</si>
  <si>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</si>
  <si>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</si>
  <si>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</si>
  <si>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</si>
  <si>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</si>
  <si>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</si>
  <si>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</si>
  <si>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</si>
  <si>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</si>
  <si>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</si>
  <si>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</si>
  <si>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</si>
  <si>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</si>
  <si>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</si>
  <si>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</si>
  <si>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</si>
  <si>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</si>
  <si>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</si>
  <si>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</si>
  <si>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</si>
  <si>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</si>
  <si>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</si>
  <si>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</si>
  <si>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</si>
  <si>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</si>
  <si>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</si>
  <si>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</si>
  <si>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</si>
  <si>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</si>
  <si>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</si>
  <si>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</si>
  <si>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</si>
  <si>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</si>
  <si>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</si>
  <si>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</si>
  <si>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</si>
  <si>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</si>
  <si>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</si>
  <si>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</si>
  <si>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</si>
  <si>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</si>
  <si>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</si>
  <si>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</si>
  <si>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</si>
  <si>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</si>
  <si>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</si>
  <si>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</si>
  <si>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</si>
  <si>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</si>
  <si>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</si>
  <si>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</si>
  <si>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</si>
  <si>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</si>
  <si>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</si>
  <si>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</si>
  <si>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</si>
  <si>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</si>
  <si>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</si>
  <si>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</si>
  <si>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</si>
  <si>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</si>
  <si>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</si>
  <si>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</si>
  <si>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</si>
  <si>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</si>
  <si>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</si>
  <si>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</si>
  <si>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</si>
  <si>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</si>
  <si>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</si>
  <si>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</si>
  <si>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</si>
  <si>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</si>
  <si>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</si>
  <si>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</si>
  <si>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</si>
  <si>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</si>
  <si>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</si>
  <si>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</si>
  <si>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</si>
  <si>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</si>
  <si>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</si>
  <si>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</si>
  <si>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</si>
  <si>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</si>
  <si>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</si>
  <si>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</si>
  <si>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</si>
  <si>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</si>
  <si>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</si>
  <si>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</si>
  <si>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</si>
  <si>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</si>
  <si>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</si>
  <si>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</si>
  <si>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</si>
  <si>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</si>
  <si>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</si>
  <si>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</si>
  <si>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</si>
  <si>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</si>
  <si>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</si>
  <si>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</si>
  <si>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</si>
  <si>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</si>
  <si>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</si>
  <si>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</si>
  <si>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</si>
  <si>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</si>
  <si>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</si>
  <si>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</si>
  <si>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</si>
  <si>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</si>
  <si>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</si>
  <si>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</si>
  <si>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</si>
  <si>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</si>
  <si>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</si>
  <si>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</si>
  <si>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</si>
  <si>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</si>
  <si>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</si>
  <si>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</si>
  <si>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</si>
  <si>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</si>
  <si>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</si>
  <si>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</si>
  <si>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</si>
  <si>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</si>
  <si>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</si>
  <si>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</si>
  <si>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</si>
  <si>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</si>
  <si>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</si>
  <si>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</si>
  <si>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</si>
  <si>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</si>
  <si>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</si>
  <si>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</si>
  <si>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</si>
  <si>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</si>
  <si>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</si>
  <si>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</si>
  <si>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</si>
  <si>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</si>
  <si>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</si>
  <si>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</si>
  <si>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</si>
  <si>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</si>
  <si>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</si>
  <si>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</si>
  <si>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</si>
  <si>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</si>
  <si>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</si>
  <si>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</si>
  <si>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</si>
  <si>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</si>
  <si>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</si>
  <si>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</si>
  <si>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</si>
  <si>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</si>
  <si>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</si>
  <si>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</si>
  <si>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</si>
  <si>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</si>
  <si>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</si>
  <si>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</si>
  <si>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</si>
  <si>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</si>
  <si>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</si>
  <si>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</si>
  <si>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</si>
  <si>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</si>
  <si>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</si>
  <si>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</si>
  <si>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</si>
  <si>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</si>
  <si>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</si>
  <si>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</si>
  <si>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</si>
  <si>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</si>
  <si>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</si>
  <si>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</si>
  <si>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</si>
  <si>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</si>
  <si>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</si>
  <si>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</si>
  <si>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</si>
  <si>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</si>
  <si>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</si>
  <si>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</si>
  <si>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</si>
  <si>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</si>
  <si>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</si>
  <si>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</si>
  <si>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</si>
  <si>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</si>
  <si>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</si>
  <si>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</si>
  <si>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</si>
  <si>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</si>
  <si>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</si>
  <si>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</si>
  <si>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</si>
  <si>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</si>
  <si>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</si>
  <si>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</si>
  <si>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</si>
  <si>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</si>
  <si>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</si>
  <si>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</si>
  <si>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</si>
  <si>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</si>
  <si>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</si>
  <si>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</si>
  <si>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</si>
  <si>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</si>
  <si>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</si>
  <si>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</si>
  <si>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</si>
  <si>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</si>
  <si>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</si>
  <si>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</si>
  <si>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</si>
  <si>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</si>
  <si>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</si>
  <si>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</si>
  <si>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</si>
  <si>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</si>
  <si>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</si>
  <si>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</si>
  <si>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</si>
  <si>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</si>
  <si>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</si>
  <si>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</si>
  <si>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</si>
  <si>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</si>
  <si>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</si>
  <si>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</si>
  <si>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</si>
  <si>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</si>
  <si>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</si>
  <si>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</si>
  <si>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</si>
  <si>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</si>
  <si>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</si>
  <si>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</si>
  <si>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</si>
  <si>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</si>
  <si>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</si>
  <si>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</si>
  <si>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</si>
  <si>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</si>
  <si>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</si>
  <si>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</si>
  <si>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</si>
  <si>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</si>
  <si>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</si>
  <si>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</si>
  <si>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</si>
  <si>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</si>
  <si>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</si>
  <si>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</si>
  <si>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</si>
  <si>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</si>
  <si>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</si>
  <si>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</si>
  <si>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</si>
  <si>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</si>
  <si>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</si>
  <si>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</si>
  <si>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</si>
  <si>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</si>
  <si>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</si>
  <si>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</si>
  <si>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</si>
  <si>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</si>
  <si>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</si>
  <si>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</si>
  <si>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</si>
  <si>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</si>
  <si>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</si>
  <si>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</si>
  <si>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</si>
  <si>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</si>
  <si>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</si>
  <si>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</si>
  <si>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</si>
  <si>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</si>
  <si>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</si>
  <si>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</si>
  <si>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</si>
  <si>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</si>
  <si>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</si>
  <si>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</si>
  <si>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</si>
  <si>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</si>
  <si>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</si>
  <si>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</si>
  <si>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</si>
  <si>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</si>
  <si>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</si>
  <si>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</si>
  <si>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</si>
  <si>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</si>
  <si>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</si>
  <si>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</si>
  <si>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</si>
  <si>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</si>
  <si>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</si>
  <si>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</si>
  <si>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</si>
  <si>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</si>
  <si>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</si>
  <si>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</si>
  <si>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</si>
  <si>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</si>
  <si>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</si>
  <si>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</si>
  <si>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</si>
  <si>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</si>
  <si>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</si>
  <si>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</si>
  <si>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</si>
  <si>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</si>
  <si>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</si>
  <si>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</si>
  <si>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</si>
  <si>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</si>
  <si>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</si>
  <si>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</si>
  <si>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</si>
  <si>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</si>
  <si>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</si>
  <si>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</si>
  <si>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</si>
  <si>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</si>
  <si>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</si>
  <si>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</si>
  <si>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</si>
  <si>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</si>
  <si>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</si>
  <si>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</si>
  <si>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</si>
  <si>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</si>
  <si>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</si>
  <si>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</si>
  <si>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</si>
  <si>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</si>
  <si>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</si>
  <si>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</si>
  <si>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</si>
  <si>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</si>
  <si>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</si>
  <si>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</si>
  <si>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</si>
  <si>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</si>
  <si>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</si>
  <si>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</si>
  <si>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</si>
  <si>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</si>
  <si>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</si>
  <si>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</si>
  <si>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</si>
  <si>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</si>
  <si>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</si>
  <si>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</si>
  <si>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</si>
  <si>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</si>
  <si>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</si>
  <si>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</si>
  <si>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</si>
  <si>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</si>
  <si>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</si>
  <si>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</si>
  <si>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</si>
  <si>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</si>
  <si>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</si>
  <si>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</si>
  <si>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</si>
  <si>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</si>
  <si>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</si>
  <si>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</si>
  <si>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</si>
  <si>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</si>
  <si>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</si>
  <si>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</si>
  <si>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</si>
  <si>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</si>
  <si>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</si>
  <si>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</si>
  <si>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</si>
  <si>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</si>
  <si>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</si>
  <si>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</si>
  <si>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</si>
  <si>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</si>
  <si>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</si>
  <si>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</si>
  <si>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</si>
  <si>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</si>
  <si>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</si>
  <si>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</si>
  <si>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</si>
  <si>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</si>
  <si>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</si>
  <si>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</si>
  <si>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</si>
  <si>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</si>
  <si>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</si>
  <si>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</si>
  <si>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</si>
  <si>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</si>
  <si>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</si>
  <si>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</si>
  <si>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</si>
  <si>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</si>
  <si>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</si>
  <si>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</si>
  <si>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</si>
  <si>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</si>
  <si>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</si>
  <si>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</si>
  <si>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</si>
  <si>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</si>
  <si>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</si>
  <si>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</si>
  <si>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</si>
  <si>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</si>
  <si>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</si>
  <si>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</si>
  <si>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</si>
  <si>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</si>
  <si>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</si>
  <si>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</si>
  <si>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</si>
  <si>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</si>
  <si>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</si>
  <si>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</si>
  <si>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</si>
  <si>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</si>
  <si>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</si>
  <si>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</si>
  <si>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</si>
  <si>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</si>
  <si>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</si>
  <si>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</si>
  <si>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</si>
  <si>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</si>
  <si>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</si>
  <si>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</si>
  <si>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</si>
  <si>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</si>
  <si>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</si>
  <si>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</si>
  <si>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</si>
  <si>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</si>
  <si>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</si>
  <si>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</si>
  <si>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</si>
  <si>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</si>
  <si>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</si>
  <si>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</si>
  <si>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</si>
  <si>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</si>
  <si>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</si>
  <si>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</si>
  <si>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</si>
  <si>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</si>
  <si>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</si>
  <si>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</si>
  <si>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</si>
  <si>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</si>
  <si>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</si>
  <si>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</si>
  <si>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</si>
  <si>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</si>
  <si>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</si>
  <si>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</si>
  <si>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</si>
  <si>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</si>
  <si>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</si>
  <si>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</si>
  <si>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</si>
  <si>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</si>
  <si>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</si>
  <si>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</si>
  <si>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</si>
  <si>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</si>
  <si>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</si>
  <si>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</si>
  <si>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</si>
  <si>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</si>
  <si>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</si>
  <si>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</si>
  <si>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</si>
  <si>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</si>
  <si>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</si>
  <si>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</si>
  <si>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</si>
  <si>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</si>
  <si>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</si>
  <si>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</si>
  <si>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</si>
  <si>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</si>
  <si>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</si>
  <si>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</si>
  <si>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</si>
  <si>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</si>
  <si>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</si>
  <si>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</si>
  <si>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</si>
  <si>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</si>
  <si>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</si>
  <si>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</si>
  <si>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</si>
  <si>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</si>
  <si>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</si>
  <si>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</si>
  <si>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</si>
  <si>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</si>
  <si>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</si>
  <si>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</si>
  <si>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</si>
  <si>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</si>
  <si>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</si>
  <si>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</si>
  <si>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</si>
  <si>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</si>
  <si>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</si>
  <si>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</si>
  <si>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</si>
  <si>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</si>
  <si>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</si>
  <si>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</si>
  <si>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</si>
  <si>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</si>
  <si>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</si>
  <si>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</si>
  <si>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</si>
  <si>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</si>
  <si>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</si>
  <si>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</si>
  <si>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</si>
  <si>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</si>
  <si>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</si>
  <si>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</si>
  <si>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</si>
  <si>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</si>
  <si>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</si>
  <si>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</si>
  <si>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</si>
  <si>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</si>
  <si>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</si>
  <si>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</si>
  <si>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</si>
  <si>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</si>
  <si>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</si>
  <si>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</si>
  <si>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</si>
  <si>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</si>
  <si>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</si>
  <si>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</si>
  <si>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</si>
  <si>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</si>
  <si>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</si>
  <si>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</si>
  <si>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</si>
  <si>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</si>
  <si>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</si>
  <si>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</si>
  <si>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</si>
  <si>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</si>
  <si>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</si>
  <si>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</si>
  <si>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</si>
  <si>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</si>
  <si>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</si>
  <si>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</si>
  <si>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</si>
  <si>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</si>
  <si>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</si>
  <si>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</si>
  <si>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</si>
  <si>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</si>
  <si>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</si>
  <si>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</si>
  <si>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</si>
  <si>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</si>
  <si>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</si>
  <si>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</si>
  <si>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</si>
  <si>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</si>
  <si>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</si>
  <si>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</si>
  <si>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</si>
  <si>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</si>
  <si>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</si>
  <si>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</si>
  <si>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</si>
  <si>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</si>
  <si>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</si>
  <si>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</si>
  <si>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</si>
  <si>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</si>
  <si>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</si>
  <si>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</si>
  <si>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</si>
  <si>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</si>
  <si>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</si>
  <si>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</si>
  <si>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</si>
  <si>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</si>
  <si>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</si>
  <si>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</si>
  <si>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</si>
  <si>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</si>
  <si>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</si>
  <si>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</si>
  <si>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</si>
  <si>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</si>
  <si>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</si>
  <si>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</si>
  <si>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</si>
  <si>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</si>
  <si>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</si>
  <si>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</si>
  <si>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</si>
  <si>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</si>
  <si>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</si>
  <si>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</si>
  <si>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</si>
  <si>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</si>
  <si>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</si>
  <si>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</si>
  <si>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</si>
  <si>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</si>
  <si>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</si>
  <si>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</si>
  <si>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</si>
  <si>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</si>
  <si>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</si>
  <si>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</si>
  <si>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</si>
  <si>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</si>
  <si>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</si>
  <si>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</si>
  <si>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</si>
  <si>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</si>
  <si>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</si>
  <si>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</si>
  <si>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</si>
  <si>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</si>
  <si>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</si>
  <si>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</si>
  <si>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</si>
  <si>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</si>
  <si>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</si>
  <si>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</si>
  <si>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</si>
  <si>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</si>
  <si>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</si>
  <si>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</si>
  <si>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</si>
  <si>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</si>
  <si>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</si>
  <si>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</si>
  <si>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</si>
  <si>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</si>
  <si>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</si>
  <si>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</si>
  <si>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</si>
  <si>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</si>
  <si>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</si>
  <si>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</si>
  <si>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</si>
  <si>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</si>
  <si>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</si>
  <si>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</si>
  <si>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</si>
  <si>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</si>
  <si>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</si>
  <si>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</si>
  <si>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</si>
  <si>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</si>
  <si>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</si>
  <si>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</si>
  <si>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</si>
  <si>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</si>
  <si>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</si>
  <si>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</si>
  <si>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</si>
  <si>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</si>
  <si>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</si>
  <si>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</si>
  <si>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</si>
  <si>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</si>
  <si>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</si>
  <si>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</si>
  <si>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</si>
  <si>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</si>
  <si>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</si>
  <si>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</si>
  <si>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</si>
  <si>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</si>
  <si>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</si>
  <si>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</si>
  <si>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</si>
  <si>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</si>
  <si>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</si>
  <si>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</si>
  <si>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</si>
  <si>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</si>
  <si>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</si>
  <si>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</si>
  <si>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</si>
  <si>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</si>
  <si>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</si>
  <si>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</si>
  <si>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</si>
  <si>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</si>
  <si>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</si>
  <si>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</si>
  <si>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</si>
  <si>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</si>
  <si>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</si>
  <si>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</si>
  <si>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</si>
  <si>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</si>
  <si>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</si>
  <si>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</si>
  <si>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</si>
  <si>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</si>
  <si>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</si>
  <si>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</si>
  <si>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</si>
  <si>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</si>
  <si>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</si>
  <si>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</si>
  <si>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</si>
  <si>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</si>
  <si>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</si>
  <si>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</si>
  <si>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</si>
  <si>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</si>
  <si>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</si>
  <si>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</si>
  <si>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</si>
  <si>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</si>
  <si>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</si>
  <si>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</si>
  <si>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</si>
  <si>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</si>
  <si>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</si>
  <si>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</si>
  <si>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</si>
  <si>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</si>
  <si>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</si>
  <si>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</si>
  <si>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</si>
  <si>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</si>
  <si>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</si>
  <si>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</si>
  <si>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</si>
  <si>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</si>
  <si>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</si>
  <si>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</si>
  <si>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</si>
  <si>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</si>
  <si>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</si>
  <si>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</si>
  <si>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</si>
  <si>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</si>
  <si>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</si>
  <si>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</si>
  <si>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</si>
  <si>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</si>
  <si>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</si>
  <si>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</si>
  <si>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</si>
  <si>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</si>
  <si>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</si>
  <si>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</si>
  <si>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</si>
  <si>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</si>
  <si>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</si>
  <si>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</si>
  <si>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</si>
  <si>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</si>
  <si>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</si>
  <si>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</si>
  <si>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</si>
  <si>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</si>
  <si>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</si>
  <si>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</si>
  <si>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</si>
  <si>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</si>
  <si>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</si>
  <si>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</si>
  <si>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</si>
  <si>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</si>
  <si>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</si>
  <si>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</si>
  <si>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</si>
  <si>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</si>
  <si>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</si>
  <si>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</si>
  <si>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</si>
  <si>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</si>
  <si>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</si>
  <si>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</si>
  <si>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</si>
  <si>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</si>
  <si>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</si>
  <si>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</si>
  <si>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</si>
  <si>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</si>
  <si>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</si>
  <si>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</si>
  <si>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</si>
  <si>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</si>
  <si>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</si>
  <si>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</si>
  <si>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</si>
  <si>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</si>
  <si>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</si>
  <si>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</si>
  <si>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</si>
  <si>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</si>
  <si>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</si>
  <si>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</si>
  <si>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</si>
  <si>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</si>
  <si>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</si>
  <si>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</si>
  <si>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</si>
  <si>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</si>
  <si>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</si>
  <si>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</si>
  <si>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</si>
  <si>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</si>
  <si>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</si>
  <si>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</si>
  <si>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</si>
  <si>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</si>
  <si>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</si>
  <si>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</si>
  <si>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</si>
  <si>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</si>
  <si>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</si>
  <si>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</si>
  <si>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</si>
  <si>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</si>
  <si>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</si>
  <si>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</si>
  <si>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</si>
  <si>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</si>
  <si>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</si>
  <si>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</si>
  <si>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</si>
  <si>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</si>
  <si>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</si>
  <si>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</si>
  <si>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</si>
  <si>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</si>
  <si>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</si>
  <si>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</si>
  <si>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</si>
  <si>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</si>
  <si>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</si>
  <si>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</si>
  <si>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</si>
  <si>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</si>
  <si>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</si>
  <si>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</si>
  <si>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</si>
  <si>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</si>
  <si>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</si>
  <si>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</si>
  <si>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</si>
  <si>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</si>
  <si>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</si>
  <si>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</si>
  <si>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</si>
  <si>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</si>
  <si>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</si>
  <si>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</si>
  <si>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</si>
  <si>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</si>
  <si>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</si>
  <si>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</si>
  <si>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</si>
  <si>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</si>
  <si>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</si>
  <si>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</si>
  <si>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</si>
  <si>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</si>
  <si>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</si>
  <si>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</si>
  <si>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</si>
  <si>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</si>
  <si>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</si>
  <si>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</si>
  <si>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</si>
  <si>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</si>
  <si>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</si>
  <si>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</si>
  <si>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</si>
  <si>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</si>
  <si>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</si>
  <si>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</si>
  <si>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</si>
  <si>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</si>
  <si>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</si>
  <si>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</si>
  <si>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</si>
  <si>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</si>
  <si>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</si>
  <si>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</si>
  <si>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</si>
  <si>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</si>
  <si>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</si>
  <si>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</si>
  <si>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</si>
  <si>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</si>
  <si>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</si>
  <si>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</si>
  <si>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</si>
  <si>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</si>
  <si>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</si>
  <si>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</si>
  <si>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</si>
  <si>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</si>
  <si>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</si>
  <si>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</si>
  <si>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</si>
  <si>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</si>
  <si>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</si>
  <si>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</si>
  <si>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</si>
  <si>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</si>
  <si>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</si>
  <si>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</si>
  <si>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</si>
  <si>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</si>
  <si>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</si>
  <si>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</si>
  <si>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</si>
  <si>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</si>
  <si>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</si>
  <si>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</si>
  <si>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</si>
  <si>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</si>
  <si>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</si>
  <si>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</si>
  <si>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</si>
  <si>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</si>
  <si>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</si>
  <si>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</si>
  <si>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</si>
  <si>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</si>
  <si>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</si>
  <si>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</si>
  <si>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</si>
  <si>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</si>
  <si>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</si>
  <si>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</si>
  <si>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</si>
  <si>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</si>
  <si>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</si>
  <si>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</si>
  <si>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</si>
  <si>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</si>
  <si>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</si>
  <si>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</si>
  <si>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</si>
  <si>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</si>
  <si>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</si>
  <si>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</si>
  <si>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</si>
  <si>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</si>
  <si>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</si>
  <si>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</si>
  <si>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</si>
  <si>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</si>
  <si>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</si>
  <si>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</si>
  <si>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</si>
  <si>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</si>
  <si>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</si>
  <si>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</si>
  <si>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</si>
  <si>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</si>
  <si>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</si>
  <si>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</si>
  <si>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</si>
  <si>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</si>
  <si>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</si>
  <si>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</si>
  <si>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</si>
  <si>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</si>
  <si>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</si>
  <si>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</si>
  <si>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</si>
  <si>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</si>
  <si>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</si>
  <si>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</si>
  <si>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</si>
  <si>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</si>
  <si>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</si>
  <si>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</si>
  <si>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</si>
  <si>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</si>
  <si>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</si>
  <si>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</si>
  <si>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</si>
  <si>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</si>
  <si>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</si>
  <si>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</si>
  <si>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</si>
  <si>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</si>
  <si>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</si>
  <si>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</si>
  <si>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</si>
  <si>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</si>
  <si>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</si>
  <si>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</si>
  <si>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</si>
  <si>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</si>
  <si>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</si>
  <si>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</si>
  <si>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</si>
  <si>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</si>
  <si>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</si>
  <si>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</si>
  <si>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</si>
  <si>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</si>
  <si>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</si>
  <si>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</si>
  <si>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</si>
  <si>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</si>
  <si>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</si>
  <si>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</si>
  <si>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</si>
  <si>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</si>
  <si>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</si>
  <si>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</si>
  <si>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</si>
  <si>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</si>
  <si>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</si>
  <si>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</si>
  <si>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</si>
  <si>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</si>
  <si>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</si>
  <si>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</si>
  <si>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</si>
  <si>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</si>
  <si>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</si>
  <si>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</si>
  <si>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</si>
  <si>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</si>
  <si>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</si>
  <si>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</si>
  <si>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</si>
  <si>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</si>
  <si>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</si>
  <si>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</si>
  <si>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</si>
  <si>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</si>
  <si>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</si>
  <si>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</si>
  <si>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</si>
  <si>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</si>
  <si>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</si>
  <si>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</si>
  <si>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</si>
  <si>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</si>
  <si>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</si>
  <si>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</si>
  <si>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</si>
  <si>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</si>
  <si>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</si>
  <si>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</si>
  <si>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</si>
  <si>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</si>
  <si>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</si>
  <si>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</si>
  <si>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</si>
  <si>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</si>
  <si>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</si>
  <si>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</si>
  <si>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</si>
  <si>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</si>
  <si>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</si>
  <si>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</si>
  <si>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</si>
  <si>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</si>
  <si>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</si>
  <si>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</si>
  <si>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</si>
  <si>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</si>
  <si>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</si>
  <si>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</si>
  <si>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</si>
  <si>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</si>
  <si>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</si>
  <si>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</si>
  <si>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</si>
  <si>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</si>
  <si>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</si>
  <si>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</si>
  <si>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</si>
  <si>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</si>
  <si>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</si>
  <si>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</si>
  <si>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</si>
  <si>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</si>
  <si>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</si>
  <si>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</si>
  <si>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</si>
  <si>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</si>
  <si>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</si>
  <si>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</si>
  <si>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</si>
  <si>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</si>
  <si>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</si>
  <si>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</si>
  <si>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</si>
  <si>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</si>
  <si>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</si>
  <si>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</si>
  <si>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</si>
  <si>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</si>
  <si>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</si>
  <si>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</si>
  <si>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</si>
  <si>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</si>
  <si>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</si>
  <si>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</si>
  <si>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</si>
  <si>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</si>
  <si>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</si>
  <si>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</si>
  <si>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</si>
  <si>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</si>
  <si>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</si>
  <si>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</si>
  <si>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</si>
  <si>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</si>
  <si>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</si>
  <si>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</si>
  <si>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</si>
  <si>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</si>
  <si>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</si>
  <si>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</si>
  <si>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</si>
  <si>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</si>
  <si>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</si>
  <si>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</si>
  <si>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</si>
  <si>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</si>
  <si>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</si>
  <si>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</si>
  <si>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</si>
  <si>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</si>
  <si>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</si>
  <si>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</si>
  <si>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</si>
  <si>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</si>
  <si>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</si>
  <si>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</si>
  <si>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</si>
  <si>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</si>
  <si>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</si>
  <si>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</si>
  <si>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</si>
  <si>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</si>
  <si>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</si>
  <si>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</si>
  <si>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</si>
  <si>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</si>
  <si>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</si>
  <si>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</si>
  <si>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</si>
  <si>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</si>
  <si>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</si>
  <si>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</si>
  <si>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</si>
  <si>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</si>
  <si>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</si>
  <si>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</si>
  <si>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</si>
  <si>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</si>
  <si>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</si>
  <si>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</si>
  <si>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</si>
  <si>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</si>
  <si>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</si>
  <si>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</si>
  <si>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</si>
  <si>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</si>
  <si>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</si>
  <si>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</si>
  <si>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</si>
  <si>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</si>
  <si>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</si>
  <si>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</si>
  <si>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</si>
  <si>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</si>
  <si>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</si>
  <si>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</si>
  <si>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</si>
  <si>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</si>
  <si>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</si>
  <si>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</si>
  <si>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</si>
  <si>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</si>
  <si>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</si>
  <si>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</si>
  <si>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</si>
  <si>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</si>
  <si>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</si>
  <si>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</si>
  <si>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</si>
  <si>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</si>
  <si>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</si>
  <si>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</si>
  <si>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</si>
  <si>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</si>
  <si>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</si>
  <si>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</si>
  <si>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</si>
  <si>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</si>
  <si>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</si>
  <si>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</si>
  <si>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</si>
  <si>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</si>
  <si>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</si>
  <si>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</si>
  <si>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</si>
  <si>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</si>
  <si>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</si>
  <si>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</si>
  <si>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</si>
  <si>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</si>
  <si>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</si>
  <si>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</si>
  <si>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</si>
  <si>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</si>
  <si>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</si>
  <si>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</si>
  <si>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</si>
  <si>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</si>
  <si>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</si>
  <si>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</si>
  <si>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</si>
  <si>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</si>
  <si>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</si>
  <si>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</si>
  <si>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</si>
  <si>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</si>
  <si>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</si>
  <si>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</si>
  <si>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</si>
  <si>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</si>
  <si>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</si>
  <si>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</si>
  <si>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</si>
  <si>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</si>
  <si>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</si>
  <si>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</si>
  <si>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</si>
  <si>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</si>
  <si>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</si>
  <si>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</si>
  <si>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</si>
  <si>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</si>
  <si>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</si>
  <si>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</si>
  <si>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</si>
  <si>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</si>
  <si>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</si>
  <si>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</si>
  <si>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</si>
  <si>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</si>
  <si>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</si>
  <si>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</si>
  <si>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</si>
  <si>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</si>
  <si>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</si>
  <si>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</si>
  <si>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</si>
  <si>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</si>
  <si>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</si>
  <si>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</si>
  <si>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</si>
  <si>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</si>
  <si>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</si>
  <si>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</si>
  <si>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</si>
  <si>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</si>
  <si>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</si>
  <si>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</si>
  <si>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</si>
  <si>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</si>
  <si>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</si>
  <si>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</si>
  <si>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</si>
  <si>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</si>
  <si>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</si>
  <si>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</si>
  <si>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</si>
  <si>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</si>
  <si>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</si>
  <si>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</si>
  <si>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</si>
  <si>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</si>
  <si>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</si>
  <si>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</si>
  <si>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</si>
  <si>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</si>
  <si>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</si>
  <si>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</si>
  <si>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</si>
  <si>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</si>
  <si>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</si>
  <si>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</si>
  <si>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</si>
  <si>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</si>
  <si>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</si>
  <si>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</si>
  <si>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</si>
  <si>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</si>
  <si>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</si>
  <si>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</si>
  <si>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</si>
  <si>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</si>
  <si>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</si>
  <si>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</si>
  <si>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</si>
  <si>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</si>
  <si>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</si>
  <si>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</si>
  <si>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</si>
  <si>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</si>
  <si>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</si>
  <si>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</si>
  <si>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</si>
  <si>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</si>
  <si>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</si>
  <si>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</si>
  <si>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</si>
  <si>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</si>
  <si>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</si>
  <si>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</si>
  <si>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</si>
  <si>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</si>
  <si>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</si>
  <si>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</si>
  <si>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</si>
  <si>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</si>
  <si>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</si>
  <si>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</si>
  <si>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</si>
  <si>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</si>
  <si>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</si>
  <si>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</si>
  <si>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</si>
  <si>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</si>
  <si>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</si>
  <si>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</si>
  <si>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</si>
  <si>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</si>
  <si>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</si>
  <si>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</si>
  <si>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</si>
  <si>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</si>
  <si>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</si>
  <si>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</si>
  <si>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</si>
  <si>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</si>
  <si>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</si>
  <si>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</si>
  <si>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</si>
  <si>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</si>
  <si>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</si>
  <si>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</si>
  <si>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</si>
  <si>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</si>
  <si>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</si>
  <si>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</si>
  <si>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</si>
  <si>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</si>
  <si>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</si>
  <si>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</si>
  <si>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</si>
  <si>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</si>
  <si>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</si>
  <si>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</si>
  <si>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</si>
  <si>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</si>
  <si>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</si>
  <si>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</si>
  <si>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</si>
  <si>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</si>
  <si>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</si>
  <si>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</si>
  <si>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</si>
  <si>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</si>
  <si>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</si>
  <si>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</si>
  <si>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</si>
  <si>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</si>
  <si>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</si>
  <si>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</si>
  <si>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</si>
  <si>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</si>
  <si>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</si>
  <si>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</si>
  <si>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</si>
  <si>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</si>
  <si>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</si>
  <si>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</si>
  <si>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</si>
  <si>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</si>
  <si>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</si>
  <si>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</si>
  <si>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</si>
  <si>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</si>
  <si>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</si>
  <si>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</si>
  <si>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</si>
  <si>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</si>
  <si>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</si>
  <si>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</si>
  <si>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</si>
  <si>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</si>
  <si>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</si>
  <si>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</si>
  <si>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</si>
  <si>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</si>
  <si>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</si>
  <si>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</si>
  <si>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</si>
  <si>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</si>
  <si>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</si>
  <si>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</si>
  <si>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</si>
  <si>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</si>
  <si>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</si>
  <si>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</si>
  <si>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</si>
  <si>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</si>
  <si>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</si>
  <si>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</si>
  <si>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</si>
  <si>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</si>
  <si>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</si>
  <si>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</si>
  <si>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</si>
  <si>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</si>
  <si>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</si>
  <si>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</si>
  <si>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</si>
  <si>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</si>
  <si>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</si>
  <si>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</si>
  <si>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</si>
  <si>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</si>
  <si>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</si>
  <si>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</si>
  <si>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</si>
  <si>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</si>
  <si>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</si>
  <si>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</si>
  <si>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</si>
  <si>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</si>
  <si>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</si>
  <si>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</si>
  <si>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</si>
  <si>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</si>
  <si>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</si>
  <si>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</si>
  <si>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</si>
  <si>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</si>
  <si>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</si>
  <si>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</si>
  <si>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</si>
  <si>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</si>
  <si>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</si>
  <si>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</si>
  <si>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</si>
  <si>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</si>
  <si>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</si>
  <si>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</si>
  <si>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</si>
  <si>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</si>
  <si>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</si>
  <si>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</si>
  <si>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</si>
  <si>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</si>
  <si>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</si>
  <si>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</si>
  <si>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</si>
  <si>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</si>
  <si>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</si>
  <si>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</si>
  <si>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</si>
  <si>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</si>
  <si>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</si>
  <si>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</si>
  <si>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</si>
  <si>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</si>
  <si>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</si>
  <si>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</si>
  <si>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</si>
  <si>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</si>
  <si>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</si>
  <si>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</si>
  <si>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</si>
  <si>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</si>
  <si>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</si>
  <si>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</si>
  <si>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</si>
  <si>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</si>
  <si>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</si>
  <si>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</si>
  <si>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</si>
  <si>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</si>
  <si>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</si>
  <si>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</si>
  <si>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</si>
  <si>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</si>
  <si>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</si>
  <si>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</si>
  <si>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</si>
  <si>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</si>
  <si>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</si>
  <si>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</si>
  <si>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</si>
  <si>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</si>
  <si>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</si>
  <si>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</si>
  <si>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</si>
  <si>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</si>
  <si>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</si>
  <si>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</si>
  <si>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</si>
  <si>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</si>
  <si>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</si>
  <si>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</si>
  <si>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</si>
  <si>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</si>
  <si>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</si>
  <si>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</si>
  <si>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</si>
  <si>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</si>
  <si>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</si>
  <si>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</si>
  <si>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</si>
  <si>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</si>
  <si>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</si>
  <si>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</si>
  <si>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</si>
  <si>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</si>
  <si>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</si>
  <si>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</si>
  <si>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</si>
  <si>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</si>
  <si>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</si>
  <si>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</si>
  <si>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</si>
  <si>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</si>
  <si>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</si>
  <si>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</si>
  <si>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</si>
  <si>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</si>
  <si>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</si>
  <si>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</si>
  <si>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</si>
  <si>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</si>
  <si>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</si>
  <si>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</si>
  <si>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</si>
  <si>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</si>
  <si>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</si>
  <si>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</si>
  <si>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</si>
  <si>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</si>
  <si>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</si>
  <si>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</si>
  <si>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</si>
  <si>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</si>
  <si>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</si>
  <si>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</si>
  <si>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</si>
  <si>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</si>
  <si>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</si>
  <si>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</si>
  <si>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</si>
  <si>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</si>
  <si>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</si>
  <si>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</si>
  <si>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</si>
  <si>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</si>
  <si>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</si>
  <si>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</si>
  <si>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</si>
  <si>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</si>
  <si>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</si>
  <si>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</si>
  <si>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</si>
  <si>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</si>
  <si>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</si>
  <si>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</si>
  <si>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</si>
  <si>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</si>
  <si>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</si>
  <si>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</si>
  <si>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</si>
  <si>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</si>
  <si>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</si>
  <si>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</si>
  <si>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</si>
  <si>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</si>
  <si>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</si>
  <si>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</si>
  <si>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</si>
  <si>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</si>
  <si>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</si>
  <si>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</si>
  <si>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</si>
  <si>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</si>
  <si>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</si>
  <si>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</si>
  <si>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</si>
  <si>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</si>
  <si>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</si>
  <si>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</si>
  <si>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</si>
  <si>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</si>
  <si>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</si>
  <si>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</si>
  <si>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</si>
  <si>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</si>
  <si>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</si>
  <si>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</si>
  <si>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</si>
  <si>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</si>
  <si>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</si>
  <si>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</si>
  <si>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</si>
  <si>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</si>
  <si>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</si>
  <si>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</si>
  <si>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</si>
  <si>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</si>
  <si>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</si>
  <si>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</si>
  <si>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</si>
  <si>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</si>
  <si>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</si>
  <si>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</si>
  <si>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</si>
  <si>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</si>
  <si>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</si>
  <si>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</si>
  <si>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</si>
  <si>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</si>
  <si>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</si>
  <si>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</si>
  <si>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</si>
  <si>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</si>
  <si>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</si>
  <si>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</si>
  <si>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</si>
  <si>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</si>
  <si>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</si>
  <si>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</si>
  <si>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</si>
  <si>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</si>
  <si>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</si>
  <si>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</si>
  <si>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</si>
  <si>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</si>
  <si>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</si>
  <si>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</si>
  <si>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</si>
  <si>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</si>
  <si>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</si>
  <si>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</si>
  <si>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</si>
  <si>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</si>
  <si>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</si>
  <si>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</si>
  <si>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</si>
  <si>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</si>
  <si>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</si>
  <si>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</si>
  <si>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</si>
  <si>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</si>
  <si>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</si>
  <si>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</si>
  <si>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</si>
  <si>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</si>
  <si>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</si>
  <si>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</si>
  <si>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</si>
  <si>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</si>
  <si>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</si>
  <si>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</si>
  <si>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</si>
  <si>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</si>
  <si>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</si>
  <si>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</si>
  <si>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</si>
  <si>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</si>
  <si>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</si>
  <si>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</si>
  <si>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</si>
  <si>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</si>
  <si>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</si>
  <si>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</si>
  <si>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</si>
  <si>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</si>
  <si>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</si>
  <si>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</si>
  <si>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</si>
  <si>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</si>
  <si>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</si>
  <si>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</si>
  <si>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</si>
  <si>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</si>
  <si>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</si>
  <si>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</si>
  <si>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</si>
  <si>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</si>
  <si>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</si>
  <si>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</si>
  <si>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</si>
  <si>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</si>
  <si>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</si>
  <si>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</si>
  <si>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</si>
  <si>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</si>
  <si>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</si>
  <si>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</si>
  <si>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</si>
  <si>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</si>
  <si>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</si>
  <si>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</si>
  <si>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</si>
  <si>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</si>
  <si>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</si>
  <si>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</si>
  <si>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</si>
  <si>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</si>
  <si>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</si>
  <si>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</si>
  <si>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</si>
  <si>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</si>
  <si>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</si>
  <si>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</si>
  <si>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</si>
  <si>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</si>
  <si>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</si>
  <si>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</si>
  <si>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</si>
  <si>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</si>
  <si>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</si>
  <si>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</si>
  <si>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</si>
  <si>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</si>
  <si>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</si>
  <si>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</si>
  <si>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</si>
  <si>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</si>
  <si>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</si>
  <si>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</si>
  <si>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</si>
  <si>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</si>
  <si>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</si>
  <si>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</si>
  <si>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</si>
  <si>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</si>
  <si>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</si>
  <si>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</si>
  <si>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</si>
  <si>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</si>
  <si>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</si>
  <si>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</si>
  <si>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</si>
  <si>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</si>
  <si>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</si>
  <si>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</si>
  <si>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</si>
  <si>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</si>
  <si>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</si>
  <si>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</si>
  <si>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</si>
  <si>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</si>
  <si>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</si>
  <si>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</si>
  <si>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</si>
  <si>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</si>
  <si>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</si>
  <si>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</si>
  <si>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</si>
  <si>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</si>
  <si>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</si>
  <si>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</si>
  <si>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</si>
  <si>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</si>
  <si>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</si>
  <si>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</si>
  <si>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</si>
  <si>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</si>
  <si>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</si>
  <si>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</si>
  <si>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</si>
  <si>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</si>
  <si>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</si>
  <si>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</si>
  <si>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</si>
  <si>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</si>
  <si>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</si>
  <si>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</si>
  <si>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</si>
  <si>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</si>
  <si>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</si>
  <si>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</si>
  <si>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</si>
  <si>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</si>
  <si>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</si>
  <si>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</si>
  <si>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</si>
  <si>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</si>
  <si>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</si>
  <si>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</si>
  <si>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</si>
  <si>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</si>
  <si>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</si>
  <si>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</si>
  <si>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</si>
  <si>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</si>
  <si>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</si>
  <si>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</si>
  <si>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</si>
  <si>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</si>
  <si>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</si>
  <si>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</si>
  <si>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</si>
  <si>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</si>
  <si>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</si>
  <si>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</si>
  <si>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</si>
  <si>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</si>
  <si>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</si>
  <si>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</si>
  <si>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</si>
  <si>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</si>
  <si>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</si>
  <si>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</si>
  <si>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</si>
  <si>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</si>
  <si>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</si>
  <si>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</si>
  <si>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</si>
  <si>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</si>
  <si>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</si>
  <si>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</si>
  <si>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</si>
  <si>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</si>
  <si>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</si>
  <si>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</si>
  <si>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</si>
  <si>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</si>
  <si>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</si>
  <si>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</si>
  <si>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</si>
  <si>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</si>
  <si>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</si>
  <si>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</si>
  <si>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</si>
  <si>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</si>
  <si>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</si>
  <si>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</si>
  <si>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</si>
  <si>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</si>
  <si>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</si>
  <si>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</si>
  <si>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</si>
  <si>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</si>
  <si>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</si>
  <si>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</si>
  <si>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</si>
  <si>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</si>
  <si>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</si>
  <si>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</si>
  <si>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</si>
  <si>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</si>
  <si>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</si>
  <si>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</si>
  <si>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</si>
  <si>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</si>
  <si>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</si>
  <si>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</si>
  <si>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</si>
  <si>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</si>
  <si>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</si>
  <si>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</si>
  <si>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</si>
  <si>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</si>
  <si>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</si>
  <si>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</si>
  <si>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</si>
  <si>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</si>
  <si>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</si>
  <si>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</si>
  <si>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</si>
  <si>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</si>
  <si>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</si>
  <si>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</si>
  <si>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</si>
  <si>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</si>
  <si>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</si>
  <si>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</si>
  <si>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</si>
  <si>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</si>
  <si>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</si>
  <si>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</si>
  <si>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</si>
  <si>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</si>
  <si>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</si>
  <si>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</si>
  <si>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</si>
  <si>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</si>
  <si>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</si>
  <si>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</si>
  <si>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</si>
  <si>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</si>
  <si>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</si>
  <si>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</si>
  <si>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</si>
  <si>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</si>
  <si>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</si>
  <si>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</si>
  <si>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</si>
  <si>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</si>
  <si>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</si>
  <si>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</si>
  <si>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</si>
  <si>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</si>
  <si>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</si>
  <si>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</si>
  <si>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</si>
  <si>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</si>
  <si>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</si>
  <si>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</si>
  <si>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</si>
  <si>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</si>
  <si>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</si>
  <si>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</si>
  <si>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</si>
  <si>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</si>
  <si>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</si>
  <si>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</si>
  <si>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</si>
  <si>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</si>
  <si>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</si>
  <si>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</si>
  <si>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</si>
  <si>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</si>
  <si>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</si>
  <si>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</si>
  <si>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</si>
  <si>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</si>
  <si>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</si>
  <si>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</si>
  <si>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</si>
  <si>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</si>
  <si>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</si>
  <si>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</si>
  <si>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</si>
  <si>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</si>
  <si>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</si>
  <si>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</si>
  <si>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</si>
  <si>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</si>
  <si>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</si>
  <si>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</si>
  <si>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</si>
  <si>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</si>
  <si>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</si>
  <si>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</si>
  <si>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</si>
  <si>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</si>
  <si>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</si>
  <si>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</si>
  <si>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</si>
  <si>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</si>
  <si>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</si>
  <si>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</si>
  <si>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</si>
  <si>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</si>
  <si>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</si>
  <si>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</si>
  <si>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</si>
  <si>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</si>
  <si>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</si>
  <si>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</si>
  <si>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</si>
  <si>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</si>
  <si>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</si>
  <si>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</si>
  <si>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</si>
  <si>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</si>
  <si>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</si>
  <si>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</si>
  <si>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</si>
  <si>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</si>
  <si>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</si>
  <si>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</si>
  <si>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</si>
  <si>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</si>
  <si>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</si>
  <si>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</si>
  <si>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</si>
  <si>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</si>
  <si>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</si>
  <si>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</si>
  <si>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</si>
  <si>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</si>
  <si>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</si>
  <si>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</si>
  <si>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</si>
  <si>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</si>
  <si>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</si>
  <si>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</si>
  <si>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</si>
  <si>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</si>
  <si>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</si>
  <si>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</si>
  <si>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</si>
  <si>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</si>
  <si>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</si>
  <si>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</si>
  <si>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</si>
  <si>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</si>
  <si>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</si>
  <si>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</si>
  <si>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</si>
  <si>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</si>
  <si>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</si>
  <si>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</si>
  <si>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</si>
  <si>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</si>
  <si>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</si>
  <si>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</si>
  <si>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</si>
  <si>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</si>
  <si>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</si>
  <si>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</si>
  <si>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</si>
  <si>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</si>
  <si>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</si>
  <si>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</si>
  <si>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</si>
  <si>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</si>
  <si>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</si>
  <si>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</si>
  <si>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</si>
  <si>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</si>
  <si>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</si>
  <si>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</si>
  <si>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</si>
  <si>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</si>
  <si>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</si>
  <si>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</si>
  <si>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</si>
  <si>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</si>
  <si>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</si>
  <si>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</si>
  <si>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</si>
  <si>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</si>
  <si>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</si>
  <si>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</si>
  <si>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</si>
  <si>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</si>
  <si>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</si>
  <si>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</si>
  <si>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</si>
  <si>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</si>
  <si>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</si>
  <si>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</si>
  <si>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</si>
  <si>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</si>
  <si>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</si>
  <si>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</si>
  <si>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</si>
  <si>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</si>
  <si>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</si>
  <si>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</si>
  <si>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</si>
  <si>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</si>
  <si>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</si>
  <si>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</si>
  <si>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</si>
  <si>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</si>
  <si>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</si>
  <si>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</si>
  <si>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</si>
  <si>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</si>
  <si>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</si>
  <si>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</si>
  <si>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</si>
  <si>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</si>
  <si>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</si>
  <si>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</si>
  <si>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</si>
  <si>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</si>
  <si>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</si>
  <si>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</si>
  <si>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</si>
  <si>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</si>
  <si>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</si>
  <si>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</si>
  <si>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</si>
  <si>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</si>
  <si>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</si>
  <si>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</si>
  <si>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</si>
  <si>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</si>
  <si>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</si>
  <si>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</si>
  <si>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</si>
  <si>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</si>
  <si>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</si>
  <si>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</si>
  <si>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</si>
  <si>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</si>
  <si>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</si>
  <si>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</si>
  <si>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</si>
  <si>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</si>
  <si>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</si>
  <si>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</si>
  <si>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</si>
  <si>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</si>
  <si>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</si>
  <si>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</si>
  <si>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</si>
  <si>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</si>
  <si>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</si>
  <si>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</si>
  <si>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</si>
  <si>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</si>
  <si>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</si>
  <si>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</si>
  <si>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</si>
  <si>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</si>
  <si>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</si>
  <si>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</si>
  <si>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</si>
  <si>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</si>
  <si>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</si>
  <si>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</si>
  <si>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</si>
  <si>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</si>
  <si>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</si>
  <si>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</si>
  <si>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</si>
  <si>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</si>
  <si>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</si>
  <si>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</si>
  <si>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</si>
  <si>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</si>
  <si>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</si>
  <si>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</si>
  <si>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</si>
  <si>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</si>
  <si>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</si>
  <si>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</si>
  <si>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</si>
  <si>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</si>
  <si>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</si>
  <si>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</si>
  <si>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</si>
  <si>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</si>
  <si>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</si>
  <si>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</si>
  <si>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</si>
  <si>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</si>
  <si>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</si>
  <si>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</si>
  <si>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</si>
  <si>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</si>
  <si>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</si>
  <si>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</si>
  <si>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</si>
  <si>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</si>
  <si>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</si>
  <si>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</si>
  <si>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</si>
  <si>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</si>
  <si>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</si>
  <si>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</si>
  <si>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</si>
  <si>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</si>
  <si>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</si>
  <si>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</si>
  <si>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</si>
  <si>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</si>
  <si>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</si>
  <si>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</si>
  <si>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</si>
  <si>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</si>
  <si>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</si>
  <si>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</si>
  <si>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</si>
  <si>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</si>
  <si>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</si>
  <si>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</si>
  <si>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</si>
  <si>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</si>
  <si>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</si>
  <si>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</si>
  <si>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</si>
  <si>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</si>
  <si>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</si>
  <si>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</si>
  <si>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</si>
  <si>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</si>
  <si>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</si>
  <si>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</si>
  <si>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</si>
  <si>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</si>
  <si>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</si>
  <si>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</si>
  <si>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</si>
  <si>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</si>
  <si>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</si>
  <si>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</si>
  <si>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</si>
  <si>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</si>
  <si>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</si>
  <si>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</si>
  <si>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</si>
  <si>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</si>
  <si>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</si>
  <si>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</si>
  <si>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</si>
  <si>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</si>
  <si>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</si>
  <si>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</si>
  <si>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</si>
  <si>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</si>
  <si>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</si>
  <si>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</si>
  <si>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</si>
  <si>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</si>
  <si>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</si>
  <si>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</si>
  <si>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</si>
  <si>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</si>
  <si>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</si>
  <si>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</si>
  <si>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</si>
  <si>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</si>
  <si>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</si>
  <si>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</si>
  <si>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</si>
  <si>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</si>
  <si>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</si>
  <si>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</si>
  <si>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</si>
  <si>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</si>
  <si>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</si>
  <si>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</si>
  <si>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</si>
  <si>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</si>
  <si>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</si>
  <si>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</si>
  <si>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</si>
  <si>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</si>
  <si>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</si>
  <si>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</si>
  <si>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</si>
  <si>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</si>
  <si>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</si>
  <si>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</si>
  <si>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</si>
  <si>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</si>
  <si>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</si>
  <si>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</si>
  <si>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</si>
  <si>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</si>
  <si>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</si>
  <si>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</si>
  <si>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</si>
  <si>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</si>
  <si>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</si>
  <si>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</si>
  <si>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</si>
  <si>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</si>
  <si>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</si>
  <si>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</si>
  <si>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</si>
  <si>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</si>
  <si>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</si>
  <si>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</si>
  <si>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</si>
  <si>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</si>
  <si>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</si>
  <si>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</si>
  <si>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</si>
  <si>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</si>
  <si>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</si>
  <si>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</si>
  <si>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</si>
  <si>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</si>
  <si>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</si>
  <si>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</si>
  <si>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</si>
  <si>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</si>
  <si>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</si>
  <si>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</si>
  <si>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</si>
  <si>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</si>
  <si>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</si>
  <si>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</si>
  <si>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</si>
  <si>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</si>
  <si>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</si>
  <si>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</si>
  <si>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</si>
  <si>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</si>
  <si>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</si>
  <si>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</si>
  <si>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</si>
  <si>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</si>
  <si>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</si>
  <si>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</si>
  <si>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</si>
  <si>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</si>
  <si>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</si>
  <si>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</si>
  <si>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</si>
  <si>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</si>
  <si>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</si>
  <si>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</si>
  <si>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</si>
  <si>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</si>
  <si>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</si>
  <si>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</si>
  <si>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</si>
  <si>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</si>
  <si>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</si>
  <si>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</si>
  <si>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</si>
  <si>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</si>
  <si>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</si>
  <si>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</si>
  <si>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</si>
  <si>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</si>
  <si>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</si>
  <si>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</si>
  <si>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</si>
  <si>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</si>
  <si>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</si>
  <si>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</si>
  <si>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</si>
  <si>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</si>
  <si>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</si>
  <si>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</si>
  <si>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</si>
  <si>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</si>
  <si>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</si>
  <si>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</si>
  <si>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</si>
  <si>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</si>
  <si>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</si>
  <si>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</si>
  <si>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</si>
  <si>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</si>
  <si>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</si>
  <si>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</si>
  <si>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</si>
  <si>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</si>
  <si>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</si>
  <si>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</si>
  <si>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</si>
  <si>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</si>
  <si>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</si>
  <si>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</si>
  <si>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</si>
  <si>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</si>
  <si>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</si>
  <si>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</si>
  <si>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</si>
  <si>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</si>
  <si>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</si>
  <si>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</si>
  <si>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</si>
  <si>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</si>
  <si>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</si>
  <si>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</si>
  <si>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</si>
  <si>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</si>
  <si>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</si>
  <si>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</si>
  <si>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</si>
  <si>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</si>
  <si>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</si>
  <si>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</si>
  <si>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</si>
  <si>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</si>
  <si>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</si>
  <si>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</si>
  <si>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</si>
  <si>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</si>
  <si>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</si>
  <si>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</si>
  <si>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</si>
  <si>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</si>
  <si>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</si>
  <si>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</si>
  <si>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</si>
  <si>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</si>
  <si>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</si>
  <si>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</si>
  <si>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</si>
  <si>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</si>
  <si>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</si>
  <si>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</si>
  <si>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</si>
  <si>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</si>
  <si>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</si>
  <si>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</si>
  <si>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</si>
  <si>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</si>
  <si>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</si>
  <si>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</si>
  <si>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</si>
  <si>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</si>
  <si>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</si>
  <si>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</si>
  <si>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</si>
  <si>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</si>
  <si>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</si>
  <si>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</si>
  <si>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</si>
  <si>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</si>
  <si>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</si>
  <si>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</si>
  <si>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</si>
  <si>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</si>
  <si>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</si>
  <si>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</si>
  <si>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</si>
  <si>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</si>
  <si>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</si>
  <si>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</si>
  <si>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</si>
  <si>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</si>
  <si>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</si>
  <si>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</si>
  <si>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</si>
  <si>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</si>
  <si>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</si>
  <si>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</si>
  <si>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</si>
  <si>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</si>
  <si>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</si>
  <si>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</si>
  <si>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</si>
  <si>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</si>
  <si>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</si>
  <si>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</si>
  <si>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</si>
  <si>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</si>
  <si>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</si>
  <si>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</si>
  <si>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</si>
  <si>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</si>
  <si>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</si>
  <si>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</si>
  <si>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</si>
  <si>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</si>
  <si>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</si>
  <si>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</si>
  <si>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</si>
  <si>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</si>
  <si>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</si>
  <si>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</si>
  <si>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</si>
  <si>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</si>
  <si>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</si>
  <si>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</si>
  <si>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</si>
  <si>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</si>
  <si>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</si>
  <si>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</si>
  <si>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</si>
  <si>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</si>
  <si>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</si>
  <si>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</si>
  <si>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</si>
  <si>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</si>
  <si>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</si>
  <si>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</si>
  <si>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</si>
  <si>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</si>
  <si>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</si>
  <si>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</si>
  <si>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</si>
  <si>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</si>
  <si>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</si>
  <si>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</si>
  <si>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</si>
  <si>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</si>
  <si>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</si>
  <si>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</si>
  <si>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</si>
  <si>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</si>
  <si>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</si>
  <si>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</si>
  <si>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</si>
  <si>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</si>
  <si>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</si>
  <si>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</si>
  <si>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</si>
  <si>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</si>
  <si>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</si>
  <si>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</si>
  <si>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</si>
  <si>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</si>
  <si>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</si>
  <si>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</si>
  <si>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</si>
  <si>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</si>
  <si>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</si>
  <si>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</si>
  <si>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</si>
  <si>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</si>
  <si>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</si>
  <si>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</si>
  <si>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</si>
  <si>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</si>
  <si>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</si>
  <si>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</si>
  <si>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</si>
  <si>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</si>
  <si>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</si>
  <si>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</si>
  <si>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</si>
  <si>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</si>
  <si>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</si>
  <si>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</si>
  <si>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</si>
  <si>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</si>
  <si>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</si>
  <si>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</si>
  <si>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</si>
  <si>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</si>
  <si>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</si>
  <si>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</si>
  <si>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</si>
  <si>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</si>
  <si>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</si>
  <si>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</si>
  <si>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</si>
  <si>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</si>
  <si>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</si>
  <si>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</si>
  <si>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</si>
  <si>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</si>
  <si>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</si>
  <si>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</si>
  <si>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</si>
  <si>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</si>
  <si>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</si>
  <si>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</si>
  <si>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</si>
  <si>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</si>
  <si>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</si>
  <si>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</si>
  <si>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</si>
  <si>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</si>
  <si>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</si>
  <si>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</si>
  <si>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</si>
  <si>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</si>
  <si>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</si>
  <si>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</si>
  <si>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</si>
  <si>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</si>
  <si>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</si>
  <si>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</si>
  <si>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</si>
  <si>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</si>
  <si>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</si>
  <si>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</si>
  <si>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</si>
  <si>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</si>
  <si>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</si>
  <si>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</si>
  <si>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</si>
  <si>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</si>
  <si>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</si>
  <si>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</si>
  <si>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</si>
  <si>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</si>
  <si>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</si>
  <si>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</si>
  <si>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</si>
  <si>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</si>
  <si>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</si>
  <si>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</si>
  <si>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</si>
  <si>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</si>
  <si>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</si>
  <si>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</si>
  <si>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</si>
  <si>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</si>
  <si>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</si>
  <si>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</si>
  <si>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</si>
  <si>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</si>
  <si>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</si>
  <si>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</si>
  <si>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</si>
  <si>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</si>
  <si>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</si>
  <si>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</si>
  <si>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</si>
  <si>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</si>
  <si>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</si>
  <si>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</si>
  <si>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</si>
  <si>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</si>
  <si>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</si>
  <si>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</si>
  <si>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</si>
  <si>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</si>
  <si>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</si>
  <si>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</si>
  <si>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</si>
  <si>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</si>
  <si>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</si>
  <si>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</si>
  <si>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</si>
  <si>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</si>
  <si>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</si>
  <si>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</si>
  <si>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</si>
  <si>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</si>
  <si>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</si>
  <si>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</si>
  <si>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</si>
  <si>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</si>
  <si>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</si>
  <si>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</si>
  <si>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</si>
  <si>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</si>
  <si>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</si>
  <si>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</si>
  <si>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</si>
  <si>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</si>
  <si>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</si>
  <si>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</si>
  <si>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</si>
  <si>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</si>
  <si>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</si>
  <si>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</si>
  <si>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</si>
  <si>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</si>
  <si>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</si>
  <si>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</si>
  <si>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</si>
  <si>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</si>
  <si>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</si>
  <si>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</si>
  <si>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</si>
  <si>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</si>
  <si>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</si>
  <si>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</si>
  <si>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</si>
  <si>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</si>
  <si>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</si>
  <si>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</si>
  <si>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</si>
  <si>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</si>
  <si>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</si>
  <si>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</si>
  <si>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</si>
  <si>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</si>
  <si>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</si>
  <si>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</si>
  <si>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</si>
  <si>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</si>
  <si>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</si>
  <si>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</si>
  <si>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</si>
  <si>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</si>
  <si>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</si>
  <si>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</si>
  <si>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</si>
  <si>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</si>
  <si>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</si>
  <si>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</si>
  <si>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</si>
  <si>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</si>
  <si>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</si>
  <si>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</si>
  <si>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</si>
  <si>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</si>
  <si>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</si>
  <si>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</si>
  <si>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</si>
  <si>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</si>
  <si>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</si>
  <si>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</si>
  <si>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</si>
  <si>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</si>
  <si>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</si>
  <si>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</si>
  <si>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</si>
  <si>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</si>
  <si>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</si>
  <si>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</si>
  <si>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</si>
  <si>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</si>
  <si>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</si>
  <si>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</si>
  <si>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</si>
  <si>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</si>
  <si>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</si>
  <si>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</si>
  <si>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</si>
  <si>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</si>
  <si>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</si>
  <si>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</si>
  <si>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</si>
  <si>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</si>
  <si>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</si>
  <si>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</si>
  <si>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</si>
  <si>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</si>
  <si>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</si>
  <si>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</si>
  <si>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</si>
  <si>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</si>
  <si>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</si>
  <si>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</si>
  <si>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</si>
  <si>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</si>
  <si>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</si>
  <si>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</si>
  <si>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</si>
  <si>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</si>
  <si>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</si>
  <si>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</si>
  <si>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</si>
  <si>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</si>
  <si>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</si>
  <si>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</si>
  <si>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</si>
  <si>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</si>
  <si>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</si>
  <si>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</si>
  <si>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</si>
  <si>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</si>
  <si>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</si>
  <si>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</si>
  <si>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</si>
  <si>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</si>
  <si>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</si>
  <si>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</si>
  <si>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</si>
  <si>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</si>
  <si>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</si>
  <si>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</si>
  <si>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</si>
  <si>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</si>
  <si>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</si>
  <si>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</si>
  <si>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</si>
  <si>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</si>
  <si>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</si>
  <si>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</si>
  <si>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</si>
  <si>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</si>
  <si>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</si>
  <si>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</si>
  <si>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</si>
  <si>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</si>
  <si>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</si>
  <si>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</si>
  <si>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</si>
  <si>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</si>
  <si>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</si>
  <si>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</si>
  <si>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</si>
  <si>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</si>
  <si>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</si>
  <si>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</si>
  <si>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</si>
  <si>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</si>
  <si>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</si>
  <si>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</si>
  <si>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</si>
  <si>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</si>
  <si>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</si>
  <si>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</si>
  <si>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</si>
  <si>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</si>
  <si>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</si>
  <si>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</si>
  <si>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</si>
  <si>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</si>
  <si>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</si>
  <si>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</si>
  <si>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</si>
  <si>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</si>
  <si>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</si>
  <si>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</si>
  <si>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</si>
  <si>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</si>
  <si>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</si>
  <si>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</si>
  <si>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</si>
  <si>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</si>
  <si>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</si>
  <si>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</si>
  <si>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</si>
  <si>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</si>
  <si>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</si>
  <si>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</si>
  <si>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</si>
  <si>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</si>
  <si>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</si>
  <si>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</si>
  <si>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</si>
  <si>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</si>
  <si>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</si>
  <si>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</si>
  <si>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</si>
  <si>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</si>
  <si>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</si>
  <si>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</si>
  <si>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</si>
  <si>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</si>
  <si>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</si>
  <si>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</si>
  <si>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</si>
  <si>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</si>
  <si>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</si>
  <si>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</si>
  <si>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</si>
  <si>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</si>
  <si>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</si>
  <si>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</si>
  <si>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</si>
  <si>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</si>
  <si>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</si>
  <si>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</si>
  <si>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</si>
  <si>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</si>
  <si>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</si>
  <si>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</si>
  <si>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</si>
  <si>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</si>
  <si>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</si>
  <si>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</si>
  <si>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</si>
  <si>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</si>
  <si>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</si>
  <si>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</si>
  <si>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</si>
  <si>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</si>
  <si>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</si>
  <si>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</si>
  <si>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</si>
  <si>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</si>
  <si>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</si>
  <si>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</si>
  <si>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</si>
  <si>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</si>
  <si>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</si>
  <si>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</si>
  <si>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</si>
  <si>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</si>
  <si>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</si>
  <si>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</si>
  <si>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</si>
  <si>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</si>
  <si>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</si>
  <si>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</si>
  <si>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</si>
  <si>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</si>
  <si>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</si>
  <si>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</si>
  <si>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</si>
  <si>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</si>
  <si>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</si>
  <si>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</si>
  <si>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</si>
  <si>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</si>
  <si>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</si>
  <si>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</si>
  <si>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</si>
  <si>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</si>
  <si>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</si>
  <si>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</si>
  <si>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</si>
  <si>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</si>
  <si>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</si>
  <si>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</si>
  <si>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</si>
  <si>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</si>
  <si>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</si>
  <si>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</si>
  <si>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</si>
  <si>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</si>
  <si>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</si>
  <si>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</si>
  <si>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</si>
  <si>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</si>
  <si>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</si>
  <si>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</si>
  <si>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</si>
  <si>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</si>
  <si>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</si>
  <si>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</si>
  <si>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</si>
  <si>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</si>
  <si>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</si>
  <si>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</si>
  <si>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</si>
  <si>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</si>
  <si>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</si>
  <si>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</si>
  <si>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</si>
  <si>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</si>
  <si>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</si>
  <si>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</si>
  <si>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</si>
  <si>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</si>
  <si>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</si>
  <si>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</si>
  <si>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</si>
  <si>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</si>
  <si>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</si>
  <si>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</si>
  <si>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</si>
  <si>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</si>
  <si>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</si>
  <si>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</si>
  <si>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</si>
  <si>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</si>
  <si>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</si>
  <si>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</si>
  <si>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</si>
  <si>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</si>
  <si>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</si>
  <si>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</si>
  <si>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</si>
  <si>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</si>
  <si>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</si>
  <si>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</si>
  <si>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</si>
  <si>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</si>
  <si>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</si>
  <si>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</si>
  <si>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</si>
  <si>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</si>
  <si>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</si>
  <si>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</si>
  <si>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</si>
  <si>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</si>
  <si>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</si>
  <si>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</si>
  <si>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</si>
  <si>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</si>
  <si>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</si>
  <si>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</si>
  <si>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</si>
  <si>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</si>
  <si>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</si>
  <si>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</si>
  <si>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</si>
  <si>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</si>
  <si>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</si>
  <si>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</si>
  <si>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</si>
  <si>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</si>
  <si>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</si>
  <si>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</si>
  <si>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</si>
  <si>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</si>
  <si>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</si>
  <si>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</si>
  <si>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</si>
  <si>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</si>
  <si>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</si>
  <si>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</si>
  <si>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</si>
  <si>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</si>
  <si>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</si>
  <si>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</si>
  <si>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</si>
  <si>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</si>
  <si>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</si>
  <si>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</si>
  <si>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</si>
  <si>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</si>
  <si>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</si>
  <si>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</si>
  <si>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</si>
  <si>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</si>
  <si>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</si>
  <si>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</si>
  <si>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</si>
  <si>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</si>
  <si>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</si>
  <si>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</si>
  <si>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</si>
  <si>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</si>
  <si>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</si>
  <si>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</si>
  <si>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</si>
  <si>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</si>
  <si>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</si>
  <si>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</si>
  <si>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</si>
  <si>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</si>
  <si>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</si>
  <si>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</si>
  <si>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</si>
  <si>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</si>
  <si>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</si>
  <si>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</si>
  <si>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</si>
  <si>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</si>
  <si>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</si>
  <si>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</si>
  <si>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</si>
  <si>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</si>
  <si>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</si>
  <si>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</si>
  <si>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</si>
  <si>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</si>
  <si>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</si>
  <si>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</si>
  <si>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</si>
  <si>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</si>
  <si>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</si>
  <si>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</si>
  <si>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</si>
  <si>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</si>
  <si>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</si>
  <si>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</si>
  <si>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</si>
  <si>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</si>
  <si>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</si>
  <si>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</si>
  <si>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</si>
  <si>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</si>
  <si>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</si>
  <si>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</si>
  <si>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</si>
  <si>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</si>
  <si>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</si>
  <si>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</si>
  <si>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</si>
  <si>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</si>
  <si>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</si>
  <si>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</si>
  <si>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</si>
  <si>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</si>
  <si>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</si>
  <si>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</si>
  <si>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</si>
  <si>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</si>
  <si>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</si>
  <si>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</si>
  <si>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</si>
  <si>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</si>
  <si>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</si>
  <si>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</si>
  <si>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</si>
  <si>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</si>
  <si>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</si>
  <si>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</si>
  <si>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</si>
  <si>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</si>
  <si>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</si>
  <si>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</si>
  <si>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</si>
  <si>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</si>
  <si>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</si>
  <si>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</si>
  <si>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</si>
  <si>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</si>
  <si>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</si>
  <si>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</si>
  <si>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</si>
  <si>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</si>
  <si>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</si>
  <si>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</si>
  <si>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</si>
  <si>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</si>
  <si>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</si>
  <si>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</si>
  <si>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</si>
  <si>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</si>
  <si>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</si>
  <si>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</si>
  <si>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</si>
  <si>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</si>
  <si>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</si>
  <si>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</si>
  <si>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</si>
  <si>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</si>
  <si>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</si>
  <si>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</si>
  <si>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</si>
  <si>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</si>
  <si>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</si>
  <si>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</si>
  <si>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</si>
  <si>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</si>
  <si>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</si>
  <si>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</si>
  <si>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</si>
  <si>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</si>
  <si>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</si>
  <si>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</si>
  <si>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</si>
  <si>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</si>
  <si>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</si>
  <si>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</si>
  <si>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</si>
  <si>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</si>
  <si>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</si>
  <si>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</si>
  <si>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</si>
  <si>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</si>
  <si>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</si>
  <si>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</si>
  <si>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</si>
  <si>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</si>
  <si>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</si>
  <si>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</si>
  <si>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</si>
  <si>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</si>
  <si>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</si>
  <si>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</si>
  <si>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</si>
  <si>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</si>
  <si>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</si>
  <si>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</si>
  <si>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</si>
  <si>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</si>
  <si>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</si>
  <si>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</si>
  <si>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</si>
  <si>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</si>
  <si>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</si>
  <si>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</si>
  <si>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</si>
  <si>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</si>
  <si>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</si>
  <si>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</si>
  <si>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</si>
  <si>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</si>
  <si>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</si>
  <si>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</si>
  <si>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</si>
  <si>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</si>
  <si>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</si>
  <si>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</si>
  <si>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</si>
  <si>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</si>
  <si>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</si>
  <si>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</si>
  <si>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</si>
  <si>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</si>
  <si>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</si>
  <si>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</si>
  <si>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</si>
  <si>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</si>
  <si>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</si>
  <si>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</si>
  <si>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</si>
  <si>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</si>
  <si>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</si>
  <si>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</si>
  <si>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</si>
  <si>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</si>
  <si>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</si>
  <si>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</si>
  <si>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</si>
  <si>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</si>
  <si>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</si>
  <si>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</si>
  <si>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</si>
  <si>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</si>
  <si>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</si>
  <si>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</si>
  <si>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</si>
  <si>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</si>
  <si>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</si>
  <si>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</si>
  <si>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</si>
  <si>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</si>
  <si>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</si>
  <si>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</si>
  <si>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</si>
  <si>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</si>
  <si>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</si>
  <si>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</si>
  <si>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</si>
  <si>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</si>
  <si>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</si>
  <si>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</si>
  <si>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</si>
  <si>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</si>
  <si>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</si>
  <si>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</si>
  <si>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</si>
  <si>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</si>
  <si>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</si>
  <si>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</si>
  <si>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</si>
  <si>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</si>
  <si>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</si>
  <si>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</si>
  <si>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</si>
  <si>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</si>
  <si>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</si>
  <si>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</si>
  <si>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</si>
  <si>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</si>
  <si>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</si>
  <si>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</si>
  <si>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</si>
  <si>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</si>
  <si>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</si>
  <si>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</si>
  <si>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</si>
  <si>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</si>
  <si>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</si>
  <si>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</si>
  <si>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</si>
  <si>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</si>
  <si>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</si>
  <si>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</si>
  <si>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</si>
  <si>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</si>
  <si>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</si>
  <si>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</si>
  <si>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</si>
  <si>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</si>
  <si>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</si>
  <si>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</si>
  <si>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</si>
  <si>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</si>
  <si>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</si>
  <si>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</si>
  <si>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</si>
  <si>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</si>
  <si>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</si>
  <si>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</si>
  <si>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</si>
  <si>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</si>
  <si>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</si>
  <si>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</si>
  <si>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</si>
  <si>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</si>
  <si>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</si>
  <si>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</si>
  <si>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</si>
  <si>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</si>
  <si>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</si>
  <si>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</si>
  <si>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</si>
  <si>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</si>
  <si>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</si>
  <si>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</si>
  <si>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</si>
  <si>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</si>
  <si>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</si>
  <si>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</si>
  <si>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</si>
  <si>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</si>
  <si>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</si>
  <si>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</si>
  <si>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</si>
  <si>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</si>
  <si>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</si>
  <si>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</si>
  <si>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</si>
  <si>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</si>
  <si>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</si>
  <si>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</si>
  <si>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</si>
  <si>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</si>
  <si>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</si>
  <si>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</si>
  <si>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</si>
  <si>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</si>
  <si>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</si>
  <si>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</si>
  <si>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</si>
  <si>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</si>
  <si>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</si>
  <si>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</si>
  <si>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</si>
  <si>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</si>
  <si>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</si>
  <si>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</si>
  <si>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</si>
  <si>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</si>
  <si>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</si>
  <si>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</si>
  <si>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</si>
  <si>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</si>
  <si>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</si>
  <si>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</si>
  <si>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</si>
  <si>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</si>
  <si>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</si>
  <si>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</si>
  <si>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</si>
  <si>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</si>
  <si>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</si>
  <si>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</si>
  <si>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</si>
  <si>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</si>
  <si>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</si>
  <si>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</si>
  <si>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</si>
  <si>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</si>
  <si>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</si>
  <si>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</si>
  <si>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</si>
  <si>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</si>
  <si>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</si>
  <si>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</si>
  <si>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</si>
  <si>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</si>
  <si>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</si>
  <si>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</si>
  <si>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</si>
  <si>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</si>
  <si>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</si>
  <si>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</si>
  <si>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</si>
  <si>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</si>
  <si>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</si>
  <si>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</si>
  <si>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</si>
  <si>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</si>
  <si>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</si>
  <si>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</si>
  <si>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</si>
  <si>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</si>
  <si>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</si>
  <si>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</si>
  <si>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</si>
  <si>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</si>
  <si>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</si>
  <si>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</si>
  <si>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</si>
  <si>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</si>
  <si>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</si>
  <si>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</si>
  <si>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</si>
  <si>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</si>
  <si>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</si>
  <si>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</si>
  <si>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</si>
  <si>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</si>
  <si>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</si>
  <si>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</si>
  <si>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</si>
  <si>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</si>
  <si>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</si>
  <si>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</si>
  <si>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</si>
  <si>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</si>
  <si>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</si>
  <si>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</si>
  <si>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</si>
  <si>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</si>
  <si>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</si>
  <si>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</si>
  <si>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</si>
  <si>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</si>
  <si>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</si>
  <si>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</si>
  <si>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</si>
  <si>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</si>
  <si>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</si>
  <si>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</si>
  <si>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</si>
  <si>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</si>
  <si>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</si>
  <si>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</si>
  <si>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</si>
  <si>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</si>
  <si>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</si>
  <si>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</si>
  <si>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</si>
  <si>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</si>
  <si>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</si>
  <si>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</si>
  <si>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</si>
  <si>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</si>
  <si>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</si>
  <si>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</si>
  <si>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</si>
  <si>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</si>
  <si>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</si>
  <si>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</si>
  <si>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</si>
  <si>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</si>
  <si>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</si>
  <si>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</si>
  <si>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</si>
  <si>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</si>
  <si>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</si>
  <si>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</si>
  <si>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</si>
  <si>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</si>
  <si>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</si>
  <si>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</si>
  <si>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</si>
  <si>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</si>
  <si>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</si>
  <si>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</si>
  <si>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</si>
  <si>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</si>
  <si>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</si>
  <si>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</si>
  <si>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</si>
  <si>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</si>
  <si>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</si>
  <si>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</si>
  <si>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</si>
  <si>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</si>
  <si>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</si>
  <si>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</si>
  <si>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</si>
  <si>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</si>
  <si>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</si>
  <si>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</si>
  <si>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</si>
  <si>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</si>
  <si>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</si>
  <si>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</si>
  <si>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</si>
  <si>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</si>
  <si>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</si>
  <si>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</si>
  <si>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</si>
  <si>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</si>
  <si>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</si>
  <si>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</si>
  <si>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</si>
  <si>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</si>
  <si>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</si>
  <si>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</si>
  <si>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</si>
  <si>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</si>
  <si>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</si>
  <si>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</si>
  <si>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</si>
  <si>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</si>
  <si>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</si>
  <si>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</si>
  <si>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</si>
  <si>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</si>
  <si>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</si>
  <si>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</si>
  <si>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</si>
  <si>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</si>
  <si>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</si>
  <si>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</si>
  <si>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</si>
  <si>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</si>
  <si>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</si>
  <si>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</si>
  <si>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</si>
  <si>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</si>
  <si>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</si>
  <si>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</si>
  <si>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</si>
  <si>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</si>
  <si>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</si>
  <si>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</si>
  <si>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</si>
  <si>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</si>
  <si>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</si>
  <si>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</si>
  <si>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</si>
  <si>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</si>
  <si>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</si>
  <si>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</si>
  <si>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</si>
  <si>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</si>
  <si>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</si>
  <si>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</si>
  <si>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</si>
  <si>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</si>
  <si>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</si>
  <si>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</si>
  <si>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</si>
  <si>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</si>
  <si>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</si>
  <si>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</si>
  <si>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</si>
  <si>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</si>
  <si>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</si>
  <si>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</si>
  <si>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</si>
  <si>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</si>
  <si>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</si>
  <si>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</si>
  <si>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</si>
  <si>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</si>
  <si>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</si>
  <si>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</si>
  <si>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</si>
  <si>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</si>
  <si>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</si>
  <si>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</si>
  <si>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</si>
  <si>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</si>
  <si>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</si>
  <si>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</si>
  <si>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</si>
  <si>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</si>
  <si>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</si>
  <si>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</si>
  <si>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</si>
  <si>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</si>
  <si>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</si>
  <si>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</si>
  <si>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</si>
  <si>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</si>
  <si>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</si>
  <si>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</si>
  <si>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</si>
  <si>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</si>
  <si>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</si>
  <si>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</si>
  <si>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</si>
  <si>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</si>
  <si>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</si>
  <si>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</si>
  <si>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</si>
  <si>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</si>
  <si>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</si>
  <si>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</si>
  <si>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</si>
  <si>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</si>
  <si>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</si>
  <si>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</si>
  <si>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</si>
  <si>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</si>
  <si>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</si>
  <si>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</si>
  <si>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</si>
  <si>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</si>
  <si>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</si>
  <si>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</si>
  <si>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</si>
  <si>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</si>
  <si>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</si>
  <si>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</si>
  <si>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</si>
  <si>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</si>
  <si>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</si>
  <si>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</si>
  <si>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</si>
  <si>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</si>
  <si>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</si>
  <si>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</si>
  <si>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</si>
  <si>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</si>
  <si>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</si>
  <si>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</si>
  <si>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</si>
  <si>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</si>
  <si>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</si>
  <si>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</si>
  <si>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</si>
  <si>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</si>
  <si>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</si>
  <si>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</si>
  <si>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</si>
  <si>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</si>
  <si>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</si>
  <si>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</si>
  <si>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</si>
  <si>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</si>
  <si>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</si>
  <si>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</si>
  <si>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</si>
  <si>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</si>
  <si>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</si>
  <si>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</si>
  <si>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</si>
  <si>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</si>
  <si>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</si>
  <si>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</si>
  <si>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</si>
  <si>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</si>
  <si>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</si>
  <si>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</si>
  <si>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</si>
  <si>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</si>
  <si>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</si>
  <si>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</si>
  <si>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</si>
  <si>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</si>
  <si>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</si>
  <si>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</si>
  <si>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</si>
  <si>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</si>
  <si>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</si>
  <si>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</si>
  <si>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</si>
  <si>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</si>
  <si>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</si>
  <si>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</si>
  <si>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</si>
  <si>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</si>
  <si>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</si>
  <si>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</si>
  <si>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</si>
  <si>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</si>
  <si>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</si>
  <si>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</si>
  <si>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</si>
  <si>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</si>
  <si>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</si>
  <si>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</si>
  <si>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</si>
  <si>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</si>
  <si>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</si>
  <si>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</si>
  <si>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</si>
  <si>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</si>
  <si>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</si>
  <si>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</si>
  <si>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</si>
  <si>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</si>
  <si>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</si>
  <si>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</si>
  <si>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</si>
  <si>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</si>
  <si>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</si>
  <si>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</si>
  <si>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</si>
  <si>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</si>
  <si>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</si>
  <si>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</si>
  <si>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</si>
  <si>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</si>
  <si>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</si>
  <si>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</si>
  <si>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</si>
  <si>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</si>
  <si>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</si>
  <si>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</si>
  <si>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</si>
  <si>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</si>
  <si>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</si>
  <si>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</si>
  <si>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</si>
  <si>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</si>
  <si>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</si>
  <si>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</si>
  <si>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</si>
  <si>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</si>
  <si>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</si>
  <si>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</si>
  <si>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</si>
  <si>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</si>
  <si>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</si>
  <si>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</si>
  <si>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</si>
  <si>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</si>
  <si>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</si>
  <si>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</si>
  <si>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</si>
  <si>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</si>
  <si>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</si>
  <si>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</si>
  <si>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</si>
  <si>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</si>
  <si>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</si>
  <si>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</si>
  <si>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</si>
  <si>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</si>
  <si>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</si>
  <si>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</si>
  <si>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</si>
  <si>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</si>
  <si>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</si>
  <si>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</si>
  <si>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</si>
  <si>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</si>
  <si>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</si>
  <si>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</si>
  <si>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</si>
  <si>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</si>
  <si>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</si>
  <si>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</si>
  <si>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</si>
  <si>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</si>
  <si>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</si>
  <si>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</si>
  <si>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</si>
  <si>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</si>
  <si>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</si>
  <si>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</si>
  <si>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</si>
  <si>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</si>
  <si>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</si>
  <si>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</si>
  <si>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</si>
  <si>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</si>
  <si>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</si>
  <si>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</si>
  <si>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</si>
  <si>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</si>
  <si>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</si>
  <si>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</si>
  <si>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</si>
  <si>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</si>
  <si>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</si>
  <si>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</si>
  <si>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</si>
  <si>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</si>
  <si>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</si>
  <si>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</si>
  <si>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</si>
  <si>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</si>
  <si>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</si>
  <si>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</si>
  <si>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</si>
  <si>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</si>
  <si>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</si>
  <si>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</si>
  <si>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</si>
  <si>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</si>
  <si>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</si>
  <si>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</si>
  <si>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</si>
  <si>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</si>
  <si>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</si>
  <si>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</si>
  <si>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</si>
  <si>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</si>
  <si>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</si>
  <si>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</si>
  <si>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</si>
  <si>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</si>
  <si>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</si>
  <si>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</si>
  <si>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</si>
  <si>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</si>
  <si>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</si>
  <si>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</si>
  <si>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</si>
  <si>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</si>
  <si>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</si>
  <si>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</si>
  <si>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</si>
  <si>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</si>
  <si>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</si>
  <si>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</si>
  <si>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</si>
  <si>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</si>
  <si>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</si>
  <si>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</si>
  <si>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</si>
  <si>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</si>
  <si>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</si>
  <si>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</si>
  <si>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</si>
  <si>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</si>
  <si>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</si>
  <si>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</si>
  <si>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</si>
  <si>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</si>
  <si>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</si>
  <si>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</si>
  <si>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</si>
  <si>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</si>
  <si>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</si>
  <si>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</si>
  <si>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</si>
  <si>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</si>
  <si>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</si>
  <si>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</si>
  <si>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</si>
  <si>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</si>
  <si>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</si>
  <si>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</si>
  <si>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</si>
  <si>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</si>
  <si>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</si>
  <si>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</si>
  <si>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</si>
  <si>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</si>
  <si>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</si>
  <si>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</si>
  <si>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</si>
  <si>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</si>
  <si>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</si>
  <si>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</si>
  <si>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</si>
  <si>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</si>
  <si>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</si>
  <si>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</si>
  <si>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</si>
  <si>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</si>
  <si>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</si>
  <si>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</si>
  <si>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</si>
  <si>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</si>
  <si>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</si>
  <si>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</si>
  <si>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</si>
  <si>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</si>
  <si>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</si>
  <si>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</si>
  <si>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</si>
  <si>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</si>
  <si>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</si>
  <si>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</si>
  <si>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</si>
  <si>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</si>
  <si>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</si>
  <si>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</si>
  <si>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</si>
  <si>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</si>
  <si>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</si>
  <si>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</si>
  <si>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</si>
  <si>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</si>
  <si>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</si>
  <si>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</si>
  <si>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</si>
  <si>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</si>
  <si>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</si>
  <si>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</si>
  <si>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</si>
  <si>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</si>
  <si>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</si>
  <si>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</si>
  <si>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</si>
  <si>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</si>
  <si>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</si>
  <si>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</si>
  <si>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</si>
  <si>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</si>
  <si>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</si>
  <si>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</si>
  <si>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</si>
  <si>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</si>
  <si>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</si>
  <si>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</si>
  <si>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</si>
  <si>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</si>
  <si>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</si>
  <si>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</si>
  <si>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</si>
  <si>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</si>
  <si>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</si>
  <si>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</si>
  <si>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</si>
  <si>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</si>
  <si>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</si>
  <si>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</si>
  <si>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</si>
  <si>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</si>
  <si>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</si>
  <si>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</si>
  <si>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</si>
  <si>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</si>
  <si>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</si>
  <si>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</si>
  <si>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</si>
  <si>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</si>
  <si>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</si>
  <si>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</si>
  <si>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</si>
  <si>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</si>
  <si>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</si>
  <si>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</si>
  <si>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</si>
  <si>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</si>
  <si>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</si>
  <si>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</si>
  <si>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</si>
  <si>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</si>
  <si>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</si>
  <si>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</si>
  <si>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</si>
  <si>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</si>
  <si>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</si>
  <si>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</si>
  <si>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</si>
  <si>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</si>
  <si>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</si>
  <si>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</si>
  <si>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</si>
  <si>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</si>
  <si>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</si>
  <si>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</si>
  <si>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</si>
  <si>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</si>
  <si>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</si>
  <si>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</si>
  <si>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</si>
  <si>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</si>
  <si>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</si>
  <si>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</si>
  <si>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</si>
  <si>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</si>
  <si>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</si>
  <si>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</si>
  <si>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</si>
  <si>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</si>
  <si>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</si>
  <si>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</si>
  <si>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</si>
  <si>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</si>
  <si>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</si>
  <si>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</si>
  <si>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</si>
  <si>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</si>
  <si>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</si>
  <si>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</si>
  <si>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</si>
  <si>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</si>
  <si>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</si>
  <si>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</si>
  <si>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</si>
  <si>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</si>
  <si>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</si>
  <si>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</si>
  <si>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</si>
  <si>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</si>
  <si>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</si>
  <si>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</si>
  <si>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</si>
  <si>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</si>
  <si>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</si>
  <si>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</si>
  <si>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</si>
  <si>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</si>
  <si>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</si>
  <si>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</si>
  <si>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</si>
  <si>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</si>
  <si>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</si>
  <si>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</si>
  <si>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</si>
  <si>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</si>
  <si>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</si>
  <si>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</si>
  <si>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</si>
  <si>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</si>
  <si>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</si>
  <si>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</si>
  <si>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</si>
  <si>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</si>
  <si>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</si>
  <si>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</si>
  <si>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</si>
  <si>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</si>
  <si>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</si>
  <si>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</si>
  <si>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</si>
  <si>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</si>
  <si>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</si>
  <si>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</si>
  <si>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</si>
  <si>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</si>
  <si>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</si>
  <si>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</si>
  <si>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</si>
  <si>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</si>
  <si>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</si>
  <si>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</si>
  <si>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</si>
  <si>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</si>
  <si>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</si>
  <si>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</si>
  <si>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</si>
  <si>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</si>
  <si>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</si>
  <si>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</si>
  <si>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</si>
  <si>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</si>
  <si>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</si>
  <si>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</si>
  <si>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</si>
  <si>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</si>
  <si>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</si>
  <si>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</si>
  <si>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</si>
  <si>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</si>
  <si>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</si>
  <si>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</si>
  <si>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</si>
  <si>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</si>
  <si>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</si>
  <si>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</si>
  <si>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</si>
  <si>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</si>
  <si>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</si>
  <si>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</si>
  <si>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</si>
  <si>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</si>
  <si>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</si>
  <si>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</si>
  <si>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</si>
  <si>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</si>
  <si>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</si>
  <si>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</si>
  <si>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</si>
  <si>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</si>
  <si>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</si>
  <si>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</si>
  <si>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</si>
  <si>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</si>
  <si>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</si>
  <si>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</si>
  <si>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</si>
  <si>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</si>
  <si>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</si>
  <si>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</si>
  <si>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</si>
  <si>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</si>
  <si>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</si>
  <si>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</si>
  <si>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</si>
  <si>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</si>
  <si>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</si>
  <si>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</si>
  <si>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</si>
  <si>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</si>
  <si>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</si>
  <si>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</si>
  <si>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</si>
  <si>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</si>
  <si>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</si>
  <si>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</si>
  <si>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</si>
  <si>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</si>
  <si>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</si>
  <si>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</si>
  <si>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</si>
  <si>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</si>
  <si>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</si>
  <si>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</si>
  <si>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</si>
  <si>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</si>
  <si>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</si>
  <si>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</si>
  <si>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</si>
  <si>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</si>
  <si>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</si>
  <si>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</si>
  <si>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</si>
  <si>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</si>
  <si>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</si>
  <si>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</si>
  <si>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</si>
  <si>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</si>
  <si>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</si>
  <si>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</si>
  <si>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</si>
  <si>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</si>
  <si>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</si>
  <si>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</si>
  <si>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</si>
  <si>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</si>
  <si>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</si>
  <si>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</si>
  <si>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</si>
  <si>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</si>
  <si>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</si>
  <si>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</si>
  <si>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</si>
  <si>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</si>
  <si>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</si>
  <si>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</si>
  <si>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</si>
  <si>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</si>
  <si>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</si>
  <si>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</si>
  <si>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</si>
  <si>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</si>
  <si>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</si>
  <si>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</si>
  <si>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</si>
  <si>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</si>
  <si>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</si>
  <si>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</si>
  <si>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</si>
  <si>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</si>
  <si>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</si>
  <si>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</si>
  <si>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</si>
  <si>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</si>
  <si>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</si>
  <si>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</si>
  <si>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</si>
  <si>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</si>
  <si>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</si>
  <si>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</si>
  <si>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</si>
  <si>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</si>
  <si>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</si>
  <si>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</si>
  <si>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</si>
  <si>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</si>
  <si>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</si>
  <si>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</si>
  <si>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</si>
  <si>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</si>
  <si>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</si>
  <si>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</si>
  <si>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</si>
  <si>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</si>
  <si>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</si>
  <si>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</si>
  <si>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</si>
  <si>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</si>
  <si>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</si>
  <si>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</si>
  <si>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</si>
  <si>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</si>
  <si>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</si>
  <si>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</si>
  <si>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</si>
  <si>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</si>
  <si>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</si>
  <si>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</si>
  <si>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</si>
  <si>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</si>
  <si>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</si>
  <si>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</si>
  <si>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</si>
  <si>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</si>
  <si>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</si>
  <si>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</si>
  <si>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</si>
  <si>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</si>
  <si>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</si>
  <si>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</si>
  <si>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</si>
  <si>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</si>
  <si>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</si>
  <si>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</si>
  <si>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</si>
  <si>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</si>
  <si>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</si>
  <si>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</si>
  <si>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</si>
  <si>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</si>
  <si>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</si>
  <si>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</si>
  <si>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</si>
  <si>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</si>
  <si>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</si>
  <si>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</si>
  <si>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</si>
  <si>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</si>
  <si>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</si>
  <si>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</si>
  <si>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</si>
  <si>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</si>
  <si>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</si>
  <si>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</si>
  <si>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</si>
  <si>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</si>
  <si>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</si>
  <si>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</si>
  <si>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</si>
  <si>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</si>
  <si>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</si>
  <si>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</si>
  <si>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</si>
  <si>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</si>
  <si>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</si>
  <si>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</si>
  <si>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</si>
  <si>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</si>
  <si>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</si>
  <si>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</si>
  <si>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</si>
  <si>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</si>
  <si>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</si>
  <si>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</si>
  <si>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</si>
  <si>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</si>
  <si>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</si>
  <si>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</si>
  <si>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</si>
  <si>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</si>
  <si>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</si>
  <si>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</si>
  <si>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</si>
  <si>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</si>
  <si>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</si>
  <si>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</si>
  <si>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</si>
  <si>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</si>
  <si>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</si>
  <si>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</si>
  <si>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</si>
  <si>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</si>
  <si>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</si>
  <si>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</si>
  <si>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</si>
  <si>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</si>
  <si>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</si>
  <si>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</si>
  <si>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</si>
  <si>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</si>
  <si>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</si>
  <si>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</si>
  <si>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</si>
  <si>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</si>
  <si>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</si>
  <si>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</si>
  <si>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</si>
  <si>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</si>
  <si>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</si>
  <si>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</si>
  <si>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</si>
  <si>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</si>
  <si>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</si>
  <si>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</si>
  <si>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</si>
  <si>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</si>
  <si>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</si>
  <si>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</si>
  <si>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</si>
  <si>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</si>
  <si>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</si>
  <si>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</si>
  <si>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</si>
  <si>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</si>
  <si>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</si>
  <si>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</si>
  <si>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</si>
  <si>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</si>
  <si>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</si>
  <si>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</si>
  <si>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</si>
  <si>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</si>
  <si>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</si>
  <si>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</si>
  <si>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</si>
  <si>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</si>
  <si>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</si>
  <si>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</si>
  <si>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</si>
  <si>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</si>
  <si>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</si>
  <si>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</si>
  <si>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</si>
  <si>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</si>
  <si>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</si>
  <si>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</si>
  <si>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</si>
  <si>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</si>
  <si>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</si>
  <si>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</si>
  <si>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</si>
  <si>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</si>
  <si>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</si>
  <si>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</si>
  <si>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</si>
  <si>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</si>
  <si>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</si>
  <si>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</si>
  <si>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</si>
  <si>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</si>
  <si>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</si>
  <si>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</si>
  <si>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</si>
  <si>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</si>
  <si>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</si>
  <si>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</si>
  <si>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</si>
  <si>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</si>
  <si>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</si>
  <si>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</si>
  <si>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</si>
  <si>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</si>
  <si>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</si>
  <si>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</si>
  <si>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</si>
  <si>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</si>
  <si>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</si>
  <si>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</si>
  <si>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</si>
  <si>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</si>
  <si>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</si>
  <si>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</si>
  <si>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</si>
  <si>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</si>
  <si>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</si>
  <si>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</si>
  <si>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</si>
  <si>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</si>
  <si>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</si>
  <si>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</si>
  <si>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</si>
  <si>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</si>
  <si>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</si>
  <si>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</si>
  <si>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</si>
  <si>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</si>
  <si>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</si>
  <si>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</si>
  <si>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</si>
  <si>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</si>
  <si>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</si>
  <si>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</si>
  <si>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</si>
  <si>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</si>
  <si>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</si>
  <si>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</si>
  <si>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</si>
  <si>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</si>
  <si>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</si>
  <si>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</si>
  <si>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</si>
  <si>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</si>
  <si>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</si>
  <si>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</si>
  <si>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</si>
  <si>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</si>
  <si>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</si>
  <si>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</si>
  <si>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</si>
  <si>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</si>
  <si>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</si>
  <si>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</si>
  <si>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</si>
  <si>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</si>
  <si>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</si>
  <si>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</si>
  <si>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</si>
  <si>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</si>
  <si>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</si>
  <si>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</si>
  <si>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</si>
  <si>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</si>
  <si>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</si>
  <si>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</si>
  <si>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</si>
  <si>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</si>
  <si>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</si>
  <si>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</si>
  <si>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</si>
  <si>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</si>
  <si>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</si>
  <si>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</si>
  <si>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</si>
  <si>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</si>
  <si>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</si>
  <si>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</si>
  <si>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</si>
  <si>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</si>
  <si>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</si>
  <si>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</si>
  <si>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</si>
  <si>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</si>
  <si>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</si>
  <si>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</si>
  <si>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</si>
  <si>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</si>
  <si>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</si>
  <si>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</si>
  <si>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</si>
  <si>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</si>
  <si>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</si>
  <si>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</si>
  <si>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</si>
  <si>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</si>
  <si>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</si>
  <si>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</si>
  <si>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</si>
  <si>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</si>
  <si>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</si>
  <si>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</si>
  <si>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</si>
  <si>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</si>
  <si>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</si>
  <si>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</si>
  <si>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</si>
  <si>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</si>
  <si>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</si>
  <si>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</si>
  <si>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</si>
  <si>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</si>
  <si>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</si>
  <si>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</si>
  <si>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</si>
  <si>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</si>
  <si>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</si>
  <si>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</si>
  <si>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</si>
  <si>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</si>
  <si>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</si>
  <si>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</si>
  <si>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</si>
  <si>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</si>
  <si>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</si>
  <si>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</si>
  <si>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</si>
  <si>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</si>
  <si>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</si>
  <si>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</si>
  <si>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</si>
  <si>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</si>
  <si>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</si>
  <si>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</si>
  <si>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</si>
  <si>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</si>
  <si>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</si>
  <si>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</si>
  <si>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</si>
  <si>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</si>
  <si>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</si>
  <si>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</si>
  <si>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</si>
  <si>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</si>
  <si>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</si>
  <si>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</si>
  <si>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</si>
  <si>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</si>
  <si>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</si>
  <si>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</si>
  <si>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</si>
  <si>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</si>
  <si>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</si>
  <si>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</si>
  <si>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</si>
  <si>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</si>
  <si>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</si>
  <si>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</si>
  <si>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</si>
  <si>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</si>
  <si>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</si>
  <si>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</si>
  <si>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</si>
  <si>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</si>
  <si>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</si>
  <si>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</si>
  <si>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</si>
  <si>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</si>
  <si>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</si>
  <si>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</si>
  <si>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</si>
  <si>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</si>
  <si>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</si>
  <si>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</si>
  <si>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</si>
  <si>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</si>
  <si>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</si>
  <si>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</si>
  <si>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</si>
  <si>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</si>
  <si>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</si>
  <si>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</si>
  <si>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</si>
  <si>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</si>
  <si>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</si>
  <si>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</si>
  <si>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</si>
  <si>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</si>
  <si>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</si>
  <si>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</si>
  <si>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</si>
  <si>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</si>
  <si>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</si>
  <si>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</si>
  <si>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</si>
  <si>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</si>
  <si>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</si>
  <si>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</si>
  <si>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</si>
  <si>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</si>
  <si>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</si>
  <si>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</si>
  <si>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</si>
  <si>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</si>
  <si>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</si>
  <si>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</si>
  <si>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</si>
  <si>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</si>
  <si>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</si>
  <si>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</si>
  <si>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</si>
  <si>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</si>
  <si>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</si>
  <si>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</si>
  <si>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</si>
  <si>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</si>
  <si>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</si>
  <si>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</si>
  <si>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</si>
  <si>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</si>
  <si>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</si>
  <si>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</si>
  <si>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</si>
  <si>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</si>
  <si>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</si>
  <si>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</si>
  <si>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</si>
  <si>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</si>
  <si>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</si>
  <si>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</si>
  <si>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</si>
  <si>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</si>
  <si>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</si>
  <si>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</si>
  <si>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</si>
  <si>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</si>
  <si>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</si>
  <si>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</si>
  <si>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</si>
  <si>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</si>
  <si>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</si>
  <si>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</si>
  <si>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</si>
  <si>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</si>
  <si>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</si>
  <si>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</si>
  <si>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</si>
  <si>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</si>
  <si>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</si>
  <si>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</si>
  <si>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</si>
  <si>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</si>
  <si>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</si>
  <si>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</si>
  <si>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</si>
  <si>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</si>
  <si>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</si>
  <si>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</si>
  <si>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</si>
  <si>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</si>
  <si>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</si>
  <si>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</si>
  <si>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</si>
  <si>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</si>
  <si>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</si>
  <si>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</si>
  <si>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</si>
  <si>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</si>
  <si>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</si>
  <si>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</si>
  <si>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</si>
  <si>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</si>
  <si>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</si>
  <si>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</si>
  <si>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</si>
  <si>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</si>
  <si>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</si>
  <si>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</si>
  <si>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</si>
  <si>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</si>
  <si>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</si>
  <si>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</si>
  <si>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</si>
  <si>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</si>
  <si>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</si>
  <si>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</si>
  <si>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</si>
  <si>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</si>
  <si>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</si>
  <si>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</si>
  <si>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</si>
  <si>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</si>
  <si>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</si>
  <si>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</si>
  <si>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</si>
  <si>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</si>
  <si>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</si>
  <si>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</si>
  <si>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</si>
  <si>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</si>
  <si>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</si>
  <si>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</si>
  <si>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</si>
  <si>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</si>
  <si>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</si>
  <si>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</si>
  <si>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</si>
  <si>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</si>
  <si>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</si>
  <si>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</si>
  <si>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</si>
  <si>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</si>
  <si>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</si>
  <si>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</si>
  <si>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</si>
  <si>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</si>
  <si>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</si>
  <si>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</si>
  <si>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</si>
  <si>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</si>
  <si>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</si>
  <si>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</si>
  <si>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</si>
  <si>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</si>
  <si>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</si>
  <si>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</si>
  <si>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</si>
  <si>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</si>
  <si>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</si>
  <si>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</si>
  <si>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</si>
  <si>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</si>
  <si>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</si>
  <si>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</si>
  <si>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</si>
  <si>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</si>
  <si>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</si>
  <si>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</si>
  <si>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</si>
  <si>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</si>
  <si>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</si>
  <si>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</si>
  <si>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</si>
  <si>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</si>
  <si>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</si>
  <si>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</si>
  <si>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</si>
  <si>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</si>
  <si>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</si>
  <si>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</si>
  <si>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</si>
  <si>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</si>
  <si>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</si>
  <si>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</si>
  <si>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</si>
  <si>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</si>
  <si>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</si>
  <si>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</si>
  <si>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</si>
  <si>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</si>
  <si>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</si>
  <si>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</si>
  <si>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</si>
  <si>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</si>
  <si>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</si>
  <si>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</si>
  <si>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</si>
  <si>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</si>
  <si>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</si>
  <si>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</si>
  <si>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</si>
  <si>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</si>
  <si>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</si>
  <si>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</si>
  <si>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</si>
  <si>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</si>
  <si>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</si>
  <si>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</si>
  <si>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</si>
  <si>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</si>
  <si>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</si>
  <si>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</si>
  <si>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</si>
  <si>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</si>
  <si>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</si>
  <si>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</si>
  <si>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</si>
  <si>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</si>
  <si>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</si>
  <si>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</si>
  <si>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</si>
  <si>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</si>
  <si>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</si>
  <si>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</si>
  <si>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</si>
  <si>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</si>
  <si>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</si>
  <si>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</si>
  <si>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</si>
  <si>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</si>
  <si>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</si>
  <si>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</si>
  <si>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</si>
  <si>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</si>
  <si>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</si>
  <si>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</si>
  <si>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</si>
  <si>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</si>
  <si>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</si>
  <si>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</si>
  <si>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</si>
  <si>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</si>
  <si>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</si>
  <si>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</si>
  <si>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</si>
  <si>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</si>
  <si>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</si>
  <si>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</si>
  <si>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</si>
  <si>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</si>
  <si>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</si>
  <si>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</si>
  <si>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</si>
  <si>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</si>
  <si>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</si>
  <si>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</si>
  <si>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</si>
  <si>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</si>
  <si>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</si>
  <si>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</si>
  <si>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</si>
  <si>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</si>
  <si>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</si>
  <si>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</si>
  <si>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</si>
  <si>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</si>
  <si>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</si>
  <si>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</si>
  <si>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</si>
  <si>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</si>
  <si>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</si>
  <si>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</si>
  <si>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</si>
  <si>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</si>
  <si>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</si>
  <si>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</si>
  <si>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</si>
  <si>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</si>
  <si>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</si>
  <si>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</si>
  <si>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</si>
  <si>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</si>
  <si>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</si>
  <si>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</si>
  <si>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</si>
  <si>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</si>
  <si>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</si>
  <si>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</si>
  <si>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</si>
  <si>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</si>
  <si>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</si>
  <si>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</si>
  <si>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</si>
  <si>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</si>
  <si>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</si>
  <si>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</si>
  <si>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</si>
  <si>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</si>
  <si>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</si>
  <si>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</si>
  <si>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</si>
  <si>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</si>
  <si>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</si>
  <si>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</si>
  <si>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</si>
  <si>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</si>
  <si>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</si>
  <si>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</si>
  <si>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</si>
  <si>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</si>
  <si>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</si>
  <si>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</si>
  <si>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</si>
  <si>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</si>
  <si>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</si>
  <si>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</si>
  <si>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</si>
  <si>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</si>
  <si>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</si>
  <si>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</si>
  <si>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</si>
  <si>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</si>
  <si>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</si>
  <si>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</si>
  <si>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</si>
  <si>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</si>
  <si>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</si>
  <si>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</si>
  <si>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</si>
  <si>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</si>
  <si>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</si>
  <si>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</si>
  <si>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</si>
  <si>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</si>
  <si>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</si>
  <si>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</si>
  <si>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</si>
  <si>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</si>
  <si>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</si>
  <si>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</si>
  <si>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</si>
  <si>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</si>
  <si>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</si>
  <si>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</si>
  <si>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</si>
  <si>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</si>
  <si>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</si>
  <si>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</si>
  <si>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</si>
  <si>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</si>
  <si>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</si>
  <si>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</si>
  <si>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</si>
  <si>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</si>
  <si>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</si>
  <si>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</si>
  <si>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</si>
  <si>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</si>
  <si>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</si>
  <si>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</si>
  <si>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</si>
  <si>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</si>
  <si>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</si>
  <si>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</si>
  <si>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</si>
  <si>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</si>
  <si>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</si>
  <si>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</si>
  <si>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</si>
  <si>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</si>
  <si>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</si>
  <si>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</si>
  <si>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</si>
  <si>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</si>
  <si>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</si>
  <si>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</si>
  <si>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</si>
  <si>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</si>
  <si>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</si>
  <si>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</si>
  <si>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</si>
  <si>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</si>
  <si>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</si>
  <si>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</si>
  <si>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</si>
  <si>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</si>
  <si>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</si>
  <si>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</si>
  <si>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</si>
  <si>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</si>
  <si>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</si>
  <si>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</si>
  <si>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</si>
  <si>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</si>
  <si>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</si>
  <si>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</si>
  <si>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</si>
  <si>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</si>
  <si>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</si>
  <si>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</si>
  <si>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</si>
  <si>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</si>
  <si>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</si>
  <si>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</si>
  <si>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</si>
  <si>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</si>
  <si>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</si>
  <si>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</si>
  <si>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</si>
  <si>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</si>
  <si>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</si>
  <si>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</si>
  <si>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</si>
  <si>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</si>
  <si>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</si>
  <si>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</si>
  <si>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</si>
  <si>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</si>
  <si>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</si>
  <si>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</si>
  <si>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</si>
  <si>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</si>
  <si>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</si>
  <si>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</si>
  <si>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</si>
  <si>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</si>
  <si>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</si>
  <si>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</si>
  <si>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</si>
  <si>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</si>
  <si>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</si>
  <si>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</si>
  <si>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</si>
  <si>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</si>
  <si>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</si>
  <si>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</si>
  <si>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</si>
  <si>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</si>
  <si>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</si>
  <si>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</si>
  <si>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</si>
  <si>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</si>
  <si>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</si>
  <si>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</si>
  <si>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</si>
  <si>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</si>
  <si>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</si>
  <si>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</si>
  <si>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</si>
  <si>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</si>
  <si>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</si>
  <si>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</si>
  <si>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</si>
  <si>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</si>
  <si>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</si>
  <si>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</si>
  <si>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</si>
  <si>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</si>
  <si>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</si>
  <si>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</si>
  <si>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</si>
  <si>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</si>
  <si>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</si>
  <si>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</si>
  <si>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</si>
  <si>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</si>
  <si>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</si>
  <si>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</si>
  <si>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</si>
  <si>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</si>
  <si>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</si>
  <si>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</si>
  <si>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</si>
  <si>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</si>
  <si>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</si>
  <si>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</si>
  <si>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</si>
  <si>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</si>
  <si>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</si>
  <si>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</si>
  <si>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</si>
  <si>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</si>
  <si>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</si>
  <si>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</si>
  <si>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</si>
  <si>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</si>
  <si>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</si>
  <si>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</si>
  <si>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</si>
  <si>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</si>
  <si>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</si>
  <si>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</si>
  <si>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</si>
  <si>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</si>
  <si>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</si>
  <si>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</si>
  <si>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</si>
  <si>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</si>
  <si>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</si>
  <si>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</si>
  <si>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</si>
  <si>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</si>
  <si>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</si>
  <si>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</si>
  <si>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</si>
  <si>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</si>
  <si>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</si>
  <si>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</si>
  <si>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</si>
  <si>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</si>
  <si>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</si>
  <si>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</si>
  <si>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</si>
  <si>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</si>
  <si>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</si>
  <si>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</si>
  <si>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</si>
  <si>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</si>
  <si>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</si>
  <si>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</si>
  <si>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</si>
  <si>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</si>
  <si>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</si>
  <si>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</si>
  <si>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</si>
  <si>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</si>
  <si>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</si>
  <si>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</si>
  <si>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</si>
  <si>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</si>
  <si>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</si>
  <si>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</si>
  <si>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</si>
  <si>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</si>
  <si>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</si>
  <si>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</si>
  <si>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</si>
  <si>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</si>
  <si>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</si>
  <si>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</si>
  <si>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</si>
  <si>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</si>
  <si>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</si>
  <si>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</si>
  <si>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</si>
  <si>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</si>
  <si>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</si>
  <si>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</si>
  <si>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</si>
  <si>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</si>
  <si>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</si>
  <si>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</si>
  <si>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</si>
  <si>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</si>
  <si>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</si>
  <si>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</si>
  <si>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</si>
  <si>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</si>
  <si>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</si>
  <si>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</si>
  <si>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</si>
  <si>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</si>
  <si>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</si>
  <si>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</si>
  <si>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</si>
  <si>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</si>
  <si>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</si>
  <si>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</si>
  <si>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</si>
  <si>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</si>
  <si>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</si>
  <si>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</si>
  <si>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</si>
  <si>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</si>
  <si>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</si>
  <si>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</si>
  <si>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</si>
  <si>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</si>
  <si>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</si>
  <si>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</si>
  <si>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</si>
  <si>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</si>
  <si>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</si>
  <si>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</si>
  <si>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</si>
  <si>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</si>
  <si>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</si>
  <si>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</si>
  <si>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</si>
  <si>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</si>
  <si>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</si>
  <si>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</si>
  <si>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</si>
  <si>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</si>
  <si>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</si>
  <si>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</si>
  <si>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</si>
  <si>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</si>
  <si>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</si>
  <si>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</si>
  <si>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</si>
  <si>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</si>
  <si>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</si>
  <si>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</si>
  <si>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</si>
  <si>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</si>
  <si>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</si>
  <si>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</si>
  <si>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</si>
  <si>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</si>
  <si>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</si>
  <si>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</si>
  <si>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</si>
  <si>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</si>
  <si>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</si>
  <si>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</si>
  <si>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</si>
  <si>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</si>
  <si>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</si>
  <si>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</si>
  <si>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</si>
  <si>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</si>
  <si>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</si>
  <si>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</si>
  <si>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</si>
  <si>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</si>
  <si>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</si>
  <si>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</si>
  <si>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</si>
  <si>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</si>
  <si>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</si>
  <si>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</si>
  <si>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</si>
  <si>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</si>
  <si>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</si>
  <si>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</si>
  <si>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</si>
  <si>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</si>
  <si>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</si>
  <si>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</si>
  <si>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</si>
  <si>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</si>
  <si>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</si>
  <si>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</si>
  <si>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</si>
  <si>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</si>
  <si>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</si>
  <si>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</si>
  <si>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</si>
  <si>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</si>
  <si>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</si>
  <si>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</si>
  <si>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</si>
  <si>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</si>
  <si>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</si>
  <si>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</si>
  <si>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</si>
  <si>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</si>
  <si>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</si>
  <si>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</si>
  <si>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</si>
  <si>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</si>
  <si>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</si>
  <si>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</si>
  <si>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</si>
  <si>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</si>
  <si>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</si>
  <si>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</si>
  <si>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</si>
  <si>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</si>
  <si>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</si>
  <si>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</si>
  <si>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</si>
  <si>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</si>
  <si>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</si>
  <si>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</si>
  <si>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</si>
  <si>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</si>
  <si>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</si>
  <si>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</si>
  <si>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</si>
  <si>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</si>
  <si>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</si>
  <si>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</si>
  <si>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</si>
  <si>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</si>
  <si>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</si>
  <si>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</si>
  <si>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</si>
  <si>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</si>
  <si>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</si>
  <si>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</si>
  <si>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</si>
  <si>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</si>
  <si>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</si>
  <si>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</si>
  <si>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</si>
  <si>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</si>
  <si>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</si>
  <si>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</si>
  <si>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</si>
  <si>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</si>
  <si>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</si>
  <si>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</si>
  <si>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</si>
  <si>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</si>
  <si>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</si>
  <si>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</si>
  <si>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</si>
  <si>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</si>
  <si>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</si>
  <si>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</si>
  <si>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</si>
  <si>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</si>
  <si>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</si>
  <si>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</si>
  <si>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</si>
  <si>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</si>
  <si>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</si>
  <si>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</si>
  <si>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</si>
  <si>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</si>
  <si>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</si>
  <si>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</si>
  <si>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</si>
  <si>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</si>
  <si>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</si>
  <si>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</si>
  <si>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</si>
  <si>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</si>
  <si>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</si>
  <si>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</si>
  <si>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</si>
  <si>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</si>
  <si>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</si>
  <si>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</si>
  <si>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</si>
  <si>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</si>
  <si>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</si>
  <si>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</si>
  <si>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</si>
  <si>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</si>
  <si>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</si>
  <si>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</si>
  <si>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</si>
  <si>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</si>
  <si>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</si>
  <si>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</si>
  <si>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</si>
  <si>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</si>
  <si>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</si>
  <si>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</si>
  <si>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</si>
  <si>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</si>
  <si>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</si>
  <si>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</si>
  <si>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</si>
  <si>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</si>
  <si>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</si>
  <si>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</si>
  <si>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</si>
  <si>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</si>
  <si>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</si>
  <si>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</si>
  <si>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</si>
  <si>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</si>
  <si>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</si>
  <si>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</si>
  <si>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</si>
  <si>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</si>
  <si>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</si>
  <si>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</si>
  <si>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</si>
  <si>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</si>
  <si>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</si>
  <si>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</si>
  <si>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</si>
  <si>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</si>
  <si>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</si>
  <si>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</si>
  <si>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</si>
  <si>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</si>
  <si>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</si>
  <si>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</si>
  <si>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</si>
  <si>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</si>
  <si>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</si>
  <si>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</si>
  <si>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</si>
  <si>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</si>
  <si>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</si>
  <si>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</si>
  <si>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</si>
  <si>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</si>
  <si>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</si>
  <si>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</si>
  <si>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</si>
  <si>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</si>
  <si>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</si>
  <si>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</si>
  <si>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</si>
  <si>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</si>
  <si>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</si>
  <si>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</si>
  <si>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</si>
  <si>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</si>
  <si>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</si>
  <si>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</si>
  <si>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</si>
  <si>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</si>
  <si>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</si>
  <si>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</si>
  <si>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</si>
  <si>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</si>
  <si>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</si>
  <si>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</si>
  <si>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</si>
  <si>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</si>
  <si>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</si>
  <si>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</si>
  <si>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</si>
  <si>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</si>
  <si>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</si>
  <si>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</si>
  <si>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</si>
  <si>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</si>
  <si>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</si>
  <si>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</si>
  <si>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</si>
  <si>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</si>
  <si>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</si>
  <si>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</si>
  <si>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</si>
  <si>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</si>
  <si>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</si>
  <si>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</si>
  <si>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</si>
  <si>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</si>
  <si>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</si>
  <si>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</si>
  <si>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</si>
  <si>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</si>
  <si>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</si>
  <si>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</si>
  <si>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</si>
  <si>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</si>
  <si>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</si>
  <si>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</si>
  <si>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</si>
  <si>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</si>
  <si>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</si>
  <si>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</si>
  <si>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</si>
  <si>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</si>
  <si>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</si>
  <si>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</si>
  <si>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</si>
  <si>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</si>
  <si>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</si>
  <si>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</si>
  <si>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</si>
  <si>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</si>
  <si>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</si>
  <si>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</si>
  <si>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</si>
  <si>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</si>
  <si>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</si>
  <si>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</si>
  <si>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</si>
  <si>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</si>
  <si>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</si>
  <si>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</si>
  <si>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</si>
  <si>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</si>
  <si>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</si>
  <si>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</si>
  <si>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</si>
  <si>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</si>
  <si>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</si>
  <si>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</si>
  <si>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</si>
  <si>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</si>
  <si>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</si>
  <si>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</si>
  <si>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</si>
  <si>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</si>
  <si>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</si>
  <si>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</si>
  <si>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</si>
  <si>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</si>
  <si>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</si>
  <si>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</si>
  <si>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</si>
  <si>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</si>
  <si>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</si>
  <si>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</si>
  <si>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</si>
  <si>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</si>
  <si>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</si>
  <si>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</si>
  <si>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</si>
  <si>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</si>
  <si>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</si>
  <si>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</si>
  <si>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</si>
  <si>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</si>
  <si>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</si>
  <si>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</si>
  <si>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</si>
  <si>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</si>
  <si>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</si>
  <si>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</si>
  <si>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</si>
  <si>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</si>
  <si>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</si>
  <si>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</si>
  <si>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</si>
  <si>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</si>
  <si>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</si>
  <si>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</si>
  <si>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</si>
  <si>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</si>
  <si>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</si>
  <si>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</si>
  <si>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</si>
  <si>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</si>
  <si>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</si>
  <si>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</si>
  <si>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</si>
  <si>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</si>
  <si>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</si>
  <si>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</si>
  <si>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</si>
  <si>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</si>
  <si>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</si>
  <si>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</si>
  <si>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</si>
  <si>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</si>
  <si>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</si>
  <si>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</si>
  <si>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</si>
  <si>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</si>
  <si>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</si>
  <si>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</si>
  <si>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</si>
  <si>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</si>
  <si>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</si>
  <si>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</si>
  <si>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</si>
  <si>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</si>
  <si>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</si>
  <si>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</si>
  <si>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</si>
  <si>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</si>
  <si>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</si>
  <si>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</si>
  <si>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</si>
  <si>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</si>
  <si>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</si>
  <si>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</si>
  <si>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</si>
  <si>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</si>
  <si>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</si>
  <si>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</si>
  <si>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</si>
  <si>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</si>
  <si>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</si>
  <si>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</si>
  <si>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</si>
  <si>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</si>
  <si>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</si>
  <si>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</si>
  <si>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</si>
  <si>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</si>
  <si>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</si>
  <si>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</si>
  <si>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</si>
  <si>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</si>
  <si>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</si>
  <si>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</si>
  <si>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</si>
  <si>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</si>
  <si>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</si>
  <si>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</si>
  <si>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</si>
  <si>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</si>
  <si>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</si>
  <si>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</si>
  <si>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</si>
  <si>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</si>
  <si>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</si>
  <si>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</si>
  <si>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</si>
  <si>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</si>
  <si>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</si>
  <si>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</si>
  <si>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</si>
  <si>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</si>
  <si>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</si>
  <si>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</si>
  <si>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</si>
  <si>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</si>
  <si>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</si>
  <si>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</si>
  <si>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</si>
  <si>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</si>
  <si>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</si>
  <si>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</si>
  <si>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</si>
  <si>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</si>
  <si>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</si>
  <si>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</si>
  <si>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</si>
  <si>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</si>
  <si>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</si>
  <si>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</si>
  <si>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</si>
  <si>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</si>
  <si>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</si>
  <si>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</si>
  <si>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</si>
  <si>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</si>
  <si>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</si>
  <si>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</si>
  <si>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</si>
  <si>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</si>
  <si>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</si>
  <si>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</si>
  <si>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</si>
  <si>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</si>
  <si>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</si>
  <si>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</si>
  <si>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</si>
  <si>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</si>
  <si>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</si>
  <si>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</si>
  <si>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</si>
  <si>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</si>
  <si>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</si>
  <si>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</si>
  <si>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</si>
  <si>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</si>
  <si>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</si>
  <si>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</si>
  <si>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</si>
  <si>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</si>
  <si>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</si>
  <si>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</si>
  <si>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</si>
  <si>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</si>
  <si>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</si>
  <si>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</si>
  <si>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</si>
  <si>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</si>
  <si>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</si>
  <si>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</si>
  <si>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</si>
  <si>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</si>
  <si>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</si>
  <si>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</si>
  <si>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</si>
  <si>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</si>
  <si>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</si>
  <si>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</si>
  <si>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</si>
  <si>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</si>
  <si>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</si>
  <si>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</si>
  <si>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</si>
  <si>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</si>
  <si>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</si>
  <si>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</si>
  <si>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</si>
  <si>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</si>
  <si>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</si>
  <si>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</si>
  <si>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</si>
  <si>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</si>
  <si>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</si>
  <si>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</si>
  <si>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</si>
  <si>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</si>
  <si>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</si>
  <si>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</si>
  <si>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</si>
  <si>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</si>
  <si>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</si>
  <si>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</si>
  <si>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</si>
  <si>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</si>
  <si>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</si>
  <si>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</si>
  <si>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</si>
  <si>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</si>
  <si>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</si>
  <si>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</si>
  <si>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</si>
  <si>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</si>
  <si>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</si>
  <si>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</si>
  <si>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</si>
  <si>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</si>
  <si>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</si>
  <si>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</si>
  <si>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</si>
  <si>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</si>
  <si>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</si>
  <si>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</si>
  <si>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</si>
  <si>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</si>
  <si>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</si>
  <si>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</si>
  <si>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</si>
  <si>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</si>
  <si>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</si>
  <si>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</si>
  <si>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</si>
  <si>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</si>
  <si>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</si>
  <si>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</si>
  <si>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</si>
  <si>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</si>
  <si>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</si>
  <si>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</si>
  <si>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</si>
  <si>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</si>
  <si>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</si>
  <si>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</si>
  <si>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</si>
  <si>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</si>
  <si>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</si>
  <si>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</si>
  <si>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</si>
  <si>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</si>
  <si>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</si>
  <si>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</si>
  <si>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</si>
  <si>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</si>
  <si>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</si>
  <si>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</si>
  <si>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</si>
  <si>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</si>
  <si>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</si>
  <si>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</si>
  <si>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</si>
  <si>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</si>
  <si>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</si>
  <si>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</si>
  <si>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</si>
  <si>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</si>
  <si>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</si>
  <si>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</si>
  <si>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</si>
  <si>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</si>
  <si>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</si>
  <si>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</si>
  <si>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</si>
  <si>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</si>
  <si>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</si>
  <si>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</si>
  <si>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</si>
  <si>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</si>
  <si>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</si>
  <si>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</si>
  <si>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</si>
  <si>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</si>
  <si>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</si>
  <si>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</si>
  <si>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</si>
  <si>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</si>
  <si>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</si>
  <si>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</si>
  <si>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</si>
  <si>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</si>
  <si>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</si>
  <si>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</si>
  <si>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</si>
  <si>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</si>
  <si>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</si>
  <si>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</si>
  <si>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</si>
  <si>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</si>
  <si>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</si>
  <si>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</si>
  <si>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</si>
  <si>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</si>
  <si>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</si>
  <si>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</si>
  <si>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</si>
  <si>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</si>
  <si>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</si>
  <si>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</si>
  <si>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</si>
  <si>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</si>
  <si>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</si>
  <si>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</si>
  <si>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</si>
  <si>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</si>
  <si>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</si>
  <si>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</si>
  <si>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</si>
  <si>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</si>
  <si>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</si>
  <si>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</si>
  <si>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</si>
  <si>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</si>
  <si>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</si>
  <si>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</si>
  <si>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</si>
  <si>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</si>
  <si>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</si>
  <si>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</si>
  <si>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</si>
  <si>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</si>
  <si>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</si>
  <si>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</si>
  <si>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</si>
  <si>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</si>
  <si>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</si>
  <si>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</si>
  <si>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</si>
  <si>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</si>
  <si>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</si>
  <si>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</si>
  <si>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</si>
  <si>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</si>
  <si>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</si>
  <si>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</si>
  <si>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</si>
  <si>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</si>
  <si>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</si>
  <si>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</si>
  <si>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</si>
  <si>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</si>
  <si>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</si>
  <si>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</si>
  <si>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</si>
  <si>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</si>
  <si>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</si>
  <si>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</si>
  <si>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</si>
  <si>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</si>
  <si>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</si>
  <si>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</si>
  <si>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</si>
  <si>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</si>
  <si>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</si>
  <si>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</si>
  <si>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</si>
  <si>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</si>
  <si>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</si>
  <si>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</si>
  <si>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</si>
  <si>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</si>
  <si>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</si>
  <si>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</si>
  <si>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</si>
  <si>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</si>
  <si>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</si>
  <si>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</si>
  <si>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</si>
  <si>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</si>
  <si>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</si>
  <si>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</si>
  <si>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</si>
  <si>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</si>
  <si>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</si>
  <si>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</si>
  <si>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</si>
  <si>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</si>
  <si>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</si>
  <si>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</si>
  <si>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</si>
  <si>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</si>
  <si>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</si>
  <si>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</si>
  <si>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</si>
  <si>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</si>
  <si>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</si>
  <si>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</si>
  <si>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</si>
  <si>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</si>
  <si>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</si>
  <si>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</si>
  <si>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</si>
  <si>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</si>
  <si>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</si>
  <si>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</si>
  <si>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</si>
  <si>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</si>
  <si>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</si>
  <si>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</si>
  <si>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</si>
  <si>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</si>
  <si>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</si>
  <si>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</si>
  <si>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</si>
  <si>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</si>
  <si>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</si>
  <si>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</si>
  <si>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</si>
  <si>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</si>
  <si>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</si>
  <si>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</si>
  <si>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</si>
  <si>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</si>
  <si>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</si>
  <si>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</si>
  <si>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</si>
  <si>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</si>
  <si>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</si>
  <si>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</si>
  <si>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</si>
  <si>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</si>
  <si>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</si>
  <si>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</si>
  <si>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</si>
  <si>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</si>
  <si>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</si>
  <si>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</si>
  <si>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</si>
  <si>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</si>
  <si>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</si>
  <si>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</si>
  <si>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</si>
  <si>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</si>
  <si>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</si>
  <si>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</si>
  <si>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</si>
  <si>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</si>
  <si>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</si>
  <si>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</si>
  <si>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</si>
  <si>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</si>
  <si>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</si>
  <si>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</si>
  <si>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</si>
  <si>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</si>
  <si>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</si>
  <si>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</si>
  <si>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</si>
  <si>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</si>
  <si>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</si>
  <si>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</si>
  <si>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</si>
  <si>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</si>
  <si>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</si>
  <si>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</si>
  <si>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</si>
  <si>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</si>
  <si>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</si>
  <si>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</si>
  <si>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</si>
  <si>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</si>
  <si>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</si>
  <si>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</si>
  <si>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</si>
  <si>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</si>
  <si>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</si>
  <si>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</si>
  <si>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</si>
  <si>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</si>
  <si>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</si>
  <si>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</si>
  <si>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</si>
  <si>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</si>
  <si>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</si>
  <si>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</si>
  <si>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</si>
  <si>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</si>
  <si>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</si>
  <si>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</si>
  <si>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</si>
  <si>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</si>
  <si>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</si>
  <si>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</si>
  <si>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</si>
  <si>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</si>
  <si>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</si>
  <si>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</si>
  <si>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</si>
  <si>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</si>
  <si>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</si>
  <si>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</si>
  <si>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</si>
  <si>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</si>
  <si>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</si>
  <si>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</si>
  <si>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</si>
  <si>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</si>
  <si>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</si>
  <si>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</si>
  <si>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</si>
  <si>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</si>
  <si>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</si>
  <si>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</si>
  <si>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</si>
  <si>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</si>
  <si>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</si>
  <si>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</si>
  <si>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</si>
  <si>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</si>
  <si>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</si>
  <si>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</si>
  <si>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</si>
  <si>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</si>
  <si>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</si>
  <si>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</si>
  <si>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</si>
  <si>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</si>
  <si>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</si>
  <si>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</si>
  <si>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</si>
  <si>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</si>
  <si>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</si>
  <si>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</si>
  <si>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</si>
  <si>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</si>
  <si>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</si>
  <si>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</si>
  <si>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</si>
  <si>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</si>
  <si>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</si>
  <si>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</si>
  <si>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</si>
  <si>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</si>
  <si>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</si>
  <si>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</si>
  <si>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</si>
  <si>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</si>
  <si>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</si>
  <si>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</si>
  <si>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</si>
  <si>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</si>
  <si>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</si>
  <si>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</si>
  <si>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</si>
  <si>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</si>
  <si>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</si>
  <si>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</si>
  <si>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</si>
  <si>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</si>
  <si>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</si>
  <si>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</si>
  <si>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</si>
  <si>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</si>
  <si>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</si>
  <si>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</si>
  <si>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</si>
  <si>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</si>
  <si>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</si>
  <si>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</si>
  <si>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</si>
  <si>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</si>
  <si>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</si>
  <si>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</si>
  <si>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</si>
  <si>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</si>
  <si>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</si>
  <si>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</si>
  <si>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</si>
  <si>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</si>
  <si>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</si>
  <si>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</si>
  <si>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</si>
  <si>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</si>
  <si>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</si>
  <si>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</si>
  <si>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</si>
  <si>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</si>
  <si>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</si>
  <si>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</si>
  <si>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</si>
  <si>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</si>
  <si>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</si>
  <si>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</si>
  <si>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</si>
  <si>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</si>
  <si>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</si>
  <si>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</si>
  <si>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</si>
  <si>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</si>
  <si>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</si>
  <si>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</si>
  <si>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</si>
  <si>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</si>
  <si>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</si>
  <si>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</si>
  <si>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</si>
  <si>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</si>
  <si>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</si>
  <si>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</si>
  <si>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</si>
  <si>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</si>
  <si>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</si>
  <si>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</si>
  <si>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</si>
  <si>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</si>
  <si>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</si>
  <si>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</si>
  <si>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</si>
  <si>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</si>
  <si>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</si>
  <si>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</si>
  <si>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</si>
  <si>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</si>
  <si>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</si>
  <si>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</si>
  <si>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</si>
  <si>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</si>
  <si>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</si>
  <si>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</si>
  <si>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</si>
  <si>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</si>
  <si>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</si>
  <si>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</si>
  <si>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</si>
  <si>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</si>
  <si>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</si>
  <si>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</si>
  <si>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</si>
  <si>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</si>
  <si>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</si>
  <si>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</si>
  <si>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</si>
  <si>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</si>
  <si>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</si>
  <si>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</si>
  <si>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</si>
  <si>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</si>
  <si>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</si>
  <si>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</si>
  <si>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</si>
  <si>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</si>
  <si>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</si>
  <si>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</si>
  <si>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</si>
  <si>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</si>
  <si>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</si>
  <si>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</si>
  <si>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</si>
  <si>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</si>
  <si>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</si>
  <si>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</si>
  <si>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</si>
  <si>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</si>
  <si>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</si>
  <si>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</si>
  <si>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</si>
  <si>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</si>
  <si>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</si>
  <si>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</si>
  <si>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</si>
  <si>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</si>
  <si>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</si>
  <si>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</si>
  <si>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</si>
  <si>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</si>
  <si>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</si>
  <si>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</si>
  <si>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</si>
  <si>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</si>
  <si>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</si>
  <si>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</si>
  <si>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</si>
  <si>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</si>
  <si>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</si>
  <si>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</si>
  <si>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</si>
  <si>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</si>
  <si>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</si>
  <si>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</si>
  <si>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</si>
  <si>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</si>
  <si>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</si>
  <si>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</si>
  <si>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</si>
  <si>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</si>
  <si>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</si>
  <si>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</si>
  <si>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</si>
  <si>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</si>
  <si>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</si>
  <si>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</si>
  <si>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</si>
  <si>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</si>
  <si>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</si>
  <si>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</si>
  <si>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</si>
  <si>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</si>
  <si>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</si>
  <si>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</si>
  <si>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</si>
  <si>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</si>
  <si>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</si>
  <si>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</si>
  <si>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</si>
  <si>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</si>
  <si>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</si>
  <si>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</si>
  <si>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</si>
  <si>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</si>
  <si>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</si>
  <si>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</si>
  <si>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</si>
  <si>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</si>
  <si>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</si>
  <si>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</si>
  <si>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</si>
  <si>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</si>
  <si>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</si>
  <si>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</si>
  <si>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</si>
  <si>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</si>
  <si>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</si>
  <si>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</si>
  <si>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</si>
  <si>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</si>
  <si>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</si>
  <si>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</si>
  <si>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</si>
  <si>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</si>
  <si>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</si>
  <si>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</si>
  <si>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</si>
  <si>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</si>
  <si>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</si>
  <si>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</si>
  <si>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</si>
  <si>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</si>
  <si>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</si>
  <si>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</si>
  <si>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</si>
  <si>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</si>
  <si>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</si>
  <si>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</si>
  <si>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</si>
  <si>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</si>
  <si>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</si>
  <si>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</si>
  <si>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</si>
  <si>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</si>
  <si>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</si>
  <si>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</si>
  <si>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</si>
  <si>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</si>
  <si>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</si>
  <si>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</si>
  <si>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</si>
  <si>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</si>
  <si>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</si>
  <si>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</si>
  <si>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</si>
  <si>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</si>
  <si>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</si>
  <si>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</si>
  <si>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</si>
  <si>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</si>
  <si>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</si>
  <si>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</si>
  <si>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</si>
  <si>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</si>
  <si>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</si>
  <si>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</si>
  <si>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</si>
  <si>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</si>
  <si>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</si>
  <si>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</si>
  <si>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</si>
  <si>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</si>
  <si>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</si>
  <si>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</si>
  <si>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</si>
  <si>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</si>
  <si>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</si>
  <si>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</si>
  <si>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</si>
  <si>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</si>
  <si>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</si>
  <si>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</si>
  <si>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</si>
  <si>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</si>
  <si>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</si>
  <si>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</si>
  <si>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</si>
  <si>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</si>
  <si>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</si>
  <si>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</si>
  <si>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</si>
  <si>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</si>
  <si>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</si>
  <si>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</si>
  <si>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</si>
  <si>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</si>
  <si>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</si>
  <si>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</si>
  <si>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</si>
  <si>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</si>
  <si>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</si>
  <si>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</si>
  <si>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</si>
  <si>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</si>
  <si>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</si>
  <si>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</si>
  <si>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</si>
  <si>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</si>
  <si>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</si>
  <si>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</si>
  <si>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</si>
  <si>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</si>
  <si>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</si>
  <si>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</si>
  <si>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</si>
  <si>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</si>
  <si>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</si>
  <si>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</si>
  <si>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</si>
  <si>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</si>
  <si>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</si>
  <si>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</si>
  <si>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</si>
  <si>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</si>
  <si>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</si>
  <si>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</si>
  <si>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</si>
  <si>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</si>
  <si>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</si>
  <si>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</si>
  <si>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</si>
  <si>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</si>
  <si>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</si>
  <si>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</si>
  <si>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</si>
  <si>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</si>
  <si>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</si>
  <si>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</si>
  <si>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</si>
  <si>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</si>
  <si>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</si>
  <si>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</si>
  <si>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</si>
  <si>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</si>
  <si>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</si>
  <si>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</si>
  <si>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</si>
  <si>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</si>
  <si>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</si>
  <si>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</si>
  <si>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</si>
  <si>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</si>
  <si>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</si>
  <si>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</si>
  <si>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</si>
  <si>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</si>
  <si>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</si>
  <si>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</si>
  <si>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</si>
  <si>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</si>
  <si>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</si>
  <si>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</si>
  <si>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</si>
  <si>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</si>
  <si>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</si>
  <si>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</si>
  <si>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</si>
  <si>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</si>
  <si>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</si>
  <si>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</si>
  <si>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</si>
  <si>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</si>
  <si>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</si>
  <si>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</si>
  <si>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</si>
  <si>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</si>
  <si>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</si>
  <si>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</si>
  <si>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</si>
  <si>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</si>
  <si>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</si>
  <si>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</si>
  <si>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</si>
  <si>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</si>
  <si>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</si>
  <si>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</si>
  <si>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</si>
  <si>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</si>
  <si>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</si>
  <si>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</si>
  <si>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</si>
  <si>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</si>
  <si>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</si>
  <si>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</si>
  <si>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</si>
  <si>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</si>
  <si>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</si>
  <si>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</si>
  <si>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</si>
  <si>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</si>
  <si>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</si>
  <si>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</si>
  <si>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</si>
  <si>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</si>
  <si>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</si>
  <si>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</si>
  <si>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</si>
  <si>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</si>
  <si>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</si>
  <si>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</si>
  <si>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</si>
  <si>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</si>
  <si>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</si>
  <si>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</si>
  <si>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</si>
  <si>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</si>
  <si>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</si>
  <si>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</si>
  <si>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</si>
  <si>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</si>
  <si>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</si>
  <si>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</si>
  <si>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</si>
  <si>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</si>
  <si>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</si>
  <si>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</si>
  <si>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</si>
  <si>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</si>
  <si>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</si>
  <si>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</si>
  <si>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</si>
  <si>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</si>
  <si>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</si>
  <si>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</si>
  <si>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</si>
  <si>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</si>
  <si>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</si>
  <si>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</si>
  <si>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</si>
  <si>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</si>
  <si>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</si>
  <si>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</si>
  <si>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</si>
  <si>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</si>
  <si>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</si>
  <si>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</si>
  <si>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</si>
  <si>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</si>
  <si>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</si>
  <si>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</si>
  <si>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</si>
  <si>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</si>
  <si>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</si>
  <si>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</si>
  <si>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</si>
  <si>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</si>
  <si>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</si>
  <si>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</si>
  <si>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</si>
  <si>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</si>
  <si>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</si>
  <si>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</si>
  <si>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</si>
  <si>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</si>
  <si>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</si>
  <si>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</si>
  <si>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</si>
  <si>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</si>
  <si>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</si>
  <si>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</si>
  <si>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</si>
  <si>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</si>
  <si>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</si>
  <si>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</si>
  <si>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</si>
  <si>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</si>
  <si>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</si>
  <si>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</si>
  <si>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</si>
  <si>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</si>
  <si>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</si>
  <si>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</si>
  <si>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</si>
  <si>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</si>
  <si>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</si>
  <si>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</si>
  <si>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</si>
  <si>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</si>
  <si>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</si>
  <si>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</si>
  <si>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</si>
  <si>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</si>
  <si>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</si>
  <si>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</si>
  <si>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</si>
  <si>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</si>
  <si>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</si>
  <si>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</si>
  <si>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</si>
  <si>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</si>
  <si>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</si>
  <si>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</si>
  <si>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</si>
  <si>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</si>
  <si>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</si>
  <si>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</si>
  <si>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</si>
  <si>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</si>
  <si>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</si>
  <si>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</si>
  <si>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</si>
  <si>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</si>
  <si>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</si>
  <si>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</si>
  <si>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</si>
  <si>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</si>
  <si>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</si>
  <si>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</si>
  <si>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</si>
  <si>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</si>
  <si>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</si>
  <si>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</si>
  <si>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</si>
  <si>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</si>
  <si>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</si>
  <si>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</si>
  <si>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</si>
  <si>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</si>
  <si>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</si>
  <si>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</si>
  <si>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</si>
  <si>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</si>
  <si>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</si>
  <si>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</si>
  <si>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</si>
  <si>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</si>
  <si>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</si>
  <si>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</si>
  <si>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</si>
  <si>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</si>
  <si>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</si>
  <si>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</si>
  <si>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</si>
  <si>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</si>
  <si>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</si>
  <si>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</si>
  <si>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</si>
  <si>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</si>
  <si>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</si>
  <si>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</si>
  <si>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</si>
  <si>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</si>
  <si>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</si>
  <si>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</si>
  <si>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</si>
  <si>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</si>
  <si>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</si>
  <si>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</si>
  <si>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</si>
  <si>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</si>
  <si>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</si>
  <si>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</si>
  <si>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</si>
  <si>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</si>
  <si>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</si>
  <si>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</si>
  <si>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</si>
  <si>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</si>
  <si>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</si>
  <si>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</si>
  <si>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</si>
  <si>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</si>
  <si>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</si>
  <si>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</si>
  <si>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</si>
  <si>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</si>
  <si>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</si>
  <si>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</si>
  <si>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</si>
  <si>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</si>
  <si>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</si>
  <si>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</si>
  <si>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</si>
  <si>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</si>
  <si>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</si>
  <si>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</si>
  <si>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</si>
  <si>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</si>
  <si>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</si>
  <si>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</si>
  <si>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</si>
  <si>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</si>
  <si>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</si>
  <si>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</si>
  <si>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</si>
  <si>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</si>
  <si>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</si>
  <si>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</si>
  <si>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</si>
  <si>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</si>
  <si>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</si>
  <si>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</si>
  <si>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</si>
  <si>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</si>
  <si>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</si>
  <si>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</si>
  <si>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</si>
  <si>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</si>
  <si>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</si>
  <si>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</si>
  <si>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</si>
  <si>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</si>
  <si>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</si>
  <si>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</si>
  <si>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</si>
  <si>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</si>
  <si>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</si>
  <si>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</si>
  <si>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</si>
  <si>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</si>
  <si>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</si>
  <si>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</si>
  <si>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</si>
  <si>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</si>
  <si>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</si>
  <si>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</si>
  <si>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</si>
  <si>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</si>
  <si>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</si>
  <si>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</si>
  <si>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</si>
  <si>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</si>
  <si>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</si>
  <si>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</si>
  <si>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</si>
  <si>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</si>
  <si>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</si>
  <si>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</si>
  <si>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</si>
  <si>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</si>
  <si>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</si>
  <si>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</si>
  <si>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</si>
  <si>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</si>
  <si>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</si>
  <si>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</si>
  <si>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</si>
  <si>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</si>
  <si>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</si>
  <si>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</si>
  <si>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</si>
  <si>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</si>
  <si>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</si>
  <si>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</si>
  <si>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</si>
  <si>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</si>
  <si>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</si>
  <si>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</si>
  <si>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</si>
  <si>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</si>
  <si>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</si>
  <si>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</si>
  <si>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</si>
  <si>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</si>
  <si>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</si>
  <si>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</si>
  <si>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</si>
  <si>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</si>
  <si>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</si>
  <si>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</si>
  <si>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</si>
  <si>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</si>
  <si>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</si>
  <si>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</si>
  <si>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</si>
  <si>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</si>
  <si>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</si>
  <si>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</si>
  <si>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</si>
  <si>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</si>
  <si>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</si>
  <si>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</si>
  <si>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</si>
  <si>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</si>
  <si>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</si>
  <si>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</si>
  <si>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</si>
  <si>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</si>
  <si>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</si>
  <si>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</si>
  <si>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</si>
  <si>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</si>
  <si>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</si>
  <si>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</si>
  <si>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</si>
  <si>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</si>
  <si>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</si>
  <si>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</si>
  <si>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</si>
  <si>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</si>
  <si>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</si>
  <si>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</si>
  <si>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</si>
  <si>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</si>
  <si>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</si>
  <si>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</si>
  <si>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</si>
  <si>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</si>
  <si>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</si>
  <si>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</si>
  <si>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</si>
  <si>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</si>
  <si>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</si>
  <si>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</si>
  <si>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</si>
  <si>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</si>
  <si>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</si>
  <si>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</si>
  <si>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</si>
  <si>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</si>
  <si>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</si>
  <si>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</si>
  <si>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</si>
  <si>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</si>
  <si>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</si>
  <si>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</si>
  <si>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</si>
  <si>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</si>
  <si>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</si>
  <si>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</si>
  <si>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</si>
  <si>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</si>
  <si>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</si>
  <si>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</si>
  <si>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</si>
  <si>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</si>
  <si>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</si>
  <si>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</si>
  <si>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</si>
  <si>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</si>
  <si>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</si>
  <si>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</si>
  <si>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</si>
  <si>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</si>
  <si>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</si>
  <si>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</si>
  <si>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</si>
  <si>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</si>
  <si>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</si>
  <si>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</si>
  <si>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</si>
  <si>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</si>
  <si>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</si>
  <si>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</si>
  <si>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</si>
  <si>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</si>
  <si>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</si>
  <si>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</si>
  <si>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</si>
  <si>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</si>
  <si>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</si>
  <si>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</si>
  <si>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</si>
  <si>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</si>
  <si>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</si>
  <si>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</si>
  <si>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</si>
  <si>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</si>
  <si>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</si>
  <si>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</si>
  <si>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</si>
  <si>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</si>
  <si>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</si>
  <si>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</si>
  <si>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</si>
  <si>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</si>
  <si>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</si>
  <si>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</si>
  <si>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</si>
  <si>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</si>
  <si>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</si>
  <si>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</si>
  <si>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</si>
  <si>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</si>
  <si>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</si>
  <si>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</si>
  <si>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</si>
  <si>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</si>
  <si>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</si>
  <si>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</si>
  <si>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</si>
  <si>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</si>
  <si>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</si>
  <si>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</si>
  <si>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</si>
  <si>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</si>
  <si>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</si>
  <si>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</si>
  <si>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</si>
  <si>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</si>
  <si>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</si>
  <si>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</si>
  <si>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</si>
  <si>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</si>
  <si>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</si>
  <si>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</si>
  <si>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</si>
  <si>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</si>
  <si>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</si>
  <si>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</si>
  <si>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</si>
  <si>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</si>
  <si>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</si>
  <si>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</si>
  <si>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</si>
  <si>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</si>
  <si>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</si>
  <si>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</si>
  <si>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</si>
  <si>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</si>
  <si>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</si>
  <si>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</si>
  <si>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</si>
  <si>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</si>
  <si>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</si>
  <si>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</si>
  <si>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</si>
  <si>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</si>
  <si>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</si>
  <si>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</si>
  <si>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</si>
  <si>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</si>
  <si>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</si>
  <si>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</si>
  <si>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</si>
  <si>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</si>
  <si>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</si>
  <si>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</si>
  <si>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</si>
  <si>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</si>
  <si>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</si>
  <si>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</si>
  <si>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</si>
  <si>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</si>
  <si>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</si>
  <si>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</si>
  <si>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</si>
  <si>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</si>
  <si>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</si>
  <si>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</si>
  <si>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</si>
  <si>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</si>
  <si>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</si>
  <si>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</si>
  <si>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</si>
  <si>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</si>
  <si>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</si>
  <si>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</si>
  <si>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</si>
  <si>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</si>
  <si>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</si>
  <si>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</si>
  <si>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</si>
  <si>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</si>
  <si>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</si>
  <si>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</si>
  <si>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</si>
  <si>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</si>
  <si>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</si>
  <si>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</si>
  <si>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</si>
  <si>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</si>
  <si>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</si>
  <si>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</si>
  <si>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</si>
  <si>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</si>
  <si>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</si>
  <si>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</si>
  <si>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</si>
  <si>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</si>
  <si>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</si>
  <si>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</si>
  <si>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</si>
  <si>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</si>
  <si>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</si>
  <si>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</si>
  <si>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</si>
  <si>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</si>
  <si>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</si>
  <si>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</si>
  <si>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</si>
  <si>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</si>
  <si>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</si>
  <si>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</si>
  <si>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</si>
  <si>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</si>
  <si>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</si>
  <si>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</si>
  <si>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</si>
  <si>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</si>
  <si>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</si>
  <si>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</si>
  <si>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</si>
  <si>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</si>
  <si>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</si>
  <si>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</si>
  <si>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</si>
  <si>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</si>
  <si>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</si>
  <si>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</si>
  <si>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</si>
  <si>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</si>
  <si>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</si>
  <si>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</si>
  <si>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</si>
  <si>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</si>
  <si>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</si>
  <si>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</si>
  <si>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</si>
  <si>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</si>
  <si>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</si>
  <si>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</si>
  <si>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</si>
  <si>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</si>
  <si>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</si>
  <si>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</si>
  <si>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</si>
  <si>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</si>
  <si>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</si>
  <si>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</si>
  <si>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</si>
  <si>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</si>
  <si>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</si>
  <si>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</si>
  <si>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</si>
  <si>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</si>
  <si>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</si>
  <si>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</si>
  <si>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</si>
  <si>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</si>
  <si>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</si>
  <si>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</si>
  <si>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</si>
  <si>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</si>
  <si>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</si>
  <si>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</si>
  <si>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</si>
  <si>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</si>
  <si>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</si>
  <si>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</si>
  <si>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</si>
  <si>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</si>
  <si>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</si>
  <si>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</si>
  <si>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</si>
  <si>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</si>
  <si>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</si>
  <si>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</si>
  <si>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</si>
  <si>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</si>
  <si>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</si>
  <si>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</si>
  <si>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</si>
  <si>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</si>
  <si>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</si>
  <si>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</si>
  <si>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</si>
  <si>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</si>
  <si>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</si>
  <si>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</si>
  <si>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</si>
  <si>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</si>
  <si>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</si>
  <si>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</si>
  <si>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</si>
  <si>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</si>
  <si>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</si>
  <si>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</si>
  <si>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</si>
  <si>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</si>
  <si>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</si>
  <si>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</si>
  <si>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</si>
  <si>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</si>
  <si>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</si>
  <si>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</si>
  <si>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</si>
  <si>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</si>
  <si>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</si>
  <si>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</si>
  <si>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</si>
  <si>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</si>
  <si>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</si>
  <si>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</si>
  <si>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</si>
  <si>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</si>
  <si>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</si>
  <si>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</si>
  <si>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</si>
  <si>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</si>
  <si>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</si>
  <si>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</si>
  <si>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</si>
  <si>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</si>
  <si>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</si>
  <si>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</si>
  <si>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</si>
  <si>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</si>
  <si>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</si>
  <si>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</si>
  <si>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</si>
  <si>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</si>
  <si>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</si>
  <si>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</si>
  <si>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</si>
  <si>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</si>
  <si>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</si>
  <si>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</si>
  <si>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</si>
  <si>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</si>
  <si>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</si>
  <si>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</si>
  <si>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</si>
  <si>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</si>
  <si>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</si>
  <si>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</si>
  <si>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</si>
  <si>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</si>
  <si>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</si>
  <si>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</si>
  <si>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</si>
  <si>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</si>
  <si>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</si>
  <si>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</si>
  <si>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</si>
  <si>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</si>
  <si>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</si>
  <si>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</si>
  <si>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</si>
  <si>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</si>
  <si>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</si>
  <si>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</si>
  <si>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</si>
  <si>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</si>
  <si>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</si>
  <si>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</si>
  <si>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</si>
  <si>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</si>
  <si>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</si>
  <si>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</si>
  <si>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</si>
  <si>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</si>
  <si>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</si>
  <si>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</si>
  <si>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</si>
  <si>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</si>
  <si>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</si>
  <si>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</si>
  <si>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</si>
  <si>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</si>
  <si>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</si>
  <si>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</si>
  <si>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</si>
  <si>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</si>
  <si>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</si>
  <si>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</si>
  <si>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</si>
  <si>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</si>
  <si>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</si>
  <si>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</si>
  <si>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</si>
  <si>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</si>
  <si>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</si>
  <si>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</si>
  <si>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</si>
  <si>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</si>
  <si>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</si>
  <si>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</si>
  <si>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</si>
  <si>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</si>
  <si>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</si>
  <si>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</si>
  <si>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</si>
  <si>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</si>
  <si>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</si>
  <si>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</si>
  <si>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</si>
  <si>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</si>
  <si>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</si>
  <si>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</si>
  <si>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</si>
  <si>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</si>
  <si>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</si>
  <si>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</si>
  <si>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</si>
  <si>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</si>
  <si>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</si>
  <si>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</si>
  <si>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</si>
  <si>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</si>
  <si>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</si>
  <si>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</si>
  <si>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</si>
  <si>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</si>
  <si>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</si>
  <si>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</si>
  <si>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</si>
  <si>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</si>
  <si>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</si>
  <si>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</si>
  <si>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</si>
  <si>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</si>
  <si>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</si>
  <si>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</si>
  <si>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</si>
  <si>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</si>
  <si>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</si>
  <si>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</si>
  <si>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</si>
  <si>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</si>
  <si>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</si>
  <si>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</si>
  <si>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</si>
  <si>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</si>
  <si>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</si>
  <si>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</si>
  <si>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</si>
  <si>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</si>
  <si>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</si>
  <si>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</si>
  <si>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</si>
  <si>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</si>
  <si>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</si>
  <si>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</si>
  <si>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</si>
  <si>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</si>
  <si>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</si>
  <si>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</si>
  <si>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</si>
  <si>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</si>
  <si>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</si>
  <si>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</si>
  <si>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</si>
  <si>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</si>
  <si>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</si>
  <si>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</si>
  <si>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</si>
  <si>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</si>
  <si>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</si>
  <si>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</si>
  <si>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</si>
  <si>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</si>
  <si>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</si>
  <si>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</si>
  <si>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</si>
  <si>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</si>
  <si>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</si>
  <si>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</si>
  <si>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</si>
  <si>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</si>
  <si>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</si>
  <si>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</si>
  <si>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</si>
  <si>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</si>
  <si>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</si>
  <si>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</si>
  <si>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</si>
  <si>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</si>
  <si>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</si>
  <si>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</si>
  <si>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</si>
  <si>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</si>
  <si>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</si>
  <si>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</si>
  <si>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</si>
  <si>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</si>
  <si>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</si>
  <si>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</si>
  <si>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</si>
  <si>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</si>
  <si>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</si>
  <si>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</si>
  <si>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</si>
  <si>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</si>
  <si>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</si>
  <si>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</si>
  <si>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</si>
  <si>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</si>
  <si>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</si>
  <si>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</si>
  <si>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</si>
  <si>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</si>
  <si>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</si>
  <si>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</si>
  <si>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</si>
  <si>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</si>
  <si>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</si>
  <si>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</si>
  <si>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</si>
  <si>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</si>
  <si>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</si>
  <si>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</si>
  <si>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</si>
  <si>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</si>
  <si>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</si>
  <si>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</si>
  <si>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</si>
  <si>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</si>
  <si>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</si>
  <si>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</si>
  <si>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</si>
  <si>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</si>
  <si>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</si>
  <si>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</si>
  <si>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</si>
  <si>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</si>
  <si>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</si>
  <si>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</si>
  <si>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</si>
  <si>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</si>
  <si>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</si>
  <si>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</si>
  <si>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</si>
  <si>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</si>
  <si>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</si>
  <si>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</si>
  <si>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</si>
  <si>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</si>
  <si>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</si>
  <si>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</si>
  <si>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</si>
  <si>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</si>
  <si>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</si>
  <si>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</si>
  <si>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</si>
  <si>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</si>
  <si>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</si>
  <si>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</si>
  <si>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</si>
  <si>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</si>
  <si>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</si>
  <si>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</si>
  <si>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</si>
  <si>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</si>
  <si>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</si>
  <si>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</si>
  <si>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</si>
  <si>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</si>
  <si>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</si>
  <si>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</si>
  <si>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</si>
  <si>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</si>
  <si>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</si>
  <si>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</si>
  <si>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</si>
  <si>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</si>
  <si>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</si>
  <si>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</si>
  <si>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</si>
  <si>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</si>
  <si>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</si>
  <si>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</si>
  <si>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</si>
  <si>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</si>
  <si>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</si>
  <si>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</si>
  <si>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</si>
  <si>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</si>
  <si>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</si>
  <si>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</si>
  <si>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</si>
  <si>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</si>
  <si>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</si>
  <si>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</si>
  <si>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</si>
  <si>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</si>
  <si>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</si>
  <si>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</si>
  <si>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</si>
  <si>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</si>
  <si>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</si>
  <si>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</si>
  <si>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</si>
  <si>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</si>
  <si>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</si>
  <si>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</si>
  <si>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</si>
  <si>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</si>
  <si>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</si>
  <si>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</si>
  <si>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</si>
  <si>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</si>
  <si>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</si>
  <si>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</si>
  <si>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</si>
  <si>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</si>
  <si>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</si>
  <si>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</si>
  <si>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</si>
  <si>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</si>
  <si>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</si>
  <si>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</si>
  <si>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</si>
  <si>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</si>
  <si>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</si>
  <si>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</si>
  <si>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</si>
  <si>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</si>
  <si>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</si>
  <si>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</si>
  <si>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</si>
  <si>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</si>
  <si>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</si>
  <si>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</si>
  <si>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</si>
  <si>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</si>
  <si>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</si>
  <si>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</si>
  <si>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</si>
  <si>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</si>
  <si>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</si>
  <si>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</si>
  <si>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</si>
  <si>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</si>
  <si>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</si>
  <si>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</si>
  <si>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</si>
  <si>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</si>
  <si>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</si>
  <si>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</si>
  <si>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</si>
  <si>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</si>
  <si>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</si>
  <si>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</si>
  <si>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</si>
  <si>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</si>
  <si>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</si>
  <si>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</si>
  <si>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</si>
  <si>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</si>
  <si>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</si>
  <si>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</si>
  <si>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</si>
  <si>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</si>
  <si>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</si>
  <si>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</si>
  <si>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</si>
  <si>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</si>
  <si>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</si>
  <si>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</si>
  <si>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</si>
  <si>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</si>
  <si>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</si>
  <si>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</si>
  <si>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</si>
  <si>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</si>
  <si>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</si>
  <si>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</si>
  <si>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</si>
  <si>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</si>
  <si>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</si>
  <si>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</si>
  <si>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</si>
  <si>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</si>
  <si>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</si>
  <si>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</si>
  <si>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</si>
  <si>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</si>
  <si>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</si>
  <si>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</si>
  <si>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</si>
  <si>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</si>
  <si>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</si>
  <si>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</si>
  <si>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</si>
  <si>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</si>
  <si>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</si>
  <si>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</si>
  <si>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</si>
  <si>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</si>
  <si>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</si>
  <si>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</si>
  <si>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</si>
  <si>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</si>
  <si>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</si>
  <si>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</si>
  <si>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</si>
  <si>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</si>
  <si>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</si>
  <si>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</si>
  <si>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</si>
  <si>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</si>
  <si>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</si>
  <si>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</si>
  <si>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</si>
  <si>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</si>
  <si>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</si>
  <si>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</si>
  <si>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</si>
  <si>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</si>
  <si>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</si>
  <si>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</si>
  <si>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</si>
  <si>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</si>
  <si>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</si>
  <si>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</si>
  <si>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</si>
  <si>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</si>
  <si>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</si>
  <si>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</si>
  <si>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</si>
  <si>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</si>
  <si>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</si>
  <si>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</si>
  <si>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</si>
  <si>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</si>
  <si>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</si>
  <si>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</si>
  <si>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</si>
  <si>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</si>
  <si>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</si>
  <si>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</si>
  <si>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</si>
  <si>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</si>
  <si>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</si>
  <si>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</si>
  <si>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</si>
  <si>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</si>
  <si>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</si>
  <si>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</si>
  <si>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</si>
  <si>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</si>
  <si>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</si>
  <si>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</si>
  <si>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</si>
  <si>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</si>
  <si>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</si>
  <si>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</si>
  <si>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</si>
  <si>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</si>
  <si>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</si>
  <si>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</si>
  <si>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</si>
  <si>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</si>
  <si>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</si>
  <si>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</si>
  <si>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</si>
  <si>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</si>
  <si>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</si>
  <si>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</si>
  <si>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</si>
  <si>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</si>
  <si>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</si>
  <si>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</si>
  <si>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</si>
  <si>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</si>
  <si>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</si>
  <si>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</si>
  <si>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</si>
  <si>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</si>
  <si>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</si>
  <si>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</si>
  <si>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</si>
  <si>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</si>
  <si>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</si>
  <si>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</si>
  <si>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</si>
  <si>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</si>
  <si>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</si>
  <si>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</si>
  <si>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</si>
  <si>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</si>
  <si>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</si>
  <si>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</si>
  <si>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</si>
  <si>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</si>
  <si>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</si>
  <si>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</si>
  <si>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</si>
  <si>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</si>
  <si>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</si>
  <si>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</si>
  <si>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</si>
  <si>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</si>
  <si>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</si>
  <si>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</si>
  <si>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</si>
  <si>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</si>
  <si>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</si>
  <si>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</si>
  <si>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</si>
  <si>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</si>
  <si>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</si>
  <si>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</si>
  <si>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</si>
  <si>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</si>
  <si>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</si>
  <si>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</si>
  <si>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</si>
  <si>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</si>
  <si>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</si>
  <si>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</si>
  <si>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</si>
  <si>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</si>
  <si>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</si>
  <si>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</si>
  <si>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</si>
  <si>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</si>
  <si>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</si>
  <si>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</si>
  <si>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</si>
  <si>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</si>
  <si>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</si>
  <si>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</si>
  <si>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</si>
  <si>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</si>
  <si>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</si>
  <si>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</si>
  <si>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</si>
  <si>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</si>
  <si>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</si>
  <si>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</si>
  <si>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</si>
  <si>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</si>
  <si>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</si>
  <si>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</si>
  <si>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</si>
  <si>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</si>
  <si>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</si>
  <si>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</si>
  <si>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</si>
  <si>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</si>
  <si>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</si>
  <si>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</si>
  <si>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</si>
  <si>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</si>
  <si>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</si>
  <si>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</si>
  <si>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</si>
  <si>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</si>
  <si>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</si>
  <si>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</si>
  <si>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</si>
  <si>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</si>
  <si>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</si>
  <si>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</si>
  <si>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</si>
  <si>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</si>
  <si>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</si>
  <si>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</si>
  <si>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</si>
  <si>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</si>
  <si>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</si>
  <si>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</si>
  <si>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</si>
  <si>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</si>
  <si>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</si>
  <si>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</si>
  <si>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</si>
  <si>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</si>
  <si>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</si>
  <si>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</si>
  <si>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</si>
  <si>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</si>
  <si>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</si>
  <si>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</si>
  <si>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</si>
  <si>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</si>
  <si>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</si>
  <si>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</si>
  <si>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</si>
  <si>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</si>
  <si>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</si>
  <si>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</si>
  <si>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</si>
  <si>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</si>
  <si>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</si>
  <si>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</si>
  <si>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</si>
  <si>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</si>
  <si>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</si>
  <si>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</si>
  <si>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</si>
  <si>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</si>
  <si>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</si>
  <si>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</si>
  <si>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</si>
  <si>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</si>
  <si>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</si>
  <si>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</si>
  <si>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</si>
  <si>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</si>
  <si>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</si>
  <si>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</si>
  <si>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</si>
  <si>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</si>
  <si>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</si>
  <si>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</si>
  <si>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</si>
  <si>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</si>
  <si>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</si>
  <si>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</si>
  <si>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</si>
  <si>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</si>
  <si>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</si>
  <si>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</si>
  <si>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</si>
  <si>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</si>
  <si>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</si>
  <si>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</si>
  <si>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</si>
  <si>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</si>
  <si>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</si>
  <si>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</si>
  <si>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</si>
  <si>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</si>
  <si>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</si>
  <si>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</si>
  <si>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</si>
  <si>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</si>
  <si>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</si>
  <si>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</si>
  <si>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</si>
  <si>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</si>
  <si>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</si>
  <si>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</si>
  <si>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</si>
  <si>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</si>
  <si>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</si>
  <si>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</si>
  <si>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</si>
  <si>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</si>
  <si>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</si>
  <si>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</si>
  <si>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</si>
  <si>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</si>
  <si>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</si>
  <si>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</si>
  <si>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</si>
  <si>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</si>
  <si>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</si>
  <si>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</si>
  <si>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</si>
  <si>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</si>
  <si>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</si>
  <si>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</si>
  <si>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</si>
  <si>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</si>
  <si>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</si>
  <si>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</si>
  <si>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</si>
  <si>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</si>
  <si>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</si>
  <si>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</si>
  <si>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</si>
  <si>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</si>
  <si>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</si>
  <si>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</si>
  <si>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</si>
  <si>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</si>
  <si>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</si>
  <si>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</si>
  <si>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</si>
  <si>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</si>
  <si>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</si>
  <si>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</si>
  <si>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</si>
  <si>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</si>
  <si>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</si>
  <si>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</si>
  <si>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</si>
  <si>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</si>
  <si>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</si>
  <si>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</si>
  <si>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</si>
  <si>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</si>
  <si>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</si>
  <si>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</si>
  <si>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</si>
  <si>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</si>
  <si>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</si>
  <si>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</si>
  <si>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</si>
  <si>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</si>
  <si>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</si>
  <si>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</si>
  <si>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</si>
  <si>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</si>
  <si>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</si>
  <si>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</si>
  <si>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</si>
  <si>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</si>
  <si>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</si>
  <si>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</si>
  <si>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</si>
  <si>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</si>
  <si>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</si>
  <si>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</si>
  <si>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</si>
  <si>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</si>
  <si>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</si>
  <si>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</si>
  <si>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</si>
  <si>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</si>
  <si>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</si>
  <si>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</si>
  <si>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</si>
  <si>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</si>
  <si>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</si>
  <si>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</si>
  <si>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</si>
  <si>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</si>
  <si>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</si>
  <si>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</si>
  <si>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</si>
  <si>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</si>
  <si>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</si>
  <si>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</si>
  <si>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</si>
  <si>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</si>
  <si>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</si>
  <si>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</si>
  <si>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</si>
  <si>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</si>
  <si>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</si>
  <si>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</si>
  <si>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</si>
  <si>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</si>
  <si>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</si>
  <si>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</si>
  <si>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</si>
  <si>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</si>
  <si>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</si>
  <si>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</si>
  <si>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</si>
  <si>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</si>
  <si>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</si>
  <si>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</si>
  <si>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</si>
  <si>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</si>
  <si>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</si>
  <si>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</si>
  <si>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</si>
  <si>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</si>
  <si>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</si>
  <si>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</si>
  <si>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</si>
  <si>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</si>
  <si>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</si>
  <si>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</si>
  <si>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</si>
  <si>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</si>
  <si>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</si>
  <si>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</si>
  <si>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</si>
  <si>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</si>
  <si>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</si>
  <si>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</si>
  <si>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</si>
  <si>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</si>
  <si>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</si>
  <si>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</si>
  <si>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</si>
  <si>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</si>
  <si>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</si>
  <si>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</si>
  <si>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</si>
  <si>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</si>
  <si>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</si>
  <si>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</si>
  <si>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</si>
  <si>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</si>
  <si>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</si>
  <si>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</si>
  <si>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</si>
  <si>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</si>
  <si>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</si>
  <si>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</si>
  <si>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</si>
  <si>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</si>
  <si>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</si>
  <si>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</si>
  <si>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</si>
  <si>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</si>
  <si>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</si>
  <si>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</si>
  <si>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</si>
  <si>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</si>
  <si>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</si>
  <si>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</si>
  <si>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</si>
  <si>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</si>
  <si>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</si>
  <si>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</si>
  <si>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</si>
  <si>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</si>
  <si>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</si>
  <si>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</si>
  <si>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</si>
  <si>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</si>
  <si>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</si>
  <si>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</si>
  <si>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</si>
  <si>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</si>
  <si>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</si>
  <si>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</si>
  <si>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</si>
  <si>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</si>
  <si>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</si>
  <si>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</si>
  <si>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</si>
  <si>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</si>
  <si>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</si>
  <si>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</si>
  <si>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</si>
  <si>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</si>
  <si>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</si>
  <si>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</si>
  <si>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</si>
  <si>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</si>
  <si>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</si>
  <si>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</si>
  <si>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</si>
  <si>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</si>
  <si>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</si>
  <si>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</si>
  <si>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</si>
  <si>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</si>
  <si>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</si>
  <si>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</si>
  <si>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</si>
  <si>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</si>
  <si>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</si>
  <si>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</si>
  <si>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</si>
  <si>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</si>
  <si>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</si>
  <si>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</si>
  <si>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</si>
  <si>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</si>
  <si>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</si>
  <si>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</si>
  <si>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</si>
  <si>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</si>
  <si>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</si>
  <si>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</si>
  <si>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</si>
  <si>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</si>
  <si>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</si>
  <si>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</si>
  <si>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</si>
  <si>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</si>
  <si>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</si>
  <si>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</si>
  <si>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</si>
  <si>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</si>
  <si>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</si>
  <si>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</si>
  <si>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</si>
  <si>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</si>
  <si>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</si>
  <si>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</si>
  <si>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</si>
  <si>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</si>
  <si>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</si>
  <si>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</si>
  <si>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</si>
  <si>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</si>
  <si>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</si>
  <si>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</si>
  <si>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</si>
  <si>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</si>
  <si>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</si>
  <si>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</si>
  <si>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</si>
  <si>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</si>
  <si>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</si>
  <si>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</si>
  <si>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</si>
  <si>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</si>
  <si>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</si>
  <si>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</si>
  <si>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</si>
  <si>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</si>
  <si>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</si>
  <si>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</si>
  <si>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</si>
  <si>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</si>
  <si>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</si>
  <si>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</si>
  <si>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</si>
  <si>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</si>
  <si>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</si>
  <si>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</si>
  <si>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</si>
  <si>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</si>
  <si>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</si>
  <si>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</si>
  <si>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</si>
  <si>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</si>
  <si>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</si>
  <si>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</si>
  <si>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</si>
  <si>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</si>
  <si>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</si>
  <si>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</si>
  <si>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</si>
  <si>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</si>
  <si>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</si>
  <si>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</si>
  <si>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</si>
  <si>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</si>
  <si>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</si>
  <si>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</si>
  <si>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</si>
  <si>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</si>
  <si>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</si>
  <si>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</si>
  <si>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</si>
  <si>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</si>
  <si>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</si>
  <si>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</si>
  <si>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</si>
  <si>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</si>
  <si>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</si>
  <si>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</si>
  <si>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</si>
  <si>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</si>
  <si>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</si>
  <si>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</si>
  <si>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</si>
  <si>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</si>
  <si>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</si>
  <si>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</si>
  <si>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</si>
  <si>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</si>
  <si>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</si>
  <si>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</si>
  <si>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</si>
  <si>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</si>
  <si>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</si>
  <si>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</si>
  <si>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</si>
  <si>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</si>
  <si>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</si>
  <si>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</si>
  <si>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</si>
  <si>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</si>
  <si>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</si>
  <si>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</si>
  <si>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</si>
  <si>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</si>
  <si>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</si>
  <si>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</si>
  <si>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</si>
  <si>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</si>
  <si>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</si>
  <si>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</si>
  <si>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</si>
  <si>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</si>
  <si>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</si>
  <si>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</si>
  <si>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</si>
  <si>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</si>
  <si>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</si>
  <si>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</si>
  <si>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</si>
  <si>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</si>
  <si>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</si>
  <si>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</si>
  <si>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</si>
  <si>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</si>
  <si>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</si>
  <si>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</si>
  <si>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</si>
  <si>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</si>
  <si>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</si>
  <si>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</si>
  <si>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</si>
  <si>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</si>
  <si>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</si>
  <si>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</si>
  <si>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</si>
  <si>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</si>
  <si>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</si>
  <si>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</si>
  <si>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</si>
  <si>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</si>
  <si>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</si>
  <si>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</si>
  <si>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</si>
  <si>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</si>
  <si>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</si>
  <si>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</si>
  <si>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</si>
  <si>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</si>
  <si>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</si>
  <si>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</si>
  <si>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</si>
  <si>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</si>
  <si>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</si>
  <si>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</si>
  <si>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</si>
  <si>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</si>
  <si>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</si>
  <si>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</si>
  <si>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</si>
  <si>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</si>
  <si>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</si>
  <si>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</si>
  <si>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</si>
  <si>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</si>
  <si>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</si>
  <si>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</si>
  <si>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</si>
  <si>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</si>
  <si>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</si>
  <si>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</si>
  <si>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</si>
  <si>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</si>
  <si>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</si>
  <si>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</si>
  <si>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</si>
  <si>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</si>
  <si>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</si>
  <si>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</si>
  <si>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</si>
  <si>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</si>
  <si>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</si>
  <si>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</si>
  <si>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</si>
  <si>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</si>
  <si>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</si>
  <si>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</si>
  <si>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</si>
  <si>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</si>
  <si>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</si>
  <si>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</si>
  <si>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</si>
  <si>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</si>
  <si>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</si>
  <si>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</si>
  <si>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</si>
  <si>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</si>
  <si>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</si>
  <si>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</si>
  <si>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</si>
  <si>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</si>
  <si>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</si>
  <si>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</si>
  <si>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</si>
  <si>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</si>
  <si>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</si>
  <si>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</si>
  <si>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</si>
  <si>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</si>
  <si>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</si>
  <si>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</si>
  <si>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</si>
  <si>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</si>
  <si>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</si>
  <si>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</si>
  <si>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</si>
  <si>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</si>
  <si>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</si>
  <si>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</si>
  <si>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</si>
  <si>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</si>
  <si>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</si>
  <si>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</si>
  <si>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</si>
  <si>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</si>
  <si>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</si>
  <si>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</si>
  <si>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</si>
  <si>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</si>
  <si>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</si>
  <si>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</si>
  <si>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</si>
  <si>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</si>
  <si>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</si>
  <si>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</si>
  <si>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</si>
  <si>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</si>
  <si>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</si>
  <si>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</si>
  <si>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</si>
  <si>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</si>
  <si>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</si>
  <si>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</si>
  <si>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</si>
  <si>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</si>
  <si>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</si>
  <si>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</si>
  <si>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</si>
  <si>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</si>
  <si>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</si>
  <si>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</si>
  <si>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</si>
  <si>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</si>
  <si>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</si>
  <si>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</si>
  <si>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</si>
  <si>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</si>
  <si>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</si>
  <si>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</si>
  <si>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</si>
  <si>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</si>
  <si>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</si>
  <si>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</si>
  <si>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</si>
  <si>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</si>
  <si>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</si>
  <si>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</si>
  <si>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</si>
  <si>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</si>
  <si>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</si>
  <si>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</si>
  <si>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</si>
  <si>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</si>
  <si>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</si>
  <si>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</si>
  <si>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</si>
  <si>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</si>
  <si>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</si>
  <si>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</si>
  <si>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</si>
  <si>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</si>
  <si>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</si>
  <si>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</si>
  <si>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</si>
  <si>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</si>
  <si>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</si>
  <si>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</si>
  <si>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</si>
  <si>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</si>
  <si>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</si>
  <si>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</si>
  <si>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</si>
  <si>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</si>
  <si>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</si>
  <si>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</si>
  <si>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</si>
  <si>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</si>
  <si>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</si>
  <si>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</si>
  <si>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</si>
  <si>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</si>
  <si>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</si>
  <si>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</si>
  <si>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</si>
  <si>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</si>
  <si>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</si>
  <si>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</si>
  <si>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</si>
  <si>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</si>
  <si>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</si>
  <si>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</si>
  <si>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</si>
  <si>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</si>
  <si>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</si>
  <si>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</si>
  <si>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</si>
  <si>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</si>
  <si>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</si>
  <si>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</si>
  <si>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</si>
  <si>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</si>
  <si>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</si>
  <si>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</si>
  <si>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</si>
  <si>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</si>
  <si>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</si>
  <si>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</si>
  <si>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</si>
  <si>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</si>
  <si>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</si>
  <si>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</si>
  <si>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</si>
  <si>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</si>
  <si>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</si>
  <si>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</si>
  <si>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</si>
  <si>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</si>
  <si>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</si>
  <si>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</si>
  <si>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</si>
  <si>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</si>
  <si>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</si>
  <si>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</si>
  <si>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</si>
  <si>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</si>
  <si>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</si>
  <si>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</si>
  <si>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</si>
  <si>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</si>
  <si>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</si>
  <si>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</si>
  <si>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</si>
  <si>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</si>
  <si>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</si>
  <si>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</si>
  <si>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</si>
  <si>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</si>
  <si>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</si>
  <si>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</si>
  <si>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</si>
  <si>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</si>
  <si>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</si>
  <si>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</si>
  <si>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</si>
  <si>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</si>
  <si>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</si>
  <si>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</si>
  <si>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</si>
  <si>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</si>
  <si>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</si>
  <si>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</si>
  <si>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</si>
  <si>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</si>
  <si>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</si>
  <si>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</si>
  <si>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</si>
  <si>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</si>
  <si>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</si>
  <si>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</si>
  <si>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</si>
  <si>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</si>
  <si>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</si>
  <si>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</si>
  <si>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</si>
  <si>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</si>
  <si>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</si>
  <si>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</si>
  <si>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</si>
  <si>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</si>
  <si>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</si>
  <si>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</si>
  <si>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</si>
  <si>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</si>
  <si>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</si>
  <si>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</si>
  <si>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</si>
  <si>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</si>
  <si>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</si>
  <si>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</si>
  <si>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</si>
  <si>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</si>
  <si>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</si>
  <si>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</si>
  <si>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</si>
  <si>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</si>
  <si>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</si>
  <si>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</si>
  <si>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</si>
  <si>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</si>
  <si>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</si>
  <si>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</si>
  <si>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</si>
  <si>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</si>
  <si>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</si>
  <si>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</si>
  <si>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</si>
  <si>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</si>
  <si>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</si>
  <si>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</si>
  <si>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</si>
  <si>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</si>
  <si>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</si>
  <si>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</si>
  <si>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</si>
  <si>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</si>
  <si>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</si>
  <si>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</si>
  <si>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</si>
  <si>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</si>
  <si>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</si>
  <si>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</si>
  <si>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</si>
  <si>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</si>
  <si>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</si>
  <si>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</si>
  <si>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</si>
  <si>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</si>
  <si>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</si>
  <si>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</si>
  <si>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</si>
  <si>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</si>
  <si>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</si>
  <si>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</si>
  <si>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</si>
  <si>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</si>
  <si>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</si>
  <si>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</si>
  <si>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</si>
  <si>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</si>
  <si>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</si>
  <si>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</si>
  <si>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</si>
  <si>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</si>
  <si>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</si>
  <si>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</si>
  <si>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</si>
  <si>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</si>
  <si>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</si>
  <si>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</si>
  <si>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</si>
  <si>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</si>
  <si>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</si>
  <si>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</si>
  <si>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</si>
  <si>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</si>
  <si>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</si>
  <si>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</si>
  <si>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</si>
  <si>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</si>
  <si>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</si>
  <si>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</si>
  <si>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</si>
  <si>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</si>
  <si>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</si>
  <si>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</si>
  <si>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</si>
  <si>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</si>
  <si>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</si>
  <si>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</si>
  <si>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</si>
  <si>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</si>
  <si>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</si>
  <si>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</si>
  <si>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</si>
  <si>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</si>
  <si>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</si>
  <si>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</si>
  <si>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</si>
  <si>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</si>
  <si>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</si>
  <si>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</si>
  <si>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</si>
  <si>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</si>
  <si>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</si>
  <si>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</si>
  <si>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</si>
  <si>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</si>
  <si>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</si>
  <si>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</si>
  <si>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</si>
  <si>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</si>
  <si>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</si>
  <si>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</si>
  <si>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</si>
  <si>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</si>
  <si>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</si>
  <si>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</si>
  <si>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</si>
  <si>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</si>
  <si>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</si>
  <si>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</si>
  <si>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</si>
  <si>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</si>
  <si>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</si>
  <si>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</si>
  <si>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</si>
  <si>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</si>
  <si>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</si>
  <si>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</si>
  <si>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</si>
  <si>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</si>
  <si>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</si>
  <si>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</si>
  <si>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</si>
  <si>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</si>
  <si>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</si>
  <si>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</si>
  <si>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</si>
  <si>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</si>
  <si>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</si>
  <si>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</si>
  <si>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</si>
  <si>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</si>
  <si>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</si>
  <si>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</si>
  <si>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</si>
  <si>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</si>
  <si>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</si>
  <si>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</si>
  <si>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</si>
  <si>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</si>
  <si>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</si>
  <si>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</si>
  <si>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</si>
  <si>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</si>
  <si>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</si>
  <si>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</si>
  <si>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</si>
  <si>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</si>
  <si>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</si>
  <si>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</si>
  <si>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</si>
  <si>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</si>
  <si>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</si>
  <si>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</si>
  <si>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</si>
  <si>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</si>
  <si>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</si>
  <si>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</si>
  <si>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</si>
  <si>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</si>
  <si>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</si>
  <si>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</si>
  <si>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</si>
  <si>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</si>
  <si>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</si>
  <si>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</si>
  <si>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</si>
  <si>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</si>
  <si>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</si>
  <si>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</si>
  <si>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</si>
  <si>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</si>
  <si>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</si>
  <si>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</si>
  <si>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</si>
  <si>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</si>
  <si>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</si>
  <si>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</si>
  <si>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</si>
  <si>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</si>
  <si>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</si>
  <si>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</si>
  <si>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</si>
  <si>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</si>
  <si>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</si>
  <si>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</si>
  <si>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</si>
  <si>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</si>
  <si>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</si>
  <si>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</si>
  <si>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</si>
  <si>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</si>
  <si>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</si>
  <si>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</si>
  <si>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</si>
  <si>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</si>
  <si>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</si>
  <si>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</si>
  <si>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</si>
  <si>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</si>
  <si>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</si>
  <si>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</si>
  <si>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</si>
  <si>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</si>
  <si>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</si>
  <si>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</si>
  <si>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</si>
  <si>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</si>
  <si>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</si>
  <si>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</si>
  <si>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</si>
  <si>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</si>
  <si>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</si>
  <si>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</si>
  <si>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</si>
  <si>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</si>
  <si>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</si>
  <si>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</si>
  <si>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</si>
  <si>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</si>
  <si>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</si>
  <si>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</si>
  <si>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</si>
  <si>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</si>
  <si>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</si>
  <si>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</si>
  <si>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</si>
  <si>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</si>
  <si>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</si>
  <si>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</si>
  <si>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</si>
  <si>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</si>
  <si>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</si>
  <si>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</si>
  <si>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</si>
  <si>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</si>
  <si>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</si>
  <si>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</si>
  <si>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</si>
  <si>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</si>
  <si>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</si>
  <si>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</si>
  <si>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</si>
  <si>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</si>
  <si>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</si>
  <si>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</si>
  <si>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</si>
  <si>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</si>
  <si>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</si>
  <si>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</si>
  <si>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</si>
  <si>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</si>
  <si>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</si>
  <si>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</si>
  <si>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</si>
  <si>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</si>
  <si>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</si>
  <si>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</si>
  <si>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</si>
  <si>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</si>
  <si>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</si>
  <si>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</si>
  <si>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</si>
  <si>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</si>
  <si>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</si>
  <si>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</si>
  <si>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</si>
  <si>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</si>
  <si>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</si>
  <si>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</si>
  <si>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</si>
  <si>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</si>
  <si>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</si>
  <si>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</si>
  <si>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</si>
  <si>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</si>
  <si>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</si>
  <si>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</si>
  <si>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</si>
  <si>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</si>
  <si>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</si>
  <si>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</si>
  <si>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</si>
  <si>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</si>
  <si>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</si>
  <si>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</si>
  <si>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</si>
  <si>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</si>
  <si>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</si>
  <si>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</si>
  <si>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</si>
  <si>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</si>
  <si>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</si>
  <si>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</si>
  <si>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</si>
  <si>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</si>
  <si>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</si>
  <si>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</si>
  <si>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</si>
  <si>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</si>
  <si>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</si>
  <si>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</si>
  <si>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</si>
  <si>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</si>
  <si>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</si>
  <si>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</si>
  <si>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</si>
  <si>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</si>
  <si>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</si>
  <si>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</si>
  <si>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</si>
  <si>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</si>
  <si>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</si>
  <si>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</si>
  <si>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</si>
  <si>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</si>
  <si>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</si>
  <si>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</si>
  <si>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</si>
  <si>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</si>
  <si>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</si>
  <si>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</si>
  <si>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</si>
  <si>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</si>
  <si>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</si>
  <si>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</si>
  <si>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</si>
  <si>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</si>
  <si>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</si>
  <si>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</si>
  <si>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</si>
  <si>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</si>
  <si>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</si>
  <si>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</si>
  <si>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</si>
  <si>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</si>
  <si>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</si>
  <si>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</si>
  <si>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</si>
  <si>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</si>
  <si>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</si>
  <si>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</si>
  <si>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</si>
  <si>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</si>
  <si>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</si>
  <si>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</si>
  <si>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</si>
  <si>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</si>
  <si>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</si>
  <si>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</si>
  <si>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</si>
  <si>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</si>
  <si>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</si>
  <si>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</si>
  <si>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</si>
  <si>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</si>
  <si>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</si>
  <si>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</si>
  <si>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</si>
  <si>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</si>
  <si>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</si>
  <si>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</si>
  <si>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</si>
  <si>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</si>
  <si>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</si>
  <si>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</si>
  <si>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</si>
  <si>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</si>
  <si>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</si>
  <si>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</si>
  <si>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</si>
  <si>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</si>
  <si>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</si>
  <si>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</si>
  <si>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</si>
  <si>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</si>
  <si>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</si>
  <si>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</si>
  <si>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</si>
  <si>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</si>
  <si>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</si>
  <si>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</si>
  <si>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</si>
  <si>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</si>
  <si>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</si>
  <si>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</si>
  <si>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</si>
  <si>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</si>
  <si>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</si>
  <si>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</si>
  <si>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</si>
  <si>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</si>
  <si>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</si>
  <si>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</si>
  <si>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</si>
  <si>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</si>
  <si>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</si>
  <si>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</si>
  <si>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</si>
  <si>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</si>
  <si>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</si>
  <si>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</si>
  <si>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</si>
  <si>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</si>
  <si>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</si>
  <si>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</si>
  <si>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</si>
  <si>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</si>
  <si>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</si>
  <si>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</si>
  <si>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</si>
  <si>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</si>
  <si>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</si>
  <si>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</si>
  <si>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</si>
  <si>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</si>
  <si>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</si>
  <si>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</si>
  <si>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</si>
  <si>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</si>
  <si>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</si>
  <si>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</si>
  <si>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</si>
  <si>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</si>
  <si>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</si>
  <si>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</si>
  <si>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</si>
  <si>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</si>
  <si>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</si>
  <si>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</si>
  <si>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</si>
  <si>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</si>
  <si>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</si>
  <si>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</si>
  <si>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</si>
  <si>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</si>
  <si>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</si>
  <si>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</si>
  <si>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</si>
  <si>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</si>
  <si>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</si>
  <si>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</si>
  <si>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</si>
  <si>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</si>
  <si>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</si>
  <si>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</si>
  <si>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</si>
  <si>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</si>
  <si>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</si>
  <si>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</si>
  <si>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</si>
  <si>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</si>
  <si>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</si>
  <si>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</si>
  <si>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</si>
  <si>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</si>
  <si>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</si>
  <si>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</si>
  <si>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</si>
  <si>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</si>
  <si>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</si>
  <si>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</si>
  <si>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</si>
  <si>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</si>
  <si>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</si>
  <si>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</si>
  <si>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</si>
  <si>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</si>
  <si>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</si>
  <si>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</si>
  <si>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</si>
  <si>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</si>
  <si>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</si>
  <si>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</si>
  <si>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</si>
  <si>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</si>
  <si>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</si>
  <si>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</si>
  <si>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</si>
  <si>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</si>
  <si>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</si>
  <si>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</si>
  <si>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</si>
  <si>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</si>
  <si>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</si>
  <si>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</si>
  <si>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</si>
  <si>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</si>
  <si>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</si>
  <si>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</si>
  <si>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</si>
  <si>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</si>
  <si>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</si>
  <si>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</si>
  <si>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</si>
  <si>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</si>
  <si>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</si>
  <si>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</si>
  <si>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</si>
  <si>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</si>
  <si>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</si>
  <si>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</si>
  <si>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</si>
  <si>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</si>
  <si>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</si>
  <si>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</si>
  <si>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</si>
  <si>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</si>
  <si>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</si>
  <si>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</si>
  <si>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</si>
  <si>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</si>
  <si>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</si>
  <si>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</si>
  <si>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</si>
  <si>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</si>
  <si>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</si>
  <si>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</si>
  <si>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</si>
  <si>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</si>
  <si>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</si>
  <si>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</si>
  <si>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</si>
  <si>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</si>
  <si>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</si>
  <si>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</si>
  <si>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</si>
  <si>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</si>
  <si>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</si>
  <si>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</si>
  <si>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</si>
  <si>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</si>
  <si>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</si>
  <si>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</si>
  <si>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</si>
  <si>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</si>
  <si>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</si>
  <si>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</si>
  <si>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</si>
  <si>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</si>
  <si>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</si>
  <si>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</si>
  <si>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</si>
  <si>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</si>
  <si>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</si>
  <si>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</si>
  <si>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</si>
  <si>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</si>
  <si>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</si>
  <si>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</si>
  <si>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</si>
  <si>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</si>
  <si>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</si>
  <si>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</si>
  <si>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</si>
  <si>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</si>
  <si>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</si>
  <si>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</si>
  <si>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</si>
  <si>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</si>
  <si>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</si>
  <si>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</si>
  <si>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</si>
  <si>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</si>
  <si>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</si>
  <si>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</si>
  <si>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</si>
  <si>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</si>
  <si>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</si>
  <si>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</si>
  <si>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</si>
  <si>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</si>
  <si>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</si>
  <si>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</si>
  <si>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</si>
  <si>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</si>
  <si>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</si>
  <si>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</si>
  <si>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</si>
  <si>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</si>
  <si>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</si>
  <si>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</si>
  <si>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</si>
  <si>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</si>
  <si>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</si>
  <si>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</si>
  <si>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</si>
  <si>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</si>
  <si>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</si>
  <si>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</si>
  <si>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</si>
  <si>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</si>
  <si>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</si>
  <si>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</si>
  <si>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</si>
  <si>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</si>
  <si>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</si>
  <si>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</si>
  <si>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</si>
  <si>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</si>
  <si>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</si>
  <si>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</si>
  <si>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</si>
  <si>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</si>
  <si>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</si>
  <si>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</si>
  <si>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</si>
  <si>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</si>
  <si>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</si>
  <si>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</si>
  <si>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</si>
  <si>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</si>
  <si>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</si>
  <si>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</si>
  <si>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</si>
  <si>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</si>
  <si>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</si>
  <si>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</si>
  <si>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</si>
  <si>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</si>
  <si>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</si>
  <si>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</si>
  <si>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</si>
  <si>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</si>
  <si>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</si>
  <si>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</si>
  <si>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</si>
  <si>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</si>
  <si>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</si>
  <si>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</si>
  <si>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</si>
  <si>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</si>
  <si>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</si>
  <si>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</si>
  <si>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</si>
  <si>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</si>
  <si>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</si>
  <si>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</si>
  <si>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</si>
  <si>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</si>
  <si>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</si>
  <si>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</si>
  <si>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</si>
  <si>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</si>
  <si>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</si>
  <si>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</si>
  <si>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</si>
  <si>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</si>
  <si>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</si>
  <si>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</si>
  <si>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</si>
  <si>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</si>
  <si>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</si>
  <si>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</si>
  <si>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</si>
  <si>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</si>
  <si>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</si>
  <si>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</si>
  <si>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</si>
  <si>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</si>
  <si>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</si>
  <si>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</si>
  <si>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</si>
  <si>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</si>
  <si>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</si>
  <si>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</si>
  <si>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</si>
  <si>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</si>
  <si>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</si>
  <si>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</si>
  <si>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</si>
  <si>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</si>
  <si>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</si>
  <si>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</si>
  <si>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</si>
  <si>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</si>
  <si>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</si>
  <si>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</si>
  <si>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</si>
  <si>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</si>
  <si>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</si>
  <si>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</si>
  <si>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</si>
  <si>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</si>
  <si>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</si>
  <si>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</si>
  <si>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</si>
  <si>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</si>
  <si>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</si>
  <si>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</si>
  <si>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</si>
  <si>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</si>
  <si>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</si>
  <si>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</si>
  <si>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</si>
  <si>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</si>
  <si>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</si>
  <si>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</si>
  <si>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</si>
  <si>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</si>
  <si>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</si>
  <si>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</si>
  <si>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</si>
  <si>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</si>
  <si>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</si>
  <si>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</si>
  <si>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</si>
  <si>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</si>
  <si>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</si>
  <si>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</si>
  <si>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</si>
  <si>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</si>
  <si>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</si>
  <si>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</si>
  <si>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</si>
  <si>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</si>
  <si>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</si>
  <si>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</si>
  <si>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</si>
  <si>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</si>
  <si>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</si>
  <si>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</si>
  <si>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</si>
  <si>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</si>
  <si>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</si>
  <si>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</si>
  <si>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</si>
  <si>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</si>
  <si>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</si>
  <si>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</si>
  <si>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</si>
  <si>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</si>
  <si>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</si>
  <si>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</si>
  <si>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</si>
  <si>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</si>
  <si>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</si>
  <si>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</si>
  <si>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</si>
  <si>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</si>
  <si>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</si>
  <si>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</si>
  <si>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</si>
  <si>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</si>
  <si>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</si>
  <si>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</si>
  <si>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</si>
  <si>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</si>
  <si>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</si>
  <si>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</si>
  <si>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</si>
  <si>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</si>
  <si>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</si>
  <si>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</si>
  <si>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</si>
  <si>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</si>
  <si>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</si>
  <si>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</si>
  <si>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</si>
  <si>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</si>
  <si>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</si>
  <si>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</si>
  <si>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</si>
  <si>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</si>
  <si>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</si>
  <si>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</si>
  <si>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</si>
  <si>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</si>
  <si>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</si>
  <si>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</si>
  <si>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</si>
  <si>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</si>
  <si>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</si>
  <si>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</si>
  <si>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</si>
  <si>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</si>
  <si>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</si>
  <si>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</si>
  <si>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</si>
  <si>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</si>
  <si>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</si>
  <si>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</si>
  <si>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</si>
  <si>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</si>
  <si>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</si>
  <si>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</si>
  <si>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</si>
  <si>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</si>
  <si>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</si>
  <si>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</si>
  <si>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</si>
  <si>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</si>
  <si>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</si>
  <si>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</si>
  <si>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</si>
  <si>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</si>
  <si>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</si>
  <si>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</si>
  <si>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</si>
  <si>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</si>
  <si>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</si>
  <si>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</si>
  <si>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</si>
  <si>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</si>
  <si>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</si>
  <si>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</si>
  <si>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</si>
  <si>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</si>
  <si>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</si>
  <si>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</si>
  <si>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</si>
  <si>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</si>
  <si>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</si>
  <si>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</si>
  <si>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</si>
  <si>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</si>
  <si>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</si>
  <si>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</si>
  <si>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</si>
  <si>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</si>
  <si>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</si>
  <si>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</si>
  <si>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</si>
  <si>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</si>
  <si>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</si>
  <si>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</si>
  <si>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</si>
  <si>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</si>
  <si>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</si>
  <si>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</si>
  <si>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</si>
  <si>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</si>
  <si>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</si>
  <si>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</si>
  <si>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</si>
  <si>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</si>
  <si>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</si>
  <si>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</si>
  <si>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</si>
  <si>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</si>
  <si>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</si>
  <si>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</si>
  <si>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</si>
  <si>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</si>
  <si>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</si>
  <si>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</si>
  <si>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</si>
  <si>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</si>
  <si>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</si>
  <si>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</si>
  <si>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</si>
  <si>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</si>
  <si>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</si>
  <si>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</si>
  <si>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</si>
  <si>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</si>
  <si>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</si>
  <si>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</si>
  <si>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</si>
  <si>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</si>
  <si>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</si>
  <si>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</si>
  <si>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</si>
  <si>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</si>
  <si>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</si>
  <si>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</si>
  <si>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</si>
  <si>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</si>
  <si>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</si>
  <si>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</si>
  <si>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</si>
  <si>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</si>
  <si>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</si>
  <si>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</si>
  <si>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</si>
  <si>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</si>
  <si>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</si>
  <si>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</si>
  <si>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</si>
  <si>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</si>
  <si>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</si>
  <si>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</si>
  <si>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</si>
  <si>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</si>
  <si>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</si>
  <si>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</si>
  <si>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</si>
  <si>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</si>
  <si>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</si>
  <si>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</si>
  <si>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</si>
  <si>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</si>
  <si>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</si>
  <si>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</si>
  <si>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</si>
  <si>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</si>
  <si>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</si>
  <si>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</si>
  <si>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</si>
  <si>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</si>
  <si>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</si>
  <si>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</si>
  <si>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</si>
  <si>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</si>
  <si>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</si>
  <si>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</si>
  <si>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</si>
  <si>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</si>
  <si>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</si>
  <si>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</si>
  <si>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</si>
  <si>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</si>
  <si>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</si>
  <si>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</si>
  <si>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</si>
  <si>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</si>
  <si>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</si>
  <si>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</si>
  <si>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</si>
  <si>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</si>
  <si>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</si>
  <si>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</si>
  <si>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</si>
  <si>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</si>
  <si>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</si>
  <si>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</si>
  <si>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</si>
  <si>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</si>
  <si>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</si>
  <si>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</si>
  <si>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</si>
  <si>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</si>
  <si>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</si>
  <si>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</si>
  <si>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</si>
  <si>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</si>
  <si>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</si>
  <si>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</si>
  <si>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</si>
  <si>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</si>
  <si>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</si>
  <si>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</si>
  <si>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</si>
  <si>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</si>
  <si>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</si>
  <si>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</si>
  <si>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</si>
  <si>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</si>
  <si>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</si>
  <si>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</si>
  <si>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</si>
  <si>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</si>
  <si>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</si>
  <si>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</si>
  <si>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</si>
  <si>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</si>
  <si>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</si>
  <si>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</si>
  <si>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</si>
  <si>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</si>
  <si>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</si>
  <si>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</si>
  <si>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</si>
  <si>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</si>
  <si>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</si>
  <si>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</si>
  <si>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</si>
  <si>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</si>
  <si>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</si>
  <si>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</si>
  <si>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</si>
  <si>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</si>
  <si>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</si>
  <si>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</si>
  <si>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</si>
  <si>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</si>
  <si>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</si>
  <si>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</si>
  <si>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</si>
  <si>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</si>
  <si>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</si>
  <si>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</si>
  <si>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</si>
  <si>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</si>
  <si>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</si>
  <si>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</si>
  <si>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</si>
  <si>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</si>
  <si>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</si>
  <si>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</si>
  <si>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</si>
  <si>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</si>
  <si>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</si>
  <si>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</si>
  <si>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</si>
  <si>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</si>
  <si>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</si>
  <si>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</si>
  <si>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</si>
  <si>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</si>
  <si>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</si>
  <si>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</si>
  <si>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</si>
  <si>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</si>
  <si>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</si>
  <si>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</si>
  <si>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</si>
  <si>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</si>
  <si>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</si>
  <si>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</si>
  <si>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</si>
  <si>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</si>
  <si>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</si>
  <si>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</si>
  <si>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</si>
  <si>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</si>
  <si>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</si>
  <si>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</si>
  <si>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</si>
  <si>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</si>
  <si>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</si>
  <si>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</si>
  <si>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</si>
  <si>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</si>
  <si>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</si>
  <si>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</si>
  <si>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</si>
  <si>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</si>
  <si>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</si>
  <si>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</si>
  <si>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</si>
  <si>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</si>
  <si>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</si>
  <si>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</si>
  <si>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</si>
  <si>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</si>
  <si>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</si>
  <si>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</si>
  <si>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</si>
  <si>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</si>
  <si>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</si>
  <si>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</si>
  <si>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</si>
  <si>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</si>
  <si>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</si>
  <si>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</si>
  <si>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</si>
  <si>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</si>
  <si>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</si>
  <si>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</si>
  <si>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</si>
  <si>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</si>
  <si>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</si>
  <si>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</si>
  <si>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</si>
  <si>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</si>
  <si>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</si>
  <si>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</si>
  <si>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</si>
  <si>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</si>
  <si>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</si>
  <si>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</si>
  <si>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</si>
  <si>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</si>
  <si>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</si>
  <si>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</si>
  <si>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</si>
  <si>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</si>
  <si>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</si>
  <si>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</si>
  <si>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</si>
  <si>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</si>
  <si>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</si>
  <si>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</si>
  <si>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</si>
  <si>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</si>
  <si>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</si>
  <si>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</si>
  <si>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</si>
  <si>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</si>
  <si>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</si>
  <si>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</si>
  <si>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</si>
  <si>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</si>
  <si>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</si>
  <si>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</si>
  <si>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</si>
  <si>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</si>
  <si>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</si>
  <si>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</si>
  <si>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</si>
  <si>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</si>
  <si>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</si>
  <si>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</si>
  <si>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</si>
  <si>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</si>
  <si>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</si>
  <si>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</si>
  <si>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</si>
  <si>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</si>
  <si>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</si>
  <si>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</si>
  <si>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</si>
  <si>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</si>
  <si>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</si>
  <si>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</si>
  <si>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</si>
  <si>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</si>
  <si>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</si>
  <si>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</si>
  <si>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</si>
  <si>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</si>
  <si>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</si>
  <si>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</si>
  <si>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</si>
  <si>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</si>
  <si>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</si>
  <si>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</si>
  <si>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</si>
  <si>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</si>
  <si>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</si>
  <si>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</si>
  <si>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</si>
  <si>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</si>
  <si>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</si>
  <si>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</si>
  <si>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</si>
  <si>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</si>
  <si>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</si>
  <si>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</si>
  <si>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</si>
  <si>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</si>
  <si>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</si>
  <si>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</si>
  <si>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</si>
  <si>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</si>
  <si>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</si>
  <si>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</si>
  <si>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</si>
  <si>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</si>
  <si>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</si>
  <si>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</si>
  <si>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</si>
  <si>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</si>
  <si>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</si>
  <si>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</si>
  <si>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</si>
  <si>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</si>
  <si>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</si>
  <si>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</si>
  <si>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</si>
  <si>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</si>
  <si>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</si>
  <si>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</si>
  <si>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</si>
  <si>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</si>
  <si>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</si>
  <si>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</si>
  <si>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</si>
  <si>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</si>
  <si>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</si>
  <si>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</si>
  <si>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</si>
  <si>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</si>
  <si>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</si>
  <si>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</si>
  <si>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</si>
  <si>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</si>
  <si>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</si>
  <si>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</si>
  <si>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</si>
  <si>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</si>
  <si>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</si>
  <si>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</si>
  <si>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</si>
  <si>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</si>
  <si>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</si>
  <si>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</si>
  <si>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</si>
  <si>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</si>
  <si>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</si>
  <si>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</si>
  <si>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</si>
  <si>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</si>
  <si>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</si>
  <si>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</si>
  <si>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</si>
  <si>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</si>
  <si>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</si>
  <si>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</si>
  <si>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</si>
  <si>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</si>
  <si>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</si>
  <si>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</si>
  <si>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</si>
  <si>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</si>
  <si>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</si>
  <si>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</si>
  <si>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</si>
  <si>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</si>
  <si>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</si>
  <si>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</si>
  <si>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</si>
  <si>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</si>
  <si>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</si>
  <si>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</si>
  <si>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</si>
  <si>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</si>
  <si>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</si>
  <si>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</si>
  <si>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</si>
  <si>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</si>
  <si>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</si>
  <si>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</si>
  <si>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</si>
  <si>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</si>
  <si>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</si>
  <si>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</si>
  <si>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</si>
  <si>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</si>
  <si>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</si>
  <si>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</si>
  <si>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</si>
  <si>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</si>
  <si>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</si>
  <si>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</si>
  <si>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</si>
  <si>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</si>
  <si>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</si>
  <si>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</si>
  <si>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</si>
  <si>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</si>
  <si>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</si>
  <si>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</si>
  <si>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</si>
  <si>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</si>
  <si>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</si>
  <si>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</si>
  <si>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</si>
  <si>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</si>
  <si>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</si>
  <si>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</si>
  <si>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</si>
  <si>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</si>
  <si>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</si>
  <si>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</si>
  <si>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</si>
  <si>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</si>
  <si>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</si>
  <si>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</si>
  <si>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</si>
  <si>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</si>
  <si>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</si>
  <si>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</si>
  <si>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</si>
  <si>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</si>
  <si>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</si>
  <si>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</si>
  <si>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</si>
  <si>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</si>
  <si>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</si>
  <si>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</si>
  <si>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</si>
  <si>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</si>
  <si>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</si>
  <si>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</si>
  <si>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</si>
  <si>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</si>
  <si>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</si>
  <si>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</si>
  <si>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</si>
  <si>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</si>
  <si>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</si>
  <si>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</si>
  <si>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</si>
  <si>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</si>
  <si>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</si>
  <si>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</si>
  <si>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</si>
  <si>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</si>
  <si>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</si>
  <si>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</si>
  <si>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</si>
  <si>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</si>
  <si>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</si>
  <si>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</si>
  <si>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</si>
  <si>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</si>
  <si>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</si>
  <si>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</si>
  <si>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</si>
  <si>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</si>
  <si>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</si>
  <si>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</si>
  <si>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</si>
  <si>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</si>
  <si>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</si>
  <si>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</si>
  <si>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</si>
  <si>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</si>
  <si>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</si>
  <si>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</si>
  <si>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</si>
  <si>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</si>
  <si>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</si>
  <si>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</si>
  <si>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</si>
  <si>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</si>
  <si>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</si>
  <si>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</si>
  <si>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</si>
  <si>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</si>
  <si>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</si>
  <si>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</si>
  <si>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</si>
  <si>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</si>
  <si>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</si>
  <si>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</si>
  <si>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</si>
  <si>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</si>
  <si>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</si>
  <si>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</si>
  <si>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</si>
  <si>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</si>
  <si>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</si>
  <si>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</si>
  <si>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</si>
  <si>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</si>
  <si>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</si>
  <si>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</si>
  <si>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</si>
  <si>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</si>
  <si>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</si>
  <si>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</si>
  <si>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</si>
  <si>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</si>
  <si>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</si>
  <si>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</si>
  <si>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</si>
  <si>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</si>
  <si>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</si>
  <si>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</si>
  <si>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</si>
  <si>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</si>
  <si>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</si>
  <si>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</si>
  <si>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</si>
  <si>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</si>
  <si>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</si>
  <si>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</si>
  <si>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</si>
  <si>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</si>
  <si>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</si>
  <si>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</si>
  <si>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</si>
  <si>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</si>
  <si>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</si>
  <si>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</si>
  <si>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</si>
  <si>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</si>
  <si>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</si>
  <si>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</si>
  <si>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</si>
  <si>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</si>
  <si>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</si>
  <si>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</si>
  <si>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</si>
  <si>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</si>
  <si>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</si>
  <si>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</si>
  <si>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</si>
  <si>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</si>
  <si>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</si>
  <si>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</si>
  <si>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</si>
  <si>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</si>
  <si>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</si>
  <si>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</si>
  <si>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</si>
  <si>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</si>
  <si>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</si>
  <si>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</si>
  <si>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</si>
  <si>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</si>
  <si>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</si>
  <si>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</si>
  <si>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</si>
  <si>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</si>
  <si>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</si>
  <si>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</si>
  <si>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</si>
  <si>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</si>
  <si>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</si>
  <si>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</si>
  <si>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</si>
  <si>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</si>
  <si>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</si>
  <si>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</si>
  <si>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</si>
  <si>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</si>
  <si>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</si>
  <si>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</si>
  <si>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</si>
  <si>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</si>
  <si>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</si>
  <si>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</si>
  <si>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</si>
  <si>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</si>
  <si>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</si>
  <si>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</si>
  <si>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</si>
  <si>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</si>
  <si>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</si>
  <si>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</si>
  <si>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</si>
  <si>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</si>
  <si>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</si>
  <si>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</si>
  <si>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</si>
  <si>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</si>
  <si>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</si>
  <si>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</si>
  <si>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</si>
  <si>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</si>
  <si>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</si>
  <si>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</si>
  <si>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</si>
  <si>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</si>
  <si>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</si>
  <si>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</si>
  <si>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</si>
  <si>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</si>
  <si>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</si>
  <si>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</si>
  <si>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</si>
  <si>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</si>
  <si>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</si>
  <si>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</si>
  <si>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</si>
  <si>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</si>
  <si>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</si>
  <si>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</si>
  <si>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</si>
  <si>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</si>
  <si>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</si>
  <si>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</si>
  <si>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</si>
  <si>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</si>
  <si>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</si>
  <si>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</si>
  <si>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</si>
  <si>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</si>
  <si>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</si>
  <si>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</si>
  <si>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</si>
  <si>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</si>
  <si>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</si>
  <si>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</si>
  <si>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</si>
  <si>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</si>
  <si>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</si>
  <si>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</si>
  <si>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</si>
  <si>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</si>
  <si>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</si>
  <si>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</si>
  <si>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</si>
  <si>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</si>
  <si>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</si>
  <si>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</si>
  <si>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</si>
  <si>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</si>
  <si>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</si>
  <si>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</si>
  <si>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</si>
  <si>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</si>
  <si>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</si>
  <si>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</si>
  <si>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</si>
  <si>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</si>
  <si>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</si>
  <si>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</si>
  <si>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</si>
  <si>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</si>
  <si>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</si>
  <si>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</si>
  <si>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</si>
  <si>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</si>
  <si>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</si>
  <si>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</si>
  <si>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</si>
  <si>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</si>
  <si>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</si>
  <si>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</si>
  <si>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</si>
  <si>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</si>
  <si>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</si>
  <si>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</si>
  <si>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</si>
  <si>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</si>
  <si>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</si>
  <si>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</si>
  <si>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</si>
  <si>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</si>
  <si>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</si>
  <si>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</si>
  <si>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</si>
  <si>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</si>
  <si>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</si>
  <si>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</si>
  <si>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</si>
  <si>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</si>
  <si>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</si>
  <si>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</si>
  <si>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</si>
  <si>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</si>
  <si>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</si>
  <si>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</si>
  <si>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</si>
  <si>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</si>
  <si>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</si>
  <si>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</si>
  <si>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</si>
  <si>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</si>
  <si>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</si>
  <si>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</si>
  <si>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</si>
  <si>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</si>
  <si>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</si>
  <si>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</si>
  <si>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</si>
  <si>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</si>
  <si>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</si>
  <si>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</si>
  <si>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</si>
  <si>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</si>
  <si>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</si>
  <si>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</si>
  <si>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</si>
  <si>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</si>
  <si>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</si>
  <si>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</si>
  <si>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</si>
  <si>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</si>
  <si>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</si>
  <si>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</si>
  <si>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</si>
  <si>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</si>
  <si>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</si>
  <si>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</si>
  <si>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</si>
  <si>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</si>
  <si>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</si>
  <si>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</si>
  <si>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</si>
  <si>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</si>
  <si>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</si>
  <si>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</si>
  <si>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</si>
  <si>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</si>
  <si>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</si>
  <si>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</si>
  <si>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</si>
  <si>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</si>
  <si>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</si>
  <si>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</si>
  <si>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</si>
  <si>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</si>
  <si>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</si>
  <si>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</si>
  <si>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</si>
  <si>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</si>
  <si>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</si>
  <si>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</si>
  <si>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</si>
  <si>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</si>
  <si>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</si>
  <si>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</si>
  <si>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</si>
  <si>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</si>
  <si>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</si>
  <si>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</si>
  <si>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</si>
  <si>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</si>
  <si>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</si>
  <si>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</si>
  <si>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</si>
  <si>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</si>
  <si>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</si>
  <si>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</si>
  <si>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</si>
  <si>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</si>
  <si>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</si>
  <si>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</si>
  <si>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</si>
  <si>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</si>
  <si>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</si>
  <si>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</si>
  <si>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</si>
  <si>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</si>
  <si>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</si>
  <si>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</si>
  <si>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</si>
  <si>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</si>
  <si>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</si>
  <si>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</si>
  <si>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</si>
  <si>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</si>
  <si>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</si>
  <si>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</si>
  <si>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</si>
  <si>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</si>
  <si>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</si>
  <si>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</si>
  <si>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</si>
  <si>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</si>
  <si>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</si>
  <si>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</si>
  <si>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</si>
  <si>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</si>
  <si>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</si>
  <si>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</si>
  <si>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</si>
  <si>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</si>
  <si>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</si>
  <si>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</si>
  <si>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</si>
  <si>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</si>
  <si>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</si>
  <si>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</si>
  <si>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</si>
  <si>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</si>
  <si>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</si>
  <si>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</si>
  <si>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</si>
  <si>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</si>
  <si>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</si>
  <si>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</si>
  <si>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</si>
  <si>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</si>
  <si>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</si>
  <si>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</si>
  <si>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</si>
  <si>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</si>
  <si>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</si>
  <si>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</si>
  <si>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</si>
  <si>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</si>
  <si>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</si>
  <si>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</si>
  <si>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</si>
  <si>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</si>
  <si>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</si>
  <si>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</si>
  <si>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</si>
  <si>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</si>
  <si>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</si>
  <si>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</si>
  <si>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</si>
  <si>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</si>
  <si>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</si>
  <si>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</si>
  <si>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</si>
  <si>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</si>
  <si>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</si>
  <si>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</si>
  <si>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</si>
  <si>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</si>
  <si>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</si>
  <si>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</si>
  <si>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</si>
  <si>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</si>
  <si>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</si>
  <si>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</si>
  <si>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</si>
  <si>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</si>
  <si>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</si>
  <si>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</si>
  <si>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</si>
  <si>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</si>
  <si>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</si>
  <si>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</si>
  <si>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</si>
  <si>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</si>
  <si>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</si>
  <si>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</si>
  <si>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</si>
  <si>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</si>
  <si>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</si>
  <si>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</si>
  <si>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</si>
  <si>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</si>
  <si>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</si>
  <si>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</si>
  <si>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</si>
  <si>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</si>
  <si>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</si>
  <si>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</si>
  <si>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</si>
  <si>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</si>
  <si>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</si>
  <si>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</si>
  <si>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</si>
  <si>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</si>
  <si>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</si>
  <si>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</si>
  <si>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</si>
  <si>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</si>
  <si>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</si>
  <si>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</si>
  <si>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</si>
  <si>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</si>
  <si>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</si>
  <si>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</si>
  <si>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</si>
  <si>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</si>
  <si>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</si>
  <si>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</si>
  <si>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</si>
  <si>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</si>
  <si>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</si>
  <si>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</si>
  <si>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</si>
  <si>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</si>
  <si>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</si>
  <si>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</si>
  <si>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</si>
  <si>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</si>
  <si>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</si>
  <si>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</si>
  <si>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</si>
  <si>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</si>
  <si>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</si>
  <si>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</si>
  <si>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</si>
  <si>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</si>
  <si>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</si>
  <si>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</si>
  <si>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</si>
  <si>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</si>
  <si>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</si>
  <si>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</si>
  <si>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</si>
  <si>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</si>
  <si>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</si>
  <si>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</si>
  <si>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</si>
  <si>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</si>
  <si>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</si>
  <si>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</si>
  <si>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</si>
  <si>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</si>
  <si>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</si>
  <si>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</si>
  <si>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</si>
  <si>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</si>
  <si>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</si>
  <si>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</si>
  <si>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</si>
  <si>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</si>
  <si>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</si>
  <si>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</si>
  <si>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</si>
  <si>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</si>
  <si>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</si>
  <si>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</si>
  <si>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</si>
  <si>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</si>
  <si>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</si>
  <si>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</si>
  <si>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</si>
  <si>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</si>
  <si>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</si>
  <si>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</si>
  <si>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</si>
  <si>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</si>
  <si>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</si>
  <si>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</si>
  <si>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</si>
  <si>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</si>
  <si>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</si>
  <si>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</si>
  <si>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</si>
  <si>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</si>
  <si>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</si>
  <si>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</si>
  <si>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</si>
  <si>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</si>
  <si>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</si>
  <si>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</si>
  <si>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</si>
  <si>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</si>
  <si>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</si>
  <si>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</si>
  <si>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</si>
  <si>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</si>
  <si>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</si>
  <si>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</si>
  <si>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</si>
  <si>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</si>
  <si>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</si>
  <si>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</si>
  <si>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</si>
  <si>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</si>
  <si>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</si>
  <si>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</si>
  <si>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</si>
  <si>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</si>
  <si>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</si>
  <si>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</si>
  <si>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</si>
  <si>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</si>
  <si>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</si>
  <si>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</si>
  <si>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</si>
  <si>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</si>
  <si>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</si>
  <si>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</si>
  <si>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</si>
  <si>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</si>
  <si>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</si>
  <si>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</si>
  <si>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</si>
  <si>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</si>
  <si>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</si>
  <si>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</si>
  <si>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</si>
  <si>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</si>
  <si>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</si>
  <si>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</si>
  <si>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</si>
  <si>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</si>
  <si>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</si>
  <si>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</si>
  <si>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</si>
  <si>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</si>
  <si>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</si>
  <si>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</si>
  <si>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</si>
  <si>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</si>
  <si>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</si>
  <si>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</si>
  <si>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</si>
  <si>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</si>
  <si>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</si>
  <si>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</si>
  <si>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</si>
  <si>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</si>
  <si>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</si>
  <si>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</si>
  <si>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</si>
  <si>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</si>
  <si>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</si>
  <si>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</si>
  <si>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</si>
  <si>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</si>
  <si>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</si>
  <si>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</si>
  <si>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</si>
  <si>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</si>
  <si>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</si>
  <si>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</si>
  <si>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</si>
  <si>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</si>
  <si>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</si>
  <si>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</si>
  <si>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</si>
  <si>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</si>
  <si>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</si>
  <si>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</si>
  <si>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</si>
  <si>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</si>
  <si>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</si>
  <si>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</si>
  <si>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</si>
  <si>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</si>
  <si>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</si>
  <si>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</si>
  <si>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</si>
  <si>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</si>
  <si>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</si>
  <si>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</si>
  <si>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</si>
  <si>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</si>
  <si>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</si>
  <si>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</si>
  <si>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</si>
  <si>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</si>
  <si>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</si>
  <si>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</si>
  <si>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</si>
  <si>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</si>
  <si>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</si>
  <si>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</si>
  <si>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</si>
  <si>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</si>
  <si>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</si>
  <si>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</si>
  <si>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</si>
  <si>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</si>
  <si>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</si>
  <si>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</si>
  <si>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</si>
  <si>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</si>
  <si>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</si>
  <si>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</si>
  <si>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</si>
  <si>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</si>
  <si>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</si>
  <si>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</si>
  <si>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</si>
  <si>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</si>
  <si>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</si>
  <si>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</si>
  <si>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</si>
  <si>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</si>
  <si>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</si>
  <si>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</si>
  <si>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</si>
  <si>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</si>
  <si>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</si>
  <si>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</si>
  <si>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</si>
  <si>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</si>
  <si>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</si>
  <si>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</si>
  <si>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</si>
  <si>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</si>
  <si>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</si>
  <si>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</si>
  <si>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</si>
  <si>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</si>
  <si>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</si>
  <si>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</si>
  <si>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</si>
  <si>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</si>
  <si>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</si>
  <si>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</si>
  <si>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</si>
  <si>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</si>
  <si>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</si>
  <si>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</si>
  <si>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</si>
  <si>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</si>
  <si>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</si>
  <si>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</si>
  <si>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</si>
  <si>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</si>
  <si>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</si>
  <si>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</si>
  <si>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</si>
  <si>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</si>
  <si>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</si>
  <si>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</si>
  <si>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</si>
  <si>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</si>
  <si>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</si>
  <si>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</si>
  <si>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</si>
  <si>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</si>
  <si>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</si>
  <si>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</si>
  <si>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</si>
  <si>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</si>
  <si>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</si>
  <si>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</si>
  <si>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</si>
  <si>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</si>
  <si>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</si>
  <si>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</si>
  <si>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</si>
  <si>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</si>
  <si>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</si>
  <si>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</si>
  <si>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</si>
  <si>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</si>
  <si>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</si>
  <si>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</si>
  <si>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</si>
  <si>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</si>
  <si>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</si>
  <si>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</si>
  <si>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</si>
  <si>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</si>
  <si>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</si>
  <si>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</si>
  <si>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</si>
  <si>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</si>
  <si>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</si>
  <si>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</si>
  <si>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</si>
  <si>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</si>
  <si>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</si>
  <si>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</si>
  <si>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</si>
  <si>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</si>
  <si>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</si>
  <si>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</si>
  <si>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</si>
  <si>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</si>
  <si>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</si>
  <si>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</si>
  <si>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</si>
  <si>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</si>
  <si>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</si>
  <si>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</si>
  <si>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</si>
  <si>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</si>
  <si>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</si>
  <si>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</si>
  <si>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</si>
  <si>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</si>
  <si>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</si>
  <si>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</si>
  <si>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</si>
  <si>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</si>
  <si>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</si>
  <si>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</si>
  <si>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</si>
  <si>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</si>
  <si>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</si>
  <si>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</si>
  <si>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</si>
  <si>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</si>
  <si>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</si>
  <si>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</si>
  <si>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</si>
  <si>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</si>
  <si>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</si>
  <si>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</si>
  <si>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</si>
  <si>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</si>
  <si>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</si>
  <si>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</si>
  <si>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</si>
  <si>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</si>
  <si>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</si>
  <si>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</si>
  <si>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</si>
  <si>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</si>
  <si>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</si>
  <si>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</si>
  <si>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</si>
  <si>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</si>
  <si>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</si>
  <si>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</si>
  <si>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</si>
  <si>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</si>
  <si>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</si>
  <si>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</si>
  <si>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</si>
  <si>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</si>
  <si>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</si>
  <si>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</si>
  <si>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</si>
  <si>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</si>
  <si>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</si>
  <si>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</si>
  <si>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</si>
  <si>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</si>
  <si>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</si>
  <si>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</si>
  <si>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</si>
  <si>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</si>
  <si>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</si>
  <si>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</si>
  <si>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</si>
  <si>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</si>
  <si>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</si>
  <si>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</si>
  <si>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</si>
  <si>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</si>
  <si>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</si>
  <si>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</si>
  <si>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</si>
  <si>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</si>
  <si>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</si>
  <si>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</si>
  <si>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</si>
  <si>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</si>
  <si>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</si>
  <si>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</si>
  <si>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</si>
  <si>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</si>
  <si>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</si>
  <si>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</si>
  <si>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</si>
  <si>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</si>
  <si>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</si>
  <si>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</si>
  <si>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</si>
  <si>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</si>
  <si>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</si>
  <si>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</si>
  <si>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</si>
  <si>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</si>
  <si>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</si>
  <si>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</si>
  <si>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</si>
  <si>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</si>
  <si>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</si>
  <si>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</si>
  <si>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</si>
  <si>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</si>
  <si>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</si>
  <si>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</si>
  <si>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</si>
  <si>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</si>
  <si>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</si>
  <si>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</si>
  <si>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</si>
  <si>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</si>
  <si>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</si>
  <si>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</si>
  <si>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</si>
  <si>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</si>
  <si>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</si>
  <si>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</si>
  <si>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</si>
  <si>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</si>
  <si>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</si>
  <si>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</si>
  <si>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</si>
  <si>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</si>
  <si>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</si>
  <si>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</si>
  <si>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</si>
  <si>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</si>
  <si>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</si>
  <si>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</si>
  <si>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</si>
  <si>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</si>
  <si>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</si>
  <si>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</si>
  <si>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</si>
  <si>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</si>
  <si>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</si>
  <si>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</si>
  <si>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</si>
  <si>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</si>
  <si>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</si>
  <si>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</si>
  <si>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</si>
  <si>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</si>
  <si>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</si>
  <si>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</si>
  <si>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</si>
  <si>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</si>
  <si>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</si>
  <si>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</si>
  <si>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</si>
  <si>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</si>
  <si>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</si>
  <si>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</si>
  <si>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</si>
  <si>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</si>
  <si>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</si>
  <si>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</si>
  <si>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</si>
  <si>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</si>
  <si>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</si>
  <si>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</si>
  <si>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</si>
  <si>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</si>
  <si>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</si>
  <si>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</si>
  <si>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</si>
  <si>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</si>
  <si>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</si>
  <si>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</si>
  <si>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</si>
  <si>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</si>
  <si>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</si>
  <si>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</si>
  <si>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</si>
  <si>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</si>
  <si>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</si>
  <si>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</si>
  <si>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</si>
  <si>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</si>
  <si>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</si>
  <si>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</si>
  <si>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</si>
  <si>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</si>
  <si>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</si>
  <si>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</si>
  <si>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</si>
  <si>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</si>
  <si>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</si>
  <si>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</si>
  <si>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</si>
  <si>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</si>
  <si>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</si>
  <si>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</si>
  <si>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</si>
  <si>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</si>
  <si>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</si>
  <si>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</si>
  <si>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</si>
  <si>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</si>
  <si>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</si>
  <si>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</si>
  <si>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</si>
  <si>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</si>
  <si>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</si>
  <si>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</si>
  <si>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</si>
  <si>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</si>
  <si>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</si>
  <si>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</si>
  <si>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</si>
  <si>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</si>
  <si>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</si>
  <si>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</si>
  <si>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</si>
  <si>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</si>
  <si>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</si>
  <si>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</si>
  <si>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</si>
  <si>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</si>
  <si>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</si>
  <si>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</si>
  <si>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</si>
  <si>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</si>
  <si>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</si>
  <si>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</si>
  <si>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</si>
  <si>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</si>
  <si>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</si>
  <si>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</si>
  <si>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</si>
  <si>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</si>
  <si>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</si>
  <si>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</si>
  <si>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</si>
  <si>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</si>
  <si>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</si>
  <si>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</si>
  <si>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</si>
  <si>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</si>
  <si>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</si>
  <si>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</si>
  <si>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</si>
  <si>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</si>
  <si>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</si>
  <si>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</si>
  <si>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</si>
  <si>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</si>
  <si>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</si>
  <si>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</si>
  <si>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</si>
  <si>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</si>
  <si>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</si>
  <si>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</si>
  <si>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</si>
  <si>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</si>
  <si>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</si>
  <si>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</si>
  <si>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</si>
  <si>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</si>
  <si>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</si>
  <si>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</si>
  <si>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</si>
  <si>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</si>
  <si>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</si>
  <si>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</si>
  <si>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</si>
  <si>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</si>
  <si>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</si>
  <si>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</si>
  <si>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</si>
  <si>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</si>
  <si>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</si>
  <si>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</si>
  <si>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</si>
  <si>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</si>
  <si>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</si>
  <si>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</si>
  <si>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</si>
  <si>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</si>
  <si>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</si>
  <si>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</si>
  <si>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</si>
  <si>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</si>
  <si>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</si>
  <si>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</si>
  <si>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</si>
  <si>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</si>
  <si>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</si>
  <si>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</si>
  <si>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</si>
  <si>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</si>
  <si>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</si>
  <si>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</si>
  <si>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</si>
  <si>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</si>
  <si>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</si>
  <si>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</si>
  <si>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</si>
  <si>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</si>
  <si>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</si>
  <si>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</si>
  <si>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</si>
  <si>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</si>
  <si>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</si>
  <si>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</si>
  <si>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</si>
  <si>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</si>
  <si>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</si>
  <si>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</si>
  <si>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</si>
  <si>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</si>
  <si>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</si>
  <si>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</si>
  <si>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</si>
  <si>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</si>
  <si>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</si>
  <si>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</si>
  <si>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</si>
  <si>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</si>
  <si>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</si>
  <si>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</si>
  <si>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</si>
  <si>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</si>
  <si>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</si>
  <si>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</si>
  <si>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</si>
  <si>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</si>
  <si>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</si>
  <si>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</si>
  <si>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</si>
  <si>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</si>
  <si>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</si>
  <si>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</si>
  <si>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</si>
  <si>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</si>
  <si>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</si>
  <si>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</si>
  <si>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</si>
  <si>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</si>
  <si>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</si>
  <si>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</si>
  <si>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</si>
  <si>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</si>
  <si>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</si>
  <si>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</si>
  <si>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</si>
  <si>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</si>
  <si>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</si>
  <si>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</si>
  <si>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</si>
  <si>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</si>
  <si>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</si>
  <si>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</si>
  <si>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</si>
  <si>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</si>
  <si>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</si>
  <si>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</si>
  <si>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</si>
  <si>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</si>
  <si>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</si>
  <si>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</si>
  <si>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</si>
  <si>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</si>
  <si>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</si>
  <si>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</si>
  <si>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</si>
  <si>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</si>
  <si>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</si>
  <si>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</si>
  <si>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</si>
  <si>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</si>
  <si>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</si>
  <si>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</si>
  <si>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</si>
  <si>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</si>
  <si>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</si>
  <si>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</si>
  <si>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</si>
  <si>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</si>
  <si>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</si>
  <si>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</si>
  <si>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</si>
  <si>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</si>
  <si>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</si>
  <si>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</si>
  <si>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</si>
  <si>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</si>
  <si>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</si>
  <si>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</si>
  <si>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</si>
  <si>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</si>
  <si>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</si>
  <si>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</si>
  <si>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</si>
  <si>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</si>
  <si>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</si>
  <si>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</si>
  <si>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</si>
  <si>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</si>
  <si>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</si>
  <si>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</si>
  <si>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</si>
  <si>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</si>
  <si>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</si>
  <si>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</si>
  <si>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</si>
  <si>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</si>
  <si>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</si>
  <si>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</si>
  <si>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</si>
  <si>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</si>
  <si>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</si>
  <si>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</si>
  <si>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</si>
  <si>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</si>
  <si>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</si>
  <si>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</si>
  <si>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</si>
  <si>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</si>
  <si>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</si>
  <si>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</si>
  <si>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</si>
  <si>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</si>
  <si>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</si>
  <si>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</si>
  <si>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</si>
  <si>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</si>
  <si>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</si>
  <si>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</si>
  <si>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</si>
  <si>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</si>
  <si>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</si>
  <si>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</si>
  <si>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</si>
  <si>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</si>
  <si>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</si>
  <si>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</si>
  <si>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</si>
  <si>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</si>
  <si>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</si>
  <si>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</si>
  <si>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</si>
  <si>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</si>
  <si>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</si>
  <si>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</si>
  <si>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</si>
  <si>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</si>
  <si>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</si>
  <si>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</si>
  <si>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</si>
  <si>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</si>
  <si>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</si>
  <si>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</si>
  <si>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</si>
  <si>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</si>
  <si>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</si>
  <si>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</si>
  <si>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</si>
  <si>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</si>
  <si>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</si>
  <si>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</si>
  <si>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</si>
  <si>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</si>
  <si>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</si>
  <si>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</si>
  <si>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</si>
  <si>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</si>
  <si>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</si>
  <si>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</si>
  <si>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</si>
  <si>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</si>
  <si>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</si>
  <si>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</si>
  <si>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</si>
  <si>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</si>
  <si>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</si>
  <si>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</si>
  <si>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</si>
  <si>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</si>
  <si>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</si>
  <si>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</si>
  <si>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</si>
  <si>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</si>
  <si>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</si>
  <si>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</si>
  <si>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</si>
  <si>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</si>
  <si>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</si>
  <si>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</si>
  <si>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</si>
  <si>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</si>
  <si>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</si>
  <si>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</si>
  <si>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</si>
  <si>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</si>
  <si>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</si>
  <si>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</si>
  <si>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</si>
  <si>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</si>
  <si>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</si>
  <si>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</si>
  <si>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</si>
  <si>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</si>
  <si>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</si>
  <si>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</si>
  <si>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</si>
  <si>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</si>
  <si>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</si>
  <si>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</si>
  <si>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</si>
  <si>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</si>
  <si>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</si>
  <si>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</si>
  <si>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</si>
  <si>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</si>
  <si>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</si>
  <si>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</si>
  <si>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</si>
  <si>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</si>
  <si>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</si>
  <si>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</si>
  <si>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</si>
  <si>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</si>
  <si>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</si>
  <si>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</si>
  <si>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</si>
  <si>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</si>
  <si>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</si>
  <si>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</si>
  <si>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</si>
  <si>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</si>
  <si>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</si>
  <si>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</si>
  <si>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</si>
  <si>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</si>
  <si>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</si>
  <si>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</si>
  <si>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</si>
  <si>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</si>
  <si>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</si>
  <si>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</si>
  <si>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</si>
  <si>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</si>
  <si>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</si>
  <si>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</si>
  <si>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</si>
  <si>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</si>
  <si>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</si>
  <si>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</si>
  <si>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</si>
  <si>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</si>
  <si>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</si>
  <si>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</si>
  <si>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</si>
  <si>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</si>
  <si>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</si>
  <si>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</si>
  <si>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</si>
  <si>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</si>
  <si>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</si>
  <si>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</si>
  <si>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</si>
  <si>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</si>
  <si>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</si>
  <si>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</si>
  <si>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</si>
  <si>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</si>
  <si>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</si>
  <si>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</si>
  <si>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</si>
  <si>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</si>
  <si>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</si>
  <si>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</si>
  <si>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</si>
  <si>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</si>
  <si>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</si>
  <si>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</si>
  <si>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</si>
  <si>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</si>
  <si>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</si>
  <si>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</si>
  <si>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</si>
  <si>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</si>
  <si>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</si>
  <si>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</si>
  <si>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</si>
  <si>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</si>
  <si>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</si>
  <si>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</si>
  <si>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</si>
  <si>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</si>
  <si>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</si>
  <si>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</si>
  <si>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</si>
  <si>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</si>
  <si>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</si>
  <si>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</si>
  <si>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</si>
  <si>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</si>
  <si>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</si>
  <si>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</si>
  <si>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</si>
  <si>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</si>
  <si>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</si>
  <si>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</si>
  <si>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</si>
  <si>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</si>
  <si>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</si>
  <si>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</si>
  <si>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</si>
  <si>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</si>
  <si>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</si>
  <si>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</si>
  <si>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</si>
  <si>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</si>
  <si>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</si>
  <si>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</si>
  <si>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</si>
  <si>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</si>
  <si>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</si>
  <si>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</si>
  <si>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</si>
  <si>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</si>
  <si>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</si>
  <si>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</si>
  <si>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</si>
  <si>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</si>
  <si>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</si>
  <si>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</si>
  <si>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</si>
  <si>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</si>
  <si>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</si>
  <si>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</si>
  <si>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</si>
  <si>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</si>
  <si>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</si>
  <si>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</si>
  <si>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</si>
  <si>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</si>
  <si>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</si>
  <si>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</si>
  <si>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</si>
  <si>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</si>
  <si>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ST Microelectronics</t>
  </si>
  <si>
    <t>Mouser SKU Prefix</t>
  </si>
  <si>
    <t>474-</t>
  </si>
  <si>
    <t>485-</t>
  </si>
  <si>
    <t>511-</t>
  </si>
  <si>
    <t>Mouser SKU</t>
  </si>
  <si>
    <r>
      <t>Onion Omega2</t>
    </r>
    <r>
      <rPr>
        <vertAlign val="superscript"/>
        <sz val="11"/>
        <rFont val="Calibri"/>
        <family val="2"/>
        <scheme val="minor"/>
      </rPr>
      <t>+</t>
    </r>
    <r>
      <rPr>
        <sz val="11"/>
        <rFont val="Calibri"/>
        <family val="2"/>
        <scheme val="minor"/>
      </rPr>
      <t xml:space="preserve"> + Arduino Base Station</t>
    </r>
  </si>
  <si>
    <r>
      <t>Onion Omega2</t>
    </r>
    <r>
      <rPr>
        <vertAlign val="superscript"/>
        <sz val="11"/>
        <rFont val="Calibri"/>
        <family val="2"/>
        <scheme val="minor"/>
      </rPr>
      <t>+</t>
    </r>
    <r>
      <rPr>
        <sz val="11"/>
        <rFont val="Calibri"/>
        <family val="2"/>
        <scheme val="minor"/>
      </rPr>
      <t xml:space="preserve"> Handheld</t>
    </r>
  </si>
  <si>
    <t/>
  </si>
  <si>
    <t># Walker Testing Units (Initial/Total):</t>
  </si>
  <si>
    <t>Supplier</t>
  </si>
  <si>
    <t>Extra Initial</t>
  </si>
  <si>
    <t>Extra</t>
  </si>
  <si>
    <t># Left</t>
  </si>
  <si>
    <t># Initial</t>
  </si>
  <si>
    <t>Tot #</t>
  </si>
  <si>
    <t>#/Unit</t>
  </si>
  <si>
    <t>Mini USB WiFi Module - RTL8188eu - 802.11b/g/n</t>
  </si>
  <si>
    <t>Bluetooth / WiFi Combination USB Dongle</t>
  </si>
  <si>
    <t>USB WIFI DONGLE BL-WN2210</t>
  </si>
  <si>
    <t>AAEON UP</t>
  </si>
  <si>
    <t>OPT-UP-WF-002</t>
  </si>
  <si>
    <t>409-</t>
  </si>
  <si>
    <t>100m indoor, 300m outdoor transmission range</t>
  </si>
  <si>
    <t>8m  transmission range</t>
  </si>
  <si>
    <t>300m transmission range</t>
  </si>
  <si>
    <t xml:space="preserve">Mini Power Switch - SPDT </t>
  </si>
  <si>
    <t>RGB LCD Shield Kit w/ 16x2 Character Display - Only 2 pins used! - POSITIVE DISPLAY</t>
  </si>
  <si>
    <t>LCD Shield Kit w/ 16x2 Character Display - Only 2 pins used! - BLUE AND WHITE</t>
  </si>
  <si>
    <t>$/Unit</t>
  </si>
  <si>
    <t>Total $</t>
  </si>
  <si>
    <t>Cost Breakdown</t>
  </si>
  <si>
    <t>Initial Order</t>
  </si>
  <si>
    <t>Total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</si>
</sst>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7" formatCode="&quot;$&quot;#,##0.00_);\(&quot;$&quot;#,##0.00\)"/>
    <numFmt numFmtId="164" formatCode="[&lt;=9999999]###\-####;\(###\)\ ###\-####"/>
    <numFmt numFmtId="165" formatCode="0_);\(0\)"/>
    <numFmt numFmtId="166" formatCode="&quot;$&quot;#,##0.00"/>
    <numFmt numFmtId="167" formatCode="_([$$-409]* #,##0.00_);_([$$-409]* \(#,##0.00\);_([$$-409]* &quot;-&quot;??_);_(@_)"/>
  </numFmts>
  <fonts count="34" x14ac:knownFonts="1">
    <font>
      <sz val="11"/>
      <color theme="1"/>
      <name val="Calibri"/>
      <family val="2"/>
      <scheme val="minor"/>
    </font>
    <font>
      <sz val="8"/>
      <name val="Arial"/>
      <family val="2"/>
    </font>
    <font>
      <b/>
      <sz val="11"/>
      <color theme="1"/>
      <name val="Calibri"/>
      <family val="2"/>
      <scheme val="minor"/>
    </font>
    <font>
      <sz val="11"/>
      <color theme="3" tint="-0.499984740745262"/>
      <name val="Calibri"/>
      <family val="2"/>
      <scheme val="minor"/>
    </font>
    <font>
      <b/>
      <sz val="16"/>
      <color theme="4"/>
      <name val="Calibri"/>
      <family val="2"/>
      <scheme val="minor"/>
    </font>
    <font>
      <sz val="11"/>
      <color theme="1"/>
      <name val="Calibri"/>
      <family val="2"/>
      <scheme val="minor"/>
    </font>
    <font>
      <sz val="26"/>
      <color theme="2" tint="-0.499984740745262"/>
      <name val="Corbel"/>
      <family val="2"/>
      <scheme val="major"/>
    </font>
    <font>
      <b/>
      <sz val="16"/>
      <color theme="2" tint="-0.749961851863155"/>
      <name val="Corbel"/>
      <family val="2"/>
      <scheme val="major"/>
    </font>
    <font>
      <b/>
      <sz val="11"/>
      <color theme="2" tint="-0.749961851863155"/>
      <name val="Corbel"/>
      <family val="2"/>
      <scheme val="major"/>
    </font>
    <font>
      <sz val="11"/>
      <color theme="0"/>
      <name val="Calibri"/>
      <family val="2"/>
      <scheme val="minor"/>
    </font>
    <font>
      <b/>
      <sz val="26"/>
      <color theme="3"/>
      <name val="Corbel"/>
      <family val="2"/>
      <scheme val="major"/>
    </font>
    <font>
      <sz val="11"/>
      <color theme="0" tint="-4.9989318521683403E-2"/>
      <name val="Calibri"/>
      <family val="2"/>
      <scheme val="minor"/>
    </font>
    <font>
      <u/>
      <sz val="11"/>
      <color theme="10"/>
      <name val="Calibri"/>
      <family val="2"/>
      <scheme val="minor"/>
    </font>
    <font>
      <b/>
      <sz val="11"/>
      <color theme="0"/>
      <name val="Calibri"/>
      <family val="2"/>
      <scheme val="minor"/>
    </font>
    <font>
      <b/>
      <sz val="16"/>
      <color theme="0"/>
      <name val="Calibri"/>
      <family val="2"/>
      <scheme val="minor"/>
    </font>
    <font>
      <sz val="16"/>
      <color theme="1"/>
      <name val="Calibri"/>
      <family val="2"/>
      <scheme val="minor"/>
    </font>
    <font>
      <sz val="16"/>
      <color rgb="FF555555"/>
      <name val="Calibri"/>
      <family val="2"/>
      <scheme val="minor"/>
    </font>
    <font>
      <sz val="16"/>
      <color rgb="FF333333"/>
      <name val="Calibri"/>
      <family val="2"/>
      <scheme val="minor"/>
    </font>
    <font>
      <sz val="14"/>
      <color rgb="FF555555"/>
      <name val="Arial"/>
      <family val="2"/>
    </font>
    <font>
      <sz val="14"/>
      <color theme="1"/>
      <name val="Calibri"/>
      <family val="2"/>
      <scheme val="minor"/>
    </font>
    <font>
      <vertAlign val="superscript"/>
      <sz val="11"/>
      <color theme="1"/>
      <name val="Calibri"/>
      <family val="2"/>
      <scheme val="minor"/>
    </font>
    <font>
      <b/>
      <sz val="18"/>
      <color rgb="FFFF0000"/>
      <name val="Corbel"/>
      <family val="2"/>
      <scheme val="major"/>
    </font>
    <font>
      <sz val="11"/>
      <color rgb="FF00B0F0"/>
      <name val="Calibri"/>
      <family val="2"/>
      <scheme val="minor"/>
    </font>
    <font>
      <vertAlign val="superscript"/>
      <sz val="11"/>
      <color rgb="FF00B0F0"/>
      <name val="Calibri"/>
      <family val="2"/>
      <scheme val="minor"/>
    </font>
    <font>
      <sz val="10"/>
      <color rgb="FF00B0F0"/>
      <name val="Arial"/>
      <family val="2"/>
    </font>
    <font>
      <sz val="11"/>
      <color rgb="FFFF0000"/>
      <name val="Calibri"/>
      <family val="2"/>
      <scheme val="minor"/>
    </font>
    <font>
      <b/>
      <sz val="14"/>
      <color theme="0"/>
      <name val="Calibri"/>
      <family val="2"/>
      <scheme val="minor"/>
    </font>
    <font>
      <b/>
      <sz val="11"/>
      <color theme="0"/>
      <name val="Calibri"/>
      <family val="2"/>
    </font>
    <font>
      <b/>
      <sz val="14"/>
      <color theme="0"/>
      <name val="Forte"/>
      <family val="4"/>
    </font>
    <font>
      <b/>
      <sz val="11"/>
      <name val="Calibri"/>
      <family val="2"/>
      <scheme val="minor"/>
    </font>
    <font>
      <sz val="11"/>
      <name val="Calibri"/>
      <family val="2"/>
      <scheme val="minor"/>
    </font>
    <font>
      <sz val="10"/>
      <name val="Arial"/>
      <family val="2"/>
    </font>
    <font>
      <vertAlign val="superscript"/>
      <sz val="11"/>
      <name val="Calibri"/>
      <family val="2"/>
      <scheme val="minor"/>
    </font>
    <font>
      <b/>
      <sz val="12"/>
      <name val="Corbel"/>
      <family val="2"/>
      <scheme val="major"/>
    </font>
  </fonts>
  <fills count="17">
    <fill>
      <patternFill patternType="none"/>
    </fill>
    <fill>
      <patternFill patternType="gray125"/>
    </fill>
    <fill>
      <patternFill patternType="solid">
        <fgColor theme="2"/>
        <bgColor indexed="64"/>
      </patternFill>
    </fill>
    <fill>
      <patternFill patternType="solid">
        <fgColor theme="0" tint="-4.9989318521683403E-2"/>
        <bgColor indexed="64"/>
      </patternFill>
    </fill>
    <fill>
      <patternFill patternType="solid">
        <fgColor theme="3" tint="-0.499984740745262"/>
        <bgColor indexed="64"/>
      </patternFill>
    </fill>
    <fill>
      <patternFill patternType="solid">
        <fgColor theme="2" tint="-0.749961851863155"/>
        <bgColor theme="5"/>
      </patternFill>
    </fill>
    <fill>
      <patternFill patternType="solid">
        <fgColor rgb="FF1F4E49"/>
        <bgColor indexed="64"/>
      </patternFill>
    </fill>
    <fill>
      <patternFill patternType="solid">
        <fgColor rgb="FFFF0000"/>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B0F0"/>
        <bgColor indexed="64"/>
      </patternFill>
    </fill>
    <fill>
      <patternFill patternType="solid">
        <fgColor rgb="FF002060"/>
        <bgColor indexed="64"/>
      </patternFill>
    </fill>
    <fill>
      <patternFill patternType="solid">
        <fgColor rgb="FFF3AE03"/>
        <bgColor indexed="64"/>
      </patternFill>
    </fill>
    <fill>
      <patternFill patternType="solid">
        <fgColor theme="3"/>
        <bgColor indexed="64"/>
      </patternFill>
    </fill>
    <fill>
      <patternFill patternType="solid">
        <fgColor theme="0" tint="-4.9989318521683403E-2"/>
        <bgColor theme="5" tint="0.79992065187536243"/>
      </patternFill>
    </fill>
    <fill>
      <patternFill patternType="solid">
        <fgColor theme="9" tint="-0.499984740745262"/>
        <bgColor indexed="64"/>
      </patternFill>
    </fill>
    <fill>
      <patternFill patternType="solid">
        <fgColor rgb="FFFF4F4F"/>
        <bgColor indexed="64"/>
      </patternFill>
    </fill>
  </fills>
  <borders count="19">
    <border>
      <left/>
      <right/>
      <top/>
      <bottom/>
      <diagonal/>
    </border>
    <border>
      <left/>
      <right/>
      <top style="thin">
        <color theme="3" tint="-0.24994659260841701"/>
      </top>
      <bottom style="double">
        <color theme="3" tint="-0.24994659260841701"/>
      </bottom>
      <diagonal/>
    </border>
    <border>
      <left/>
      <right/>
      <top/>
      <bottom style="thick">
        <color theme="0"/>
      </bottom>
      <diagonal/>
    </border>
    <border>
      <left style="thick">
        <color theme="2" tint="-0.749961851863155"/>
      </left>
      <right style="thick">
        <color theme="2" tint="-0.749961851863155"/>
      </right>
      <top style="thick">
        <color theme="2" tint="-0.749961851863155"/>
      </top>
      <bottom style="thick">
        <color theme="2" tint="-0.749961851863155"/>
      </bottom>
      <diagonal/>
    </border>
    <border>
      <left style="thin">
        <color theme="3"/>
      </left>
      <right/>
      <top/>
      <bottom/>
      <diagonal/>
    </border>
    <border>
      <left/>
      <right style="thin">
        <color theme="3"/>
      </right>
      <top/>
      <bottom/>
      <diagonal/>
    </border>
    <border>
      <left/>
      <right style="thick">
        <color theme="2" tint="-0.749961851863155"/>
      </right>
      <top/>
      <bottom/>
      <diagonal/>
    </border>
    <border>
      <left style="thick">
        <color theme="3" tint="-0.499984740745262"/>
      </left>
      <right/>
      <top style="thick">
        <color theme="3" tint="-0.499984740745262"/>
      </top>
      <bottom/>
      <diagonal/>
    </border>
    <border>
      <left style="thick">
        <color theme="3" tint="-0.499984740745262"/>
      </left>
      <right/>
      <top/>
      <bottom/>
      <diagonal/>
    </border>
    <border>
      <left/>
      <right/>
      <top style="thick">
        <color theme="3" tint="-0.499984740745262"/>
      </top>
      <bottom/>
      <diagonal/>
    </border>
    <border>
      <left style="thick">
        <color theme="2" tint="-0.749961851863155"/>
      </left>
      <right/>
      <top style="thick">
        <color theme="2" tint="-0.749961851863155"/>
      </top>
      <bottom style="thick">
        <color theme="2" tint="-0.749961851863155"/>
      </bottom>
      <diagonal/>
    </border>
    <border>
      <left/>
      <right style="thick">
        <color theme="2" tint="-0.749961851863155"/>
      </right>
      <top style="thick">
        <color theme="2" tint="-0.749961851863155"/>
      </top>
      <bottom style="thick">
        <color theme="2" tint="-0.749961851863155"/>
      </bottom>
      <diagonal/>
    </border>
    <border>
      <left style="thick">
        <color theme="2" tint="-0.89996032593768116"/>
      </left>
      <right/>
      <top style="thick">
        <color theme="2" tint="-0.89996032593768116"/>
      </top>
      <bottom style="thick">
        <color theme="2" tint="-0.89996032593768116"/>
      </bottom>
      <diagonal/>
    </border>
    <border>
      <left/>
      <right/>
      <top style="thick">
        <color theme="2" tint="-0.89996032593768116"/>
      </top>
      <bottom style="thick">
        <color theme="2" tint="-0.89996032593768116"/>
      </bottom>
      <diagonal/>
    </border>
    <border>
      <left/>
      <right style="thick">
        <color theme="2" tint="-0.89996032593768116"/>
      </right>
      <top style="thick">
        <color theme="2" tint="-0.89996032593768116"/>
      </top>
      <bottom style="thick">
        <color theme="2" tint="-0.89996032593768116"/>
      </bottom>
      <diagonal/>
    </border>
    <border>
      <left/>
      <right/>
      <top style="thick">
        <color theme="2" tint="-0.749961851863155"/>
      </top>
      <bottom/>
      <diagonal/>
    </border>
    <border>
      <left/>
      <right style="thick">
        <color theme="2" tint="-0.749961851863155"/>
      </right>
      <top style="thick">
        <color theme="2" tint="-0.89996032593768116"/>
      </top>
      <bottom style="thick">
        <color theme="2" tint="-0.89996032593768116"/>
      </bottom>
      <diagonal/>
    </border>
    <border>
      <left style="thick">
        <color theme="2" tint="-0.749961851863155"/>
      </left>
      <right style="thick">
        <color theme="2" tint="-0.749961851863155"/>
      </right>
      <top style="thick">
        <color theme="2" tint="-0.749961851863155"/>
      </top>
      <bottom/>
      <diagonal/>
    </border>
    <border>
      <left style="thick">
        <color theme="2" tint="-0.749961851863155"/>
      </left>
      <right/>
      <top style="thick">
        <color theme="2" tint="-0.749961851863155"/>
      </top>
      <bottom/>
      <diagonal/>
    </border>
  </borders>
  <cellStyleXfs count="21">
    <xf numFmtId="0" fontId="0" fillId="0" borderId="0" applyFill="0" applyBorder="0">
      <alignment horizontal="left" vertical="center" wrapText="1" indent="1"/>
    </xf>
    <xf numFmtId="0" fontId="7" fillId="2" borderId="2" applyAlignment="0">
      <alignment horizontal="left" vertical="center" indent="1"/>
    </xf>
    <xf numFmtId="0" fontId="7" fillId="2" borderId="2">
      <alignment horizontal="right" vertical="center"/>
    </xf>
    <xf numFmtId="0" fontId="8" fillId="3" borderId="2" applyAlignment="0">
      <alignment horizontal="left" vertical="center" indent="1"/>
    </xf>
    <xf numFmtId="0" fontId="2" fillId="0" borderId="1" applyNumberFormat="0" applyFill="0" applyAlignment="0" applyProtection="0"/>
    <xf numFmtId="0" fontId="10" fillId="0" borderId="0" applyFill="0" applyBorder="0">
      <alignment vertical="center" wrapText="1"/>
    </xf>
    <xf numFmtId="0" fontId="8" fillId="0" borderId="0">
      <alignment horizontal="right" vertical="center" indent="1"/>
    </xf>
    <xf numFmtId="165" fontId="5" fillId="0" borderId="0" applyFont="0" applyFill="0" applyBorder="0" applyProtection="0">
      <alignment horizontal="center" vertical="center"/>
    </xf>
    <xf numFmtId="7" fontId="4" fillId="2" borderId="0" applyFill="0" applyBorder="0">
      <alignment horizontal="right" vertical="center"/>
    </xf>
    <xf numFmtId="7" fontId="5" fillId="0" borderId="0" applyFont="0" applyFill="0" applyBorder="0" applyProtection="0">
      <alignment horizontal="right" vertical="center" indent="1"/>
    </xf>
    <xf numFmtId="0" fontId="3" fillId="3" borderId="2" applyAlignment="0">
      <alignment horizontal="left" vertical="center" wrapText="1" indent="1"/>
    </xf>
    <xf numFmtId="0" fontId="6" fillId="0" borderId="0">
      <alignment horizontal="left" vertical="center"/>
    </xf>
    <xf numFmtId="14" fontId="4" fillId="0" borderId="0" applyFill="0" applyBorder="0" applyAlignment="0">
      <alignment horizontal="right" vertical="center"/>
    </xf>
    <xf numFmtId="164" fontId="5" fillId="0" borderId="0" applyFont="0" applyFill="0" applyBorder="0" applyAlignment="0">
      <alignment wrapText="1"/>
    </xf>
    <xf numFmtId="14" fontId="5" fillId="0" borderId="0" applyFont="0" applyFill="0" applyBorder="0">
      <alignment horizontal="center" vertical="center" wrapText="1"/>
    </xf>
    <xf numFmtId="49" fontId="5" fillId="0" borderId="0" applyFont="0" applyFill="0" applyBorder="0">
      <alignment horizontal="center" vertical="center" wrapText="1"/>
    </xf>
    <xf numFmtId="0" fontId="3" fillId="2" borderId="0">
      <alignment horizontal="left" vertical="center" wrapText="1"/>
    </xf>
    <xf numFmtId="0" fontId="9" fillId="4" borderId="0" applyBorder="0">
      <alignment horizontal="center" vertical="center"/>
    </xf>
    <xf numFmtId="0" fontId="9" fillId="0" borderId="0">
      <alignment vertical="center" wrapText="1"/>
    </xf>
    <xf numFmtId="0" fontId="12" fillId="0" borderId="0" applyNumberFormat="0" applyFill="0" applyBorder="0" applyAlignment="0" applyProtection="0">
      <alignment horizontal="left" vertical="center" wrapText="1" indent="1"/>
    </xf>
    <xf numFmtId="0" fontId="5" fillId="0" borderId="0" applyFill="0" applyBorder="0">
      <alignment horizontal="left" vertical="center" wrapText="1" indent="1"/>
    </xf>
  </cellStyleXfs>
  <cellXfs count="184">
    <xf numFmtId="0" fontId="0" fillId="0" borderId="0" xfId="0">
      <alignment horizontal="left" vertical="center" wrapText="1" indent="1"/>
    </xf>
    <xf numFmtId="0" fontId="0" fillId="0" borderId="0" xfId="0" applyFont="1">
      <alignment horizontal="left" vertical="center" wrapText="1" indent="1"/>
    </xf>
    <xf numFmtId="0" fontId="0" fillId="0" borderId="0" xfId="0" applyFont="1" applyFill="1">
      <alignment horizontal="left" vertical="center" wrapText="1" indent="1"/>
    </xf>
    <xf numFmtId="0" fontId="0" fillId="0" borderId="0" xfId="0" applyFill="1" applyBorder="1">
      <alignment horizontal="left" vertical="center" wrapText="1" indent="1"/>
    </xf>
    <xf numFmtId="0" fontId="6" fillId="0" borderId="0" xfId="11">
      <alignment horizontal="left" vertical="center"/>
    </xf>
    <xf numFmtId="0" fontId="0" fillId="0" borderId="0" xfId="0" applyFill="1">
      <alignment horizontal="left" vertical="center" wrapText="1" indent="1"/>
    </xf>
    <xf numFmtId="0" fontId="3" fillId="2" borderId="0" xfId="16">
      <alignment horizontal="left" vertical="center" wrapText="1"/>
    </xf>
    <xf numFmtId="0" fontId="0" fillId="0" borderId="0" xfId="0" applyFont="1" applyFill="1" applyBorder="1">
      <alignment horizontal="left" vertical="center" wrapText="1" indent="1"/>
    </xf>
    <xf numFmtId="0" fontId="10" fillId="0" borderId="0" xfId="5">
      <alignment vertical="center" wrapText="1"/>
    </xf>
    <xf numFmtId="0" fontId="9" fillId="0" borderId="0" xfId="18">
      <alignment vertical="center" wrapText="1"/>
    </xf>
    <xf numFmtId="1" fontId="0" fillId="0" borderId="0" xfId="0" applyNumberFormat="1" applyFill="1" applyBorder="1">
      <alignment horizontal="left" vertical="center" wrapText="1" indent="1"/>
    </xf>
    <xf numFmtId="1" fontId="0" fillId="0" borderId="0" xfId="0" applyNumberFormat="1" applyFont="1" applyFill="1">
      <alignment horizontal="left" vertical="center" wrapText="1" indent="1"/>
    </xf>
    <xf numFmtId="0" fontId="0" fillId="0" borderId="0" xfId="0" applyAlignment="1"/>
    <xf numFmtId="0" fontId="11" fillId="0" borderId="0" xfId="0" applyFont="1" applyAlignment="1"/>
    <xf numFmtId="166" fontId="0" fillId="0" borderId="0" xfId="0" applyNumberFormat="1" applyAlignment="1"/>
    <xf numFmtId="0" fontId="12" fillId="0" borderId="0" xfId="19" applyAlignment="1"/>
    <xf numFmtId="0" fontId="11" fillId="0" borderId="0" xfId="0" applyFont="1" applyAlignment="1">
      <alignment horizontal="left" vertical="center"/>
    </xf>
    <xf numFmtId="0" fontId="9" fillId="0" borderId="0" xfId="0" applyFont="1">
      <alignment horizontal="left" vertical="center" wrapText="1" indent="1"/>
    </xf>
    <xf numFmtId="7" fontId="4" fillId="2" borderId="3" xfId="8" applyBorder="1" applyAlignment="1">
      <alignment horizontal="center" vertical="center"/>
    </xf>
    <xf numFmtId="0" fontId="13" fillId="5" borderId="4" xfId="0" applyFont="1" applyFill="1" applyBorder="1">
      <alignment horizontal="left" vertical="center" wrapText="1" indent="1"/>
    </xf>
    <xf numFmtId="0" fontId="0" fillId="0" borderId="0" xfId="0" applyAlignment="1">
      <alignment horizontal="left" wrapText="1"/>
    </xf>
    <xf numFmtId="1" fontId="0" fillId="0" borderId="0" xfId="0" applyNumberFormat="1" applyAlignment="1">
      <alignment horizontal="left" wrapText="1"/>
    </xf>
    <xf numFmtId="0" fontId="11" fillId="0" borderId="0" xfId="0" applyFont="1" applyAlignment="1">
      <alignment horizontal="left"/>
    </xf>
    <xf numFmtId="7" fontId="0" fillId="0" borderId="0" xfId="9" applyFont="1" applyAlignment="1">
      <alignment horizontal="right"/>
    </xf>
    <xf numFmtId="7" fontId="0" fillId="0" borderId="0" xfId="9" applyNumberFormat="1" applyFont="1" applyAlignment="1">
      <alignment horizontal="right"/>
    </xf>
    <xf numFmtId="0" fontId="0" fillId="0" borderId="0" xfId="0" applyFont="1" applyFill="1" applyBorder="1" applyAlignment="1">
      <alignment horizontal="left" wrapText="1"/>
    </xf>
    <xf numFmtId="1" fontId="0" fillId="0" borderId="0" xfId="0" applyNumberFormat="1" applyFont="1" applyFill="1" applyBorder="1" applyAlignment="1">
      <alignment horizontal="left" wrapText="1"/>
    </xf>
    <xf numFmtId="7" fontId="0" fillId="0" borderId="0" xfId="0" applyNumberFormat="1" applyFont="1" applyFill="1" applyBorder="1" applyAlignment="1">
      <alignment horizontal="right"/>
    </xf>
    <xf numFmtId="0" fontId="11" fillId="0" borderId="0" xfId="0" applyFont="1" applyFill="1" applyBorder="1" applyAlignment="1">
      <alignment horizontal="left"/>
    </xf>
    <xf numFmtId="0" fontId="0" fillId="0" borderId="0" xfId="0" applyNumberFormat="1" applyFont="1" applyFill="1" applyBorder="1" applyAlignment="1">
      <alignment horizontal="left" wrapText="1"/>
    </xf>
    <xf numFmtId="0" fontId="13" fillId="0" borderId="0" xfId="18" applyFont="1">
      <alignment vertical="center" wrapText="1"/>
    </xf>
    <xf numFmtId="0" fontId="14" fillId="4" borderId="6" xfId="17" applyNumberFormat="1" applyFont="1" applyFill="1" applyBorder="1" applyAlignment="1">
      <alignment horizontal="center" vertical="center"/>
    </xf>
    <xf numFmtId="0" fontId="3" fillId="2" borderId="7" xfId="16" applyBorder="1">
      <alignment horizontal="left" vertical="center" wrapText="1"/>
    </xf>
    <xf numFmtId="0" fontId="9" fillId="4" borderId="8" xfId="17" applyBorder="1" applyAlignment="1">
      <alignment horizontal="left"/>
    </xf>
    <xf numFmtId="165" fontId="0" fillId="0" borderId="8" xfId="7" applyFont="1" applyBorder="1" applyAlignment="1">
      <alignment horizontal="center"/>
    </xf>
    <xf numFmtId="0" fontId="0" fillId="0" borderId="8" xfId="0" applyFont="1" applyFill="1" applyBorder="1" applyAlignment="1">
      <alignment horizontal="center" wrapText="1"/>
    </xf>
    <xf numFmtId="0" fontId="3" fillId="2" borderId="9" xfId="16" applyBorder="1">
      <alignment horizontal="left" vertical="center" wrapText="1"/>
    </xf>
    <xf numFmtId="0" fontId="15" fillId="0" borderId="0" xfId="0" applyFont="1" applyAlignment="1"/>
    <xf numFmtId="0" fontId="15" fillId="0" borderId="0" xfId="0" applyFont="1" applyAlignment="1">
      <alignment horizontal="left"/>
    </xf>
    <xf numFmtId="0" fontId="17" fillId="0" borderId="0" xfId="0" applyFont="1" applyAlignment="1">
      <alignment horizontal="left"/>
    </xf>
    <xf numFmtId="0" fontId="16" fillId="0" borderId="0" xfId="0" applyFont="1" applyAlignment="1">
      <alignment horizontal="left" vertical="center" wrapText="1"/>
    </xf>
    <xf numFmtId="0" fontId="17" fillId="0" borderId="0" xfId="0" applyFont="1" applyAlignment="1">
      <alignment horizontal="left" wrapText="1"/>
    </xf>
    <xf numFmtId="0" fontId="19" fillId="0" borderId="0" xfId="0" applyFont="1">
      <alignment horizontal="left" vertical="center" wrapText="1" indent="1"/>
    </xf>
    <xf numFmtId="0" fontId="15" fillId="0" borderId="0" xfId="0" applyFont="1">
      <alignment horizontal="left" vertical="center" wrapText="1" indent="1"/>
    </xf>
    <xf numFmtId="166" fontId="15" fillId="0" borderId="0" xfId="0" applyNumberFormat="1" applyFont="1" applyAlignment="1">
      <alignment horizontal="right"/>
    </xf>
    <xf numFmtId="166" fontId="17" fillId="0" borderId="0" xfId="0" applyNumberFormat="1" applyFont="1" applyAlignment="1">
      <alignment horizontal="right"/>
    </xf>
    <xf numFmtId="166" fontId="16" fillId="0" borderId="0" xfId="0" applyNumberFormat="1" applyFont="1" applyAlignment="1">
      <alignment horizontal="right" vertical="center" wrapText="1"/>
    </xf>
    <xf numFmtId="0" fontId="18" fillId="0" borderId="0" xfId="0" applyFont="1" applyAlignment="1">
      <alignment horizontal="left" vertical="center" wrapText="1" indent="1"/>
    </xf>
    <xf numFmtId="0" fontId="12" fillId="0" borderId="0" xfId="19" applyAlignment="1">
      <alignment horizontal="left" vertical="center" wrapText="1" indent="1"/>
    </xf>
    <xf numFmtId="0" fontId="0" fillId="0" borderId="0" xfId="0" applyAlignment="1">
      <alignment horizontal="left" wrapText="1" indent="1"/>
    </xf>
    <xf numFmtId="0" fontId="0" fillId="0" borderId="0" xfId="0" applyAlignment="1">
      <alignment horizontal="left" vertical="center" indent="1"/>
    </xf>
    <xf numFmtId="0" fontId="0" fillId="0" borderId="0" xfId="0" applyAlignment="1">
      <alignment vertical="center" wrapText="1"/>
    </xf>
    <xf numFmtId="0" fontId="0" fillId="0" borderId="0" xfId="0" applyFont="1" applyAlignment="1"/>
    <xf numFmtId="0" fontId="13" fillId="5" borderId="0" xfId="0" applyFont="1" applyFill="1" applyBorder="1" applyAlignment="1">
      <alignment horizontal="left" wrapText="1" indent="1"/>
    </xf>
    <xf numFmtId="0" fontId="13" fillId="5" borderId="0" xfId="0" applyFont="1" applyFill="1" applyBorder="1" applyAlignment="1"/>
    <xf numFmtId="166" fontId="13" fillId="5" borderId="5" xfId="0" applyNumberFormat="1" applyFont="1" applyFill="1" applyBorder="1" applyAlignment="1"/>
    <xf numFmtId="166" fontId="13" fillId="5" borderId="0" xfId="0" applyNumberFormat="1" applyFont="1" applyFill="1" applyBorder="1" applyAlignment="1"/>
    <xf numFmtId="166" fontId="0" fillId="0" borderId="0" xfId="0" applyNumberFormat="1" applyAlignment="1">
      <alignment horizontal="left" vertical="center" indent="1"/>
    </xf>
    <xf numFmtId="166" fontId="0" fillId="0" borderId="0" xfId="0" applyNumberFormat="1">
      <alignment horizontal="left" vertical="center" wrapText="1" indent="1"/>
    </xf>
    <xf numFmtId="0" fontId="10" fillId="0" borderId="0" xfId="5" applyAlignment="1">
      <alignment vertical="center" wrapText="1"/>
    </xf>
    <xf numFmtId="0" fontId="0" fillId="0" borderId="0" xfId="0" applyAlignment="1">
      <alignment horizontal="left" vertical="center" wrapText="1" indent="1"/>
    </xf>
    <xf numFmtId="0" fontId="9" fillId="6" borderId="8" xfId="0" applyFont="1" applyFill="1" applyBorder="1" applyAlignment="1">
      <alignment horizontal="center" vertical="center" wrapText="1"/>
    </xf>
    <xf numFmtId="7" fontId="4" fillId="2" borderId="11" xfId="8" applyBorder="1" applyAlignment="1">
      <alignment horizontal="center" vertical="center"/>
    </xf>
    <xf numFmtId="0" fontId="10" fillId="0" borderId="0" xfId="5" applyAlignment="1">
      <alignment horizontal="left" vertical="center" wrapText="1"/>
    </xf>
    <xf numFmtId="0" fontId="0" fillId="0" borderId="0" xfId="0" applyFill="1" applyAlignment="1"/>
    <xf numFmtId="0" fontId="14" fillId="4" borderId="14" xfId="17" applyNumberFormat="1" applyFont="1" applyFill="1" applyBorder="1" applyAlignment="1">
      <alignment horizontal="center" vertical="center"/>
    </xf>
    <xf numFmtId="0" fontId="3" fillId="2" borderId="15" xfId="16" applyBorder="1">
      <alignment horizontal="left" vertical="center" wrapText="1"/>
    </xf>
    <xf numFmtId="0" fontId="0" fillId="8" borderId="0" xfId="0" applyFill="1" applyAlignment="1"/>
    <xf numFmtId="0" fontId="21" fillId="2" borderId="3" xfId="1" applyFont="1" applyBorder="1" applyAlignment="1">
      <alignment horizontal="center" vertical="center"/>
    </xf>
    <xf numFmtId="0" fontId="22" fillId="0" borderId="0" xfId="0" applyFont="1" applyAlignment="1"/>
    <xf numFmtId="0" fontId="22" fillId="0" borderId="0" xfId="0" applyFont="1">
      <alignment horizontal="left" vertical="center" wrapText="1" indent="1"/>
    </xf>
    <xf numFmtId="0" fontId="24" fillId="0" borderId="0" xfId="0" applyFont="1" applyAlignment="1">
      <alignment horizontal="left" vertical="center" wrapText="1"/>
    </xf>
    <xf numFmtId="0" fontId="13" fillId="7" borderId="0" xfId="0" applyFont="1" applyFill="1">
      <alignment horizontal="left" vertical="center" wrapText="1" indent="1"/>
    </xf>
    <xf numFmtId="0" fontId="13" fillId="10" borderId="0" xfId="0" applyFont="1" applyFill="1">
      <alignment horizontal="left" vertical="center" wrapText="1" indent="1"/>
    </xf>
    <xf numFmtId="0" fontId="13" fillId="11" borderId="0" xfId="0" applyFont="1" applyFill="1">
      <alignment horizontal="left" vertical="center" wrapText="1" indent="1"/>
    </xf>
    <xf numFmtId="0" fontId="13" fillId="9" borderId="0" xfId="0" applyFont="1" applyFill="1">
      <alignment horizontal="left" vertical="center" wrapText="1" indent="1"/>
    </xf>
    <xf numFmtId="0" fontId="13" fillId="12" borderId="0" xfId="0" applyFont="1" applyFill="1">
      <alignment horizontal="left" vertical="center" wrapText="1" indent="1"/>
    </xf>
    <xf numFmtId="0" fontId="13" fillId="4" borderId="14" xfId="17" applyNumberFormat="1" applyFont="1" applyFill="1" applyBorder="1" applyAlignment="1">
      <alignment horizontal="center" vertical="center"/>
    </xf>
    <xf numFmtId="0" fontId="28" fillId="13" borderId="0" xfId="0" applyFont="1" applyFill="1">
      <alignment horizontal="left" vertical="center" wrapText="1" indent="1"/>
    </xf>
    <xf numFmtId="0" fontId="26" fillId="13" borderId="0" xfId="0" applyFont="1" applyFill="1">
      <alignment horizontal="left" vertical="center" wrapText="1" indent="1"/>
    </xf>
    <xf numFmtId="0" fontId="25" fillId="0" borderId="0" xfId="0" applyFont="1">
      <alignment horizontal="left" vertical="center" wrapText="1" indent="1"/>
    </xf>
    <xf numFmtId="0" fontId="14" fillId="4" borderId="13" xfId="17" applyNumberFormat="1" applyFont="1" applyFill="1" applyBorder="1" applyAlignment="1">
      <alignment horizontal="center" vertical="center"/>
    </xf>
    <xf numFmtId="0" fontId="0" fillId="0" borderId="0" xfId="0" applyAlignment="1">
      <alignment horizontal="left" vertical="center" wrapText="1"/>
    </xf>
    <xf numFmtId="0" fontId="3" fillId="14" borderId="0" xfId="0" applyFont="1" applyFill="1">
      <alignment horizontal="left" vertical="center" wrapText="1" indent="1"/>
    </xf>
    <xf numFmtId="0" fontId="13" fillId="4" borderId="14" xfId="17" applyNumberFormat="1" applyFont="1" applyFill="1" applyBorder="1" applyAlignment="1">
      <alignment horizontal="left" vertical="center"/>
    </xf>
    <xf numFmtId="0" fontId="0" fillId="0" borderId="0" xfId="0" applyFill="1" applyAlignment="1">
      <alignment horizontal="left"/>
    </xf>
    <xf numFmtId="0" fontId="0" fillId="0" borderId="0" xfId="0" applyAlignment="1">
      <alignment horizontal="left"/>
    </xf>
    <xf numFmtId="0" fontId="13" fillId="4" borderId="14" xfId="17" applyNumberFormat="1" applyFont="1" applyFill="1" applyBorder="1" applyAlignment="1">
      <alignment horizontal="right" vertical="center"/>
    </xf>
    <xf numFmtId="0" fontId="13" fillId="4" borderId="14" xfId="17" applyNumberFormat="1" applyFont="1" applyFill="1" applyBorder="1" applyAlignment="1">
      <alignment vertical="center"/>
    </xf>
    <xf numFmtId="0" fontId="0" fillId="0" borderId="0" xfId="0" applyAlignment="1">
      <alignment horizontal="right"/>
    </xf>
    <xf numFmtId="0" fontId="0" fillId="0" borderId="0" xfId="0" applyFill="1" applyAlignment="1">
      <alignment vertical="center" wrapText="1"/>
    </xf>
    <xf numFmtId="0" fontId="0" fillId="8" borderId="0" xfId="0" applyFill="1" applyAlignment="1">
      <alignment horizontal="left"/>
    </xf>
    <xf numFmtId="0" fontId="3" fillId="0" borderId="0" xfId="0" applyFont="1" applyBorder="1" applyAlignment="1">
      <alignment vertical="center" wrapText="1"/>
    </xf>
    <xf numFmtId="0" fontId="0" fillId="8" borderId="0" xfId="0" applyFill="1" applyAlignment="1">
      <alignment horizontal="right"/>
    </xf>
    <xf numFmtId="0" fontId="0" fillId="8" borderId="0" xfId="0" applyFill="1" applyAlignment="1">
      <alignment horizontal="left" vertical="center" wrapText="1"/>
    </xf>
    <xf numFmtId="0" fontId="0" fillId="0" borderId="0" xfId="0" applyAlignment="1">
      <alignment horizontal="right" vertical="center" wrapText="1"/>
    </xf>
    <xf numFmtId="0" fontId="0" fillId="0" borderId="0" xfId="0" applyFont="1" applyAlignment="1">
      <alignment vertical="center" wrapText="1"/>
    </xf>
    <xf numFmtId="0" fontId="0" fillId="0" borderId="0" xfId="0" applyAlignment="1">
      <alignment wrapText="1"/>
    </xf>
    <xf numFmtId="0" fontId="22" fillId="0" borderId="0" xfId="0" applyFont="1" applyAlignment="1">
      <alignment horizontal="right"/>
    </xf>
    <xf numFmtId="0" fontId="22" fillId="0" borderId="0" xfId="0" applyFont="1" applyAlignment="1">
      <alignment vertical="center" wrapText="1"/>
    </xf>
    <xf numFmtId="0" fontId="22" fillId="0" borderId="0" xfId="0" applyFont="1" applyBorder="1" applyAlignment="1">
      <alignment vertical="center" wrapText="1"/>
    </xf>
    <xf numFmtId="0" fontId="22" fillId="0" borderId="0" xfId="0" applyFont="1" applyAlignment="1">
      <alignment wrapText="1"/>
    </xf>
    <xf numFmtId="0" fontId="30" fillId="0" borderId="0" xfId="0" applyFont="1" applyFill="1" applyAlignment="1">
      <alignment vertical="center" wrapText="1"/>
    </xf>
    <xf numFmtId="0" fontId="30" fillId="0" borderId="0" xfId="0" applyFont="1" applyFill="1" applyAlignment="1"/>
    <xf numFmtId="0" fontId="30" fillId="0" borderId="0" xfId="0" applyFont="1" applyFill="1" applyAlignment="1">
      <alignment horizontal="right"/>
    </xf>
    <xf numFmtId="0" fontId="30" fillId="0" borderId="0" xfId="0" applyFont="1" applyFill="1">
      <alignment horizontal="left" vertical="center" wrapText="1" indent="1"/>
    </xf>
    <xf numFmtId="0" fontId="30" fillId="0" borderId="0" xfId="0" applyFont="1" applyFill="1" applyAlignment="1">
      <alignment horizontal="left"/>
    </xf>
    <xf numFmtId="0" fontId="30" fillId="0" borderId="0" xfId="0" applyFont="1" applyFill="1" applyAlignment="1">
      <alignment horizontal="left" vertical="center" wrapText="1"/>
    </xf>
    <xf numFmtId="0" fontId="3" fillId="2" borderId="15" xfId="16" applyBorder="1" applyAlignment="1">
      <alignment vertical="center" wrapText="1"/>
    </xf>
    <xf numFmtId="49" fontId="15" fillId="0" borderId="0" xfId="0" applyNumberFormat="1" applyFont="1" applyAlignment="1"/>
    <xf numFmtId="49" fontId="13" fillId="4" borderId="14" xfId="17" applyNumberFormat="1" applyFont="1" applyFill="1" applyBorder="1" applyAlignment="1">
      <alignment horizontal="left" vertical="center"/>
    </xf>
    <xf numFmtId="0" fontId="30" fillId="0" borderId="0" xfId="0" applyFont="1" applyFill="1" applyAlignment="1">
      <alignment horizontal="right" vertical="center" wrapText="1"/>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horizontal="right" vertical="top" wrapText="1"/>
    </xf>
    <xf numFmtId="0" fontId="13" fillId="4" borderId="14" xfId="17" applyNumberFormat="1" applyFont="1" applyFill="1" applyBorder="1" applyAlignment="1"/>
    <xf numFmtId="0" fontId="29" fillId="0" borderId="0" xfId="0" applyFont="1" applyFill="1" applyAlignment="1"/>
    <xf numFmtId="0" fontId="30" fillId="0" borderId="0" xfId="0" applyFont="1" applyFill="1" applyBorder="1" applyAlignment="1">
      <alignment vertical="center" wrapText="1"/>
    </xf>
    <xf numFmtId="0" fontId="30" fillId="0" borderId="0" xfId="0" applyFont="1" applyFill="1" applyAlignment="1">
      <alignment vertical="top" wrapText="1"/>
    </xf>
    <xf numFmtId="0" fontId="30" fillId="0" borderId="0" xfId="0" applyFont="1" applyFill="1" applyAlignment="1">
      <alignment horizontal="right" vertical="top" wrapText="1"/>
    </xf>
    <xf numFmtId="0" fontId="30" fillId="0" borderId="0" xfId="0" applyFont="1" applyFill="1" applyAlignment="1">
      <alignment horizontal="left" vertical="top" wrapText="1"/>
    </xf>
    <xf numFmtId="0" fontId="30" fillId="0" borderId="0" xfId="0" applyNumberFormat="1" applyFont="1" applyFill="1" applyAlignment="1"/>
    <xf numFmtId="0" fontId="13" fillId="15" borderId="0" xfId="0" applyFont="1" applyFill="1">
      <alignment horizontal="left" vertical="center" wrapText="1" indent="1"/>
    </xf>
    <xf numFmtId="0" fontId="13" fillId="16" borderId="0" xfId="0" applyFont="1" applyFill="1">
      <alignment horizontal="left" vertical="center" wrapText="1" indent="1"/>
    </xf>
    <xf numFmtId="0" fontId="29" fillId="0" borderId="0" xfId="0" applyFont="1" applyFill="1" applyAlignment="1">
      <alignment horizontal="left"/>
    </xf>
    <xf numFmtId="0" fontId="30" fillId="0" borderId="0" xfId="0" applyFont="1" applyFill="1" applyAlignment="1">
      <alignment wrapText="1"/>
    </xf>
    <xf numFmtId="0" fontId="30" fillId="0" borderId="0" xfId="0" applyFont="1" applyFill="1" applyAlignment="1">
      <alignment vertical="center"/>
    </xf>
    <xf numFmtId="0" fontId="31" fillId="0" borderId="0" xfId="0" applyFont="1" applyFill="1">
      <alignment horizontal="left" vertical="center" wrapText="1" indent="1"/>
    </xf>
    <xf numFmtId="0" fontId="30" fillId="0" borderId="0" xfId="0" applyFont="1" applyFill="1" applyAlignment="1">
      <alignment vertical="top"/>
    </xf>
    <xf numFmtId="0" fontId="30" fillId="0" borderId="0" xfId="0" applyFont="1" applyFill="1" applyAlignment="1">
      <alignment horizontal="right" vertical="top"/>
    </xf>
    <xf numFmtId="0" fontId="31" fillId="0" borderId="0" xfId="0" applyFont="1" applyFill="1" applyAlignment="1">
      <alignment vertical="center" wrapText="1"/>
    </xf>
    <xf numFmtId="0" fontId="30" fillId="0" borderId="0" xfId="0" applyFont="1" applyFill="1" applyAlignment="1">
      <alignment horizontal="left" vertical="center" wrapText="1" indent="1"/>
    </xf>
    <xf numFmtId="0" fontId="29" fillId="0" borderId="0" xfId="0" applyFont="1" applyFill="1">
      <alignment horizontal="left" vertical="center" wrapText="1" indent="1"/>
    </xf>
    <xf numFmtId="49" fontId="30" fillId="0" borderId="0" xfId="0" applyNumberFormat="1" applyFont="1" applyFill="1" applyAlignment="1">
      <alignment horizontal="left"/>
    </xf>
    <xf numFmtId="49" fontId="30" fillId="0" borderId="0" xfId="0" applyNumberFormat="1" applyFont="1" applyFill="1" applyAlignment="1">
      <alignment horizontal="left" vertical="center" wrapText="1"/>
    </xf>
    <xf numFmtId="7" fontId="4" fillId="0" borderId="0" xfId="8" applyFill="1" applyBorder="1" applyAlignment="1">
      <alignment horizontal="center" vertical="center"/>
    </xf>
    <xf numFmtId="0" fontId="30" fillId="0" borderId="0" xfId="0" applyFont="1" applyFill="1" applyAlignment="1">
      <alignment horizontal="right" wrapText="1"/>
    </xf>
    <xf numFmtId="0" fontId="0" fillId="0" borderId="0" xfId="0" applyAlignment="1">
      <alignment vertical="center"/>
    </xf>
    <xf numFmtId="167" fontId="13" fillId="4" borderId="14" xfId="17" applyNumberFormat="1" applyFont="1" applyFill="1" applyBorder="1" applyAlignment="1">
      <alignment vertical="center"/>
    </xf>
    <xf numFmtId="167" fontId="30" fillId="0" borderId="0" xfId="0" applyNumberFormat="1" applyFont="1" applyFill="1" applyAlignment="1"/>
    <xf numFmtId="167" fontId="30" fillId="0" borderId="0" xfId="0" applyNumberFormat="1" applyFont="1" applyFill="1" applyAlignment="1">
      <alignment vertical="center" wrapText="1"/>
    </xf>
    <xf numFmtId="167" fontId="30" fillId="0" borderId="0" xfId="8" applyNumberFormat="1" applyFont="1" applyFill="1" applyAlignment="1">
      <alignment horizontal="right"/>
    </xf>
    <xf numFmtId="0" fontId="0" fillId="0" borderId="0" xfId="0" applyAlignment="1">
      <alignment horizontal="right" wrapText="1"/>
    </xf>
    <xf numFmtId="0" fontId="0" fillId="0" borderId="0" xfId="0" applyAlignment="1">
      <alignment horizontal="left" vertical="top"/>
    </xf>
    <xf numFmtId="0" fontId="0" fillId="0" borderId="0" xfId="0" applyAlignment="1">
      <alignment horizontal="left" vertical="center"/>
    </xf>
    <xf numFmtId="0" fontId="0" fillId="0" borderId="0" xfId="0" applyFill="1" applyAlignment="1">
      <alignment horizontal="right"/>
    </xf>
    <xf numFmtId="0" fontId="30" fillId="0" borderId="0" xfId="0" applyFont="1" applyFill="1" applyAlignment="1">
      <alignment horizontal="left" vertical="center"/>
    </xf>
    <xf numFmtId="0" fontId="10" fillId="0" borderId="0" xfId="5" applyAlignment="1">
      <alignment wrapText="1"/>
    </xf>
    <xf numFmtId="0" fontId="30" fillId="0" borderId="0" xfId="0" applyFont="1" applyFill="1" applyAlignment="1">
      <alignment horizontal="right" vertical="center"/>
    </xf>
    <xf numFmtId="0" fontId="30" fillId="0" borderId="0" xfId="0" applyNumberFormat="1" applyFont="1" applyFill="1" applyAlignment="1">
      <alignment horizontal="right"/>
    </xf>
    <xf numFmtId="0" fontId="22" fillId="0" borderId="0" xfId="0" applyFont="1" applyBorder="1" applyAlignment="1"/>
    <xf numFmtId="0" fontId="22" fillId="0" borderId="0" xfId="0" applyFont="1" applyAlignment="1">
      <alignment horizontal="left"/>
    </xf>
    <xf numFmtId="0" fontId="3" fillId="0" borderId="0" xfId="0" applyFont="1" applyBorder="1" applyAlignment="1"/>
    <xf numFmtId="0" fontId="22" fillId="0" borderId="0" xfId="0" applyFont="1" applyAlignment="1">
      <alignment horizontal="left" vertical="center"/>
    </xf>
    <xf numFmtId="0" fontId="30" fillId="0" borderId="0" xfId="0" applyFont="1" applyFill="1" applyBorder="1" applyAlignment="1"/>
    <xf numFmtId="0" fontId="30" fillId="0" borderId="0" xfId="0" applyFont="1" applyFill="1" applyAlignment="1">
      <alignment horizontal="left" vertical="top"/>
    </xf>
    <xf numFmtId="0" fontId="3" fillId="2" borderId="0" xfId="16" applyBorder="1">
      <alignment horizontal="left" vertical="center" wrapText="1"/>
    </xf>
    <xf numFmtId="0" fontId="30" fillId="0" borderId="0" xfId="0" applyFont="1" applyFill="1" applyBorder="1" applyAlignment="1">
      <alignment vertical="center"/>
    </xf>
    <xf numFmtId="0" fontId="31" fillId="0" borderId="0" xfId="0" applyFont="1" applyFill="1" applyAlignment="1">
      <alignment horizontal="left"/>
    </xf>
    <xf numFmtId="0" fontId="10" fillId="0" borderId="0" xfId="5" applyAlignment="1">
      <alignment horizontal="left" vertical="center" wrapText="1"/>
    </xf>
    <xf numFmtId="0" fontId="14" fillId="4" borderId="12" xfId="17" applyNumberFormat="1" applyFont="1" applyFill="1" applyBorder="1" applyAlignment="1">
      <alignment horizontal="center" vertical="center"/>
    </xf>
    <xf numFmtId="0" fontId="14" fillId="4" borderId="13" xfId="17" applyNumberFormat="1" applyFont="1" applyFill="1" applyBorder="1" applyAlignment="1">
      <alignment horizontal="center" vertical="center"/>
    </xf>
    <xf numFmtId="0" fontId="14" fillId="4" borderId="16" xfId="17" applyNumberFormat="1" applyFont="1" applyFill="1" applyBorder="1" applyAlignment="1">
      <alignment horizontal="center" vertical="center"/>
    </xf>
    <xf numFmtId="0" fontId="6" fillId="0" borderId="0" xfId="11" applyAlignment="1">
      <alignment horizontal="left" vertical="center" wrapText="1"/>
    </xf>
    <xf numFmtId="14" fontId="4" fillId="2" borderId="10" xfId="8" applyNumberFormat="1" applyBorder="1" applyAlignment="1">
      <alignment horizontal="center" vertical="center"/>
    </xf>
    <xf numFmtId="14" fontId="4" fillId="2" borderId="11" xfId="8" applyNumberFormat="1" applyBorder="1" applyAlignment="1">
      <alignment horizontal="center" vertical="center"/>
    </xf>
    <xf numFmtId="0" fontId="10" fillId="0" borderId="0" xfId="5" applyAlignment="1">
      <alignment horizontal="left" vertical="center"/>
    </xf>
    <xf numFmtId="0" fontId="28" fillId="13" borderId="0" xfId="0" applyFont="1" applyFill="1" applyAlignment="1">
      <alignment horizontal="center" vertical="center" wrapText="1"/>
    </xf>
    <xf numFmtId="0" fontId="14" fillId="4" borderId="4" xfId="17" applyNumberFormat="1" applyFont="1" applyFill="1" applyBorder="1" applyAlignment="1">
      <alignment horizontal="center" vertical="center"/>
    </xf>
    <xf numFmtId="0" fontId="14" fillId="4" borderId="6" xfId="17" applyNumberFormat="1" applyFont="1" applyFill="1" applyBorder="1" applyAlignment="1">
      <alignment horizontal="center" vertical="center"/>
    </xf>
    <xf numFmtId="14" fontId="4" fillId="2" borderId="3" xfId="8" applyNumberFormat="1" applyBorder="1" applyAlignment="1">
      <alignment horizontal="center" vertical="center"/>
    </xf>
    <xf numFmtId="166" fontId="30" fillId="0" borderId="0" xfId="0" applyNumberFormat="1" applyFont="1" applyFill="1" applyAlignment="1">
      <alignment horizontal="right"/>
    </xf>
    <xf numFmtId="166" fontId="30" fillId="0" borderId="0" xfId="0" applyNumberFormat="1" applyFont="1" applyFill="1" applyAlignment="1">
      <alignment horizontal="right" vertical="center"/>
    </xf>
    <xf numFmtId="166" fontId="30" fillId="0" borderId="0" xfId="0" applyNumberFormat="1" applyFont="1" applyFill="1" applyAlignment="1">
      <alignment horizontal="right" vertical="top"/>
    </xf>
    <xf numFmtId="0" fontId="30" fillId="0" borderId="0" xfId="0" applyNumberFormat="1" applyFont="1" applyFill="1" applyAlignment="1">
      <alignment horizontal="left"/>
    </xf>
    <xf numFmtId="0" fontId="26" fillId="4" borderId="13" xfId="17" applyNumberFormat="1" applyFont="1" applyFill="1" applyBorder="1" applyAlignment="1">
      <alignment horizontal="center" vertical="center"/>
    </xf>
    <xf numFmtId="0" fontId="26" fillId="4" borderId="0" xfId="17" applyNumberFormat="1" applyFont="1" applyFill="1" applyBorder="1" applyAlignment="1">
      <alignment horizontal="center" vertical="center"/>
    </xf>
    <xf numFmtId="0" fontId="33" fillId="2" borderId="3" xfId="1" applyFont="1" applyBorder="1" applyAlignment="1">
      <alignment horizontal="left" vertical="center"/>
    </xf>
    <xf numFmtId="0" fontId="33" fillId="2" borderId="17" xfId="1" applyFont="1" applyBorder="1" applyAlignment="1">
      <alignment horizontal="left" vertical="center"/>
    </xf>
    <xf numFmtId="166" fontId="33" fillId="2" borderId="3" xfId="1" applyNumberFormat="1" applyFont="1" applyBorder="1" applyAlignment="1">
      <alignment horizontal="right" vertical="center"/>
    </xf>
    <xf numFmtId="166" fontId="33" fillId="2" borderId="10" xfId="1" applyNumberFormat="1" applyFont="1" applyBorder="1" applyAlignment="1">
      <alignment horizontal="right" vertical="center" indent="1"/>
    </xf>
    <xf numFmtId="166" fontId="33" fillId="2" borderId="10" xfId="1" applyNumberFormat="1" applyFont="1" applyBorder="1" applyAlignment="1">
      <alignment horizontal="right" vertical="center"/>
    </xf>
    <xf numFmtId="166" fontId="33" fillId="2" borderId="17" xfId="1" applyNumberFormat="1" applyFont="1" applyBorder="1" applyAlignment="1">
      <alignment horizontal="right" vertical="center"/>
    </xf>
    <xf numFmtId="166" fontId="33" fillId="2" borderId="18" xfId="1" applyNumberFormat="1" applyFont="1" applyBorder="1" applyAlignment="1">
      <alignment horizontal="right" vertical="center"/>
    </xf>
  </cellXfs>
  <cellStyles count="21">
    <cellStyle name="Comma" xfId="7" builtinId="3" customBuiltin="1"/>
    <cellStyle name="Currency" xfId="8" builtinId="4" customBuiltin="1"/>
    <cellStyle name="Currency [0]" xfId="9" builtinId="7" customBuiltin="1"/>
    <cellStyle name="Date" xfId="14" xr:uid="{00000000-0005-0000-0000-000003000000}"/>
    <cellStyle name="Heading 1" xfId="1" builtinId="16" customBuiltin="1"/>
    <cellStyle name="Heading 2" xfId="2" builtinId="17" customBuiltin="1"/>
    <cellStyle name="Heading 3" xfId="3" builtinId="18" customBuiltin="1"/>
    <cellStyle name="Heading 4" xfId="6" builtinId="19" customBuiltin="1"/>
    <cellStyle name="Hyperlink" xfId="19" builtinId="8"/>
    <cellStyle name="Input" xfId="10" builtinId="20" customBuiltin="1"/>
    <cellStyle name="Inventory Date" xfId="12" xr:uid="{00000000-0005-0000-0000-000009000000}"/>
    <cellStyle name="Item table heading" xfId="17" xr:uid="{00000000-0005-0000-0000-00000A000000}"/>
    <cellStyle name="Normal" xfId="0" builtinId="0" customBuiltin="1"/>
    <cellStyle name="Normal 2" xfId="20" xr:uid="{C4116A06-986C-4F0A-B557-54CD146D83C5}"/>
    <cellStyle name="Note" xfId="16" builtinId="10" customBuiltin="1"/>
    <cellStyle name="Phone" xfId="13" xr:uid="{00000000-0005-0000-0000-00000D000000}"/>
    <cellStyle name="Seriel Number" xfId="15" xr:uid="{00000000-0005-0000-0000-00000E000000}"/>
    <cellStyle name="Title" xfId="5" builtinId="15" customBuiltin="1"/>
    <cellStyle name="Title 2" xfId="11" xr:uid="{00000000-0005-0000-0000-000010000000}"/>
    <cellStyle name="Total" xfId="4" builtinId="25" customBuiltin="1"/>
    <cellStyle name="z Hidden Text" xfId="18" xr:uid="{00000000-0005-0000-0000-000012000000}"/>
  </cellStyles>
  <dxfs count="33282">
    <dxf>
      <font>
        <b/>
        <i val="0"/>
        <strike val="0"/>
        <condense val="0"/>
        <extend val="0"/>
        <outline val="0"/>
        <shadow val="0"/>
        <u val="none"/>
        <vertAlign val="baseline"/>
        <sz val="12"/>
        <color auto="1"/>
        <name val="Corbel"/>
        <family val="2"/>
        <scheme val="major"/>
      </font>
      <numFmt numFmtId="166" formatCode="&quot;$&quot;#,##0.00"/>
      <alignment horizontal="right" vertical="center" textRotation="0" wrapText="0" indent="0" justifyLastLine="0" shrinkToFit="0" readingOrder="0"/>
      <border diagonalUp="0" diagonalDown="0">
        <left style="thick">
          <color theme="2" tint="-0.749961851863155"/>
        </left>
        <right/>
        <top style="thick">
          <color theme="2" tint="-0.749961851863155"/>
        </top>
        <bottom style="thick">
          <color theme="2" tint="-0.749961851863155"/>
        </bottom>
      </border>
    </dxf>
    <dxf>
      <font>
        <b/>
        <i val="0"/>
        <strike val="0"/>
        <condense val="0"/>
        <extend val="0"/>
        <outline val="0"/>
        <shadow val="0"/>
        <u val="none"/>
        <vertAlign val="baseline"/>
        <sz val="12"/>
        <color auto="1"/>
        <name val="Corbel"/>
        <family val="2"/>
        <scheme val="major"/>
      </font>
      <numFmt numFmtId="166" formatCode="&quot;$&quot;#,##0.00"/>
      <alignment horizontal="right" vertical="center" textRotation="0" wrapText="0" indent="0" justifyLastLine="0" shrinkToFit="0" readingOrder="0"/>
      <border diagonalUp="0" diagonalDown="0">
        <left style="thick">
          <color theme="2" tint="-0.749961851863155"/>
        </left>
        <right style="thick">
          <color theme="2" tint="-0.749961851863155"/>
        </right>
        <top style="thick">
          <color theme="2" tint="-0.749961851863155"/>
        </top>
        <bottom style="thick">
          <color theme="2" tint="-0.749961851863155"/>
        </bottom>
      </border>
    </dxf>
    <dxf>
      <font>
        <strike val="0"/>
        <outline val="0"/>
        <shadow val="0"/>
        <u val="none"/>
        <vertAlign val="baseline"/>
        <sz val="12"/>
        <color auto="1"/>
        <name val="Corbel"/>
        <family val="2"/>
        <scheme val="major"/>
      </font>
    </dxf>
    <dxf>
      <font>
        <b/>
        <i val="0"/>
        <strike val="0"/>
        <condense val="0"/>
        <extend val="0"/>
        <outline val="0"/>
        <shadow val="0"/>
        <u val="none"/>
        <vertAlign val="baseline"/>
        <sz val="12"/>
        <color auto="1"/>
        <name val="Corbel"/>
        <family val="2"/>
        <scheme val="major"/>
      </font>
      <alignment horizontal="left" vertical="center" textRotation="0" wrapText="0" indent="0" justifyLastLine="0" shrinkToFit="0" readingOrder="0"/>
      <border diagonalUp="0" diagonalDown="0" outline="0">
        <left style="thick">
          <color theme="2" tint="-0.749961851863155"/>
        </left>
        <right style="thick">
          <color theme="2" tint="-0.749961851863155"/>
        </right>
        <top style="thick">
          <color theme="2" tint="-0.749961851863155"/>
        </top>
        <bottom style="thick">
          <color theme="2" tint="-0.749961851863155"/>
        </bottom>
      </border>
    </dxf>
    <dxf>
      <font>
        <strike val="0"/>
        <outline val="0"/>
        <shadow val="0"/>
        <u val="none"/>
        <vertAlign val="baseline"/>
        <sz val="14"/>
        <color theme="0"/>
        <name val="Calibri"/>
        <family val="2"/>
        <scheme val="minor"/>
      </font>
    </dxf>
    <dxf>
      <border outline="0">
        <bottom style="thick">
          <color theme="2" tint="-0.749961851863155"/>
        </bottom>
      </border>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2060"/>
        </patternFill>
      </fill>
    </dxf>
    <dxf>
      <font>
        <b/>
        <i val="0"/>
        <color theme="0"/>
      </font>
      <fill>
        <patternFill>
          <bgColor rgb="FF00B0F0"/>
        </patternFill>
      </fill>
    </dxf>
    <dxf>
      <font>
        <b/>
        <i val="0"/>
        <color theme="0"/>
      </font>
      <fill>
        <patternFill>
          <bgColor rgb="FFFFC00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FFC000"/>
        </patternFill>
      </fill>
    </dxf>
    <dxf>
      <font>
        <b/>
        <i val="0"/>
        <color theme="0"/>
      </font>
      <fill>
        <patternFill>
          <bgColor rgb="FF00B0F0"/>
        </patternFill>
      </fill>
    </dxf>
    <dxf>
      <font>
        <b/>
        <i val="0"/>
        <color theme="0"/>
      </font>
      <fill>
        <patternFill>
          <bgColor rgb="FF00206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i val="0"/>
        <color theme="0"/>
      </font>
      <fill>
        <patternFill>
          <bgColor rgb="FF002060"/>
        </patternFill>
      </fill>
    </dxf>
    <dxf>
      <font>
        <b/>
        <i val="0"/>
        <color theme="0"/>
      </font>
      <fill>
        <patternFill>
          <bgColor rgb="FFFFC00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2060"/>
        </patternFill>
      </fill>
    </dxf>
    <dxf>
      <font>
        <b/>
        <i val="0"/>
        <color theme="0"/>
      </font>
      <fill>
        <patternFill>
          <bgColor rgb="FFFFC00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2060"/>
        </patternFill>
      </fill>
    </dxf>
    <dxf>
      <font>
        <b/>
        <i val="0"/>
        <color theme="0"/>
      </font>
      <fill>
        <patternFill>
          <bgColor rgb="FFFFC00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val="0"/>
        <i val="0"/>
      </font>
      <fill>
        <patternFill patternType="none">
          <bgColor auto="1"/>
        </patternFill>
      </fill>
    </dxf>
    <dxf>
      <font>
        <b/>
        <i val="0"/>
        <color theme="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rgb="FF00B050"/>
        </patternFill>
      </fill>
    </dxf>
    <dxf>
      <font>
        <b/>
        <i val="0"/>
        <color theme="0"/>
      </font>
      <fill>
        <patternFill>
          <bgColor rgb="FFEC6E6E"/>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F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F0"/>
        </patternFill>
      </fill>
    </dxf>
    <dxf>
      <font>
        <b/>
        <i val="0"/>
        <color theme="0"/>
      </font>
      <fill>
        <patternFill>
          <bgColor rgb="FFFFC000"/>
        </patternFill>
      </fill>
    </dxf>
    <dxf>
      <font>
        <b/>
        <i val="0"/>
        <color theme="0"/>
      </font>
      <fill>
        <patternFill>
          <bgColor rgb="FF002060"/>
        </patternFill>
      </fill>
    </dxf>
    <dxf>
      <font>
        <b/>
        <i val="0"/>
        <color theme="0"/>
      </font>
      <fill>
        <patternFill>
          <bgColor rgb="FFFFC000"/>
        </patternFill>
      </fill>
    </dxf>
    <dxf>
      <font>
        <b/>
        <i val="0"/>
        <color theme="0"/>
      </font>
      <fill>
        <patternFill>
          <bgColor rgb="FF00206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theme="9" tint="-0.499984740745262"/>
        </patternFill>
      </fill>
    </dxf>
    <dxf>
      <font>
        <b/>
        <i val="0"/>
        <color theme="0"/>
      </font>
      <fill>
        <patternFill>
          <bgColor rgb="FF002060"/>
        </patternFill>
      </fill>
    </dxf>
    <dxf>
      <font>
        <b/>
        <i val="0"/>
        <color theme="0"/>
      </font>
      <fill>
        <patternFill>
          <bgColor rgb="FFFFC000"/>
        </patternFill>
      </fill>
    </dxf>
    <dxf>
      <font>
        <b/>
        <i val="0"/>
        <color theme="0"/>
      </font>
      <fill>
        <patternFill>
          <bgColor rgb="FF00B0F0"/>
        </patternFill>
      </fill>
    </dxf>
    <dxf>
      <font>
        <b/>
        <i val="0"/>
        <color theme="0"/>
      </font>
      <fill>
        <patternFill>
          <bgColor rgb="FFFF0000"/>
        </patternFill>
      </fill>
    </dxf>
    <dxf>
      <font>
        <b/>
        <i val="0"/>
        <color theme="0"/>
      </font>
      <fill>
        <patternFill>
          <bgColor rgb="FFFF4F4F"/>
        </patternFill>
      </fill>
    </dxf>
    <dxf>
      <font>
        <b/>
        <i val="0"/>
        <color theme="0"/>
      </font>
      <fill>
        <patternFill>
          <bgColor theme="9" tint="-0.499984740745262"/>
        </patternFill>
      </fill>
    </dxf>
    <dxf>
      <font>
        <b/>
        <i val="0"/>
        <color theme="0"/>
      </font>
      <fill>
        <patternFill>
          <bgColor rgb="FF00B050"/>
        </patternFill>
      </fill>
    </dxf>
    <dxf>
      <font>
        <b/>
        <i val="0"/>
        <color theme="0"/>
      </font>
      <fill>
        <patternFill>
          <bgColor rgb="FF00B050"/>
        </patternFill>
      </fill>
    </dxf>
    <dxf>
      <font>
        <b/>
        <i val="0"/>
        <color auto="1"/>
      </font>
      <fill>
        <patternFill patternType="none">
          <bgColor auto="1"/>
        </patternFill>
      </fill>
    </dxf>
    <dxf>
      <font>
        <b/>
        <i val="0"/>
        <color theme="0"/>
      </font>
      <fill>
        <patternFill>
          <bgColor rgb="FF002060"/>
        </patternFill>
      </fill>
    </dxf>
    <dxf>
      <font>
        <b/>
        <i val="0"/>
        <color theme="0"/>
      </font>
      <fill>
        <patternFill>
          <bgColor rgb="FF002060"/>
        </patternFill>
      </fill>
    </dxf>
    <dxf>
      <font>
        <b/>
        <i val="0"/>
        <color theme="0"/>
      </font>
      <fill>
        <patternFill>
          <bgColor rgb="FFFF0000"/>
        </patternFill>
      </fill>
    </dxf>
    <dxf>
      <font>
        <b/>
        <i val="0"/>
        <color theme="0"/>
      </font>
      <fill>
        <patternFill>
          <bgColor rgb="FFFF0000"/>
        </patternFill>
      </fill>
    </dxf>
    <dxf>
      <font>
        <b/>
        <i val="0"/>
        <color theme="0"/>
      </font>
      <fill>
        <patternFill>
          <bgColor rgb="FFFFA401"/>
        </patternFill>
      </fill>
    </dxf>
    <dxf>
      <font>
        <b/>
        <i val="0"/>
        <color theme="0"/>
      </font>
      <fill>
        <patternFill>
          <bgColor rgb="FFFFB805"/>
        </patternFill>
      </fill>
    </dxf>
    <dxf>
      <font>
        <b/>
        <i val="0"/>
        <color theme="0"/>
      </font>
      <fill>
        <patternFill>
          <bgColor rgb="FF00B0F0"/>
        </patternFill>
      </fill>
    </dxf>
    <dxf>
      <font>
        <b/>
        <i val="0"/>
        <color theme="0"/>
      </font>
      <fill>
        <patternFill>
          <bgColor rgb="FF00B0F0"/>
        </patternFill>
      </fill>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rgb="FF000000"/>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left"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166" formatCode="&quot;$&quot;#,##0.00"/>
      <fill>
        <patternFill patternType="none">
          <fgColor indexed="64"/>
          <bgColor auto="1"/>
        </patternFill>
      </fill>
      <alignment horizontal="right"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rgb="FF000000"/>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0" tint="-4.9989318521683403E-2"/>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1" formatCode="&quot;$&quot;#,##0.00_);\(&quot;$&quot;#,##0.00\)"/>
      <fill>
        <patternFill patternType="none">
          <fgColor indexed="64"/>
          <bgColor indexed="65"/>
        </patternFill>
      </fill>
      <alignment horizontal="righ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1" formatCode="&quot;$&quot;#,##0.00_);\(&quot;$&quot;#,##0.00\)"/>
      <fill>
        <patternFill patternType="none">
          <fgColor indexed="64"/>
          <bgColor indexed="65"/>
        </patternFill>
      </fill>
      <alignment horizontal="righ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1" indent="0" justifyLastLine="0" shrinkToFit="0" readingOrder="0"/>
      <border diagonalUp="0" diagonalDown="0" outline="0">
        <left style="thick">
          <color theme="3" tint="-0.499984740745262"/>
        </left>
        <right/>
        <top/>
        <bottom/>
      </border>
    </dxf>
    <dxf>
      <alignment horizontal="general" vertical="bottom" textRotation="0" wrapText="0" indent="0" justifyLastLine="0" shrinkToFit="0" readingOrder="0"/>
    </dxf>
    <dxf>
      <alignment vertical="bottom" textRotation="0" indent="0" justifyLastLine="0" shrinkToFit="0" readingOrder="0"/>
    </dxf>
    <dxf>
      <font>
        <strike val="0"/>
        <outline val="0"/>
        <shadow val="0"/>
        <u val="none"/>
        <vertAlign val="baseline"/>
        <sz val="11"/>
        <color theme="0" tint="-4.9989318521683403E-2"/>
        <name val="Calibri"/>
        <family val="2"/>
        <scheme val="minor"/>
      </font>
      <alignment horizontal="general" vertical="bottom" textRotation="0" wrapText="0" indent="0" justifyLastLine="0" shrinkToFit="0" readingOrder="0"/>
    </dxf>
    <dxf>
      <numFmt numFmtId="11" formatCode="&quot;$&quot;#,##0.00_);\(&quot;$&quot;#,##0.00\)"/>
      <alignment vertical="bottom" textRotation="0" indent="0" justifyLastLine="0" shrinkToFit="0" readingOrder="0"/>
    </dxf>
    <dxf>
      <numFmt numFmtId="166" formatCode="&quot;$&quot;#,##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vertical="bottom" textRotation="0" indent="0" justifyLastLine="0" shrinkToFit="0" readingOrder="0"/>
    </dxf>
    <dxf>
      <alignment vertical="bottom" textRotation="0" indent="0" justifyLastLine="0" shrinkToFit="0" readingOrder="0"/>
      <border diagonalUp="0" diagonalDown="0">
        <left style="thick">
          <color theme="3" tint="-0.499984740745262"/>
        </left>
        <right/>
        <top/>
        <bottom/>
        <vertical/>
        <horizontal/>
      </border>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rgb="FF555555"/>
        <name val="Arial"/>
        <family val="2"/>
        <scheme val="none"/>
      </font>
      <alignment horizontal="left" vertical="center" textRotation="0" wrapText="1" indent="1" justifyLastLine="0" shrinkToFit="0" readingOrder="0"/>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4"/>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dxf>
    <dxf>
      <font>
        <b val="0"/>
        <i val="0"/>
        <strike val="0"/>
        <condense val="0"/>
        <extend val="0"/>
        <outline val="0"/>
        <shadow val="0"/>
        <u val="none"/>
        <vertAlign val="baseline"/>
        <sz val="16"/>
        <color theme="1"/>
        <name val="Calibri"/>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rgb="FF333333"/>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6"/>
        <color rgb="FF555555"/>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numFmt numFmtId="166" formatCode="&quot;$&quot;#,##0.00"/>
      <alignment horizontal="right" vertical="center" textRotation="0" wrapText="1" indent="0" justifyLastLine="0" shrinkToFit="0" readingOrder="0"/>
    </dxf>
    <dxf>
      <font>
        <b val="0"/>
        <i val="0"/>
        <strike val="0"/>
        <condense val="0"/>
        <extend val="0"/>
        <outline val="0"/>
        <shadow val="0"/>
        <u val="none"/>
        <vertAlign val="baseline"/>
        <sz val="16"/>
        <color rgb="FF555555"/>
        <name val="Calibri"/>
        <family val="2"/>
        <scheme val="minor"/>
      </font>
      <numFmt numFmtId="166" formatCode="&quot;$&quot;#,##0.00"/>
      <alignment horizontal="right" vertical="center" textRotation="0" wrapText="1" indent="0" justifyLastLine="0" shrinkToFit="0" readingOrder="0"/>
    </dxf>
    <dxf>
      <font>
        <b val="0"/>
        <i val="0"/>
        <strike val="0"/>
        <condense val="0"/>
        <extend val="0"/>
        <outline val="0"/>
        <shadow val="0"/>
        <u val="none"/>
        <vertAlign val="baseline"/>
        <sz val="16"/>
        <color theme="1"/>
        <name val="Calibri"/>
        <family val="2"/>
        <scheme val="minor"/>
      </font>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right"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right"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font>
        <strike val="0"/>
        <outline val="0"/>
        <shadow val="0"/>
        <u val="none"/>
        <color auto="1"/>
      </font>
      <fill>
        <patternFill patternType="none">
          <fgColor indexed="64"/>
          <bgColor auto="1"/>
        </patternFill>
      </fill>
      <alignment horizontal="right" vertical="bottom" textRotation="0" wrapText="0" indent="0" justifyLastLine="0" shrinkToFit="0" readingOrder="0"/>
    </dxf>
    <dxf>
      <font>
        <strike val="0"/>
        <outline val="0"/>
        <shadow val="0"/>
        <u val="none"/>
        <color auto="1"/>
      </font>
      <fill>
        <patternFill patternType="none">
          <fgColor indexed="64"/>
          <bgColor auto="1"/>
        </patternFill>
      </fill>
      <alignment horizontal="right" vertical="bottom" textRotation="0" wrapText="0" indent="0" justifyLastLine="0" shrinkToFit="0" readingOrder="0"/>
    </dxf>
    <dxf>
      <font>
        <strike val="0"/>
        <outline val="0"/>
        <shadow val="0"/>
        <u val="none"/>
        <color auto="1"/>
      </font>
      <numFmt numFmtId="0" formatCode="General"/>
      <fill>
        <patternFill patternType="none">
          <fgColor indexed="64"/>
          <bgColor auto="1"/>
        </patternFill>
      </fill>
      <alignment horizontal="general"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indexed="64"/>
          <bgColor auto="1"/>
        </patternFill>
      </fill>
      <alignment horizontal="general" textRotation="0" wrapText="0" indent="0" justifyLastLine="0" shrinkToFit="0" readingOrder="0"/>
    </dxf>
    <dxf>
      <font>
        <strike val="0"/>
        <outline val="0"/>
        <shadow val="0"/>
        <u val="none"/>
        <color auto="1"/>
      </font>
      <fill>
        <patternFill patternType="none">
          <fgColor indexed="64"/>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font>
        <b val="0"/>
        <i val="0"/>
        <strike val="0"/>
        <condense val="0"/>
        <extend val="0"/>
        <outline val="0"/>
        <shadow val="0"/>
        <u val="none"/>
        <vertAlign val="baseline"/>
        <sz val="11"/>
        <color rgb="FF00B0F0"/>
        <name val="Calibri"/>
        <family val="2"/>
        <scheme val="minor"/>
      </font>
      <numFmt numFmtId="0" formatCode="General"/>
      <alignment horizontal="general" vertical="bottom" textRotation="0" wrapText="0" indent="0" justifyLastLine="0" shrinkToFit="0" readingOrder="0"/>
    </dxf>
    <dxf>
      <numFmt numFmtId="166" formatCode="&quot;$&quot;#,##0.00"/>
      <alignment horizontal="general" vertical="bottom" textRotation="0" wrapText="0" indent="0" justifyLastLine="0" shrinkToFit="0" readingOrder="0"/>
    </dxf>
    <dxf>
      <alignment horizontal="righ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righ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1"/>
        <color rgb="FF00B0F0"/>
        <name val="Calibri"/>
        <family val="2"/>
        <scheme val="minor"/>
      </font>
      <alignment horizontal="general" textRotation="0" indent="0" justifyLastLine="0" shrinkToFit="0" readingOrder="0"/>
    </dxf>
    <dxf>
      <alignment horizontal="general" vertical="center" textRotation="0" wrapText="1" indent="0" justifyLastLine="0" shrinkToFit="0" readingOrder="0"/>
    </dxf>
    <dxf>
      <alignment horizontal="general" textRotation="0" indent="0" justifyLastLine="0" shrinkToFit="0" readingOrder="0"/>
    </dxf>
    <dxf>
      <alignment horizontal="general" vertical="center" textRotation="0" wrapText="1" indent="0" justifyLastLine="0" shrinkToFit="0" readingOrder="0"/>
    </dxf>
    <dxf>
      <alignment horizontal="general"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numFmt numFmtId="166" formatCode="&quot;$&quot;#,##0.00"/>
      <alignment horizontal="left" vertical="center" textRotation="0" wrapText="0" indent="1" justifyLastLine="0" shrinkToFit="0" readingOrder="0"/>
    </dxf>
    <dxf>
      <alignment horizontal="left" vertical="center" textRotation="0" wrapText="1" indent="1" justifyLastLine="0" shrinkToFit="0" readingOrder="0"/>
    </dxf>
    <dxf>
      <numFmt numFmtId="0" formatCode="General"/>
      <alignment horizontal="left" vertical="center" textRotation="0" wrapText="0" indent="1" justifyLastLine="0" shrinkToFit="0" readingOrder="0"/>
    </dxf>
    <dxf>
      <alignment horizontal="left" vertical="center" textRotation="0" wrapText="1" indent="1" justifyLastLine="0" shrinkToFit="0" readingOrder="0"/>
    </dxf>
    <dxf>
      <alignment horizontal="general" vertical="center" textRotation="0" wrapText="0" indent="0" justifyLastLine="0" shrinkToFit="0" readingOrder="0"/>
    </dxf>
    <dxf>
      <alignment horizontal="left" vertical="center" textRotation="0" wrapText="1"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numFmt numFmtId="0" formatCode="General"/>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rgb="FF1F4E49"/>
        </patternFill>
      </fill>
      <alignment horizontal="center" vertical="center" textRotation="0" wrapText="1" indent="0" justifyLastLine="0" shrinkToFit="0" readingOrder="0"/>
      <border diagonalUp="0" diagonalDown="0" outline="0">
        <left style="thick">
          <color theme="3" tint="-0.499984740745262"/>
        </left>
        <right/>
        <top/>
        <bottom/>
      </border>
    </dxf>
    <dxf>
      <alignment horizontal="left" vertical="center" textRotation="0" wrapText="0" indent="1" justifyLastLine="0" shrinkToFit="0" readingOrder="0"/>
    </dxf>
    <dxf>
      <alignment horizontal="left" vertical="center" textRotation="0" wrapText="0" indent="1"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5"/>
          <bgColor theme="2" tint="-0.749961851863155"/>
        </patternFill>
      </fill>
      <alignment horizontal="general" vertical="bottom" textRotation="0" wrapText="0" indent="0" justifyLastLine="0" shrinkToFit="0" readingOrder="0"/>
    </dxf>
    <dxf>
      <font>
        <b/>
        <color theme="1"/>
      </font>
      <border>
        <bottom style="thin">
          <color theme="8"/>
        </bottom>
        <vertical/>
        <horizontal/>
      </border>
    </dxf>
    <dxf>
      <font>
        <color theme="1"/>
      </font>
      <border>
        <left style="thick">
          <color theme="8"/>
        </left>
        <right style="thick">
          <color theme="8"/>
        </right>
        <top style="thick">
          <color theme="8"/>
        </top>
        <bottom style="thick">
          <color theme="8"/>
        </bottom>
        <vertical/>
        <horizontal/>
      </border>
    </dxf>
    <dxf>
      <font>
        <b/>
        <i val="0"/>
      </font>
    </dxf>
    <dxf>
      <font>
        <b/>
        <i val="0"/>
      </font>
      <border>
        <left style="thick">
          <color auto="1"/>
        </left>
        <right style="thick">
          <color auto="1"/>
        </right>
        <top style="thick">
          <color auto="1"/>
        </top>
        <bottom style="thick">
          <color auto="1"/>
        </bottom>
      </border>
    </dxf>
    <dxf>
      <font>
        <b/>
        <i val="0"/>
        <color theme="2" tint="-0.749961851863155"/>
      </font>
      <border>
        <bottom style="thin">
          <color theme="2" tint="-0.499984740745262"/>
        </bottom>
        <vertical/>
        <horizontal/>
      </border>
    </dxf>
    <dxf>
      <font>
        <b val="0"/>
        <i val="0"/>
        <sz val="11"/>
        <color theme="1"/>
      </font>
      <border diagonalUp="0" diagonalDown="0">
        <left style="thick">
          <color theme="1"/>
        </left>
        <right style="thick">
          <color theme="1"/>
        </right>
        <top style="thick">
          <color theme="1"/>
        </top>
        <bottom style="thick">
          <color theme="1"/>
        </bottom>
        <vertical/>
        <horizontal/>
      </border>
    </dxf>
    <dxf>
      <font>
        <b/>
        <i val="0"/>
        <color theme="0"/>
      </font>
      <fill>
        <patternFill>
          <bgColor theme="2" tint="-0.749961851863155"/>
        </patternFill>
      </fill>
    </dxf>
    <dxf>
      <fill>
        <patternFill patternType="solid">
          <fgColor theme="5" tint="0.79995117038483843"/>
          <bgColor theme="2" tint="-9.9948118533890809E-2"/>
        </patternFill>
      </fill>
    </dxf>
    <dxf>
      <fill>
        <patternFill patternType="solid">
          <fgColor theme="5" tint="0.79992065187536243"/>
          <bgColor theme="0" tint="-4.9989318521683403E-2"/>
        </patternFill>
      </fill>
    </dxf>
    <dxf>
      <font>
        <b/>
        <color theme="1"/>
      </font>
    </dxf>
    <dxf>
      <font>
        <b/>
        <i val="0"/>
        <color auto="1"/>
      </font>
      <fill>
        <patternFill>
          <bgColor theme="2"/>
        </patternFill>
      </fill>
      <border diagonalUp="0" diagonalDown="0">
        <left/>
        <right/>
        <top/>
        <bottom/>
        <vertical/>
        <horizontal/>
      </border>
    </dxf>
    <dxf>
      <font>
        <b/>
        <i val="0"/>
        <color theme="0"/>
      </font>
      <fill>
        <patternFill patternType="solid">
          <fgColor theme="5"/>
          <bgColor theme="2" tint="-0.749961851863155"/>
        </patternFill>
      </fill>
      <border>
        <left style="thin">
          <color theme="3"/>
        </left>
        <right style="thin">
          <color theme="3"/>
        </right>
      </border>
    </dxf>
    <dxf>
      <font>
        <color theme="3" tint="-0.499984740745262"/>
      </font>
    </dxf>
  </dxfs>
  <tableStyles count="4" defaultTableStyle="Home Inventory" defaultPivotStyle="PivotStyleLight16">
    <tableStyle name="Home Inventory" pivot="0" count="7" xr9:uid="{00000000-0011-0000-FFFF-FFFF00000000}">
      <tableStyleElement type="wholeTable" dxfId="33281"/>
      <tableStyleElement type="headerRow" dxfId="33280"/>
      <tableStyleElement type="totalRow" dxfId="33279"/>
      <tableStyleElement type="lastColumn" dxfId="33278"/>
      <tableStyleElement type="firstRowStripe" dxfId="33277"/>
      <tableStyleElement type="firstColumnStripe" dxfId="33276"/>
      <tableStyleElement type="firstTotalCell" dxfId="33275"/>
    </tableStyle>
    <tableStyle name="Home Inventory Slicer" pivot="0" table="0" count="10" xr9:uid="{00000000-0011-0000-FFFF-FFFF01000000}">
      <tableStyleElement type="wholeTable" dxfId="33274"/>
      <tableStyleElement type="headerRow" dxfId="33273"/>
    </tableStyle>
    <tableStyle name="Slicer Style 1" pivot="0" table="0" count="10" xr9:uid="{26D1C38F-D7E5-4B1B-A74C-C56E1B20981A}">
      <tableStyleElement type="wholeTable" dxfId="33272"/>
      <tableStyleElement type="headerRow" dxfId="33271"/>
    </tableStyle>
    <tableStyle name="SlicerStyleLight5 2" pivot="0" table="0" count="10" xr9:uid="{3F9EA4BD-B9B2-419A-8889-9CF049ACAF41}">
      <tableStyleElement type="wholeTable" dxfId="33270"/>
      <tableStyleElement type="headerRow" dxfId="3326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006666"/>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F0EAB0"/>
      <rgbColor rgb="00EAEAEA"/>
      <rgbColor rgb="0099CCFF"/>
      <rgbColor rgb="00F2F8EA"/>
      <rgbColor rgb="00CC99FF"/>
      <rgbColor rgb="00BDDAB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6E6E"/>
      <color rgb="FFFF4F4F"/>
      <color rgb="FFFFA401"/>
      <color rgb="FFFFC301"/>
      <color rgb="FFF3AE03"/>
      <color rgb="FFFCB504"/>
      <color rgb="FFFFB805"/>
      <color rgb="FFFBC825"/>
      <color rgb="FFEE7D00"/>
      <color rgb="FF55A127"/>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auto="1"/>
              <bgColor rgb="FF55A127"/>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rgb="FFD3E6BC"/>
            </patternFill>
          </fill>
          <border>
            <left style="medium">
              <color rgb="FF999999"/>
            </left>
            <right style="medium">
              <color rgb="FF999999"/>
            </right>
            <top style="medium">
              <color rgb="FF999999"/>
            </top>
            <bottom style="medium">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rgb="FFB5F030"/>
            </patternFill>
          </fill>
        </dxf>
        <dxf>
          <fill>
            <patternFill>
              <bgColor rgb="FFFF4747"/>
            </patternFill>
          </fill>
        </dxf>
        <dxf>
          <fill>
            <patternFill>
              <bgColor rgb="FF00EE6C"/>
            </patternFill>
          </fill>
        </dxf>
        <dxf>
          <fill>
            <patternFill>
              <bgColor rgb="FFFF8C01"/>
            </patternFill>
          </fill>
        </dxf>
        <dxf>
          <font>
            <color theme="0"/>
          </font>
          <fill>
            <patternFill>
              <bgColor rgb="FF92D050"/>
            </patternFill>
          </fill>
        </dxf>
        <dxf>
          <font>
            <color theme="0"/>
          </font>
          <fill>
            <patternFill>
              <bgColor rgb="FF00B050"/>
            </patternFill>
          </fill>
        </dxf>
        <dxf>
          <font>
            <color theme="0"/>
          </font>
          <fill>
            <patternFill>
              <bgColor rgb="FFC00000"/>
            </patternFill>
          </fill>
        </dxf>
        <dxf>
          <font>
            <color theme="0"/>
          </font>
          <fill>
            <patternFill>
              <bgColor rgb="FFFF0000"/>
            </patternFill>
          </fill>
        </dxf>
        <dxf>
          <font>
            <color theme="1"/>
          </font>
          <fill>
            <patternFill patternType="solid">
              <fgColor auto="1"/>
              <bgColor theme="0" tint="-0.34998626667073579"/>
            </pattern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auto="1"/>
              <bgColor rgb="FFF27F00"/>
            </patternFill>
          </fill>
          <border>
            <left style="medium">
              <color rgb="FF999999"/>
            </left>
            <right style="medium">
              <color rgb="FF999999"/>
            </right>
            <top style="medium">
              <color rgb="FF999999"/>
            </top>
            <bottom style="medium">
              <color rgb="FF999999"/>
            </bottom>
            <vertical/>
            <horizontal/>
          </border>
        </dxf>
        <dxf>
          <font>
            <b/>
            <i val="0"/>
            <color theme="0"/>
          </font>
          <fill>
            <patternFill patternType="solid">
              <fgColor auto="1"/>
              <bgColor rgb="FFEE7D00"/>
            </patternFill>
          </fill>
          <border diagonalUp="0" diagonalDown="0">
            <left style="medium">
              <color auto="1"/>
            </left>
            <right style="medium">
              <color auto="1"/>
            </right>
            <top style="medium">
              <color auto="1"/>
            </top>
            <bottom style="medium">
              <color auto="1"/>
            </bottom>
            <vertical/>
            <horizontal/>
          </border>
        </dxf>
        <dxf>
          <font>
            <b/>
            <i val="0"/>
            <color theme="0"/>
          </font>
          <fill>
            <patternFill patternType="solid">
              <fgColor auto="1"/>
              <bgColor rgb="FFF27F00"/>
            </patternFill>
          </fill>
          <border>
            <left style="medium">
              <color theme="3"/>
            </left>
            <right style="medium">
              <color theme="3"/>
            </right>
            <top style="medium">
              <color theme="3"/>
            </top>
            <bottom style="medium">
              <color theme="3"/>
            </bottom>
            <vertical/>
            <horizontal/>
          </border>
        </dxf>
        <dxf>
          <font>
            <b/>
            <i val="0"/>
            <color rgb="FF828282"/>
          </font>
          <fill>
            <patternFill patternType="solid">
              <fgColor auto="1"/>
              <bgColor theme="0" tint="-0.14996795556505021"/>
            </patternFill>
          </fill>
          <border>
            <left style="thin">
              <color theme="3"/>
            </left>
            <right style="thin">
              <color theme="3"/>
            </right>
            <top style="thin">
              <color theme="3"/>
            </top>
            <bottom style="thin">
              <color theme="3"/>
            </bottom>
            <vertical/>
            <horizontal/>
          </border>
        </dxf>
        <dxf>
          <font>
            <b/>
            <i val="0"/>
            <color theme="1"/>
          </font>
          <fill>
            <patternFill patternType="solid">
              <fgColor auto="1"/>
              <bgColor rgb="FFFFBE77"/>
            </patternFill>
          </fill>
          <border diagonalUp="0" diagonalDown="0">
            <left style="medium">
              <color auto="1"/>
            </left>
            <right style="medium">
              <color auto="1"/>
            </right>
            <top style="medium">
              <color auto="1"/>
            </top>
            <bottom style="medium">
              <color auto="1"/>
            </bottom>
            <vertical/>
            <horizontal/>
          </border>
        </dxf>
        <dxf>
          <font>
            <color rgb="FF828282"/>
          </font>
          <fill>
            <patternFill patternType="solid">
              <fgColor auto="1"/>
              <bgColor theme="0" tint="-0.14996795556505021"/>
            </patternFill>
          </fill>
          <border>
            <left style="thin">
              <color rgb="FFE0E0E0"/>
            </left>
            <right style="thin">
              <color rgb="FFE0E0E0"/>
            </right>
            <top style="thin">
              <color rgb="FFE0E0E0"/>
            </top>
            <bottom style="thin">
              <color rgb="FFE0E0E0"/>
            </bottom>
            <vertical/>
            <horizontal/>
          </border>
        </dxf>
        <dxf>
          <font>
            <b/>
            <i val="0"/>
            <color theme="1"/>
          </font>
          <fill>
            <patternFill patternType="solid">
              <fgColor auto="1"/>
              <bgColor rgb="FFF3F0ED"/>
            </patternFill>
          </fill>
          <border>
            <left style="medium">
              <color auto="1"/>
            </left>
            <right style="medium">
              <color auto="1"/>
            </right>
            <top style="medium">
              <color auto="1"/>
            </top>
            <bottom style="medium">
              <color auto="1"/>
            </bottom>
            <vertical/>
            <horizontal/>
          </border>
        </dxf>
      </x14:dxfs>
    </ext>
    <ext xmlns:x14="http://schemas.microsoft.com/office/spreadsheetml/2009/9/main" uri="{EB79DEF2-80B8-43e5-95BD-54CBDDF9020C}">
      <x14:slicerStyles defaultSlicerStyle="Home Inventory Slicer">
        <x14:slicerStyle name="Home Inventory 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 Style 1">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3.xml"/><Relationship Id="rId39" Type="http://schemas.microsoft.com/office/2007/relationships/slicerCache" Target="slicerCaches/slicerCache16.xml"/><Relationship Id="rId21" Type="http://schemas.openxmlformats.org/officeDocument/2006/relationships/worksheet" Target="worksheets/sheet21.xml"/><Relationship Id="rId34" Type="http://schemas.microsoft.com/office/2007/relationships/slicerCache" Target="slicerCaches/slicerCache11.xml"/><Relationship Id="rId42" Type="http://schemas.microsoft.com/office/2007/relationships/slicerCache" Target="slicerCaches/slicerCache19.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3.xml"/><Relationship Id="rId63" Type="http://schemas.openxmlformats.org/officeDocument/2006/relationships/customXml" Target="../customXml/item11.xml"/><Relationship Id="rId68" Type="http://schemas.openxmlformats.org/officeDocument/2006/relationships/customXml" Target="../customXml/item16.xml"/><Relationship Id="rId7" Type="http://schemas.openxmlformats.org/officeDocument/2006/relationships/worksheet" Target="worksheets/sheet7.xml"/><Relationship Id="rId71"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microsoft.com/office/2007/relationships/slicerCache" Target="slicerCaches/slicerCache9.xml"/><Relationship Id="rId37" Type="http://schemas.microsoft.com/office/2007/relationships/slicerCache" Target="slicerCaches/slicerCache14.xml"/><Relationship Id="rId40" Type="http://schemas.microsoft.com/office/2007/relationships/slicerCache" Target="slicerCaches/slicerCache17.xml"/><Relationship Id="rId45" Type="http://schemas.microsoft.com/office/2007/relationships/slicerCache" Target="slicerCaches/slicerCache22.xml"/><Relationship Id="rId53" Type="http://schemas.openxmlformats.org/officeDocument/2006/relationships/customXml" Target="../customXml/item1.xml"/><Relationship Id="rId58" Type="http://schemas.openxmlformats.org/officeDocument/2006/relationships/customXml" Target="../customXml/item6.xml"/><Relationship Id="rId66"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7/relationships/slicerCache" Target="slicerCaches/slicerCache5.xml"/><Relationship Id="rId36" Type="http://schemas.microsoft.com/office/2007/relationships/slicerCache" Target="slicerCaches/slicerCache13.xml"/><Relationship Id="rId49" Type="http://schemas.openxmlformats.org/officeDocument/2006/relationships/styles" Target="styles.xml"/><Relationship Id="rId57" Type="http://schemas.openxmlformats.org/officeDocument/2006/relationships/customXml" Target="../customXml/item5.xml"/><Relationship Id="rId61" Type="http://schemas.openxmlformats.org/officeDocument/2006/relationships/customXml" Target="../customXml/item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8.xml"/><Relationship Id="rId44" Type="http://schemas.microsoft.com/office/2007/relationships/slicerCache" Target="slicerCaches/slicerCache21.xml"/><Relationship Id="rId52" Type="http://schemas.openxmlformats.org/officeDocument/2006/relationships/calcChain" Target="calcChain.xml"/><Relationship Id="rId60" Type="http://schemas.openxmlformats.org/officeDocument/2006/relationships/customXml" Target="../customXml/item8.xml"/><Relationship Id="rId65"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4.xml"/><Relationship Id="rId30" Type="http://schemas.microsoft.com/office/2007/relationships/slicerCache" Target="slicerCaches/slicerCache7.xml"/><Relationship Id="rId35" Type="http://schemas.microsoft.com/office/2007/relationships/slicerCache" Target="slicerCaches/slicerCache12.xml"/><Relationship Id="rId43" Type="http://schemas.microsoft.com/office/2007/relationships/slicerCache" Target="slicerCaches/slicerCache20.xml"/><Relationship Id="rId48" Type="http://schemas.openxmlformats.org/officeDocument/2006/relationships/connections" Target="connections.xml"/><Relationship Id="rId56" Type="http://schemas.openxmlformats.org/officeDocument/2006/relationships/customXml" Target="../customXml/item4.xml"/><Relationship Id="rId64" Type="http://schemas.openxmlformats.org/officeDocument/2006/relationships/customXml" Target="../customXml/item12.xml"/><Relationship Id="rId69" Type="http://schemas.openxmlformats.org/officeDocument/2006/relationships/customXml" Target="../customXml/item17.xml"/><Relationship Id="rId8" Type="http://schemas.openxmlformats.org/officeDocument/2006/relationships/worksheet" Target="worksheets/sheet8.xml"/><Relationship Id="rId51" Type="http://schemas.openxmlformats.org/officeDocument/2006/relationships/powerPivotData" Target="model/item.data"/><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microsoft.com/office/2007/relationships/slicerCache" Target="slicerCaches/slicerCache10.xml"/><Relationship Id="rId38" Type="http://schemas.microsoft.com/office/2007/relationships/slicerCache" Target="slicerCaches/slicerCache15.xml"/><Relationship Id="rId46" Type="http://schemas.microsoft.com/office/2007/relationships/slicerCache" Target="slicerCaches/slicerCache23.xml"/><Relationship Id="rId59" Type="http://schemas.openxmlformats.org/officeDocument/2006/relationships/customXml" Target="../customXml/item7.xml"/><Relationship Id="rId67" Type="http://schemas.openxmlformats.org/officeDocument/2006/relationships/customXml" Target="../customXml/item15.xml"/><Relationship Id="rId20" Type="http://schemas.openxmlformats.org/officeDocument/2006/relationships/worksheet" Target="worksheets/sheet20.xml"/><Relationship Id="rId41" Type="http://schemas.microsoft.com/office/2007/relationships/slicerCache" Target="slicerCaches/slicerCache18.xml"/><Relationship Id="rId54" Type="http://schemas.openxmlformats.org/officeDocument/2006/relationships/customXml" Target="../customXml/item2.xml"/><Relationship Id="rId62" Type="http://schemas.openxmlformats.org/officeDocument/2006/relationships/customXml" Target="../customXml/item10.xml"/><Relationship Id="rId70" Type="http://schemas.openxmlformats.org/officeDocument/2006/relationships/customXml" Target="../customXml/item18.xml"/></Relationships>
</file>

<file path=xl/drawings/_rels/drawing1.xml.rels><?xml version="1.0" encoding="UTF-8" standalone="yes"?>
<Relationships xmlns="http://schemas.openxmlformats.org/package/2006/relationships"><Relationship Id="rId8" Type="http://schemas.openxmlformats.org/officeDocument/2006/relationships/image" Target="../media/image10.sv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svg"/></Relationships>
</file>

<file path=xl/drawings/_rels/drawing2.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svg"/><Relationship Id="rId1" Type="http://schemas.openxmlformats.org/officeDocument/2006/relationships/image" Target="../media/image11.png"/><Relationship Id="rId4" Type="http://schemas.openxmlformats.org/officeDocument/2006/relationships/image" Target="../media/image14.svg"/></Relationships>
</file>

<file path=xl/drawings/_rels/drawing3.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svg"/><Relationship Id="rId1" Type="http://schemas.openxmlformats.org/officeDocument/2006/relationships/image" Target="../media/image13.png"/><Relationship Id="rId4" Type="http://schemas.openxmlformats.org/officeDocument/2006/relationships/image" Target="../media/image16.svg"/></Relationships>
</file>

<file path=xl/drawings/_rels/drawing4.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20.svg"/></Relationships>
</file>

<file path=xl/drawings/_rels/drawing5.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20.svg"/></Relationships>
</file>

<file path=xl/drawings/_rels/drawing6.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20.svg"/></Relationships>
</file>

<file path=xl/drawings/drawing1.xml><?xml version="1.0" encoding="utf-8"?>
<xdr:wsDr xmlns:xdr="http://schemas.openxmlformats.org/drawingml/2006/spreadsheetDrawing" xmlns:a="http://schemas.openxmlformats.org/drawingml/2006/main">
  <xdr:twoCellAnchor editAs="absolute">
    <xdr:from>
      <xdr:col>0</xdr:col>
      <xdr:colOff>264242</xdr:colOff>
      <xdr:row>8</xdr:row>
      <xdr:rowOff>89977</xdr:rowOff>
    </xdr:from>
    <xdr:to>
      <xdr:col>8</xdr:col>
      <xdr:colOff>737716</xdr:colOff>
      <xdr:row>31</xdr:row>
      <xdr:rowOff>22860</xdr:rowOff>
    </xdr:to>
    <mc:AlternateContent xmlns:mc="http://schemas.openxmlformats.org/markup-compatibility/2006" xmlns:sle15="http://schemas.microsoft.com/office/drawing/2012/slicer">
      <mc:Choice Requires="sle15">
        <xdr:graphicFrame macro="">
          <xdr:nvGraphicFramePr>
            <xdr:cNvPr id="6" name="Equipment Category">
              <a:extLst>
                <a:ext uri="{FF2B5EF4-FFF2-40B4-BE49-F238E27FC236}">
                  <a16:creationId xmlns:a16="http://schemas.microsoft.com/office/drawing/2014/main" id="{F5AF0997-8BFA-416F-BD1C-A8F40DEA0A40}"/>
                </a:ext>
              </a:extLst>
            </xdr:cNvPr>
            <xdr:cNvGraphicFramePr/>
          </xdr:nvGraphicFramePr>
          <xdr:xfrm>
            <a:off x="0" y="0"/>
            <a:ext cx="0" cy="0"/>
          </xdr:xfrm>
          <a:graphic>
            <a:graphicData uri="http://schemas.microsoft.com/office/drawing/2010/slicer">
              <sle:slicer xmlns:sle="http://schemas.microsoft.com/office/drawing/2010/slicer" name="Equipment Category"/>
            </a:graphicData>
          </a:graphic>
        </xdr:graphicFrame>
      </mc:Choice>
      <mc:Fallback xmlns="">
        <xdr:sp macro="" textlink="">
          <xdr:nvSpPr>
            <xdr:cNvPr id="0" name=""/>
            <xdr:cNvSpPr>
              <a:spLocks noTextEdit="1"/>
            </xdr:cNvSpPr>
          </xdr:nvSpPr>
          <xdr:spPr>
            <a:xfrm>
              <a:off x="264242" y="2840797"/>
              <a:ext cx="13914257" cy="413912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13250</xdr:colOff>
      <xdr:row>2</xdr:row>
      <xdr:rowOff>7621</xdr:rowOff>
    </xdr:from>
    <xdr:to>
      <xdr:col>4</xdr:col>
      <xdr:colOff>2904114</xdr:colOff>
      <xdr:row>2</xdr:row>
      <xdr:rowOff>617221</xdr:rowOff>
    </xdr:to>
    <mc:AlternateContent xmlns:mc="http://schemas.openxmlformats.org/markup-compatibility/2006" xmlns:sle15="http://schemas.microsoft.com/office/drawing/2012/slicer">
      <mc:Choice Requires="sle15">
        <xdr:graphicFrame macro="">
          <xdr:nvGraphicFramePr>
            <xdr:cNvPr id="15" name="# &gt; 0 ? T/F">
              <a:extLst>
                <a:ext uri="{FF2B5EF4-FFF2-40B4-BE49-F238E27FC236}">
                  <a16:creationId xmlns:a16="http://schemas.microsoft.com/office/drawing/2014/main" id="{38A9B331-2126-49F2-AF90-3AAEB415FE44}"/>
                </a:ext>
              </a:extLst>
            </xdr:cNvPr>
            <xdr:cNvGraphicFramePr/>
          </xdr:nvGraphicFramePr>
          <xdr:xfrm>
            <a:off x="0" y="0"/>
            <a:ext cx="0" cy="0"/>
          </xdr:xfrm>
          <a:graphic>
            <a:graphicData uri="http://schemas.microsoft.com/office/drawing/2010/slicer">
              <sle:slicer xmlns:sle="http://schemas.microsoft.com/office/drawing/2010/slicer" name="# &gt; 0 ? T/F"/>
            </a:graphicData>
          </a:graphic>
        </xdr:graphicFrame>
      </mc:Choice>
      <mc:Fallback xmlns="">
        <xdr:sp macro="" textlink="">
          <xdr:nvSpPr>
            <xdr:cNvPr id="0" name=""/>
            <xdr:cNvSpPr>
              <a:spLocks noTextEdit="1"/>
            </xdr:cNvSpPr>
          </xdr:nvSpPr>
          <xdr:spPr>
            <a:xfrm>
              <a:off x="279950" y="1211581"/>
              <a:ext cx="9900367" cy="6096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9</xdr:col>
      <xdr:colOff>210960</xdr:colOff>
      <xdr:row>0</xdr:row>
      <xdr:rowOff>190500</xdr:rowOff>
    </xdr:from>
    <xdr:to>
      <xdr:col>9</xdr:col>
      <xdr:colOff>693420</xdr:colOff>
      <xdr:row>0</xdr:row>
      <xdr:rowOff>672960</xdr:rowOff>
    </xdr:to>
    <xdr:pic>
      <xdr:nvPicPr>
        <xdr:cNvPr id="5" name="Graphic 4" descr="Shopping cart">
          <a:extLst>
            <a:ext uri="{FF2B5EF4-FFF2-40B4-BE49-F238E27FC236}">
              <a16:creationId xmlns:a16="http://schemas.microsoft.com/office/drawing/2014/main" id="{7F4A6835-80D4-495D-9C88-1A77DCDAD86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905880" y="190500"/>
          <a:ext cx="482460" cy="482460"/>
        </a:xfrm>
        <a:prstGeom prst="rect">
          <a:avLst/>
        </a:prstGeom>
      </xdr:spPr>
    </xdr:pic>
    <xdr:clientData/>
  </xdr:twoCellAnchor>
  <xdr:twoCellAnchor editAs="oneCell">
    <xdr:from>
      <xdr:col>2</xdr:col>
      <xdr:colOff>726720</xdr:colOff>
      <xdr:row>0</xdr:row>
      <xdr:rowOff>71400</xdr:rowOff>
    </xdr:from>
    <xdr:to>
      <xdr:col>2</xdr:col>
      <xdr:colOff>1310640</xdr:colOff>
      <xdr:row>0</xdr:row>
      <xdr:rowOff>655320</xdr:rowOff>
    </xdr:to>
    <xdr:pic>
      <xdr:nvPicPr>
        <xdr:cNvPr id="10" name="Graphic 9" descr="Fire">
          <a:extLst>
            <a:ext uri="{FF2B5EF4-FFF2-40B4-BE49-F238E27FC236}">
              <a16:creationId xmlns:a16="http://schemas.microsoft.com/office/drawing/2014/main" id="{83063594-529B-473A-ABC0-8A14B36260B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729000" y="71400"/>
          <a:ext cx="583920" cy="583920"/>
        </a:xfrm>
        <a:prstGeom prst="rect">
          <a:avLst/>
        </a:prstGeom>
      </xdr:spPr>
    </xdr:pic>
    <xdr:clientData/>
  </xdr:twoCellAnchor>
  <xdr:twoCellAnchor editAs="oneCell">
    <xdr:from>
      <xdr:col>2</xdr:col>
      <xdr:colOff>79020</xdr:colOff>
      <xdr:row>1</xdr:row>
      <xdr:rowOff>18060</xdr:rowOff>
    </xdr:from>
    <xdr:to>
      <xdr:col>2</xdr:col>
      <xdr:colOff>449580</xdr:colOff>
      <xdr:row>2</xdr:row>
      <xdr:rowOff>7620</xdr:rowOff>
    </xdr:to>
    <xdr:pic>
      <xdr:nvPicPr>
        <xdr:cNvPr id="21" name="Graphic 20" descr="Money">
          <a:extLst>
            <a:ext uri="{FF2B5EF4-FFF2-40B4-BE49-F238E27FC236}">
              <a16:creationId xmlns:a16="http://schemas.microsoft.com/office/drawing/2014/main" id="{DADE051D-4D47-48A2-B0D9-F0A2CF007CF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081300" y="841020"/>
          <a:ext cx="370560" cy="370560"/>
        </a:xfrm>
        <a:prstGeom prst="rect">
          <a:avLst/>
        </a:prstGeom>
      </xdr:spPr>
    </xdr:pic>
    <xdr:clientData/>
  </xdr:twoCellAnchor>
  <xdr:twoCellAnchor editAs="oneCell">
    <xdr:from>
      <xdr:col>8</xdr:col>
      <xdr:colOff>22860</xdr:colOff>
      <xdr:row>1</xdr:row>
      <xdr:rowOff>45720</xdr:rowOff>
    </xdr:from>
    <xdr:to>
      <xdr:col>8</xdr:col>
      <xdr:colOff>335280</xdr:colOff>
      <xdr:row>1</xdr:row>
      <xdr:rowOff>358140</xdr:rowOff>
    </xdr:to>
    <xdr:pic>
      <xdr:nvPicPr>
        <xdr:cNvPr id="22" name="Graphic 21" descr="Daily Calendar">
          <a:extLst>
            <a:ext uri="{FF2B5EF4-FFF2-40B4-BE49-F238E27FC236}">
              <a16:creationId xmlns:a16="http://schemas.microsoft.com/office/drawing/2014/main" id="{0677CF76-6B92-4273-A20A-8071DD7A2A1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666220" y="868680"/>
          <a:ext cx="312420" cy="312420"/>
        </a:xfrm>
        <a:prstGeom prst="rect">
          <a:avLst/>
        </a:prstGeom>
      </xdr:spPr>
    </xdr:pic>
    <xdr:clientData/>
  </xdr:twoCellAnchor>
  <xdr:twoCellAnchor editAs="absolute">
    <xdr:from>
      <xdr:col>0</xdr:col>
      <xdr:colOff>265040</xdr:colOff>
      <xdr:row>3</xdr:row>
      <xdr:rowOff>44065</xdr:rowOff>
    </xdr:from>
    <xdr:to>
      <xdr:col>8</xdr:col>
      <xdr:colOff>791386</xdr:colOff>
      <xdr:row>8</xdr:row>
      <xdr:rowOff>25560</xdr:rowOff>
    </xdr:to>
    <mc:AlternateContent xmlns:mc="http://schemas.openxmlformats.org/markup-compatibility/2006" xmlns:sle15="http://schemas.microsoft.com/office/drawing/2012/slicer">
      <mc:Choice Requires="sle15">
        <xdr:graphicFrame macro="">
          <xdr:nvGraphicFramePr>
            <xdr:cNvPr id="3" name="Equipment Type">
              <a:extLst>
                <a:ext uri="{FF2B5EF4-FFF2-40B4-BE49-F238E27FC236}">
                  <a16:creationId xmlns:a16="http://schemas.microsoft.com/office/drawing/2014/main" id="{2DA0DA67-0259-4209-BE77-46567C81937C}"/>
                </a:ext>
              </a:extLst>
            </xdr:cNvPr>
            <xdr:cNvGraphicFramePr/>
          </xdr:nvGraphicFramePr>
          <xdr:xfrm>
            <a:off x="0" y="0"/>
            <a:ext cx="0" cy="0"/>
          </xdr:xfrm>
          <a:graphic>
            <a:graphicData uri="http://schemas.microsoft.com/office/drawing/2010/slicer">
              <sle:slicer xmlns:sle="http://schemas.microsoft.com/office/drawing/2010/slicer" name="Equipment Type"/>
            </a:graphicData>
          </a:graphic>
        </xdr:graphicFrame>
      </mc:Choice>
      <mc:Fallback xmlns="">
        <xdr:sp macro="" textlink="">
          <xdr:nvSpPr>
            <xdr:cNvPr id="0" name=""/>
            <xdr:cNvSpPr>
              <a:spLocks noTextEdit="1"/>
            </xdr:cNvSpPr>
          </xdr:nvSpPr>
          <xdr:spPr>
            <a:xfrm>
              <a:off x="265040" y="1880485"/>
              <a:ext cx="13967129" cy="89589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2317</xdr:colOff>
      <xdr:row>31</xdr:row>
      <xdr:rowOff>68580</xdr:rowOff>
    </xdr:from>
    <xdr:to>
      <xdr:col>8</xdr:col>
      <xdr:colOff>732417</xdr:colOff>
      <xdr:row>36</xdr:row>
      <xdr:rowOff>152401</xdr:rowOff>
    </xdr:to>
    <mc:AlternateContent xmlns:mc="http://schemas.openxmlformats.org/markup-compatibility/2006" xmlns:sle15="http://schemas.microsoft.com/office/drawing/2012/slicer">
      <mc:Choice Requires="sle15">
        <xdr:graphicFrame macro="">
          <xdr:nvGraphicFramePr>
            <xdr:cNvPr id="4" name="Vendor">
              <a:extLst>
                <a:ext uri="{FF2B5EF4-FFF2-40B4-BE49-F238E27FC236}">
                  <a16:creationId xmlns:a16="http://schemas.microsoft.com/office/drawing/2014/main" id="{9463A3B5-A3C9-4A27-A0F1-1FE8CC92FE13}"/>
                </a:ext>
              </a:extLst>
            </xdr:cNvPr>
            <xdr:cNvGraphicFramePr/>
          </xdr:nvGraphicFramePr>
          <xdr:xfrm>
            <a:off x="0" y="0"/>
            <a:ext cx="0" cy="0"/>
          </xdr:xfrm>
          <a:graphic>
            <a:graphicData uri="http://schemas.microsoft.com/office/drawing/2010/slicer">
              <sle:slicer xmlns:sle="http://schemas.microsoft.com/office/drawing/2010/slicer" name="Vendor"/>
            </a:graphicData>
          </a:graphic>
        </xdr:graphicFrame>
      </mc:Choice>
      <mc:Fallback xmlns="">
        <xdr:sp macro="" textlink="">
          <xdr:nvSpPr>
            <xdr:cNvPr id="0" name=""/>
            <xdr:cNvSpPr>
              <a:spLocks noTextEdit="1"/>
            </xdr:cNvSpPr>
          </xdr:nvSpPr>
          <xdr:spPr>
            <a:xfrm>
              <a:off x="269017" y="7025640"/>
              <a:ext cx="13904183" cy="99822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1153020</xdr:colOff>
      <xdr:row>0</xdr:row>
      <xdr:rowOff>332460</xdr:rowOff>
    </xdr:from>
    <xdr:to>
      <xdr:col>1</xdr:col>
      <xdr:colOff>1712100</xdr:colOff>
      <xdr:row>1</xdr:row>
      <xdr:rowOff>38100</xdr:rowOff>
    </xdr:to>
    <xdr:pic>
      <xdr:nvPicPr>
        <xdr:cNvPr id="2" name="Graphic 1" descr="Newspaper">
          <a:extLst>
            <a:ext uri="{FF2B5EF4-FFF2-40B4-BE49-F238E27FC236}">
              <a16:creationId xmlns:a16="http://schemas.microsoft.com/office/drawing/2014/main" id="{AEC139CF-3FCE-410F-918F-6C31925FA57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15960" y="332460"/>
          <a:ext cx="559080" cy="559080"/>
        </a:xfrm>
        <a:prstGeom prst="rect">
          <a:avLst/>
        </a:prstGeom>
      </xdr:spPr>
    </xdr:pic>
    <xdr:clientData/>
  </xdr:twoCellAnchor>
  <xdr:twoCellAnchor editAs="oneCell">
    <xdr:from>
      <xdr:col>3</xdr:col>
      <xdr:colOff>1775460</xdr:colOff>
      <xdr:row>0</xdr:row>
      <xdr:rowOff>175260</xdr:rowOff>
    </xdr:from>
    <xdr:to>
      <xdr:col>3</xdr:col>
      <xdr:colOff>2407920</xdr:colOff>
      <xdr:row>0</xdr:row>
      <xdr:rowOff>807720</xdr:rowOff>
    </xdr:to>
    <xdr:pic>
      <xdr:nvPicPr>
        <xdr:cNvPr id="9" name="Graphic 8" descr="Gears">
          <a:extLst>
            <a:ext uri="{FF2B5EF4-FFF2-40B4-BE49-F238E27FC236}">
              <a16:creationId xmlns:a16="http://schemas.microsoft.com/office/drawing/2014/main" id="{DED1CF44-0627-4AD4-84E6-DD37128F521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20100" y="175260"/>
          <a:ext cx="632460" cy="6324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3</xdr:col>
      <xdr:colOff>2523060</xdr:colOff>
      <xdr:row>0</xdr:row>
      <xdr:rowOff>121920</xdr:rowOff>
    </xdr:from>
    <xdr:ext cx="677340" cy="677340"/>
    <xdr:pic>
      <xdr:nvPicPr>
        <xdr:cNvPr id="10" name="Graphic 9" descr="Gears">
          <a:extLst>
            <a:ext uri="{FF2B5EF4-FFF2-40B4-BE49-F238E27FC236}">
              <a16:creationId xmlns:a16="http://schemas.microsoft.com/office/drawing/2014/main" id="{7F1479FB-CD0B-478E-939F-26FE40DD335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434400" y="121920"/>
          <a:ext cx="677340" cy="677340"/>
        </a:xfrm>
        <a:prstGeom prst="rect">
          <a:avLst/>
        </a:prstGeom>
      </xdr:spPr>
    </xdr:pic>
    <xdr:clientData/>
  </xdr:oneCellAnchor>
  <xdr:twoCellAnchor editAs="oneCell">
    <xdr:from>
      <xdr:col>0</xdr:col>
      <xdr:colOff>1409700</xdr:colOff>
      <xdr:row>0</xdr:row>
      <xdr:rowOff>365760</xdr:rowOff>
    </xdr:from>
    <xdr:to>
      <xdr:col>0</xdr:col>
      <xdr:colOff>1907400</xdr:colOff>
      <xdr:row>1</xdr:row>
      <xdr:rowOff>10543</xdr:rowOff>
    </xdr:to>
    <xdr:pic>
      <xdr:nvPicPr>
        <xdr:cNvPr id="11" name="Graphic 10" descr="Hierarchy">
          <a:extLst>
            <a:ext uri="{FF2B5EF4-FFF2-40B4-BE49-F238E27FC236}">
              <a16:creationId xmlns:a16="http://schemas.microsoft.com/office/drawing/2014/main" id="{A9E8CA37-FC84-44DB-84BD-67B1329D056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09700" y="365760"/>
          <a:ext cx="497700" cy="505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653994</xdr:colOff>
      <xdr:row>0</xdr:row>
      <xdr:rowOff>2286994</xdr:rowOff>
    </xdr:from>
    <xdr:to>
      <xdr:col>0</xdr:col>
      <xdr:colOff>1149294</xdr:colOff>
      <xdr:row>0</xdr:row>
      <xdr:rowOff>2693936</xdr:rowOff>
    </xdr:to>
    <xdr:pic>
      <xdr:nvPicPr>
        <xdr:cNvPr id="4" name="Graphic 3" descr="List">
          <a:extLst>
            <a:ext uri="{FF2B5EF4-FFF2-40B4-BE49-F238E27FC236}">
              <a16:creationId xmlns:a16="http://schemas.microsoft.com/office/drawing/2014/main" id="{DC3559AB-168E-4AC3-A37D-FF4E33F3EB2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53994" y="2286994"/>
          <a:ext cx="495300" cy="406942"/>
        </a:xfrm>
        <a:prstGeom prst="rect">
          <a:avLst/>
        </a:prstGeom>
      </xdr:spPr>
    </xdr:pic>
    <xdr:clientData/>
  </xdr:twoCellAnchor>
  <xdr:twoCellAnchor editAs="oneCell">
    <xdr:from>
      <xdr:col>11</xdr:col>
      <xdr:colOff>815760</xdr:colOff>
      <xdr:row>0</xdr:row>
      <xdr:rowOff>198120</xdr:rowOff>
    </xdr:from>
    <xdr:to>
      <xdr:col>11</xdr:col>
      <xdr:colOff>1478280</xdr:colOff>
      <xdr:row>0</xdr:row>
      <xdr:rowOff>860640</xdr:rowOff>
    </xdr:to>
    <xdr:pic>
      <xdr:nvPicPr>
        <xdr:cNvPr id="13" name="Graphic 12" descr="World">
          <a:extLst>
            <a:ext uri="{FF2B5EF4-FFF2-40B4-BE49-F238E27FC236}">
              <a16:creationId xmlns:a16="http://schemas.microsoft.com/office/drawing/2014/main" id="{00A9ACF3-8BA1-4E19-A536-CCA3B4A1F62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672480" y="198120"/>
          <a:ext cx="662520" cy="662520"/>
        </a:xfrm>
        <a:prstGeom prst="rect">
          <a:avLst/>
        </a:prstGeom>
      </xdr:spPr>
    </xdr:pic>
    <xdr:clientData/>
  </xdr:twoCellAnchor>
  <xdr:twoCellAnchor editAs="oneCell">
    <xdr:from>
      <xdr:col>1</xdr:col>
      <xdr:colOff>924840</xdr:colOff>
      <xdr:row>596</xdr:row>
      <xdr:rowOff>223800</xdr:rowOff>
    </xdr:from>
    <xdr:to>
      <xdr:col>1</xdr:col>
      <xdr:colOff>1508760</xdr:colOff>
      <xdr:row>599</xdr:row>
      <xdr:rowOff>15240</xdr:rowOff>
    </xdr:to>
    <xdr:pic>
      <xdr:nvPicPr>
        <xdr:cNvPr id="5" name="Graphic 4" descr="Fire">
          <a:extLst>
            <a:ext uri="{FF2B5EF4-FFF2-40B4-BE49-F238E27FC236}">
              <a16:creationId xmlns:a16="http://schemas.microsoft.com/office/drawing/2014/main" id="{210041FA-4F36-417A-9A3E-4369DD92761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102380" y="108069660"/>
          <a:ext cx="583920" cy="583920"/>
        </a:xfrm>
        <a:prstGeom prst="rect">
          <a:avLst/>
        </a:prstGeom>
      </xdr:spPr>
    </xdr:pic>
    <xdr:clientData/>
  </xdr:twoCellAnchor>
  <xdr:twoCellAnchor editAs="absolute">
    <xdr:from>
      <xdr:col>0</xdr:col>
      <xdr:colOff>0</xdr:colOff>
      <xdr:row>0</xdr:row>
      <xdr:rowOff>0</xdr:rowOff>
    </xdr:from>
    <xdr:to>
      <xdr:col>1</xdr:col>
      <xdr:colOff>259080</xdr:colOff>
      <xdr:row>0</xdr:row>
      <xdr:rowOff>624839</xdr:rowOff>
    </xdr:to>
    <mc:AlternateContent xmlns:mc="http://schemas.openxmlformats.org/markup-compatibility/2006" xmlns:sle15="http://schemas.microsoft.com/office/drawing/2012/slicer">
      <mc:Choice Requires="sle15">
        <xdr:graphicFrame macro="">
          <xdr:nvGraphicFramePr>
            <xdr:cNvPr id="2" name="Type 2">
              <a:extLst>
                <a:ext uri="{FF2B5EF4-FFF2-40B4-BE49-F238E27FC236}">
                  <a16:creationId xmlns:a16="http://schemas.microsoft.com/office/drawing/2014/main" id="{BD6352C7-8B81-40BF-B935-7FDE5003E377}"/>
                </a:ext>
              </a:extLst>
            </xdr:cNvPr>
            <xdr:cNvGraphicFramePr/>
          </xdr:nvGraphicFramePr>
          <xdr:xfrm>
            <a:off x="0" y="0"/>
            <a:ext cx="0" cy="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0" y="0"/>
              <a:ext cx="3368040" cy="6248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259080</xdr:colOff>
      <xdr:row>0</xdr:row>
      <xdr:rowOff>0</xdr:rowOff>
    </xdr:from>
    <xdr:to>
      <xdr:col>7</xdr:col>
      <xdr:colOff>4122420</xdr:colOff>
      <xdr:row>0</xdr:row>
      <xdr:rowOff>617220</xdr:rowOff>
    </xdr:to>
    <mc:AlternateContent xmlns:mc="http://schemas.openxmlformats.org/markup-compatibility/2006" xmlns:sle15="http://schemas.microsoft.com/office/drawing/2012/slicer">
      <mc:Choice Requires="sle15">
        <xdr:graphicFrame macro="">
          <xdr:nvGraphicFramePr>
            <xdr:cNvPr id="3" name="Category 1">
              <a:extLst>
                <a:ext uri="{FF2B5EF4-FFF2-40B4-BE49-F238E27FC236}">
                  <a16:creationId xmlns:a16="http://schemas.microsoft.com/office/drawing/2014/main" id="{896156B8-8991-4FDE-A05B-F987FB74A0D1}"/>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3368040" y="0"/>
              <a:ext cx="9441180" cy="6172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617221</xdr:rowOff>
    </xdr:from>
    <xdr:to>
      <xdr:col>0</xdr:col>
      <xdr:colOff>1798320</xdr:colOff>
      <xdr:row>0</xdr:row>
      <xdr:rowOff>1775460</xdr:rowOff>
    </xdr:to>
    <mc:AlternateContent xmlns:mc="http://schemas.openxmlformats.org/markup-compatibility/2006" xmlns:sle15="http://schemas.microsoft.com/office/drawing/2012/slicer">
      <mc:Choice Requires="sle15">
        <xdr:graphicFrame macro="">
          <xdr:nvGraphicFramePr>
            <xdr:cNvPr id="6" name="Vendor 2">
              <a:extLst>
                <a:ext uri="{FF2B5EF4-FFF2-40B4-BE49-F238E27FC236}">
                  <a16:creationId xmlns:a16="http://schemas.microsoft.com/office/drawing/2014/main" id="{E4B79C47-DDCE-4451-8F24-6FC9E59BA549}"/>
                </a:ext>
              </a:extLst>
            </xdr:cNvPr>
            <xdr:cNvGraphicFramePr/>
          </xdr:nvGraphicFramePr>
          <xdr:xfrm>
            <a:off x="0" y="0"/>
            <a:ext cx="0" cy="0"/>
          </xdr:xfrm>
          <a:graphic>
            <a:graphicData uri="http://schemas.microsoft.com/office/drawing/2010/slicer">
              <sle:slicer xmlns:sle="http://schemas.microsoft.com/office/drawing/2010/slicer" name="Vendor 2"/>
            </a:graphicData>
          </a:graphic>
        </xdr:graphicFrame>
      </mc:Choice>
      <mc:Fallback xmlns="">
        <xdr:sp macro="" textlink="">
          <xdr:nvSpPr>
            <xdr:cNvPr id="0" name=""/>
            <xdr:cNvSpPr>
              <a:spLocks noTextEdit="1"/>
            </xdr:cNvSpPr>
          </xdr:nvSpPr>
          <xdr:spPr>
            <a:xfrm>
              <a:off x="0" y="617221"/>
              <a:ext cx="1798320" cy="11582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1790700</xdr:colOff>
      <xdr:row>0</xdr:row>
      <xdr:rowOff>617221</xdr:rowOff>
    </xdr:from>
    <xdr:to>
      <xdr:col>7</xdr:col>
      <xdr:colOff>4122420</xdr:colOff>
      <xdr:row>0</xdr:row>
      <xdr:rowOff>1775460</xdr:rowOff>
    </xdr:to>
    <mc:AlternateContent xmlns:mc="http://schemas.openxmlformats.org/markup-compatibility/2006" xmlns:sle15="http://schemas.microsoft.com/office/drawing/2012/slicer">
      <mc:Choice Requires="sle15">
        <xdr:graphicFrame macro="">
          <xdr:nvGraphicFramePr>
            <xdr:cNvPr id="7" name="Quantity 1">
              <a:extLst>
                <a:ext uri="{FF2B5EF4-FFF2-40B4-BE49-F238E27FC236}">
                  <a16:creationId xmlns:a16="http://schemas.microsoft.com/office/drawing/2014/main" id="{50F4E6BB-2F6E-4808-9491-615CDE14904B}"/>
                </a:ext>
              </a:extLst>
            </xdr:cNvPr>
            <xdr:cNvGraphicFramePr/>
          </xdr:nvGraphicFramePr>
          <xdr:xfrm>
            <a:off x="0" y="0"/>
            <a:ext cx="0" cy="0"/>
          </xdr:xfrm>
          <a:graphic>
            <a:graphicData uri="http://schemas.microsoft.com/office/drawing/2010/slicer">
              <sle:slicer xmlns:sle="http://schemas.microsoft.com/office/drawing/2010/slicer" name="Quantity 1"/>
            </a:graphicData>
          </a:graphic>
        </xdr:graphicFrame>
      </mc:Choice>
      <mc:Fallback xmlns="">
        <xdr:sp macro="" textlink="">
          <xdr:nvSpPr>
            <xdr:cNvPr id="0" name=""/>
            <xdr:cNvSpPr>
              <a:spLocks noTextEdit="1"/>
            </xdr:cNvSpPr>
          </xdr:nvSpPr>
          <xdr:spPr>
            <a:xfrm>
              <a:off x="1790700" y="617221"/>
              <a:ext cx="11018520" cy="11582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4114800</xdr:colOff>
      <xdr:row>0</xdr:row>
      <xdr:rowOff>7620</xdr:rowOff>
    </xdr:from>
    <xdr:to>
      <xdr:col>7</xdr:col>
      <xdr:colOff>5021580</xdr:colOff>
      <xdr:row>0</xdr:row>
      <xdr:rowOff>2263140</xdr:rowOff>
    </xdr:to>
    <mc:AlternateContent xmlns:mc="http://schemas.openxmlformats.org/markup-compatibility/2006" xmlns:sle15="http://schemas.microsoft.com/office/drawing/2012/slicer">
      <mc:Choice Requires="sle15">
        <xdr:graphicFrame macro="">
          <xdr:nvGraphicFramePr>
            <xdr:cNvPr id="8" name="Tag 1">
              <a:extLst>
                <a:ext uri="{FF2B5EF4-FFF2-40B4-BE49-F238E27FC236}">
                  <a16:creationId xmlns:a16="http://schemas.microsoft.com/office/drawing/2014/main" id="{2D245333-F6B2-47CC-8568-0A5BA3332987}"/>
                </a:ext>
              </a:extLst>
            </xdr:cNvPr>
            <xdr:cNvGraphicFramePr/>
          </xdr:nvGraphicFramePr>
          <xdr:xfrm>
            <a:off x="0" y="0"/>
            <a:ext cx="0" cy="0"/>
          </xdr:xfrm>
          <a:graphic>
            <a:graphicData uri="http://schemas.microsoft.com/office/drawing/2010/slicer">
              <sle:slicer xmlns:sle="http://schemas.microsoft.com/office/drawing/2010/slicer" name="Tag 1"/>
            </a:graphicData>
          </a:graphic>
        </xdr:graphicFrame>
      </mc:Choice>
      <mc:Fallback xmlns="">
        <xdr:sp macro="" textlink="">
          <xdr:nvSpPr>
            <xdr:cNvPr id="0" name=""/>
            <xdr:cNvSpPr>
              <a:spLocks noTextEdit="1"/>
            </xdr:cNvSpPr>
          </xdr:nvSpPr>
          <xdr:spPr>
            <a:xfrm>
              <a:off x="12801600" y="7620"/>
              <a:ext cx="906780" cy="22555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669234</xdr:colOff>
      <xdr:row>10</xdr:row>
      <xdr:rowOff>465814</xdr:rowOff>
    </xdr:from>
    <xdr:to>
      <xdr:col>0</xdr:col>
      <xdr:colOff>1164534</xdr:colOff>
      <xdr:row>10</xdr:row>
      <xdr:rowOff>872756</xdr:rowOff>
    </xdr:to>
    <xdr:pic>
      <xdr:nvPicPr>
        <xdr:cNvPr id="2" name="Graphic 1" descr="List">
          <a:extLst>
            <a:ext uri="{FF2B5EF4-FFF2-40B4-BE49-F238E27FC236}">
              <a16:creationId xmlns:a16="http://schemas.microsoft.com/office/drawing/2014/main" id="{C688C6B1-3B0E-46DE-9B31-8A446BC79F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9234" y="465814"/>
          <a:ext cx="495300" cy="406942"/>
        </a:xfrm>
        <a:prstGeom prst="rect">
          <a:avLst/>
        </a:prstGeom>
      </xdr:spPr>
    </xdr:pic>
    <xdr:clientData/>
  </xdr:twoCellAnchor>
  <xdr:twoCellAnchor editAs="oneCell">
    <xdr:from>
      <xdr:col>11</xdr:col>
      <xdr:colOff>815760</xdr:colOff>
      <xdr:row>10</xdr:row>
      <xdr:rowOff>198120</xdr:rowOff>
    </xdr:from>
    <xdr:to>
      <xdr:col>12</xdr:col>
      <xdr:colOff>662940</xdr:colOff>
      <xdr:row>10</xdr:row>
      <xdr:rowOff>860640</xdr:rowOff>
    </xdr:to>
    <xdr:pic>
      <xdr:nvPicPr>
        <xdr:cNvPr id="3" name="Graphic 2" descr="World">
          <a:extLst>
            <a:ext uri="{FF2B5EF4-FFF2-40B4-BE49-F238E27FC236}">
              <a16:creationId xmlns:a16="http://schemas.microsoft.com/office/drawing/2014/main" id="{0C2B61E5-093D-4A02-986A-723A690ED3C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42400" y="198120"/>
          <a:ext cx="662520" cy="662520"/>
        </a:xfrm>
        <a:prstGeom prst="rect">
          <a:avLst/>
        </a:prstGeom>
      </xdr:spPr>
    </xdr:pic>
    <xdr:clientData/>
  </xdr:twoCellAnchor>
  <xdr:twoCellAnchor editAs="oneCell">
    <xdr:from>
      <xdr:col>1</xdr:col>
      <xdr:colOff>780060</xdr:colOff>
      <xdr:row>605</xdr:row>
      <xdr:rowOff>10440</xdr:rowOff>
    </xdr:from>
    <xdr:to>
      <xdr:col>1</xdr:col>
      <xdr:colOff>1363980</xdr:colOff>
      <xdr:row>606</xdr:row>
      <xdr:rowOff>411480</xdr:rowOff>
    </xdr:to>
    <xdr:pic>
      <xdr:nvPicPr>
        <xdr:cNvPr id="4" name="Graphic 3" descr="Fire">
          <a:extLst>
            <a:ext uri="{FF2B5EF4-FFF2-40B4-BE49-F238E27FC236}">
              <a16:creationId xmlns:a16="http://schemas.microsoft.com/office/drawing/2014/main" id="{E493EAB5-5010-466E-8FA2-82F0187CD8B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89020" y="63599340"/>
          <a:ext cx="583920" cy="583920"/>
        </a:xfrm>
        <a:prstGeom prst="rect">
          <a:avLst/>
        </a:prstGeom>
      </xdr:spPr>
    </xdr:pic>
    <xdr:clientData/>
  </xdr:twoCellAnchor>
  <xdr:twoCellAnchor editAs="absolute">
    <xdr:from>
      <xdr:col>0</xdr:col>
      <xdr:colOff>22860</xdr:colOff>
      <xdr:row>0</xdr:row>
      <xdr:rowOff>38100</xdr:rowOff>
    </xdr:from>
    <xdr:to>
      <xdr:col>0</xdr:col>
      <xdr:colOff>2545080</xdr:colOff>
      <xdr:row>3</xdr:row>
      <xdr:rowOff>106680</xdr:rowOff>
    </xdr:to>
    <mc:AlternateContent xmlns:mc="http://schemas.openxmlformats.org/markup-compatibility/2006" xmlns:sle15="http://schemas.microsoft.com/office/drawing/2012/slicer">
      <mc:Choice Requires="sle15">
        <xdr:graphicFrame macro="">
          <xdr:nvGraphicFramePr>
            <xdr:cNvPr id="5" name="Type 1">
              <a:extLst>
                <a:ext uri="{FF2B5EF4-FFF2-40B4-BE49-F238E27FC236}">
                  <a16:creationId xmlns:a16="http://schemas.microsoft.com/office/drawing/2014/main" id="{E509966C-E0D8-4995-B7DB-CED911ECB388}"/>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22860" y="38100"/>
              <a:ext cx="2522220" cy="6096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2545080</xdr:colOff>
      <xdr:row>0</xdr:row>
      <xdr:rowOff>30481</xdr:rowOff>
    </xdr:from>
    <xdr:to>
      <xdr:col>8</xdr:col>
      <xdr:colOff>4251960</xdr:colOff>
      <xdr:row>3</xdr:row>
      <xdr:rowOff>106680</xdr:rowOff>
    </xdr:to>
    <mc:AlternateContent xmlns:mc="http://schemas.openxmlformats.org/markup-compatibility/2006" xmlns:sle15="http://schemas.microsoft.com/office/drawing/2012/slicer">
      <mc:Choice Requires="sle15">
        <xdr:graphicFrame macro="">
          <xdr:nvGraphicFramePr>
            <xdr:cNvPr id="6" name="Category">
              <a:extLst>
                <a:ext uri="{FF2B5EF4-FFF2-40B4-BE49-F238E27FC236}">
                  <a16:creationId xmlns:a16="http://schemas.microsoft.com/office/drawing/2014/main" id="{917EA6F9-2D08-443C-92B6-59174BA000B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545080" y="30481"/>
              <a:ext cx="10713720" cy="6248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45720</xdr:colOff>
      <xdr:row>3</xdr:row>
      <xdr:rowOff>106680</xdr:rowOff>
    </xdr:from>
    <xdr:to>
      <xdr:col>0</xdr:col>
      <xdr:colOff>1943100</xdr:colOff>
      <xdr:row>9</xdr:row>
      <xdr:rowOff>167639</xdr:rowOff>
    </xdr:to>
    <mc:AlternateContent xmlns:mc="http://schemas.openxmlformats.org/markup-compatibility/2006" xmlns:sle15="http://schemas.microsoft.com/office/drawing/2012/slicer">
      <mc:Choice Requires="sle15">
        <xdr:graphicFrame macro="">
          <xdr:nvGraphicFramePr>
            <xdr:cNvPr id="7" name="Vendor 1">
              <a:extLst>
                <a:ext uri="{FF2B5EF4-FFF2-40B4-BE49-F238E27FC236}">
                  <a16:creationId xmlns:a16="http://schemas.microsoft.com/office/drawing/2014/main" id="{1A3FE767-66F4-4B84-90D5-9631953D5A85}"/>
                </a:ext>
              </a:extLst>
            </xdr:cNvPr>
            <xdr:cNvGraphicFramePr/>
          </xdr:nvGraphicFramePr>
          <xdr:xfrm>
            <a:off x="0" y="0"/>
            <a:ext cx="0" cy="0"/>
          </xdr:xfrm>
          <a:graphic>
            <a:graphicData uri="http://schemas.microsoft.com/office/drawing/2010/slicer">
              <sle:slicer xmlns:sle="http://schemas.microsoft.com/office/drawing/2010/slicer" name="Vendor 1"/>
            </a:graphicData>
          </a:graphic>
        </xdr:graphicFrame>
      </mc:Choice>
      <mc:Fallback xmlns="">
        <xdr:sp macro="" textlink="">
          <xdr:nvSpPr>
            <xdr:cNvPr id="0" name=""/>
            <xdr:cNvSpPr>
              <a:spLocks noTextEdit="1"/>
            </xdr:cNvSpPr>
          </xdr:nvSpPr>
          <xdr:spPr>
            <a:xfrm>
              <a:off x="45720" y="655320"/>
              <a:ext cx="1897380" cy="11582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1950720</xdr:colOff>
      <xdr:row>3</xdr:row>
      <xdr:rowOff>106680</xdr:rowOff>
    </xdr:from>
    <xdr:to>
      <xdr:col>8</xdr:col>
      <xdr:colOff>4244340</xdr:colOff>
      <xdr:row>9</xdr:row>
      <xdr:rowOff>167640</xdr:rowOff>
    </xdr:to>
    <mc:AlternateContent xmlns:mc="http://schemas.openxmlformats.org/markup-compatibility/2006" xmlns:sle15="http://schemas.microsoft.com/office/drawing/2012/slicer">
      <mc:Choice Requires="sle15">
        <xdr:graphicFrame macro="">
          <xdr:nvGraphicFramePr>
            <xdr:cNvPr id="8" name="Quantity">
              <a:extLst>
                <a:ext uri="{FF2B5EF4-FFF2-40B4-BE49-F238E27FC236}">
                  <a16:creationId xmlns:a16="http://schemas.microsoft.com/office/drawing/2014/main" id="{29F81E88-8391-4B74-839E-D8EA78C6BE9B}"/>
                </a:ext>
              </a:extLst>
            </xdr:cNvPr>
            <xdr:cNvGraphicFramePr/>
          </xdr:nvGraphicFramePr>
          <xdr:xfrm>
            <a:off x="0" y="0"/>
            <a:ext cx="0" cy="0"/>
          </xdr:xfrm>
          <a:graphic>
            <a:graphicData uri="http://schemas.microsoft.com/office/drawing/2010/slicer">
              <sle:slicer xmlns:sle="http://schemas.microsoft.com/office/drawing/2010/slicer" name="Quantity"/>
            </a:graphicData>
          </a:graphic>
        </xdr:graphicFrame>
      </mc:Choice>
      <mc:Fallback xmlns="">
        <xdr:sp macro="" textlink="">
          <xdr:nvSpPr>
            <xdr:cNvPr id="0" name=""/>
            <xdr:cNvSpPr>
              <a:spLocks noTextEdit="1"/>
            </xdr:cNvSpPr>
          </xdr:nvSpPr>
          <xdr:spPr>
            <a:xfrm>
              <a:off x="1950720" y="655320"/>
              <a:ext cx="6339840" cy="115824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4244340</xdr:colOff>
      <xdr:row>0</xdr:row>
      <xdr:rowOff>0</xdr:rowOff>
    </xdr:from>
    <xdr:to>
      <xdr:col>8</xdr:col>
      <xdr:colOff>5158740</xdr:colOff>
      <xdr:row>10</xdr:row>
      <xdr:rowOff>403860</xdr:rowOff>
    </xdr:to>
    <mc:AlternateContent xmlns:mc="http://schemas.openxmlformats.org/markup-compatibility/2006" xmlns:sle15="http://schemas.microsoft.com/office/drawing/2012/slicer">
      <mc:Choice Requires="sle15">
        <xdr:graphicFrame macro="">
          <xdr:nvGraphicFramePr>
            <xdr:cNvPr id="9" name="Tag">
              <a:extLst>
                <a:ext uri="{FF2B5EF4-FFF2-40B4-BE49-F238E27FC236}">
                  <a16:creationId xmlns:a16="http://schemas.microsoft.com/office/drawing/2014/main" id="{7C33BF51-CAF0-4A97-A2B4-86873AB25228}"/>
                </a:ext>
              </a:extLst>
            </xdr:cNvPr>
            <xdr:cNvGraphicFramePr/>
          </xdr:nvGraphicFramePr>
          <xdr:xfrm>
            <a:off x="0" y="0"/>
            <a:ext cx="0" cy="0"/>
          </xdr:xfrm>
          <a:graphic>
            <a:graphicData uri="http://schemas.microsoft.com/office/drawing/2010/slicer">
              <sle:slicer xmlns:sle="http://schemas.microsoft.com/office/drawing/2010/slicer" name="Tag"/>
            </a:graphicData>
          </a:graphic>
        </xdr:graphicFrame>
      </mc:Choice>
      <mc:Fallback xmlns="">
        <xdr:sp macro="" textlink="">
          <xdr:nvSpPr>
            <xdr:cNvPr id="0" name=""/>
            <xdr:cNvSpPr>
              <a:spLocks noTextEdit="1"/>
            </xdr:cNvSpPr>
          </xdr:nvSpPr>
          <xdr:spPr>
            <a:xfrm>
              <a:off x="13251180" y="0"/>
              <a:ext cx="914400" cy="223266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15240</xdr:colOff>
      <xdr:row>9</xdr:row>
      <xdr:rowOff>167641</xdr:rowOff>
    </xdr:from>
    <xdr:to>
      <xdr:col>8</xdr:col>
      <xdr:colOff>4244340</xdr:colOff>
      <xdr:row>10</xdr:row>
      <xdr:rowOff>906781</xdr:rowOff>
    </xdr:to>
    <mc:AlternateContent xmlns:mc="http://schemas.openxmlformats.org/markup-compatibility/2006" xmlns:sle15="http://schemas.microsoft.com/office/drawing/2012/slicer">
      <mc:Choice Requires="sle15">
        <xdr:graphicFrame macro="">
          <xdr:nvGraphicFramePr>
            <xdr:cNvPr id="12" name="Initial">
              <a:extLst>
                <a:ext uri="{FF2B5EF4-FFF2-40B4-BE49-F238E27FC236}">
                  <a16:creationId xmlns:a16="http://schemas.microsoft.com/office/drawing/2014/main" id="{1B9F442A-58F3-4697-B323-A2460E97CE46}"/>
                </a:ext>
              </a:extLst>
            </xdr:cNvPr>
            <xdr:cNvGraphicFramePr/>
          </xdr:nvGraphicFramePr>
          <xdr:xfrm>
            <a:off x="0" y="0"/>
            <a:ext cx="0" cy="0"/>
          </xdr:xfrm>
          <a:graphic>
            <a:graphicData uri="http://schemas.microsoft.com/office/drawing/2010/slicer">
              <sle:slicer xmlns:sle="http://schemas.microsoft.com/office/drawing/2010/slicer" name="Initial"/>
            </a:graphicData>
          </a:graphic>
        </xdr:graphicFrame>
      </mc:Choice>
      <mc:Fallback xmlns="">
        <xdr:sp macro="" textlink="">
          <xdr:nvSpPr>
            <xdr:cNvPr id="0" name=""/>
            <xdr:cNvSpPr>
              <a:spLocks noTextEdit="1"/>
            </xdr:cNvSpPr>
          </xdr:nvSpPr>
          <xdr:spPr>
            <a:xfrm>
              <a:off x="3124200" y="1813561"/>
              <a:ext cx="10126980" cy="92202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669234</xdr:colOff>
      <xdr:row>10</xdr:row>
      <xdr:rowOff>465814</xdr:rowOff>
    </xdr:from>
    <xdr:to>
      <xdr:col>0</xdr:col>
      <xdr:colOff>1164534</xdr:colOff>
      <xdr:row>10</xdr:row>
      <xdr:rowOff>872756</xdr:rowOff>
    </xdr:to>
    <xdr:pic>
      <xdr:nvPicPr>
        <xdr:cNvPr id="2" name="Graphic 1" descr="List">
          <a:extLst>
            <a:ext uri="{FF2B5EF4-FFF2-40B4-BE49-F238E27FC236}">
              <a16:creationId xmlns:a16="http://schemas.microsoft.com/office/drawing/2014/main" id="{19D216F3-B569-4865-A309-4DBD62DC6A9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69234" y="2294614"/>
          <a:ext cx="495300" cy="406942"/>
        </a:xfrm>
        <a:prstGeom prst="rect">
          <a:avLst/>
        </a:prstGeom>
      </xdr:spPr>
    </xdr:pic>
    <xdr:clientData/>
  </xdr:twoCellAnchor>
  <xdr:twoCellAnchor editAs="oneCell">
    <xdr:from>
      <xdr:col>11</xdr:col>
      <xdr:colOff>815760</xdr:colOff>
      <xdr:row>10</xdr:row>
      <xdr:rowOff>198120</xdr:rowOff>
    </xdr:from>
    <xdr:to>
      <xdr:col>20</xdr:col>
      <xdr:colOff>78441</xdr:colOff>
      <xdr:row>10</xdr:row>
      <xdr:rowOff>860640</xdr:rowOff>
    </xdr:to>
    <xdr:pic>
      <xdr:nvPicPr>
        <xdr:cNvPr id="3" name="Graphic 2" descr="World">
          <a:extLst>
            <a:ext uri="{FF2B5EF4-FFF2-40B4-BE49-F238E27FC236}">
              <a16:creationId xmlns:a16="http://schemas.microsoft.com/office/drawing/2014/main" id="{9446F9D3-D247-4A16-BF1D-C34723B43F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720480" y="2026920"/>
          <a:ext cx="662520" cy="662520"/>
        </a:xfrm>
        <a:prstGeom prst="rect">
          <a:avLst/>
        </a:prstGeom>
      </xdr:spPr>
    </xdr:pic>
    <xdr:clientData/>
  </xdr:twoCellAnchor>
  <xdr:twoCellAnchor editAs="oneCell">
    <xdr:from>
      <xdr:col>1</xdr:col>
      <xdr:colOff>780060</xdr:colOff>
      <xdr:row>621</xdr:row>
      <xdr:rowOff>10440</xdr:rowOff>
    </xdr:from>
    <xdr:to>
      <xdr:col>1</xdr:col>
      <xdr:colOff>1363980</xdr:colOff>
      <xdr:row>622</xdr:row>
      <xdr:rowOff>411481</xdr:rowOff>
    </xdr:to>
    <xdr:pic>
      <xdr:nvPicPr>
        <xdr:cNvPr id="4" name="Graphic 3" descr="Fire">
          <a:extLst>
            <a:ext uri="{FF2B5EF4-FFF2-40B4-BE49-F238E27FC236}">
              <a16:creationId xmlns:a16="http://schemas.microsoft.com/office/drawing/2014/main" id="{CEB9E415-BEFE-4D2C-B3AE-BAAC6D0ACD0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889020" y="63782220"/>
          <a:ext cx="583920" cy="583920"/>
        </a:xfrm>
        <a:prstGeom prst="rect">
          <a:avLst/>
        </a:prstGeom>
      </xdr:spPr>
    </xdr:pic>
    <xdr:clientData/>
  </xdr:twoCellAnchor>
  <xdr:twoCellAnchor editAs="absolute">
    <xdr:from>
      <xdr:col>0</xdr:col>
      <xdr:colOff>22860</xdr:colOff>
      <xdr:row>0</xdr:row>
      <xdr:rowOff>38100</xdr:rowOff>
    </xdr:from>
    <xdr:to>
      <xdr:col>0</xdr:col>
      <xdr:colOff>2545080</xdr:colOff>
      <xdr:row>3</xdr:row>
      <xdr:rowOff>106680</xdr:rowOff>
    </xdr:to>
    <mc:AlternateContent xmlns:mc="http://schemas.openxmlformats.org/markup-compatibility/2006">
      <mc:Choice xmlns:sle15="http://schemas.microsoft.com/office/drawing/2012/slicer" Requires="sle15">
        <xdr:graphicFrame macro="">
          <xdr:nvGraphicFramePr>
            <xdr:cNvPr id="5" name="Type 3">
              <a:extLst>
                <a:ext uri="{FF2B5EF4-FFF2-40B4-BE49-F238E27FC236}">
                  <a16:creationId xmlns:a16="http://schemas.microsoft.com/office/drawing/2014/main" id="{820807B3-8738-484F-B890-08802577FA82}"/>
                </a:ext>
              </a:extLst>
            </xdr:cNvPr>
            <xdr:cNvGraphicFramePr/>
          </xdr:nvGraphicFramePr>
          <xdr:xfrm>
            <a:off x="0" y="0"/>
            <a:ext cx="0" cy="0"/>
          </xdr:xfrm>
          <a:graphic>
            <a:graphicData uri="http://schemas.microsoft.com/office/drawing/2010/slicer">
              <sle:slicer xmlns:sle="http://schemas.microsoft.com/office/drawing/2010/slicer" name="Type 3"/>
            </a:graphicData>
          </a:graphic>
        </xdr:graphicFrame>
      </mc:Choice>
      <mc:Fallback>
        <xdr:sp macro="" textlink="">
          <xdr:nvSpPr>
            <xdr:cNvPr id="0" name=""/>
            <xdr:cNvSpPr>
              <a:spLocks noTextEdit="1"/>
            </xdr:cNvSpPr>
          </xdr:nvSpPr>
          <xdr:spPr>
            <a:xfrm>
              <a:off x="22860" y="38100"/>
              <a:ext cx="2522220" cy="6064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2545080</xdr:colOff>
      <xdr:row>0</xdr:row>
      <xdr:rowOff>30481</xdr:rowOff>
    </xdr:from>
    <xdr:to>
      <xdr:col>8</xdr:col>
      <xdr:colOff>4216101</xdr:colOff>
      <xdr:row>3</xdr:row>
      <xdr:rowOff>106680</xdr:rowOff>
    </xdr:to>
    <mc:AlternateContent xmlns:mc="http://schemas.openxmlformats.org/markup-compatibility/2006">
      <mc:Choice xmlns:sle15="http://schemas.microsoft.com/office/drawing/2012/slicer" Requires="sle15">
        <xdr:graphicFrame macro="">
          <xdr:nvGraphicFramePr>
            <xdr:cNvPr id="6" name="Category 2">
              <a:extLst>
                <a:ext uri="{FF2B5EF4-FFF2-40B4-BE49-F238E27FC236}">
                  <a16:creationId xmlns:a16="http://schemas.microsoft.com/office/drawing/2014/main" id="{7C0531B6-D715-4A61-B99E-3494AAB4B2B8}"/>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dr:sp macro="" textlink="">
          <xdr:nvSpPr>
            <xdr:cNvPr id="0" name=""/>
            <xdr:cNvSpPr>
              <a:spLocks noTextEdit="1"/>
            </xdr:cNvSpPr>
          </xdr:nvSpPr>
          <xdr:spPr>
            <a:xfrm>
              <a:off x="2545080" y="30481"/>
              <a:ext cx="10716409" cy="61408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45720</xdr:colOff>
      <xdr:row>3</xdr:row>
      <xdr:rowOff>106680</xdr:rowOff>
    </xdr:from>
    <xdr:to>
      <xdr:col>0</xdr:col>
      <xdr:colOff>1943100</xdr:colOff>
      <xdr:row>9</xdr:row>
      <xdr:rowOff>167639</xdr:rowOff>
    </xdr:to>
    <mc:AlternateContent xmlns:mc="http://schemas.openxmlformats.org/markup-compatibility/2006">
      <mc:Choice xmlns:sle15="http://schemas.microsoft.com/office/drawing/2012/slicer" Requires="sle15">
        <xdr:graphicFrame macro="">
          <xdr:nvGraphicFramePr>
            <xdr:cNvPr id="7" name="Vendor 3">
              <a:extLst>
                <a:ext uri="{FF2B5EF4-FFF2-40B4-BE49-F238E27FC236}">
                  <a16:creationId xmlns:a16="http://schemas.microsoft.com/office/drawing/2014/main" id="{FAC381C8-46E0-43C2-AC3C-F4C79A30106B}"/>
                </a:ext>
              </a:extLst>
            </xdr:cNvPr>
            <xdr:cNvGraphicFramePr/>
          </xdr:nvGraphicFramePr>
          <xdr:xfrm>
            <a:off x="0" y="0"/>
            <a:ext cx="0" cy="0"/>
          </xdr:xfrm>
          <a:graphic>
            <a:graphicData uri="http://schemas.microsoft.com/office/drawing/2010/slicer">
              <sle:slicer xmlns:sle="http://schemas.microsoft.com/office/drawing/2010/slicer" name="Vendor 3"/>
            </a:graphicData>
          </a:graphic>
        </xdr:graphicFrame>
      </mc:Choice>
      <mc:Fallback>
        <xdr:sp macro="" textlink="">
          <xdr:nvSpPr>
            <xdr:cNvPr id="0" name=""/>
            <xdr:cNvSpPr>
              <a:spLocks noTextEdit="1"/>
            </xdr:cNvSpPr>
          </xdr:nvSpPr>
          <xdr:spPr>
            <a:xfrm>
              <a:off x="45720" y="644562"/>
              <a:ext cx="1897380" cy="11367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1950720</xdr:colOff>
      <xdr:row>3</xdr:row>
      <xdr:rowOff>106680</xdr:rowOff>
    </xdr:from>
    <xdr:to>
      <xdr:col>8</xdr:col>
      <xdr:colOff>4208481</xdr:colOff>
      <xdr:row>9</xdr:row>
      <xdr:rowOff>167640</xdr:rowOff>
    </xdr:to>
    <mc:AlternateContent xmlns:mc="http://schemas.openxmlformats.org/markup-compatibility/2006">
      <mc:Choice xmlns:sle15="http://schemas.microsoft.com/office/drawing/2012/slicer" Requires="sle15">
        <xdr:graphicFrame macro="">
          <xdr:nvGraphicFramePr>
            <xdr:cNvPr id="8" name="Quantity 2">
              <a:extLst>
                <a:ext uri="{FF2B5EF4-FFF2-40B4-BE49-F238E27FC236}">
                  <a16:creationId xmlns:a16="http://schemas.microsoft.com/office/drawing/2014/main" id="{C9693A7D-7E75-4809-B1C5-58AEA4373E43}"/>
                </a:ext>
              </a:extLst>
            </xdr:cNvPr>
            <xdr:cNvGraphicFramePr/>
          </xdr:nvGraphicFramePr>
          <xdr:xfrm>
            <a:off x="0" y="0"/>
            <a:ext cx="0" cy="0"/>
          </xdr:xfrm>
          <a:graphic>
            <a:graphicData uri="http://schemas.microsoft.com/office/drawing/2010/slicer">
              <sle:slicer xmlns:sle="http://schemas.microsoft.com/office/drawing/2010/slicer" name="Quantity 2"/>
            </a:graphicData>
          </a:graphic>
        </xdr:graphicFrame>
      </mc:Choice>
      <mc:Fallback>
        <xdr:sp macro="" textlink="">
          <xdr:nvSpPr>
            <xdr:cNvPr id="0" name=""/>
            <xdr:cNvSpPr>
              <a:spLocks noTextEdit="1"/>
            </xdr:cNvSpPr>
          </xdr:nvSpPr>
          <xdr:spPr>
            <a:xfrm>
              <a:off x="1950720" y="644562"/>
              <a:ext cx="11303149" cy="1136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4208481</xdr:colOff>
      <xdr:row>0</xdr:row>
      <xdr:rowOff>0</xdr:rowOff>
    </xdr:from>
    <xdr:to>
      <xdr:col>11</xdr:col>
      <xdr:colOff>138504</xdr:colOff>
      <xdr:row>10</xdr:row>
      <xdr:rowOff>403860</xdr:rowOff>
    </xdr:to>
    <mc:AlternateContent xmlns:mc="http://schemas.openxmlformats.org/markup-compatibility/2006">
      <mc:Choice xmlns:sle15="http://schemas.microsoft.com/office/drawing/2012/slicer" Requires="sle15">
        <xdr:graphicFrame macro="">
          <xdr:nvGraphicFramePr>
            <xdr:cNvPr id="9" name="Tag 2">
              <a:extLst>
                <a:ext uri="{FF2B5EF4-FFF2-40B4-BE49-F238E27FC236}">
                  <a16:creationId xmlns:a16="http://schemas.microsoft.com/office/drawing/2014/main" id="{6E825A07-1287-405D-A922-B2502F676030}"/>
                </a:ext>
              </a:extLst>
            </xdr:cNvPr>
            <xdr:cNvGraphicFramePr/>
          </xdr:nvGraphicFramePr>
          <xdr:xfrm>
            <a:off x="0" y="0"/>
            <a:ext cx="0" cy="0"/>
          </xdr:xfrm>
          <a:graphic>
            <a:graphicData uri="http://schemas.microsoft.com/office/drawing/2010/slicer">
              <sle:slicer xmlns:sle="http://schemas.microsoft.com/office/drawing/2010/slicer" name="Tag 2"/>
            </a:graphicData>
          </a:graphic>
        </xdr:graphicFrame>
      </mc:Choice>
      <mc:Fallback>
        <xdr:sp macro="" textlink="">
          <xdr:nvSpPr>
            <xdr:cNvPr id="0" name=""/>
            <xdr:cNvSpPr>
              <a:spLocks noTextEdit="1"/>
            </xdr:cNvSpPr>
          </xdr:nvSpPr>
          <xdr:spPr>
            <a:xfrm>
              <a:off x="13253869" y="0"/>
              <a:ext cx="914400" cy="219680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absoluteAnchor>
    <xdr:pos x="3125993" y="1781288"/>
    <xdr:ext cx="10127876" cy="918434"/>
    <mc:AlternateContent xmlns:mc="http://schemas.openxmlformats.org/markup-compatibility/2006">
      <mc:Choice xmlns:sle15="http://schemas.microsoft.com/office/drawing/2012/slicer" Requires="sle15">
        <xdr:graphicFrame macro="">
          <xdr:nvGraphicFramePr>
            <xdr:cNvPr id="10" name="Initial 1">
              <a:extLst>
                <a:ext uri="{FF2B5EF4-FFF2-40B4-BE49-F238E27FC236}">
                  <a16:creationId xmlns:a16="http://schemas.microsoft.com/office/drawing/2014/main" id="{DC047861-0983-4209-8092-12886DB4B194}"/>
                </a:ext>
              </a:extLst>
            </xdr:cNvPr>
            <xdr:cNvGraphicFramePr/>
          </xdr:nvGraphicFramePr>
          <xdr:xfrm>
            <a:off x="0" y="0"/>
            <a:ext cx="0" cy="0"/>
          </xdr:xfrm>
          <a:graphic>
            <a:graphicData uri="http://schemas.microsoft.com/office/drawing/2010/slicer">
              <sle:slicer xmlns:sle="http://schemas.microsoft.com/office/drawing/2010/slicer" name="Initial 1"/>
            </a:graphicData>
          </a:graphic>
        </xdr:graphicFrame>
      </mc:Choice>
      <mc:Fallback>
        <xdr:sp macro="" textlink="">
          <xdr:nvSpPr>
            <xdr:cNvPr id="0" name=""/>
            <xdr:cNvSpPr>
              <a:spLocks noTextEdit="1"/>
            </xdr:cNvSpPr>
          </xdr:nvSpPr>
          <xdr:spPr>
            <a:xfrm>
              <a:off x="3125993" y="1781288"/>
              <a:ext cx="10127876" cy="91843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7.xml><?xml version="1.0" encoding="utf-8"?>
<xdr:wsDr xmlns:xdr="http://schemas.openxmlformats.org/drawingml/2006/spreadsheetDrawing" xmlns:a="http://schemas.openxmlformats.org/drawingml/2006/main">
  <xdr:twoCellAnchor editAs="oneCell">
    <xdr:from>
      <xdr:col>11</xdr:col>
      <xdr:colOff>450198</xdr:colOff>
      <xdr:row>0</xdr:row>
      <xdr:rowOff>253818</xdr:rowOff>
    </xdr:from>
    <xdr:to>
      <xdr:col>11</xdr:col>
      <xdr:colOff>833958</xdr:colOff>
      <xdr:row>0</xdr:row>
      <xdr:rowOff>599957</xdr:rowOff>
    </xdr:to>
    <xdr:sp macro="" textlink="">
      <xdr:nvSpPr>
        <xdr:cNvPr id="29" name="House icon" descr="House">
          <a:extLst>
            <a:ext uri="{FF2B5EF4-FFF2-40B4-BE49-F238E27FC236}">
              <a16:creationId xmlns:a16="http://schemas.microsoft.com/office/drawing/2014/main" id="{00000000-0008-0000-0000-00001D000000}"/>
            </a:ext>
          </a:extLst>
        </xdr:cNvPr>
        <xdr:cNvSpPr>
          <a:spLocks noChangeAspect="1" noEditPoints="1"/>
        </xdr:cNvSpPr>
      </xdr:nvSpPr>
      <xdr:spPr bwMode="auto">
        <a:xfrm>
          <a:off x="11754692" y="253818"/>
          <a:ext cx="383760" cy="346139"/>
        </a:xfrm>
        <a:custGeom>
          <a:avLst/>
          <a:gdLst>
            <a:gd name="T0" fmla="*/ 149 w 565"/>
            <a:gd name="T1" fmla="*/ 257 h 516"/>
            <a:gd name="T2" fmla="*/ 146 w 565"/>
            <a:gd name="T3" fmla="*/ 261 h 516"/>
            <a:gd name="T4" fmla="*/ 145 w 565"/>
            <a:gd name="T5" fmla="*/ 481 h 516"/>
            <a:gd name="T6" fmla="*/ 147 w 565"/>
            <a:gd name="T7" fmla="*/ 486 h 516"/>
            <a:gd name="T8" fmla="*/ 152 w 565"/>
            <a:gd name="T9" fmla="*/ 488 h 516"/>
            <a:gd name="T10" fmla="*/ 264 w 565"/>
            <a:gd name="T11" fmla="*/ 487 h 516"/>
            <a:gd name="T12" fmla="*/ 268 w 565"/>
            <a:gd name="T13" fmla="*/ 484 h 516"/>
            <a:gd name="T14" fmla="*/ 269 w 565"/>
            <a:gd name="T15" fmla="*/ 264 h 516"/>
            <a:gd name="T16" fmla="*/ 267 w 565"/>
            <a:gd name="T17" fmla="*/ 259 h 516"/>
            <a:gd name="T18" fmla="*/ 262 w 565"/>
            <a:gd name="T19" fmla="*/ 257 h 516"/>
            <a:gd name="T20" fmla="*/ 332 w 565"/>
            <a:gd name="T21" fmla="*/ 254 h 516"/>
            <a:gd name="T22" fmla="*/ 327 w 565"/>
            <a:gd name="T23" fmla="*/ 256 h 516"/>
            <a:gd name="T24" fmla="*/ 325 w 565"/>
            <a:gd name="T25" fmla="*/ 261 h 516"/>
            <a:gd name="T26" fmla="*/ 326 w 565"/>
            <a:gd name="T27" fmla="*/ 364 h 516"/>
            <a:gd name="T28" fmla="*/ 330 w 565"/>
            <a:gd name="T29" fmla="*/ 368 h 516"/>
            <a:gd name="T30" fmla="*/ 417 w 565"/>
            <a:gd name="T31" fmla="*/ 368 h 516"/>
            <a:gd name="T32" fmla="*/ 422 w 565"/>
            <a:gd name="T33" fmla="*/ 366 h 516"/>
            <a:gd name="T34" fmla="*/ 424 w 565"/>
            <a:gd name="T35" fmla="*/ 361 h 516"/>
            <a:gd name="T36" fmla="*/ 423 w 565"/>
            <a:gd name="T37" fmla="*/ 258 h 516"/>
            <a:gd name="T38" fmla="*/ 420 w 565"/>
            <a:gd name="T39" fmla="*/ 254 h 516"/>
            <a:gd name="T40" fmla="*/ 332 w 565"/>
            <a:gd name="T41" fmla="*/ 254 h 516"/>
            <a:gd name="T42" fmla="*/ 295 w 565"/>
            <a:gd name="T43" fmla="*/ 4 h 516"/>
            <a:gd name="T44" fmla="*/ 401 w 565"/>
            <a:gd name="T45" fmla="*/ 58 h 516"/>
            <a:gd name="T46" fmla="*/ 403 w 565"/>
            <a:gd name="T47" fmla="*/ 51 h 516"/>
            <a:gd name="T48" fmla="*/ 408 w 565"/>
            <a:gd name="T49" fmla="*/ 47 h 516"/>
            <a:gd name="T50" fmla="*/ 468 w 565"/>
            <a:gd name="T51" fmla="*/ 47 h 516"/>
            <a:gd name="T52" fmla="*/ 474 w 565"/>
            <a:gd name="T53" fmla="*/ 49 h 516"/>
            <a:gd name="T54" fmla="*/ 478 w 565"/>
            <a:gd name="T55" fmla="*/ 54 h 516"/>
            <a:gd name="T56" fmla="*/ 479 w 565"/>
            <a:gd name="T57" fmla="*/ 170 h 516"/>
            <a:gd name="T58" fmla="*/ 565 w 565"/>
            <a:gd name="T59" fmla="*/ 247 h 516"/>
            <a:gd name="T60" fmla="*/ 565 w 565"/>
            <a:gd name="T61" fmla="*/ 249 h 516"/>
            <a:gd name="T62" fmla="*/ 563 w 565"/>
            <a:gd name="T63" fmla="*/ 254 h 516"/>
            <a:gd name="T64" fmla="*/ 537 w 565"/>
            <a:gd name="T65" fmla="*/ 278 h 516"/>
            <a:gd name="T66" fmla="*/ 531 w 565"/>
            <a:gd name="T67" fmla="*/ 278 h 516"/>
            <a:gd name="T68" fmla="*/ 518 w 565"/>
            <a:gd name="T69" fmla="*/ 267 h 516"/>
            <a:gd name="T70" fmla="*/ 515 w 565"/>
            <a:gd name="T71" fmla="*/ 265 h 516"/>
            <a:gd name="T72" fmla="*/ 513 w 565"/>
            <a:gd name="T73" fmla="*/ 269 h 516"/>
            <a:gd name="T74" fmla="*/ 512 w 565"/>
            <a:gd name="T75" fmla="*/ 512 h 516"/>
            <a:gd name="T76" fmla="*/ 508 w 565"/>
            <a:gd name="T77" fmla="*/ 516 h 516"/>
            <a:gd name="T78" fmla="*/ 63 w 565"/>
            <a:gd name="T79" fmla="*/ 516 h 516"/>
            <a:gd name="T80" fmla="*/ 58 w 565"/>
            <a:gd name="T81" fmla="*/ 514 h 516"/>
            <a:gd name="T82" fmla="*/ 56 w 565"/>
            <a:gd name="T83" fmla="*/ 509 h 516"/>
            <a:gd name="T84" fmla="*/ 56 w 565"/>
            <a:gd name="T85" fmla="*/ 264 h 516"/>
            <a:gd name="T86" fmla="*/ 53 w 565"/>
            <a:gd name="T87" fmla="*/ 262 h 516"/>
            <a:gd name="T88" fmla="*/ 37 w 565"/>
            <a:gd name="T89" fmla="*/ 277 h 516"/>
            <a:gd name="T90" fmla="*/ 32 w 565"/>
            <a:gd name="T91" fmla="*/ 278 h 516"/>
            <a:gd name="T92" fmla="*/ 25 w 565"/>
            <a:gd name="T93" fmla="*/ 276 h 516"/>
            <a:gd name="T94" fmla="*/ 1 w 565"/>
            <a:gd name="T95" fmla="*/ 252 h 516"/>
            <a:gd name="T96" fmla="*/ 1 w 565"/>
            <a:gd name="T97" fmla="*/ 247 h 516"/>
            <a:gd name="T98" fmla="*/ 271 w 565"/>
            <a:gd name="T99" fmla="*/ 4 h 516"/>
            <a:gd name="T100" fmla="*/ 287 w 565"/>
            <a:gd name="T101" fmla="*/ 0 h 51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565" h="516">
              <a:moveTo>
                <a:pt x="152" y="257"/>
              </a:moveTo>
              <a:lnTo>
                <a:pt x="149" y="257"/>
              </a:lnTo>
              <a:lnTo>
                <a:pt x="147" y="259"/>
              </a:lnTo>
              <a:lnTo>
                <a:pt x="146" y="261"/>
              </a:lnTo>
              <a:lnTo>
                <a:pt x="145" y="264"/>
              </a:lnTo>
              <a:lnTo>
                <a:pt x="145" y="481"/>
              </a:lnTo>
              <a:lnTo>
                <a:pt x="146" y="484"/>
              </a:lnTo>
              <a:lnTo>
                <a:pt x="147" y="486"/>
              </a:lnTo>
              <a:lnTo>
                <a:pt x="149" y="487"/>
              </a:lnTo>
              <a:lnTo>
                <a:pt x="152" y="488"/>
              </a:lnTo>
              <a:lnTo>
                <a:pt x="262" y="488"/>
              </a:lnTo>
              <a:lnTo>
                <a:pt x="264" y="487"/>
              </a:lnTo>
              <a:lnTo>
                <a:pt x="267" y="486"/>
              </a:lnTo>
              <a:lnTo>
                <a:pt x="268" y="484"/>
              </a:lnTo>
              <a:lnTo>
                <a:pt x="269" y="481"/>
              </a:lnTo>
              <a:lnTo>
                <a:pt x="269" y="264"/>
              </a:lnTo>
              <a:lnTo>
                <a:pt x="268" y="261"/>
              </a:lnTo>
              <a:lnTo>
                <a:pt x="267" y="259"/>
              </a:lnTo>
              <a:lnTo>
                <a:pt x="264" y="257"/>
              </a:lnTo>
              <a:lnTo>
                <a:pt x="262" y="257"/>
              </a:lnTo>
              <a:lnTo>
                <a:pt x="152" y="257"/>
              </a:lnTo>
              <a:close/>
              <a:moveTo>
                <a:pt x="332" y="254"/>
              </a:moveTo>
              <a:lnTo>
                <a:pt x="330" y="254"/>
              </a:lnTo>
              <a:lnTo>
                <a:pt x="327" y="256"/>
              </a:lnTo>
              <a:lnTo>
                <a:pt x="326" y="258"/>
              </a:lnTo>
              <a:lnTo>
                <a:pt x="325" y="261"/>
              </a:lnTo>
              <a:lnTo>
                <a:pt x="325" y="361"/>
              </a:lnTo>
              <a:lnTo>
                <a:pt x="326" y="364"/>
              </a:lnTo>
              <a:lnTo>
                <a:pt x="327" y="366"/>
              </a:lnTo>
              <a:lnTo>
                <a:pt x="330" y="368"/>
              </a:lnTo>
              <a:lnTo>
                <a:pt x="332" y="368"/>
              </a:lnTo>
              <a:lnTo>
                <a:pt x="417" y="368"/>
              </a:lnTo>
              <a:lnTo>
                <a:pt x="420" y="368"/>
              </a:lnTo>
              <a:lnTo>
                <a:pt x="422" y="366"/>
              </a:lnTo>
              <a:lnTo>
                <a:pt x="423" y="364"/>
              </a:lnTo>
              <a:lnTo>
                <a:pt x="424" y="361"/>
              </a:lnTo>
              <a:lnTo>
                <a:pt x="424" y="261"/>
              </a:lnTo>
              <a:lnTo>
                <a:pt x="423" y="258"/>
              </a:lnTo>
              <a:lnTo>
                <a:pt x="422" y="256"/>
              </a:lnTo>
              <a:lnTo>
                <a:pt x="420" y="254"/>
              </a:lnTo>
              <a:lnTo>
                <a:pt x="417" y="254"/>
              </a:lnTo>
              <a:lnTo>
                <a:pt x="332" y="254"/>
              </a:lnTo>
              <a:close/>
              <a:moveTo>
                <a:pt x="287" y="0"/>
              </a:moveTo>
              <a:lnTo>
                <a:pt x="295" y="4"/>
              </a:lnTo>
              <a:lnTo>
                <a:pt x="401" y="100"/>
              </a:lnTo>
              <a:lnTo>
                <a:pt x="401" y="58"/>
              </a:lnTo>
              <a:lnTo>
                <a:pt x="401" y="54"/>
              </a:lnTo>
              <a:lnTo>
                <a:pt x="403" y="51"/>
              </a:lnTo>
              <a:lnTo>
                <a:pt x="405" y="49"/>
              </a:lnTo>
              <a:lnTo>
                <a:pt x="408" y="47"/>
              </a:lnTo>
              <a:lnTo>
                <a:pt x="412" y="47"/>
              </a:lnTo>
              <a:lnTo>
                <a:pt x="468" y="47"/>
              </a:lnTo>
              <a:lnTo>
                <a:pt x="471" y="47"/>
              </a:lnTo>
              <a:lnTo>
                <a:pt x="474" y="49"/>
              </a:lnTo>
              <a:lnTo>
                <a:pt x="477" y="51"/>
              </a:lnTo>
              <a:lnTo>
                <a:pt x="478" y="54"/>
              </a:lnTo>
              <a:lnTo>
                <a:pt x="479" y="58"/>
              </a:lnTo>
              <a:lnTo>
                <a:pt x="479" y="170"/>
              </a:lnTo>
              <a:lnTo>
                <a:pt x="563" y="245"/>
              </a:lnTo>
              <a:lnTo>
                <a:pt x="565" y="247"/>
              </a:lnTo>
              <a:lnTo>
                <a:pt x="565" y="249"/>
              </a:lnTo>
              <a:lnTo>
                <a:pt x="565" y="249"/>
              </a:lnTo>
              <a:lnTo>
                <a:pt x="565" y="252"/>
              </a:lnTo>
              <a:lnTo>
                <a:pt x="563" y="254"/>
              </a:lnTo>
              <a:lnTo>
                <a:pt x="539" y="276"/>
              </a:lnTo>
              <a:lnTo>
                <a:pt x="537" y="278"/>
              </a:lnTo>
              <a:lnTo>
                <a:pt x="534" y="278"/>
              </a:lnTo>
              <a:lnTo>
                <a:pt x="531" y="278"/>
              </a:lnTo>
              <a:lnTo>
                <a:pt x="529" y="277"/>
              </a:lnTo>
              <a:lnTo>
                <a:pt x="518" y="267"/>
              </a:lnTo>
              <a:lnTo>
                <a:pt x="516" y="265"/>
              </a:lnTo>
              <a:lnTo>
                <a:pt x="515" y="265"/>
              </a:lnTo>
              <a:lnTo>
                <a:pt x="513" y="267"/>
              </a:lnTo>
              <a:lnTo>
                <a:pt x="513" y="269"/>
              </a:lnTo>
              <a:lnTo>
                <a:pt x="513" y="509"/>
              </a:lnTo>
              <a:lnTo>
                <a:pt x="512" y="512"/>
              </a:lnTo>
              <a:lnTo>
                <a:pt x="511" y="514"/>
              </a:lnTo>
              <a:lnTo>
                <a:pt x="508" y="516"/>
              </a:lnTo>
              <a:lnTo>
                <a:pt x="506" y="516"/>
              </a:lnTo>
              <a:lnTo>
                <a:pt x="63" y="516"/>
              </a:lnTo>
              <a:lnTo>
                <a:pt x="60" y="516"/>
              </a:lnTo>
              <a:lnTo>
                <a:pt x="58" y="514"/>
              </a:lnTo>
              <a:lnTo>
                <a:pt x="56" y="512"/>
              </a:lnTo>
              <a:lnTo>
                <a:pt x="56" y="509"/>
              </a:lnTo>
              <a:lnTo>
                <a:pt x="56" y="266"/>
              </a:lnTo>
              <a:lnTo>
                <a:pt x="56" y="264"/>
              </a:lnTo>
              <a:lnTo>
                <a:pt x="54" y="262"/>
              </a:lnTo>
              <a:lnTo>
                <a:pt x="53" y="262"/>
              </a:lnTo>
              <a:lnTo>
                <a:pt x="51" y="264"/>
              </a:lnTo>
              <a:lnTo>
                <a:pt x="37" y="277"/>
              </a:lnTo>
              <a:lnTo>
                <a:pt x="34" y="278"/>
              </a:lnTo>
              <a:lnTo>
                <a:pt x="32" y="278"/>
              </a:lnTo>
              <a:lnTo>
                <a:pt x="28" y="278"/>
              </a:lnTo>
              <a:lnTo>
                <a:pt x="25" y="276"/>
              </a:lnTo>
              <a:lnTo>
                <a:pt x="2" y="254"/>
              </a:lnTo>
              <a:lnTo>
                <a:pt x="1" y="252"/>
              </a:lnTo>
              <a:lnTo>
                <a:pt x="0" y="249"/>
              </a:lnTo>
              <a:lnTo>
                <a:pt x="1" y="247"/>
              </a:lnTo>
              <a:lnTo>
                <a:pt x="2" y="245"/>
              </a:lnTo>
              <a:lnTo>
                <a:pt x="271" y="4"/>
              </a:lnTo>
              <a:lnTo>
                <a:pt x="278" y="0"/>
              </a:lnTo>
              <a:lnTo>
                <a:pt x="287" y="0"/>
              </a:lnTo>
              <a:close/>
            </a:path>
          </a:pathLst>
        </a:custGeom>
        <a:solidFill>
          <a:schemeClr val="bg2">
            <a:lumMod val="50000"/>
          </a:schemeClr>
        </a:solidFill>
        <a:ln w="0">
          <a:noFill/>
          <a:prstDash val="solid"/>
          <a:round/>
          <a:headEnd/>
          <a:tailEnd/>
        </a:ln>
      </xdr:spPr>
    </xdr:sp>
    <xdr:clientData/>
  </xdr:twoCellAnchor>
  <xdr:twoCellAnchor editAs="oneCell">
    <xdr:from>
      <xdr:col>1</xdr:col>
      <xdr:colOff>17927</xdr:colOff>
      <xdr:row>3</xdr:row>
      <xdr:rowOff>12327</xdr:rowOff>
    </xdr:from>
    <xdr:to>
      <xdr:col>13</xdr:col>
      <xdr:colOff>188258</xdr:colOff>
      <xdr:row>3</xdr:row>
      <xdr:rowOff>802902</xdr:rowOff>
    </xdr:to>
    <mc:AlternateContent xmlns:mc="http://schemas.openxmlformats.org/markup-compatibility/2006" xmlns:sle15="http://schemas.microsoft.com/office/drawing/2012/slicer">
      <mc:Choice Requires="sle15">
        <xdr:graphicFrame macro="">
          <xdr:nvGraphicFramePr>
            <xdr:cNvPr id="3" name="Room/&#10;area" descr="Equipment Category slicer to filter items by Equipment Category">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Room/&#10;area"/>
            </a:graphicData>
          </a:graphic>
        </xdr:graphicFrame>
      </mc:Choice>
      <mc:Fallback xmlns="">
        <xdr:sp macro="" textlink="">
          <xdr:nvSpPr>
            <xdr:cNvPr id="0" name=""/>
            <xdr:cNvSpPr>
              <a:spLocks noTextEdit="1"/>
            </xdr:cNvSpPr>
          </xdr:nvSpPr>
          <xdr:spPr>
            <a:xfrm>
              <a:off x="573739" y="2253503"/>
              <a:ext cx="15670307" cy="7905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fPrintsWithSheet="0"/>
  </xdr:twoCellAnchor>
  <xdr:twoCellAnchor editAs="absolute">
    <xdr:from>
      <xdr:col>1</xdr:col>
      <xdr:colOff>8963</xdr:colOff>
      <xdr:row>2</xdr:row>
      <xdr:rowOff>86510</xdr:rowOff>
    </xdr:from>
    <xdr:to>
      <xdr:col>13</xdr:col>
      <xdr:colOff>188258</xdr:colOff>
      <xdr:row>2</xdr:row>
      <xdr:rowOff>959224</xdr:rowOff>
    </xdr:to>
    <mc:AlternateContent xmlns:mc="http://schemas.openxmlformats.org/markup-compatibility/2006" xmlns:sle15="http://schemas.microsoft.com/office/drawing/2012/slicer">
      <mc:Choice Requires="sle15">
        <xdr:graphicFrame macro="">
          <xdr:nvGraphicFramePr>
            <xdr:cNvPr id="4" name="Type">
              <a:extLst>
                <a:ext uri="{FF2B5EF4-FFF2-40B4-BE49-F238E27FC236}">
                  <a16:creationId xmlns:a16="http://schemas.microsoft.com/office/drawing/2014/main" id="{0D794F71-D072-450B-B438-E56727F8DFF8}"/>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564775" y="1296745"/>
              <a:ext cx="15679271" cy="87271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lake\AppData\Roaming\Microsoft\AddIns\CustomTool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ustomTools"/>
    </sheetNames>
    <definedNames>
      <definedName name="CSVitems"/>
      <definedName name="GetSelectedSlicerItems"/>
      <definedName name="TextFormula"/>
    </definedNames>
    <sheetDataSet>
      <sheetData sheetId="0"/>
      <sheetData sheetId="1"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om__area" xr10:uid="{00000000-0013-0000-FFFF-FFFF01000000}" sourceName="Equipment Category">
  <extLst>
    <x:ext xmlns:x15="http://schemas.microsoft.com/office/spreadsheetml/2010/11/main" uri="{2F2917AC-EB37-4324-AD4E-5DD8C200BD13}">
      <x15:tableSlicerCache tableId="1"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6059C101-D843-4582-930F-7F4A229DD5F6}" sourceName="Type">
  <extLst>
    <x:ext xmlns:x15="http://schemas.microsoft.com/office/spreadsheetml/2010/11/main" uri="{2F2917AC-EB37-4324-AD4E-5DD8C200BD13}">
      <x15:tableSlicerCache tableId="1" column="1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quipment_Category" xr10:uid="{DB0860DA-3634-44D0-A696-62A7AE4CEAF2}" sourceName="Equipment Category">
  <extLst>
    <x:ext xmlns:x15="http://schemas.microsoft.com/office/spreadsheetml/2010/11/main" uri="{2F2917AC-EB37-4324-AD4E-5DD8C200BD13}">
      <x15:tableSlicerCache tableId="8" column="2" crossFilter="show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___0_?_T_F" xr10:uid="{0AF9388F-9828-49C5-A2DD-B2A96DB5E5B9}" sourceName="# &gt; 0 ? T/F">
  <extLst>
    <x:ext xmlns:x15="http://schemas.microsoft.com/office/spreadsheetml/2010/11/main" uri="{2F2917AC-EB37-4324-AD4E-5DD8C200BD13}">
      <x15:tableSlicerCache tableId="8"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quipment_Type" xr10:uid="{0EDBC8CF-C8CB-4818-B61E-C1FA6D4C7508}" sourceName="Equipment Type">
  <extLst>
    <x:ext xmlns:x15="http://schemas.microsoft.com/office/spreadsheetml/2010/11/main" uri="{2F2917AC-EB37-4324-AD4E-5DD8C200BD13}">
      <x15:tableSlicerCache tableId="8" column="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 xr10:uid="{675FB6A3-8312-4476-A1D4-99ADC24DE8E2}" sourceName="Vendor">
  <extLst>
    <x:ext xmlns:x15="http://schemas.microsoft.com/office/spreadsheetml/2010/11/main" uri="{2F2917AC-EB37-4324-AD4E-5DD8C200BD13}">
      <x15:tableSlicerCache tableId="8" column="1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 xr10:uid="{666A5BF4-3470-4F03-9A2B-428E0F7F426A}" sourceName="Type">
  <extLst>
    <x:ext xmlns:x15="http://schemas.microsoft.com/office/spreadsheetml/2010/11/main" uri="{2F2917AC-EB37-4324-AD4E-5DD8C200BD13}">
      <x15:tableSlicerCache tableId="3" column="1"/>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0070B10-49D5-474A-B9E0-3B49EA01811A}" sourceName="Category">
  <extLst>
    <x:ext xmlns:x15="http://schemas.microsoft.com/office/spreadsheetml/2010/11/main" uri="{2F2917AC-EB37-4324-AD4E-5DD8C200BD13}">
      <x15:tableSlicerCache tableId="3" column="2"/>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1" xr10:uid="{90207507-0E53-4354-B3B3-6657DA5C8B9D}" sourceName="Vendor">
  <extLst>
    <x:ext xmlns:x15="http://schemas.microsoft.com/office/spreadsheetml/2010/11/main" uri="{2F2917AC-EB37-4324-AD4E-5DD8C200BD13}">
      <x15:tableSlicerCache tableId="3" column="1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 xr10:uid="{722B9986-4409-4175-B5CC-BD911171FEB9}" sourceName="Qty.">
  <extLst>
    <x:ext xmlns:x15="http://schemas.microsoft.com/office/spreadsheetml/2010/11/main" uri="{2F2917AC-EB37-4324-AD4E-5DD8C200BD13}">
      <x15:tableSlicerCache tableId="3" column="4"/>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 xr10:uid="{903038E0-8C8F-40EC-A9EE-9A11857B6F5C}" sourceName="Tag">
  <extLst>
    <x:ext xmlns:x15="http://schemas.microsoft.com/office/spreadsheetml/2010/11/main" uri="{2F2917AC-EB37-4324-AD4E-5DD8C200BD13}">
      <x15:tableSlicerCache tableId="3" column="13" crossFilter="show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2" xr10:uid="{520A1FFE-6CF4-4A65-86A3-BD8295A29B47}" sourceName="Type">
  <extLst>
    <x:ext xmlns:x15="http://schemas.microsoft.com/office/spreadsheetml/2010/11/main" uri="{2F2917AC-EB37-4324-AD4E-5DD8C200BD13}">
      <x15:tableSlicerCache tableId="7" column="1"/>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E19B40D5-3D2A-4B9A-B979-4B539998EA44}" sourceName="Category">
  <extLst>
    <x:ext xmlns:x15="http://schemas.microsoft.com/office/spreadsheetml/2010/11/main" uri="{2F2917AC-EB37-4324-AD4E-5DD8C200BD13}">
      <x15:tableSlicerCache tableId="7" column="2"/>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2" xr10:uid="{47885F50-E3A7-4397-909B-A6C239FE175D}" sourceName="Vendor">
  <extLst>
    <x:ext xmlns:x15="http://schemas.microsoft.com/office/spreadsheetml/2010/11/main" uri="{2F2917AC-EB37-4324-AD4E-5DD8C200BD13}">
      <x15:tableSlicerCache tableId="7" column="12"/>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1" xr10:uid="{091DB74B-5CB7-4130-8A1D-18B95C1B7BE5}" sourceName="Quantity">
  <extLst>
    <x:ext xmlns:x15="http://schemas.microsoft.com/office/spreadsheetml/2010/11/main" uri="{2F2917AC-EB37-4324-AD4E-5DD8C200BD13}">
      <x15:tableSlicerCache tableId="7" column="4"/>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1" xr10:uid="{F59F1D60-32B6-4BE1-818F-3C675A268B84}" sourceName="Tag">
  <extLst>
    <x:ext xmlns:x15="http://schemas.microsoft.com/office/spreadsheetml/2010/11/main" uri="{2F2917AC-EB37-4324-AD4E-5DD8C200BD13}">
      <x15:tableSlicerCache tableId="7" column="13"/>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 xr10:uid="{E5C6CA3E-3437-4C72-95B0-213E5D50885E}" sourceName="Initial">
  <extLst>
    <x:ext xmlns:x15="http://schemas.microsoft.com/office/spreadsheetml/2010/11/main" uri="{2F2917AC-EB37-4324-AD4E-5DD8C200BD13}">
      <x15:tableSlicerCache tableId="3" column="19"/>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 xr10:uid="{4BA117DA-7F23-446A-987B-1DFC68CB847B}" sourceName="Type">
  <extLst>
    <x:ext xmlns:x15="http://schemas.microsoft.com/office/spreadsheetml/2010/11/main" uri="{2F2917AC-EB37-4324-AD4E-5DD8C200BD13}">
      <x15:tableSlicerCache tableId="11" column="1"/>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48D9CF97-C612-4F7D-9491-222CA414BD7B}" sourceName="Category">
  <extLst>
    <x:ext xmlns:x15="http://schemas.microsoft.com/office/spreadsheetml/2010/11/main" uri="{2F2917AC-EB37-4324-AD4E-5DD8C200BD13}">
      <x15:tableSlicerCache tableId="11" column="2"/>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11" xr10:uid="{C573BC22-F1D2-47D0-A19A-A06E47A3F219}" sourceName="Vendor">
  <extLst>
    <x:ext xmlns:x15="http://schemas.microsoft.com/office/spreadsheetml/2010/11/main" uri="{2F2917AC-EB37-4324-AD4E-5DD8C200BD13}">
      <x15:tableSlicerCache tableId="11" column="12"/>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ntity2" xr10:uid="{E93CD1D3-7FEE-41A9-BC99-1CA6E57F2CE4}" sourceName="# Left">
  <extLst>
    <x:ext xmlns:x15="http://schemas.microsoft.com/office/spreadsheetml/2010/11/main" uri="{2F2917AC-EB37-4324-AD4E-5DD8C200BD13}">
      <x15:tableSlicerCache tableId="11" column="4"/>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g2" xr10:uid="{E80FE09C-40BC-4611-995E-650AA1C51BC1}" sourceName="Tag">
  <extLst>
    <x:ext xmlns:x15="http://schemas.microsoft.com/office/spreadsheetml/2010/11/main" uri="{2F2917AC-EB37-4324-AD4E-5DD8C200BD13}">
      <x15:tableSlicerCache tableId="11" column="13" crossFilter="show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tial1" xr10:uid="{1B7975BA-BCE7-4F6B-9CB0-8A0B7EB74BAB}" sourceName="# Initial">
  <extLst>
    <x:ext xmlns:x15="http://schemas.microsoft.com/office/spreadsheetml/2010/11/main" uri="{2F2917AC-EB37-4324-AD4E-5DD8C200BD13}">
      <x15:tableSlicerCache tableId="11"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quipment Category" xr10:uid="{0BBC634B-3A21-46CA-910B-EF4EC7E09136}" cache="Slicer_Equipment_Category" caption="Select equipment Category(s) to display (Hold Ctrl to select multiple equipment categpries)" columnCount="6" rowHeight="234950"/>
  <slicer name="# &gt; 0 ? T/F" xr10:uid="{BFDA3DEC-0419-4830-A02D-08B5AA57E408}" cache="Slicer_____0_?_T_F" caption="Choose if items with # Units = 0 currently planned to be purchased are listed or not (for review/consideration purposes, does not affect total cost value)" columnCount="2" style="Slicer Style 1" rowHeight="234950"/>
  <slicer name="Equipment Type" xr10:uid="{69ED80EE-1D8A-4992-9734-DF0949B2761C}" cache="Slicer_Equipment_Type" caption="Equipment Type" columnCount="4" style="SlicerStyleLight5 2" rowHeight="234950"/>
  <slicer name="Vendor" xr10:uid="{DF7539DE-AF36-4484-8C21-CBB5FAC90B5E}" cache="Slicer_Vendor" caption="Vendor" style="SlicerStyleDark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2" xr10:uid="{87798CAE-BB75-47B9-8957-A93AA239DB06}" cache="Slicer_Type2" caption="Type" startItem="7" rowHeight="234950"/>
  <slicer name="Category 1" xr10:uid="{5F81EC29-1E03-4623-B515-A765C630828F}" cache="Slicer_Category1" caption="Category" columnCount="4" rowHeight="234950"/>
  <slicer name="Vendor 2" xr10:uid="{2EA99156-EBDC-42CE-9B59-F1EFD711C87C}" cache="Slicer_Vendor2" caption="Vendor" rowHeight="234950"/>
  <slicer name="Quantity 1" xr10:uid="{059991C7-BEC5-4C99-AA90-574C04B300A8}" cache="Slicer_Quantity1" caption="Quantity" columnCount="5" rowHeight="234950"/>
  <slicer name="Tag 1" xr10:uid="{D2ABEC25-3A7E-40C8-8C05-D846E19A794B}" cache="Slicer_Tag1" caption="Tag"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 xr10:uid="{F7711EBB-E7DB-4FEB-85EF-C5E58CBA9F48}" cache="Slicer_Type1" caption="Type" rowHeight="234950"/>
  <slicer name="Category" xr10:uid="{81512AEE-27CE-4F6A-BBC4-ACFE2B9996E3}" cache="Slicer_Category" caption="Category" columnCount="4" rowHeight="234950"/>
  <slicer name="Vendor 1" xr10:uid="{606B53B3-3107-4D9A-896B-E347770863C7}" cache="Slicer_Vendor1" caption="Vendor" rowHeight="234950"/>
  <slicer name="Quantity" xr10:uid="{ADD22691-06C7-47E6-9F9F-D874C25894A8}" cache="Slicer_Quantity" caption="Qty." columnCount="5" rowHeight="234950"/>
  <slicer name="Tag" xr10:uid="{75B886A8-7CF5-4427-AB08-431D6DF5732A}" cache="Slicer_Tag" caption="Tag" rowHeight="234950"/>
  <slicer name="Initial" xr10:uid="{7761A3B9-2A5D-46EB-B191-631A05E6016C}" cache="Slicer_Initial" caption="Initial"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3" xr10:uid="{04C5DDFD-EE45-42AD-B78F-2F4923C81BD4}" cache="Slicer_Type11" caption="Type" rowHeight="234950"/>
  <slicer name="Category 2" xr10:uid="{4B4F1D81-808B-481A-8BBA-D7BE9B5A1798}" cache="Slicer_Category2" caption="Category" columnCount="4" rowHeight="234950"/>
  <slicer name="Vendor 3" xr10:uid="{83430B7B-C095-4D49-9338-079CDB91C2C4}" cache="Slicer_Vendor11" caption="Vendor" rowHeight="234950"/>
  <slicer name="Quantity 2" xr10:uid="{2AB1D93E-09D7-45E5-A968-623BE2C485F6}" cache="Slicer_Quantity2" caption="# Left" columnCount="5" rowHeight="234950"/>
  <slicer name="Tag 2" xr10:uid="{DFECDDCD-95D1-4E68-8223-DCD4DC5D2134}" cache="Slicer_Tag2" caption="Tag" rowHeight="234950"/>
  <slicer name="Initial 1" xr10:uid="{FB1A49E1-2746-4E58-A773-F2B2FD9CF708}" cache="Slicer_Initial1" caption="# Initial"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om/_x000a_area" xr10:uid="{00000000-0014-0000-FFFF-FFFF01000000}" cache="Slicer_Room__area" caption="Select an Equipment Category below to display these items. Hold Ctrl to select multiple equipment categories." columnCount="5" rowHeight="193675"/>
  <slicer name="Type" xr10:uid="{04D9EAD2-68FA-4A6B-8F7F-55F5C4A46776}" cache="Slicer_Type" caption="Select an Equipment Type below to display only equipment of this type.  Hold Ctrl to select multiple equipment types." style="SlicerStyleLight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F9A74BE-AB7F-41C8-A71E-47D8A56DFEFE}" name="EquipmentTable" displayName="EquipmentTable" ref="B39:M623" totalsRowCount="1" headerRowDxfId="33268" dataDxfId="33267">
  <autoFilter ref="B39:M622" xr:uid="{F634B163-8D95-437B-B2BD-05D41BBB9DC7}">
    <filterColumn colId="0">
      <filters>
        <filter val="Hardware Component"/>
        <filter val="Low-Level Electronics"/>
        <filter val="Primary Component"/>
        <filter val="Secondary Component"/>
        <filter val="Tools"/>
      </filters>
    </filterColumn>
    <filterColumn colId="1">
      <filters>
        <filter val="BeagleBone Black Iot/Base Station"/>
        <filter val="Bluetooth"/>
        <filter val="Breadboard/Protoboard"/>
        <filter val="Buttons/Switches/Knobs"/>
        <filter val="Connectors, IDC"/>
        <filter val="Connectors, JST"/>
        <filter val="Connectors, Polarized (Molex)"/>
        <filter val="Connectors, Ribbon Crimp"/>
        <filter val="Connectors, Spring/Screw Terminals"/>
        <filter val="Connectors, USB"/>
        <filter val="Connectors/Sockets/Terminals, Other"/>
        <filter val="Data &amp; Signal Logging/Monitoring"/>
        <filter val="DIP/TO-#/SMD Components"/>
        <filter val="Enclosures/Mounts"/>
        <filter val="Energy Harvesting"/>
        <filter val="Flip-Pins"/>
        <filter val="GPS Logging/Fencing"/>
        <filter val="GSM/Cellular Communication"/>
        <filter val="Hand Tools"/>
        <filter val="Hardware Components/Accessories"/>
        <filter val="Headers, Female"/>
        <filter val="Headers, Male"/>
        <filter val="Headers, Stackable"/>
        <filter val="Heat Insulation/Dissipation"/>
        <filter val="High-Precision Compass"/>
        <filter val="Intel Edison Iot/Base Station"/>
        <filter val="Interface/Level/Logic Conversion"/>
        <filter val="Jumper Wires, DIY"/>
        <filter val="Jumper Wires, JST-PH"/>
        <filter val="Jumper Wires, Mixed"/>
        <filter val="Jumper Wires, Molex"/>
        <filter val="Jumper Wires, PTH"/>
        <filter val="LED Indicators/Lighting"/>
        <filter val="Lidar"/>
        <filter val="Linux + Arduino Home Base Station"/>
        <filter val="mBed Platform Base Station"/>
        <filter val="MCU/Development Board"/>
        <filter val="MicroView Watch/Relay"/>
        <filter val="Movement/IMU"/>
        <filter val="Onion Omega2+ + Arduino Base Station"/>
        <filter val="Onion Omega2+ Handheld"/>
        <filter val="Passive Components"/>
        <filter val="PCB/Breadboard Work Tools"/>
        <filter val="Phone/Computer App Companion"/>
        <filter val="Plastics Fabrication"/>
        <filter val="Plugs/Jacks/Adapters, Audio"/>
        <filter val="Power Supply, Barrel Jack Cables/Adapters"/>
        <filter val="Power Supply, Barrel Jack Wall Wart"/>
        <filter val="Power Supply, Breadboard"/>
        <filter val="Power Supply, Control/Switch"/>
        <filter val="Power Supply, DIY Cables"/>
        <filter val="Power Supply, LiPO Battery Supply/Management"/>
        <filter val="Power Supply, USB + Barrel Jack"/>
        <filter val="Power Supply, USB Cables"/>
        <filter val="Power Supply, USB Wall Wart"/>
        <filter val="Proximity/Distance"/>
        <filter val="Realtek Ameba Handheld"/>
        <filter val="Ribbon/IDC Cables"/>
        <filter val="Rotary Potentiometers/Encoders/Switches"/>
        <filter val="Signal Multiplexing/Conditioning"/>
        <filter val="Solid/Stranded Hookup Wire"/>
        <filter val="Standoffs/Screws"/>
        <filter val="Storage/Organization"/>
        <filter val="Touch/Vibration"/>
        <filter val="USB Cables/Adapters"/>
        <filter val="USB/Serial Interface Breakouts"/>
        <filter val="User Interface, IO"/>
        <filter val="User Interface, Touchscreen"/>
        <filter val="Vitals/Health Status Sensing"/>
        <filter val="WiFi"/>
        <filter val="Wireless Charging"/>
      </filters>
    </filterColumn>
  </autoFilter>
  <tableColumns count="12">
    <tableColumn id="1" xr3:uid="{A1FE028E-E738-488B-BC96-B57C4A336518}" name="Equipment Type" totalsRowLabel="TOTALS" dataDxfId="33266" totalsRowDxfId="33265">
      <calculatedColumnFormula>RawList!A4</calculatedColumnFormula>
    </tableColumn>
    <tableColumn id="2" xr3:uid="{B5D41210-015E-4DF7-A6B5-F2365DE4BE55}" name="Equipment Category" totalsRowFunction="custom" dataDxfId="33264" totalsRowDxfId="33263">
      <calculatedColumnFormula>RawList!B4</calculatedColumnFormula>
      <totalsRowFormula>SUBTOTAL(103,RawListTable[Category])</totalsRowFormula>
    </tableColumn>
    <tableColumn id="12" xr3:uid="{F18AD8A3-164B-4A1B-8BDA-09D727CB8F84}" name="Vendor" dataDxfId="33262" totalsRowDxfId="33261">
      <calculatedColumnFormula>RawList!C4</calculatedColumnFormula>
    </tableColumn>
    <tableColumn id="7" xr3:uid="{689EC8F1-DB9A-4270-951A-BC4DDB418368}" name="Item/Description" dataDxfId="33260" totalsRowDxfId="33259">
      <calculatedColumnFormula>RawList!H4</calculatedColumnFormula>
    </tableColumn>
    <tableColumn id="3" xr3:uid="{D157A3D8-371F-4DCC-9845-9D754AA96D81}" name="Item SKU" totalsRowFunction="custom" dataDxfId="33258" totalsRowDxfId="33257">
      <calculatedColumnFormula>RawList!D4</calculatedColumnFormula>
      <totalsRowFormula>"TOTAL ITEMS: "&amp;SUBTOTAL(103,EquipmentTable[Item SKU])</totalsRowFormula>
    </tableColumn>
    <tableColumn id="4" xr3:uid="{21148587-C814-4E21-94EA-C0D120B9FCDF}" name="Units" totalsRowFunction="custom" dataDxfId="33256" totalsRowDxfId="33255">
      <calculatedColumnFormula>RawList!E4</calculatedColumnFormula>
      <totalsRowFormula>"TOTAL UNITS: "&amp;SUBTOTAL(109,EquipmentTable[Units])</totalsRowFormula>
    </tableColumn>
    <tableColumn id="8" xr3:uid="{7DD4232F-53FF-4A4C-972B-E565F84F4A10}" name="# &gt; 0 ? T/F" dataDxfId="33254" totalsRowDxfId="33253">
      <calculatedColumnFormula>IF(EquipmentTable[[#This Row],[Units]]&gt;0,"Quantity &gt; 0 Items","Quantity = 0 Items")</calculatedColumnFormula>
    </tableColumn>
    <tableColumn id="9" xr3:uid="{7E09572C-1143-41CE-9940-F65C421A3666}" name="Unit_x000a_ Price" totalsRowFunction="average" dataDxfId="33252" totalsRowDxfId="33251">
      <calculatedColumnFormula>RawList!J4</calculatedColumnFormula>
    </tableColumn>
    <tableColumn id="10" xr3:uid="{CB520CBF-213F-4F27-BE25-317A534B943A}" name="Price" totalsRowFunction="sum" dataDxfId="33250" totalsRowDxfId="33249">
      <calculatedColumnFormula>VALUE(EquipmentTable[[#This Row],[Units]]*EquipmentTable[[#This Row],[Unit
 Price]])</calculatedColumnFormula>
    </tableColumn>
    <tableColumn id="6" xr3:uid="{40D16CA9-8E4D-4A59-8B3C-D64FB690F462}" name="Thumb URL" dataDxfId="33248" totalsRowDxfId="33247">
      <calculatedColumnFormula>RawList!G4</calculatedColumnFormula>
    </tableColumn>
    <tableColumn id="11" xr3:uid="{2C9D1B3D-4917-4F1D-9C2D-0D5876F14226}" name="Thumbnail" dataDxfId="33246" totalsRowDxfId="33245"/>
    <tableColumn id="5" xr3:uid="{B9C076F0-CD7B-4C0E-B3AC-B574905F3588}" name="Link" dataDxfId="33244" totalsRowDxfId="33243">
      <calculatedColumnFormula>RawList!F4</calculatedColumnFormula>
    </tableColumn>
  </tableColumns>
  <tableStyleInfo name="Home Inventory"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CategoryLookup" displayName="CategoryLookup" ref="B3:B96" totalsRowShown="0">
  <autoFilter ref="B3:B96" xr:uid="{00000000-0009-0000-0100-000002000000}"/>
  <sortState ref="B4:B17">
    <sortCondition ref="B3:B17"/>
  </sortState>
  <tableColumns count="1">
    <tableColumn id="1" xr3:uid="{00000000-0010-0000-0100-000001000000}" name="Category"/>
  </tableColumns>
  <tableStyleInfo name="Home Inventory" showFirstColumn="0" showLastColumn="0" showRowStripes="1" showColumnStripes="0"/>
  <extLst>
    <ext xmlns:x14="http://schemas.microsoft.com/office/spreadsheetml/2009/9/main" uri="{504A1905-F514-4f6f-8877-14C23A59335A}">
      <x14:table altTextSummary="A table containing rooms or areas of a home"/>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F824908-205B-404D-90DB-C39591A77049}" name="TypeLookup" displayName="TypeLookup" ref="C3:C96" totalsRowShown="0" dataDxfId="33242">
  <autoFilter ref="C3:C96" xr:uid="{26050C89-0597-4FB9-81FF-E98C2765AB8A}"/>
  <tableColumns count="1">
    <tableColumn id="1" xr3:uid="{1A61E9AB-7223-4CCC-8BCD-E6A532E578BD}" name="Type" dataDxfId="33241"/>
  </tableColumns>
  <tableStyleInfo name="Home Inventory"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2D3B98-9021-481E-87FB-EA4142D8760A}" name="CategoryTypeDescriptions" displayName="CategoryTypeDescriptions" ref="D3:D96" totalsRowShown="0" dataDxfId="33240">
  <autoFilter ref="D3:D96" xr:uid="{19D753C1-BA1E-4F86-BE2C-23B5F96A9F24}"/>
  <tableColumns count="1">
    <tableColumn id="1" xr3:uid="{FA53BD13-DD8A-4B33-A845-E2F5921164A0}" name="Group" dataDxfId="33239"/>
  </tableColumns>
  <tableStyleInfo name="Home Inventory"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DF8E228-BA46-49F4-BFC2-1666F7E78678}" name="EquipmentTypesTable" displayName="EquipmentTypesTable" ref="C5:C14" totalsRowCount="1">
  <autoFilter ref="C5:C13" xr:uid="{F20EDCB9-D8D1-4DEF-B1D1-AE41CECA3AE1}"/>
  <tableColumns count="1">
    <tableColumn id="1" xr3:uid="{8D95758C-97D3-4079-A56E-37A5237E3253}" name="Equipment Types" totalsRowFunction="count"/>
  </tableColumns>
  <tableStyleInfo name="Home Inventory" showFirstColumn="1" showLastColumn="0" showRowStripes="1" showColumnStripes="1"/>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9BCD53F-5F3C-44E3-8F4D-8AC6E469DBE0}" name="FunctionsTable" displayName="FunctionsTable" ref="D5:D14" totalsRowCount="1">
  <autoFilter ref="D5:D13" xr:uid="{03D5268C-D8D5-4300-AB80-4DBE465B5EC6}"/>
  <tableColumns count="1">
    <tableColumn id="1" xr3:uid="{0FB918AC-F065-4737-8C4E-E78BC8D7E96B}" name="Reminder Walker Functions" totalsRowFunction="count"/>
  </tableColumns>
  <tableStyleInfo name="Home Inventory" showFirstColumn="1" showLastColumn="0" showRowStripes="1"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50C8F4B-0A62-468F-881B-530D2B8197A3}" name="VendorList" displayName="VendorList" ref="A5:A18" totalsRowCount="1">
  <autoFilter ref="A5:A17" xr:uid="{A46B29EF-0855-4CBD-9023-4C69E5B4EFDB}"/>
  <tableColumns count="1">
    <tableColumn id="1" xr3:uid="{F421CABF-5C81-41C7-8CFC-169C324E9A95}" name="Vendors" totalsRowFunction="count"/>
  </tableColumns>
  <tableStyleInfo name="Home Inventory" showFirstColumn="1" showLastColumn="0" showRowStripes="1" showColumn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D8BA6A9-C31E-43FE-AA17-4F370A5C5749}" name="FormatKey" displayName="FormatKey" ref="E5:F13" totalsRowShown="0">
  <autoFilter ref="E5:F13" xr:uid="{4E5635C7-2C38-49CC-8C86-8D8094A14A79}"/>
  <tableColumns count="2">
    <tableColumn id="1" xr3:uid="{D47A58D5-663E-4F28-B51B-881F87029E64}" name="Format Encoded Info Definitions"/>
    <tableColumn id="2" xr3:uid="{6294C83A-8E93-4EA2-A260-94F09A8F0A87}" name="Format Shortcut Tag"/>
  </tableColumns>
  <tableStyleInfo name="Home Inventory"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0CF2B24-0DC6-422D-88F0-8C4735B61FEE}" name="VendorList5" displayName="VendorList5" ref="B5:B18" totalsRowCount="1">
  <autoFilter ref="B5:B17" xr:uid="{8EAE8841-92AC-4F91-BD39-51311F30EA1B}"/>
  <tableColumns count="1">
    <tableColumn id="1" xr3:uid="{99BFCA31-EF2C-4855-AECB-FAB50F055F8D}" name="Mouser SKU Prefix" totalsRowFunction="count"/>
  </tableColumns>
  <tableStyleInfo name="Home Inventory" showFirstColumn="1"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F0D1121-6D2E-4127-AFFC-4497DAD9010E}" name="RawListTable" displayName="RawListTable" ref="A3:XFD593" totalsRowCount="1" headerRowDxfId="33238" dataDxfId="33237">
  <autoFilter ref="A3:XFD592" xr:uid="{57EB1AFC-8A68-452F-A434-FB6A37C6CCD1}">
    <filterColumn colId="0">
      <filters>
        <filter val="Hardware Component"/>
        <filter val="Low-Level Electronics"/>
        <filter val="Primary Component"/>
        <filter val="Secondary Component"/>
        <filter val="Tools"/>
      </filters>
    </filterColumn>
    <filterColumn colId="1">
      <filters>
        <filter val="Audible Notification/Queuing"/>
        <filter val="BeagleBone Black Iot/Base Station"/>
        <filter val="Bluetooth"/>
        <filter val="Breadboard/Protoboard"/>
        <filter val="Buttons/Switches/Knobs"/>
        <filter val="Connectors, IDC"/>
        <filter val="Connectors, JST"/>
        <filter val="Connectors, Polarized (Molex)"/>
        <filter val="Connectors, Ribbon Crimp"/>
        <filter val="Connectors, Spring/Screw Terminals"/>
        <filter val="Connectors, USB"/>
        <filter val="Connectors/Sockets/Terminals, Other"/>
        <filter val="Data &amp; Signal Logging/Monitoring"/>
        <filter val="DIP/TO-#/SMD Components"/>
        <filter val="Enclosures/Mounts"/>
        <filter val="Energy Harvesting"/>
        <filter val="Flip-Pins"/>
        <filter val="GPS Logging/Fencing"/>
        <filter val="GSM/Cellular Communication"/>
        <filter val="Hand Tools"/>
        <filter val="Hardware Components/Accessories"/>
        <filter val="Headers, Female"/>
        <filter val="Headers, Male"/>
        <filter val="Headers, Stackable"/>
        <filter val="Heat Insulation/Dissipation"/>
        <filter val="High-Precision Compass"/>
        <filter val="Intel Edison Iot/Base Station"/>
        <filter val="Interface/Level/Logic Conversion"/>
        <filter val="Jumper Wires, DIY"/>
        <filter val="Jumper Wires, JST-PH"/>
        <filter val="Jumper Wires, JST-SH"/>
        <filter val="Jumper Wires, JST-SM"/>
        <filter val="Jumper Wires, Mixed"/>
        <filter val="Jumper Wires, Molex"/>
        <filter val="Jumper Wires, PTH"/>
        <filter val="LED Indicators/Lighting"/>
        <filter val="Lidar"/>
        <filter val="Linux + Arduino Home Base Station"/>
        <filter val="mBed Platform Base Station"/>
        <filter val="MCU/Development Board"/>
        <filter val="MicroView Watch/Relay"/>
        <filter val="Movement/IMU"/>
        <filter val="Onion Omega2+ + Arduino Base Station"/>
        <filter val="Onion Omega2+ Handheld"/>
        <filter val="Passive Components"/>
        <filter val="PCB/Breadboard Work Tools"/>
        <filter val="Phone/Computer App Companion"/>
        <filter val="Plastics Fabrication"/>
        <filter val="Plugs/Jacks/Adapters, Audio"/>
        <filter val="PogoPins"/>
        <filter val="Power Supply, Barrel Jack Cables/Adapters"/>
        <filter val="Power Supply, Barrel Jack Wall Wart"/>
        <filter val="Power Supply, Breadboard"/>
        <filter val="Power Supply, Control/Switch"/>
        <filter val="Power Supply, DIY Cables"/>
        <filter val="Power Supply, LiPO Battery Supply/Management"/>
        <filter val="Power Supply, USB + Barrel Jack"/>
        <filter val="Power Supply, USB Cables"/>
        <filter val="Power Supply, USB Wall Wart"/>
        <filter val="Proximity/Distance"/>
        <filter val="QWIIC System/Components"/>
        <filter val="Realtek Ameba Handheld"/>
        <filter val="Ribbon/IDC Cables"/>
        <filter val="Rotary Potentiometers/Encoders/Switches"/>
        <filter val="Signal Multiplexing/Conditioning"/>
        <filter val="Solder/SMD Rework Tools"/>
        <filter val="Solid/Stranded Hookup Wire"/>
        <filter val="Standoffs/Screws"/>
        <filter val="Storage/Organization"/>
        <filter val="Touch/Vibration"/>
        <filter val="Trace/Shielding Construction"/>
        <filter val="USB Cables/Adapters"/>
        <filter val="USB/Serial Interface Breakouts"/>
        <filter val="User Interface, IO"/>
        <filter val="User Interface, Touchscreen"/>
        <filter val="Vitals/Environment Sensing"/>
        <filter val="Vitals/Health Status Sensing"/>
        <filter val="Voice Recognition"/>
        <filter val="WiFi"/>
        <filter val="Wireless Charging"/>
      </filters>
    </filterColumn>
    <filterColumn colId="4">
      <filters>
        <filter val="1"/>
        <filter val="10"/>
        <filter val="15"/>
        <filter val="2"/>
        <filter val="20"/>
        <filter val="3"/>
        <filter val="4"/>
        <filter val="5"/>
        <filter val="6"/>
        <filter val="7"/>
        <filter val="8"/>
        <filter val="9"/>
      </filters>
    </filterColumn>
  </autoFilter>
  <tableColumns count="16384">
    <tableColumn id="1" xr3:uid="{817B328E-4994-477E-9AED-000A65191FB6}" name="Type" totalsRowLabel="Total" dataDxfId="33236" totalsRowDxfId="33235"/>
    <tableColumn id="2" xr3:uid="{C2A2CFCE-5B87-4CD3-9427-5EA3B144A063}" name="Category" totalsRowFunction="count" dataDxfId="33234" totalsRowDxfId="33233"/>
    <tableColumn id="12" xr3:uid="{9AE831AF-1851-412A-9597-09EE0AF94F14}" name="Vendor" dataDxfId="33232" totalsRowDxfId="33231"/>
    <tableColumn id="3" xr3:uid="{6BBDFDBD-BE22-4E69-BCD3-1A37409DBF7D}" name="SKU" dataDxfId="33230" totalsRowDxfId="33229"/>
    <tableColumn id="4" xr3:uid="{9C75188B-DA5C-4F75-8E8D-2A79F55CC0E6}" name="Quantity" totalsRowFunction="sum" dataDxfId="33228" totalsRowDxfId="33227"/>
    <tableColumn id="5" xr3:uid="{893C4050-D5DE-4677-AA49-DCD67FD4AABD}" name="URL" dataDxfId="33226" totalsRowDxfId="33225"/>
    <tableColumn id="6" xr3:uid="{3BB7C1C4-3FE0-4349-86B4-E5DC82BD7446}" name="Thumbnail Image" dataDxfId="33224" totalsRowDxfId="33223"/>
    <tableColumn id="7" xr3:uid="{D902478C-81DF-4B35-A9E9-5B17692980BE}" name="Name" dataDxfId="33222" totalsRowDxfId="33221"/>
    <tableColumn id="8" xr3:uid="{B882339A-4644-415E-A739-2D7282494845}" name="RoHS Compliance" dataDxfId="33220" totalsRowDxfId="33219"/>
    <tableColumn id="9" xr3:uid="{3F49A931-0D6B-4327-B869-CA4E8B5771C7}" name="Price (USD)" totalsRowFunction="average" dataDxfId="33218" totalsRowDxfId="33217"/>
    <tableColumn id="13" xr3:uid="{C4079F38-3586-4683-BA01-45EC5716FD50}" name="Tag" dataDxfId="33216" totalsRowDxfId="33215">
      <calculatedColumnFormula>Primary!K2</calculatedColumnFormula>
    </tableColumn>
    <tableColumn id="10" xr3:uid="{72A69442-6C68-4294-B2C6-7988F6101C7E}" name="Description/Comments" totalsRowFunction="count" dataDxfId="33214" totalsRowDxfId="33213"/>
    <tableColumn id="11" xr3:uid="{61A93700-664B-44C1-B6D0-A47E4ADC4B00}" name="Total Price" totalsRowFunction="sum" dataDxfId="33212" totalsRowDxfId="33211">
      <calculatedColumnFormula>E4*J4</calculatedColumnFormula>
    </tableColumn>
    <tableColumn id="14" xr3:uid="{0F0C3D8C-55FB-4408-8369-766E8796EBC4}" name="List #" totalsRowFunction="count" dataDxfId="33210" totalsRowDxfId="33209">
      <calculatedColumnFormula>IF($N3="List #",1,$N3+1)</calculatedColumnFormula>
    </tableColumn>
    <tableColumn id="15" xr3:uid="{F2994183-E315-47EB-B3B4-6A35082C0F0E}" name="Column1" dataDxfId="33208" totalsRowDxfId="33207"/>
    <tableColumn id="16" xr3:uid="{AEADAECA-2F40-4418-A5F7-6E5CE0180CBD}" name="Column2" dataDxfId="33206" totalsRowDxfId="33205"/>
    <tableColumn id="17" xr3:uid="{E73E0FE2-3470-443E-B021-645934219B41}" name="Column3" dataDxfId="33204" totalsRowDxfId="33203"/>
    <tableColumn id="18" xr3:uid="{9B3FF96F-6867-462A-83C6-09CF24367FDF}" name="Column4" dataDxfId="33202" totalsRowDxfId="33201"/>
    <tableColumn id="19" xr3:uid="{D33A66A5-7763-42D1-A24C-02B1700AB600}" name="Column5" dataDxfId="33200" totalsRowDxfId="33199"/>
    <tableColumn id="20" xr3:uid="{361A395C-18F8-46AB-9204-0583A0628C67}" name="Column6" dataDxfId="33198" totalsRowDxfId="33197"/>
    <tableColumn id="21" xr3:uid="{14460C2B-3ADE-420D-B487-8DBEB30E236F}" name="Column7" dataDxfId="33196" totalsRowDxfId="33195"/>
    <tableColumn id="22" xr3:uid="{DCFFEF78-1427-4D53-AEFF-97763B7D323A}" name="Column8" dataDxfId="33194" totalsRowDxfId="33193"/>
    <tableColumn id="23" xr3:uid="{B0F4A4C2-C0C6-4AF7-B77C-5CFA09B0B8E8}" name="Column9" dataDxfId="33192" totalsRowDxfId="33191"/>
    <tableColumn id="24" xr3:uid="{0EB5DF8E-F83D-460C-A1F4-1E36C674BF6B}" name="Column10" dataDxfId="33190" totalsRowDxfId="33189"/>
    <tableColumn id="25" xr3:uid="{C519F6DE-3188-4716-9DDF-04478A6FF0B0}" name="Column11" dataDxfId="33188" totalsRowDxfId="33187"/>
    <tableColumn id="26" xr3:uid="{5120AEF2-4260-4C81-A566-E4274DC416D6}" name="Column12" dataDxfId="33186" totalsRowDxfId="33185"/>
    <tableColumn id="27" xr3:uid="{F249805A-D6BC-4BA5-A463-8B824A28D38F}" name="Column13" dataDxfId="33184" totalsRowDxfId="33183"/>
    <tableColumn id="28" xr3:uid="{ACA655AD-8747-4529-95BD-BE4D50249B70}" name="Column14" dataDxfId="33182" totalsRowDxfId="33181"/>
    <tableColumn id="29" xr3:uid="{FEC83B8B-DD53-4801-B6D6-6D33ED167EB8}" name="Column15" dataDxfId="33180" totalsRowDxfId="33179"/>
    <tableColumn id="30" xr3:uid="{83C43978-C0F5-4BA2-92D0-DA6F61D7541C}" name="Column16" dataDxfId="33178" totalsRowDxfId="33177"/>
    <tableColumn id="31" xr3:uid="{FD907C9F-DF7C-4E37-9AF1-0C2E48A9513A}" name="Column17" dataDxfId="33176" totalsRowDxfId="33175"/>
    <tableColumn id="32" xr3:uid="{0AA7F367-7CF2-4E4E-A2BB-9E4200B82455}" name="Column18" dataDxfId="33174" totalsRowDxfId="33173"/>
    <tableColumn id="33" xr3:uid="{633E953E-FBC5-47DB-98BB-6800D88C904D}" name="Column19" dataDxfId="33172" totalsRowDxfId="33171"/>
    <tableColumn id="34" xr3:uid="{73BBEE0A-5949-4607-BB9E-980417EF2D73}" name="Column20" dataDxfId="33170" totalsRowDxfId="33169"/>
    <tableColumn id="35" xr3:uid="{01F134C7-9FD6-46BA-A641-CDDA91CBEDEC}" name="Column21" dataDxfId="33168" totalsRowDxfId="33167"/>
    <tableColumn id="36" xr3:uid="{179EBF8A-2982-4DCD-8E30-E0CE62428419}" name="Column22" dataDxfId="33166" totalsRowDxfId="33165"/>
    <tableColumn id="37" xr3:uid="{F4A66123-E72A-4B9B-A664-C94C982996E4}" name="Column23" dataDxfId="33164" totalsRowDxfId="33163"/>
    <tableColumn id="38" xr3:uid="{176C13B5-C790-4581-B780-87077632308E}" name="Column24" dataDxfId="33162" totalsRowDxfId="33161"/>
    <tableColumn id="39" xr3:uid="{B7DA046E-521A-4A34-B50A-68FCAFFE9B79}" name="Column25" dataDxfId="33160" totalsRowDxfId="33159"/>
    <tableColumn id="40" xr3:uid="{AD5AC605-9614-4765-BE01-88B37B7E9C7E}" name="Column26" dataDxfId="33158" totalsRowDxfId="33157"/>
    <tableColumn id="41" xr3:uid="{6ACFF863-CFF7-4A40-ADF2-C84851BDA7AA}" name="Column27" dataDxfId="33156" totalsRowDxfId="33155"/>
    <tableColumn id="42" xr3:uid="{5F09CF1E-C2DF-4BB7-81E9-63DE526A161C}" name="Column28" dataDxfId="33154" totalsRowDxfId="33153"/>
    <tableColumn id="43" xr3:uid="{D455BCD6-D3E3-49F8-B9A1-6A25A88860DF}" name="Column29" dataDxfId="33152" totalsRowDxfId="33151"/>
    <tableColumn id="44" xr3:uid="{337BDC8D-A5EF-4CF4-A1EB-865C66A7DA52}" name="Column30" dataDxfId="33150" totalsRowDxfId="33149"/>
    <tableColumn id="45" xr3:uid="{F0BED04A-B969-4457-B03F-3F0940DADA13}" name="Column31" dataDxfId="33148" totalsRowDxfId="33147"/>
    <tableColumn id="46" xr3:uid="{A40D2ABD-0FE3-4279-ADCE-5DA1D315BD15}" name="Column32" dataDxfId="33146" totalsRowDxfId="33145"/>
    <tableColumn id="47" xr3:uid="{AAA157B7-CBC9-4AAC-A3FB-F1FB308220D9}" name="Column33" dataDxfId="33144" totalsRowDxfId="33143"/>
    <tableColumn id="48" xr3:uid="{64BD7848-3ED2-416A-A10D-54F56A560299}" name="Column34" dataDxfId="33142" totalsRowDxfId="33141"/>
    <tableColumn id="49" xr3:uid="{D1816B83-24D4-4871-BD7B-5259B4816B0C}" name="Column35" dataDxfId="33140" totalsRowDxfId="33139"/>
    <tableColumn id="50" xr3:uid="{32F08F28-330A-4447-89E4-EE99F2974BAB}" name="Column36" dataDxfId="33138" totalsRowDxfId="33137"/>
    <tableColumn id="51" xr3:uid="{4367CBD2-7C4F-4CEE-9C83-987C31AE1F4D}" name="Column37" dataDxfId="33136" totalsRowDxfId="33135"/>
    <tableColumn id="52" xr3:uid="{6FAC5EDC-6E6B-4BF5-A0BD-8A22A308F60D}" name="Column38" dataDxfId="33134" totalsRowDxfId="33133"/>
    <tableColumn id="53" xr3:uid="{6D996B6D-8870-4A6C-95CF-20AC83BEFFD5}" name="Column39" dataDxfId="33132" totalsRowDxfId="33131"/>
    <tableColumn id="54" xr3:uid="{D33AC919-8EFB-4226-9400-ABF06910D836}" name="Column40" dataDxfId="33130" totalsRowDxfId="33129"/>
    <tableColumn id="55" xr3:uid="{A0ECCD58-0E44-4F77-B5E2-C47E3A977BFA}" name="Column41" dataDxfId="33128" totalsRowDxfId="33127"/>
    <tableColumn id="56" xr3:uid="{56213A3E-0FB9-4121-A081-B477CA4D4709}" name="Column42" dataDxfId="33126" totalsRowDxfId="33125"/>
    <tableColumn id="57" xr3:uid="{9D3619B9-3555-4F89-B228-2D14CD32689B}" name="Column43" dataDxfId="33124" totalsRowDxfId="33123"/>
    <tableColumn id="58" xr3:uid="{E1CCC9B5-DE1E-4E3C-AC7E-AD9DBEF8FEEE}" name="Column44" dataDxfId="33122" totalsRowDxfId="33121"/>
    <tableColumn id="59" xr3:uid="{EFE7BCB6-9ED3-48CF-A6F0-34BCCC6D47A3}" name="Column45" dataDxfId="33120" totalsRowDxfId="33119"/>
    <tableColumn id="60" xr3:uid="{6A8FEC1C-F282-425F-B868-7C1C1DEB2378}" name="Column46" dataDxfId="33118" totalsRowDxfId="33117"/>
    <tableColumn id="61" xr3:uid="{9F8BDB16-25F5-4125-81F1-5F67E2B9EA1F}" name="Column47" dataDxfId="33116" totalsRowDxfId="33115"/>
    <tableColumn id="62" xr3:uid="{6DE732CF-F39A-4069-9AB7-AE1C60192F49}" name="Column48" dataDxfId="33114" totalsRowDxfId="33113"/>
    <tableColumn id="63" xr3:uid="{41A2CA69-33BB-4F54-9D2C-ADC94788A868}" name="Column49" dataDxfId="33112" totalsRowDxfId="33111"/>
    <tableColumn id="64" xr3:uid="{5BE8D155-2A5C-4241-9383-8D914E4E4108}" name="Column50" dataDxfId="33110" totalsRowDxfId="33109"/>
    <tableColumn id="65" xr3:uid="{AEA15D03-632A-40E9-9032-B4044557752A}" name="Column51" dataDxfId="33108" totalsRowDxfId="33107"/>
    <tableColumn id="66" xr3:uid="{971F1B66-F5F4-48CD-B47C-DAF926510CE1}" name="Column52" dataDxfId="33106" totalsRowDxfId="33105"/>
    <tableColumn id="67" xr3:uid="{E593C077-2458-497A-8F3A-EEEC77BDD32C}" name="Column53" dataDxfId="33104" totalsRowDxfId="33103"/>
    <tableColumn id="68" xr3:uid="{78CEF3A0-E223-4A58-AAD6-DDFA66A84D08}" name="Column54" dataDxfId="33102" totalsRowDxfId="33101"/>
    <tableColumn id="69" xr3:uid="{7777AF95-4780-43A7-94BF-3915353BA12B}" name="Column55" dataDxfId="33100" totalsRowDxfId="33099"/>
    <tableColumn id="70" xr3:uid="{B2B915C1-D276-4991-BFD8-33EEB89648EA}" name="Column56" dataDxfId="33098" totalsRowDxfId="33097"/>
    <tableColumn id="71" xr3:uid="{AB97DC90-1995-4607-BFD0-94A8D0F7A93E}" name="Column57" dataDxfId="33096" totalsRowDxfId="33095"/>
    <tableColumn id="72" xr3:uid="{6DC280C4-276F-43E1-BF30-CBCEA74BCF84}" name="Column58" dataDxfId="33094" totalsRowDxfId="33093"/>
    <tableColumn id="73" xr3:uid="{C9D51B3A-B8BA-4FF8-9484-026C5D1AEEEC}" name="Column59" dataDxfId="33092" totalsRowDxfId="33091"/>
    <tableColumn id="74" xr3:uid="{EC614863-DF01-48DE-A5B8-082E9F1D8EE4}" name="Column60" dataDxfId="33090" totalsRowDxfId="33089"/>
    <tableColumn id="75" xr3:uid="{9058F2A8-9E25-4935-B395-6C527B4D2FB6}" name="Column61" dataDxfId="33088" totalsRowDxfId="33087"/>
    <tableColumn id="76" xr3:uid="{E73B2B32-E39E-4B7E-8108-3D8A80EBB75D}" name="Column62" dataDxfId="33086" totalsRowDxfId="33085"/>
    <tableColumn id="77" xr3:uid="{74457656-7F08-4997-83FF-96E605D09E0C}" name="Column63" dataDxfId="33084" totalsRowDxfId="33083"/>
    <tableColumn id="78" xr3:uid="{E88DEC26-ED38-44AF-B5FD-B4A5494F972F}" name="Column64" dataDxfId="33082" totalsRowDxfId="33081"/>
    <tableColumn id="79" xr3:uid="{EB012736-E374-4F3E-BADA-34BA73C888E2}" name="Column65" dataDxfId="33080" totalsRowDxfId="33079"/>
    <tableColumn id="80" xr3:uid="{714B36C6-028C-4C0C-BAD5-8577570DC088}" name="Column66" dataDxfId="33078" totalsRowDxfId="33077"/>
    <tableColumn id="81" xr3:uid="{5443A922-71A1-4789-8DE8-35B1006680C7}" name="Column67" dataDxfId="33076" totalsRowDxfId="33075"/>
    <tableColumn id="82" xr3:uid="{7BAAE991-F398-4432-8B99-2F92C9DB4EE2}" name="Column68" dataDxfId="33074" totalsRowDxfId="33073"/>
    <tableColumn id="83" xr3:uid="{ACFB4319-01FA-436E-A0D0-1812A2CB03EA}" name="Column69" dataDxfId="33072" totalsRowDxfId="33071"/>
    <tableColumn id="84" xr3:uid="{47F8531E-5C91-47AC-A281-CCE78D476934}" name="Column70" dataDxfId="33070" totalsRowDxfId="33069"/>
    <tableColumn id="85" xr3:uid="{0B634401-060A-4456-B06E-AC78CD301057}" name="Column71" dataDxfId="33068" totalsRowDxfId="33067"/>
    <tableColumn id="86" xr3:uid="{4903B856-0B45-4F25-93DD-9E797D2DE044}" name="Column72" dataDxfId="33066" totalsRowDxfId="33065"/>
    <tableColumn id="87" xr3:uid="{6053351C-FA9E-4EEE-902D-7AEA9D14CC43}" name="Column73" dataDxfId="33064" totalsRowDxfId="33063"/>
    <tableColumn id="88" xr3:uid="{BBB2E532-B38F-412C-85B6-B833CCF10729}" name="Column74" dataDxfId="33062" totalsRowDxfId="33061"/>
    <tableColumn id="89" xr3:uid="{B3091FEB-DF9B-4271-9D47-4C0D7D94BAF7}" name="Column75" dataDxfId="33060" totalsRowDxfId="33059"/>
    <tableColumn id="90" xr3:uid="{2EFD6286-DA4F-4B47-9328-8010D60F0F75}" name="Column76" dataDxfId="33058" totalsRowDxfId="33057"/>
    <tableColumn id="91" xr3:uid="{1D42AAEA-D34B-4054-BFA2-84770C86D862}" name="Column77" dataDxfId="33056" totalsRowDxfId="33055"/>
    <tableColumn id="92" xr3:uid="{951DC605-BB14-45A8-A30B-01FB31376D2A}" name="Column78" dataDxfId="33054" totalsRowDxfId="33053"/>
    <tableColumn id="93" xr3:uid="{A08BAEF3-233C-4B01-B657-A3584F68E422}" name="Column79" dataDxfId="33052" totalsRowDxfId="33051"/>
    <tableColumn id="94" xr3:uid="{F399357C-737F-47CC-949D-F4ABAFF98FB7}" name="Column80" dataDxfId="33050" totalsRowDxfId="33049"/>
    <tableColumn id="95" xr3:uid="{300EC2BD-4B29-4688-A256-90AFCD8BF305}" name="Column81" dataDxfId="33048" totalsRowDxfId="33047"/>
    <tableColumn id="96" xr3:uid="{76228F0F-CE2D-4CB4-9629-61FD2F11314A}" name="Column82" dataDxfId="33046" totalsRowDxfId="33045"/>
    <tableColumn id="97" xr3:uid="{F71D0389-CF6C-412D-A22E-BCFF7EC03492}" name="Column83" dataDxfId="33044" totalsRowDxfId="33043"/>
    <tableColumn id="98" xr3:uid="{E9DE5F91-9C5B-4698-BFEF-F3EABBFE8B12}" name="Column84" dataDxfId="33042" totalsRowDxfId="33041"/>
    <tableColumn id="99" xr3:uid="{E62A64EB-62D9-4AA3-8CF9-8173CF68E8D0}" name="Column85" dataDxfId="33040" totalsRowDxfId="33039"/>
    <tableColumn id="100" xr3:uid="{B7DCC862-966F-4D3F-87A3-7114CA1B7035}" name="Column86" dataDxfId="33038" totalsRowDxfId="33037"/>
    <tableColumn id="101" xr3:uid="{9370BC5C-514C-49D8-BD03-4FBC5D1865F6}" name="Column87" dataDxfId="33036" totalsRowDxfId="33035"/>
    <tableColumn id="102" xr3:uid="{4FD2D250-D889-4948-85AE-AD35E688D29B}" name="Column88" dataDxfId="33034" totalsRowDxfId="33033"/>
    <tableColumn id="103" xr3:uid="{AF85BCF2-9D32-4825-B661-B5013A5F1E05}" name="Column89" dataDxfId="33032" totalsRowDxfId="33031"/>
    <tableColumn id="104" xr3:uid="{82BFBDF8-DF43-426B-820E-EDE92F007D7A}" name="Column90" dataDxfId="33030" totalsRowDxfId="33029"/>
    <tableColumn id="105" xr3:uid="{9447C541-825C-4309-8621-38E778A2BFA4}" name="Column91" dataDxfId="33028" totalsRowDxfId="33027"/>
    <tableColumn id="106" xr3:uid="{138A81C2-CCCB-4D29-87FC-BE6640C1D74C}" name="Column92" dataDxfId="33026" totalsRowDxfId="33025"/>
    <tableColumn id="107" xr3:uid="{C84A0830-F66B-4FAC-8A18-9C950FDE3B64}" name="Column93" dataDxfId="33024" totalsRowDxfId="33023"/>
    <tableColumn id="108" xr3:uid="{2377BC37-109C-43C3-8385-30019E58DE29}" name="Column94" dataDxfId="33022" totalsRowDxfId="33021"/>
    <tableColumn id="109" xr3:uid="{6F313859-2BC6-4B85-873E-8E7915A720E9}" name="Column95" dataDxfId="33020" totalsRowDxfId="33019"/>
    <tableColumn id="110" xr3:uid="{0E26C19F-1367-43E5-B9D3-7FF6D497B598}" name="Column96" dataDxfId="33018" totalsRowDxfId="33017"/>
    <tableColumn id="111" xr3:uid="{E1A3C777-3BF0-4D88-AE33-3B0720BBFCAB}" name="Column97" dataDxfId="33016" totalsRowDxfId="33015"/>
    <tableColumn id="112" xr3:uid="{0CCF0544-54D7-42FB-97B7-CCEF429CCF73}" name="Column98" dataDxfId="33014" totalsRowDxfId="33013"/>
    <tableColumn id="113" xr3:uid="{7E3ABD1F-1E5F-42DF-B3D5-44BF1838BF60}" name="Column99" dataDxfId="33012" totalsRowDxfId="33011"/>
    <tableColumn id="114" xr3:uid="{12198812-EEA3-456F-BF4C-834522683926}" name="Column100" dataDxfId="33010" totalsRowDxfId="33009"/>
    <tableColumn id="115" xr3:uid="{A6FE319B-6F10-465E-B006-D92874B7DBC1}" name="Column101" dataDxfId="33008" totalsRowDxfId="33007"/>
    <tableColumn id="116" xr3:uid="{0206D17C-0F30-4918-AF8E-6D27AEB6468E}" name="Column102" dataDxfId="33006" totalsRowDxfId="33005"/>
    <tableColumn id="117" xr3:uid="{121D3DCD-7849-4EB8-BEAD-ED6891F2BA79}" name="Column103" dataDxfId="33004" totalsRowDxfId="33003"/>
    <tableColumn id="118" xr3:uid="{5612BD8C-ECDE-4924-8E42-01485973443D}" name="Column104" dataDxfId="33002" totalsRowDxfId="33001"/>
    <tableColumn id="119" xr3:uid="{1018D951-3A6F-4ED0-8AAC-ADB3559A6A29}" name="Column105" dataDxfId="33000" totalsRowDxfId="32999"/>
    <tableColumn id="120" xr3:uid="{94491DC5-CB32-4DEE-909B-FBF605823D47}" name="Column106" dataDxfId="32998" totalsRowDxfId="32997"/>
    <tableColumn id="121" xr3:uid="{5FFCDC73-D929-4EE0-B8FD-2BEFB67FC920}" name="Column107" dataDxfId="32996" totalsRowDxfId="32995"/>
    <tableColumn id="122" xr3:uid="{2783A589-E72E-43D3-8CFC-4510AC1945F3}" name="Column108" dataDxfId="32994" totalsRowDxfId="32993"/>
    <tableColumn id="123" xr3:uid="{04C80406-896D-4D94-9C4C-81D7349363FA}" name="Column109" dataDxfId="32992" totalsRowDxfId="32991"/>
    <tableColumn id="124" xr3:uid="{C9167EF5-CBC7-4147-B499-E1B2010B1D2C}" name="Column110" dataDxfId="32990" totalsRowDxfId="32989"/>
    <tableColumn id="125" xr3:uid="{8EBBAED4-F163-4EDB-8E7E-D0001445950C}" name="Column111" dataDxfId="32988" totalsRowDxfId="32987"/>
    <tableColumn id="126" xr3:uid="{31BBA035-465B-462E-81C5-66B8BEB119AB}" name="Column112" dataDxfId="32986" totalsRowDxfId="32985"/>
    <tableColumn id="127" xr3:uid="{EC5E510E-4439-43A1-B69E-23646BE50DFD}" name="Column113" dataDxfId="32984" totalsRowDxfId="32983"/>
    <tableColumn id="128" xr3:uid="{215BDC51-D2D7-4E2D-BA9A-586F4F6DB046}" name="Column114" dataDxfId="32982" totalsRowDxfId="32981"/>
    <tableColumn id="129" xr3:uid="{C72A034E-561D-4569-BD54-ED632FB4D80D}" name="Column115" dataDxfId="32980" totalsRowDxfId="32979"/>
    <tableColumn id="130" xr3:uid="{4DEF44A8-05F1-4719-BE2E-4B5653BC3510}" name="Column116" dataDxfId="32978" totalsRowDxfId="32977"/>
    <tableColumn id="131" xr3:uid="{0CCAE909-426F-407F-AB50-8728B5E64886}" name="Column117" dataDxfId="32976" totalsRowDxfId="32975"/>
    <tableColumn id="132" xr3:uid="{52BF4675-F87A-4CD6-9BF1-7DD0E1F3A0DE}" name="Column118" dataDxfId="32974" totalsRowDxfId="32973"/>
    <tableColumn id="133" xr3:uid="{002074A9-1B1A-4A46-834C-C399BDC264C0}" name="Column119" dataDxfId="32972" totalsRowDxfId="32971"/>
    <tableColumn id="134" xr3:uid="{B8603EAA-B734-444B-BFDF-5A736B3AE5FE}" name="Column120" dataDxfId="32970" totalsRowDxfId="32969"/>
    <tableColumn id="135" xr3:uid="{D9137E17-1E4B-4C26-BF7A-437B1571DF54}" name="Column121" dataDxfId="32968" totalsRowDxfId="32967"/>
    <tableColumn id="136" xr3:uid="{3DE4DAFA-0C35-4D5E-8333-B9FD1C5B6930}" name="Column122" dataDxfId="32966" totalsRowDxfId="32965"/>
    <tableColumn id="137" xr3:uid="{2D0DDFE8-1191-4E1F-A829-171426A9A1C6}" name="Column123" dataDxfId="32964" totalsRowDxfId="32963"/>
    <tableColumn id="138" xr3:uid="{93E56E9B-28B9-4916-9018-60B2908F3E0D}" name="Column124" dataDxfId="32962" totalsRowDxfId="32961"/>
    <tableColumn id="139" xr3:uid="{AC7B8FF6-EABA-49E7-BD8E-0371A8CF9539}" name="Column125" dataDxfId="32960" totalsRowDxfId="32959"/>
    <tableColumn id="140" xr3:uid="{F715654C-00A9-426B-B3C2-BC845CC66588}" name="Column126" dataDxfId="32958" totalsRowDxfId="32957"/>
    <tableColumn id="141" xr3:uid="{15CCF9F7-9B4D-47F1-98E0-B1168864E2D5}" name="Column127" dataDxfId="32956" totalsRowDxfId="32955"/>
    <tableColumn id="142" xr3:uid="{EA71A4BC-8CB9-4C91-BDF8-D9DE47BD66BF}" name="Column128" dataDxfId="32954" totalsRowDxfId="32953"/>
    <tableColumn id="143" xr3:uid="{599ED927-5008-471B-8355-C6172E2A4D7E}" name="Column129" dataDxfId="32952" totalsRowDxfId="32951"/>
    <tableColumn id="144" xr3:uid="{703C9EEC-209C-4DE3-A522-4E8C33E465B6}" name="Column130" dataDxfId="32950" totalsRowDxfId="32949"/>
    <tableColumn id="145" xr3:uid="{16978053-D157-4C56-9A3B-4CBEBD1EA484}" name="Column131" dataDxfId="32948" totalsRowDxfId="32947"/>
    <tableColumn id="146" xr3:uid="{4CB3E193-4A14-4D30-B048-90026688A419}" name="Column132" dataDxfId="32946" totalsRowDxfId="32945"/>
    <tableColumn id="147" xr3:uid="{F4F0598F-486A-4544-83EA-C5421CFC9D98}" name="Column133" dataDxfId="32944" totalsRowDxfId="32943"/>
    <tableColumn id="148" xr3:uid="{363C29C8-C18D-4C97-9540-83E9B9F824EA}" name="Column134" dataDxfId="32942" totalsRowDxfId="32941"/>
    <tableColumn id="149" xr3:uid="{1FC9FCC1-32ED-4416-B473-C153D4D18CDF}" name="Column135" dataDxfId="32940" totalsRowDxfId="32939"/>
    <tableColumn id="150" xr3:uid="{195324BD-16F4-4069-8EBB-71712B7606B9}" name="Column136" dataDxfId="32938" totalsRowDxfId="32937"/>
    <tableColumn id="151" xr3:uid="{E0420BB0-C085-43C2-AE40-66E8108C6BFA}" name="Column137" dataDxfId="32936" totalsRowDxfId="32935"/>
    <tableColumn id="152" xr3:uid="{86530399-89B8-4211-A942-4F301380196A}" name="Column138" dataDxfId="32934" totalsRowDxfId="32933"/>
    <tableColumn id="153" xr3:uid="{1353B056-29F9-4D9F-B654-6E8457815CAB}" name="Column139" dataDxfId="32932" totalsRowDxfId="32931"/>
    <tableColumn id="154" xr3:uid="{8B88C21D-9F59-4C06-AEC5-5454D460BE7B}" name="Column140" dataDxfId="32930" totalsRowDxfId="32929"/>
    <tableColumn id="155" xr3:uid="{78616CD5-29A2-4940-BC7A-7EC03DF1E3EA}" name="Column141" dataDxfId="32928" totalsRowDxfId="32927"/>
    <tableColumn id="156" xr3:uid="{A4E21649-BE78-4079-9EAF-C8645CC003E0}" name="Column142" dataDxfId="32926" totalsRowDxfId="32925"/>
    <tableColumn id="157" xr3:uid="{AD76ABB6-07C2-4A20-815F-786C82A82B55}" name="Column143" dataDxfId="32924" totalsRowDxfId="32923"/>
    <tableColumn id="158" xr3:uid="{84A3E0D6-04EA-4243-BBE3-83A6C2902396}" name="Column144" dataDxfId="32922" totalsRowDxfId="32921"/>
    <tableColumn id="159" xr3:uid="{403A7D4D-8113-4E9F-AE3B-EF49B977562D}" name="Column145" dataDxfId="32920" totalsRowDxfId="32919"/>
    <tableColumn id="160" xr3:uid="{7F7F042E-EBCF-4406-9CBC-9F851F8ECDBE}" name="Column146" dataDxfId="32918" totalsRowDxfId="32917"/>
    <tableColumn id="161" xr3:uid="{E4202024-BF25-4850-9211-BB9029A5AC2D}" name="Column147" dataDxfId="32916" totalsRowDxfId="32915"/>
    <tableColumn id="162" xr3:uid="{ED554C81-CD8F-4F1B-80AB-7C84E9605132}" name="Column148" dataDxfId="32914" totalsRowDxfId="32913"/>
    <tableColumn id="163" xr3:uid="{9EE464DE-ACF1-47D0-9736-648D3F170682}" name="Column149" dataDxfId="32912" totalsRowDxfId="32911"/>
    <tableColumn id="164" xr3:uid="{06DCDB0C-B858-49C8-9F4F-F0901BF48DB7}" name="Column150" dataDxfId="32910" totalsRowDxfId="32909"/>
    <tableColumn id="165" xr3:uid="{87A7596C-7A61-428B-B948-C1B354E20385}" name="Column151" dataDxfId="32908" totalsRowDxfId="32907"/>
    <tableColumn id="166" xr3:uid="{568CCA4C-FAC2-4B39-A0EC-19EBEBB27ED7}" name="Column152" dataDxfId="32906" totalsRowDxfId="32905"/>
    <tableColumn id="167" xr3:uid="{25482E1C-46AB-4FF9-A08B-42905F62C669}" name="Column153" dataDxfId="32904" totalsRowDxfId="32903"/>
    <tableColumn id="168" xr3:uid="{C6758A37-1115-4387-B032-94714158CDF4}" name="Column154" dataDxfId="32902" totalsRowDxfId="32901"/>
    <tableColumn id="169" xr3:uid="{CA9303FD-4C27-4BED-ADCE-4BE7E2F52498}" name="Column155" dataDxfId="32900" totalsRowDxfId="32899"/>
    <tableColumn id="170" xr3:uid="{A03810C0-4639-4267-A0CD-888E5339FB20}" name="Column156" dataDxfId="32898" totalsRowDxfId="32897"/>
    <tableColumn id="171" xr3:uid="{A1A5A77C-DDBB-4C25-B776-BD456A03798B}" name="Column157" dataDxfId="32896" totalsRowDxfId="32895"/>
    <tableColumn id="172" xr3:uid="{A1E0BE77-0B3D-41AA-97EC-CCF80349B591}" name="Column158" dataDxfId="32894" totalsRowDxfId="32893"/>
    <tableColumn id="173" xr3:uid="{21C34B70-B04B-4119-80E6-CE98B5C7B0B1}" name="Column159" dataDxfId="32892" totalsRowDxfId="32891"/>
    <tableColumn id="174" xr3:uid="{FB2954B1-CE5C-4932-9DAF-DF7F087CDFC2}" name="Column160" dataDxfId="32890" totalsRowDxfId="32889"/>
    <tableColumn id="175" xr3:uid="{1918FD00-95F8-4AA1-868E-43300818AC2B}" name="Column161" dataDxfId="32888" totalsRowDxfId="32887"/>
    <tableColumn id="176" xr3:uid="{EB4E089C-7C28-44BF-8ECE-49EE33ED07D1}" name="Column162" dataDxfId="32886" totalsRowDxfId="32885"/>
    <tableColumn id="177" xr3:uid="{B9669892-F549-4328-B916-4D9684ADE490}" name="Column163" dataDxfId="32884" totalsRowDxfId="32883"/>
    <tableColumn id="178" xr3:uid="{3C4F66DF-7CDE-4FFA-AB79-D1FB012A94F4}" name="Column164" dataDxfId="32882" totalsRowDxfId="32881"/>
    <tableColumn id="179" xr3:uid="{311D3E04-2D46-4055-BADD-2477F0DFC418}" name="Column165" dataDxfId="32880" totalsRowDxfId="32879"/>
    <tableColumn id="180" xr3:uid="{4E975F13-79B8-4E91-BF2E-77F010BB2E69}" name="Column166" dataDxfId="32878" totalsRowDxfId="32877"/>
    <tableColumn id="181" xr3:uid="{C603BAEE-B557-44E2-A699-6768B6B8E675}" name="Column167" dataDxfId="32876" totalsRowDxfId="32875"/>
    <tableColumn id="182" xr3:uid="{A3305173-B4FA-4D73-B8C5-809691064EC2}" name="Column168" dataDxfId="32874" totalsRowDxfId="32873"/>
    <tableColumn id="183" xr3:uid="{58DE5B53-FEA7-4753-BF82-B2392FE95329}" name="Column169" dataDxfId="32872" totalsRowDxfId="32871"/>
    <tableColumn id="184" xr3:uid="{9F18BC29-3475-4932-920C-9CD360CD00AC}" name="Column170" dataDxfId="32870" totalsRowDxfId="32869"/>
    <tableColumn id="185" xr3:uid="{569C2936-337E-44D4-B211-531A4BDF61BB}" name="Column171" dataDxfId="32868" totalsRowDxfId="32867"/>
    <tableColumn id="186" xr3:uid="{18A3FA19-9940-45F5-874D-C400B8A05F30}" name="Column172" dataDxfId="32866" totalsRowDxfId="32865"/>
    <tableColumn id="187" xr3:uid="{FF60FFE3-BFBC-4306-8DFE-68BA7D305BDF}" name="Column173" dataDxfId="32864" totalsRowDxfId="32863"/>
    <tableColumn id="188" xr3:uid="{63ED242E-774A-4517-B448-64E52F98FAF2}" name="Column174" dataDxfId="32862" totalsRowDxfId="32861"/>
    <tableColumn id="189" xr3:uid="{71BBBEFE-345E-42F5-8373-9BEAE3D93FF7}" name="Column175" dataDxfId="32860" totalsRowDxfId="32859"/>
    <tableColumn id="190" xr3:uid="{3C38319D-A788-43A4-AFFB-78EC59E2AE28}" name="Column176" dataDxfId="32858" totalsRowDxfId="32857"/>
    <tableColumn id="191" xr3:uid="{D084DADA-50E1-4480-AB35-089E66D6CDC7}" name="Column177" dataDxfId="32856" totalsRowDxfId="32855"/>
    <tableColumn id="192" xr3:uid="{A897549F-0C69-4055-91CB-E0A8CD6F1A12}" name="Column178" dataDxfId="32854" totalsRowDxfId="32853"/>
    <tableColumn id="193" xr3:uid="{70A0D130-028D-4BB6-A233-8976746F844E}" name="Column179" dataDxfId="32852" totalsRowDxfId="32851"/>
    <tableColumn id="194" xr3:uid="{3CBA55F9-EA6E-4E7E-98BC-B4CACDCC7F96}" name="Column180" dataDxfId="32850" totalsRowDxfId="32849"/>
    <tableColumn id="195" xr3:uid="{12C32DFA-1D79-40D5-9EB2-7848904521F3}" name="Column181" dataDxfId="32848" totalsRowDxfId="32847"/>
    <tableColumn id="196" xr3:uid="{6B76ED4C-B177-4720-9F18-776EF8947ACB}" name="Column182" dataDxfId="32846" totalsRowDxfId="32845"/>
    <tableColumn id="197" xr3:uid="{D5E05FB9-496F-4ED0-8E5E-64E697CC7A99}" name="Column183" dataDxfId="32844" totalsRowDxfId="32843"/>
    <tableColumn id="198" xr3:uid="{EEB57DBE-4229-4E7C-80DA-FD68E9AE83E5}" name="Column184" dataDxfId="32842" totalsRowDxfId="32841"/>
    <tableColumn id="199" xr3:uid="{6A8174D7-A4DA-4636-B58D-D4CE9587A663}" name="Column185" dataDxfId="32840" totalsRowDxfId="32839"/>
    <tableColumn id="200" xr3:uid="{CD8D4997-3F68-4D24-809C-F65E940F6997}" name="Column186" dataDxfId="32838" totalsRowDxfId="32837"/>
    <tableColumn id="201" xr3:uid="{66740B2B-677A-4B9D-BAC3-B782BB8E71D3}" name="Column187" dataDxfId="32836" totalsRowDxfId="32835"/>
    <tableColumn id="202" xr3:uid="{C2A24863-F323-4B2E-BF77-30BDAB038406}" name="Column188" dataDxfId="32834" totalsRowDxfId="32833"/>
    <tableColumn id="203" xr3:uid="{F3EC7479-1786-44D6-9AEF-7C621FF22989}" name="Column189" dataDxfId="32832" totalsRowDxfId="32831"/>
    <tableColumn id="204" xr3:uid="{FA793D5F-235A-478C-B069-DD02BE6402D0}" name="Column190" dataDxfId="32830" totalsRowDxfId="32829"/>
    <tableColumn id="205" xr3:uid="{746B2596-7B8D-4347-B5BB-E764913C806F}" name="Column191" dataDxfId="32828" totalsRowDxfId="32827"/>
    <tableColumn id="206" xr3:uid="{2AB0A32B-6DD8-4956-B83E-02D91BE917E6}" name="Column192" dataDxfId="32826" totalsRowDxfId="32825"/>
    <tableColumn id="207" xr3:uid="{EB4087A0-9413-4C8F-ACE0-B629889ADFB4}" name="Column193" dataDxfId="32824" totalsRowDxfId="32823"/>
    <tableColumn id="208" xr3:uid="{34C6A0BB-12C5-4A35-A727-F6BB3F3FD2C2}" name="Column194" dataDxfId="32822" totalsRowDxfId="32821"/>
    <tableColumn id="209" xr3:uid="{582B2C3F-040D-4B0B-8E93-35C361A6D706}" name="Column195" dataDxfId="32820" totalsRowDxfId="32819"/>
    <tableColumn id="210" xr3:uid="{DCED8619-F33F-44C8-9C50-C6791D703C8A}" name="Column196" dataDxfId="32818" totalsRowDxfId="32817"/>
    <tableColumn id="211" xr3:uid="{933CD3C9-8D9F-4554-B87B-C0E46F4CCB54}" name="Column197" dataDxfId="32816" totalsRowDxfId="32815"/>
    <tableColumn id="212" xr3:uid="{42303A6B-DC04-4E55-A506-8B61EDA37790}" name="Column198" dataDxfId="32814" totalsRowDxfId="32813"/>
    <tableColumn id="213" xr3:uid="{349EF83E-5653-48F4-8939-C768B668F66F}" name="Column199" dataDxfId="32812" totalsRowDxfId="32811"/>
    <tableColumn id="214" xr3:uid="{73402227-E23F-470B-B726-D60D7F4D2EA9}" name="Column200" dataDxfId="32810" totalsRowDxfId="32809"/>
    <tableColumn id="215" xr3:uid="{8A1FE179-C2D9-42A2-B0C3-2FF2B92106E1}" name="Column201" dataDxfId="32808" totalsRowDxfId="32807"/>
    <tableColumn id="216" xr3:uid="{417D3DEA-B97E-4203-8878-A1D3B69BC932}" name="Column202" dataDxfId="32806" totalsRowDxfId="32805"/>
    <tableColumn id="217" xr3:uid="{2E5114D4-A108-434B-A514-699B21C97687}" name="Column203" dataDxfId="32804" totalsRowDxfId="32803"/>
    <tableColumn id="218" xr3:uid="{3DAEC570-3D48-449B-9051-4633AC7C0533}" name="Column204" dataDxfId="32802" totalsRowDxfId="32801"/>
    <tableColumn id="219" xr3:uid="{93FDE0B9-EAC9-4B6B-B1CD-F3FF35059573}" name="Column205" dataDxfId="32800" totalsRowDxfId="32799"/>
    <tableColumn id="220" xr3:uid="{8813A6DD-ED07-4B12-9A3B-F1CBD3ABF0CE}" name="Column206" dataDxfId="32798" totalsRowDxfId="32797"/>
    <tableColumn id="221" xr3:uid="{8854B8EA-B34C-4BD8-B27D-4DEEFDD25456}" name="Column207" dataDxfId="32796" totalsRowDxfId="32795"/>
    <tableColumn id="222" xr3:uid="{F69ED55D-2F60-45B7-886B-3970DDA1686A}" name="Column208" dataDxfId="32794" totalsRowDxfId="32793"/>
    <tableColumn id="223" xr3:uid="{97F10B35-DB6C-4ED1-B10E-8FCB5B12BC62}" name="Column209" dataDxfId="32792" totalsRowDxfId="32791"/>
    <tableColumn id="224" xr3:uid="{A4847882-7A5E-4795-BC57-A5B517C7B885}" name="Column210" dataDxfId="32790" totalsRowDxfId="32789"/>
    <tableColumn id="225" xr3:uid="{2AD751CE-A505-4C36-AB4D-6CF47485AC1C}" name="Column211" dataDxfId="32788" totalsRowDxfId="32787"/>
    <tableColumn id="226" xr3:uid="{181A5A36-297F-405C-A2E6-7CE366855728}" name="Column212" dataDxfId="32786" totalsRowDxfId="32785"/>
    <tableColumn id="227" xr3:uid="{5FB0A530-0EDE-4D20-8287-EA30FD939B98}" name="Column213" dataDxfId="32784" totalsRowDxfId="32783"/>
    <tableColumn id="228" xr3:uid="{C3D834CB-51B8-441F-B5FD-334292F3CCBA}" name="Column214" dataDxfId="32782" totalsRowDxfId="32781"/>
    <tableColumn id="229" xr3:uid="{93FF6D2F-54E9-438A-B055-956C5C0D9DC0}" name="Column215" dataDxfId="32780" totalsRowDxfId="32779"/>
    <tableColumn id="230" xr3:uid="{B0525B36-68E5-4449-A007-BA33218D6123}" name="Column216" dataDxfId="32778" totalsRowDxfId="32777"/>
    <tableColumn id="231" xr3:uid="{5922836A-BD32-4FC9-82ED-733326F5D3BC}" name="Column217" dataDxfId="32776" totalsRowDxfId="32775"/>
    <tableColumn id="232" xr3:uid="{DCB85351-8BC7-450B-B224-66C8827F120A}" name="Column218" dataDxfId="32774" totalsRowDxfId="32773"/>
    <tableColumn id="233" xr3:uid="{00F28F1C-3916-4229-BFC4-F36E73A68825}" name="Column219" dataDxfId="32772" totalsRowDxfId="32771"/>
    <tableColumn id="234" xr3:uid="{EE17FC4A-DE8C-48F9-B957-84FDEA83D036}" name="Column220" dataDxfId="32770" totalsRowDxfId="32769"/>
    <tableColumn id="235" xr3:uid="{84B5BD84-B426-4CFB-A7D8-B8A5286ABE5E}" name="Column221" dataDxfId="32768" totalsRowDxfId="32767"/>
    <tableColumn id="236" xr3:uid="{D9A50B45-47D5-4496-AABE-89686EBF8A4C}" name="Column222" dataDxfId="32766" totalsRowDxfId="32765"/>
    <tableColumn id="237" xr3:uid="{DF5D7A6A-5FCD-432D-9465-0B7E1506357D}" name="Column223" dataDxfId="32764" totalsRowDxfId="32763"/>
    <tableColumn id="238" xr3:uid="{4E41CA88-9869-4B86-B5FB-9D2D854B9979}" name="Column224" dataDxfId="32762" totalsRowDxfId="32761"/>
    <tableColumn id="239" xr3:uid="{763F4A0C-3245-42A6-9902-C5CC561C9E03}" name="Column225" dataDxfId="32760" totalsRowDxfId="32759"/>
    <tableColumn id="240" xr3:uid="{9308C1CC-18DE-4A44-9AE7-BFC9B98A1B03}" name="Column226" dataDxfId="32758" totalsRowDxfId="32757"/>
    <tableColumn id="241" xr3:uid="{54D6F54D-A8E0-4774-BAA5-CE1C7DA12961}" name="Column227" dataDxfId="32756" totalsRowDxfId="32755"/>
    <tableColumn id="242" xr3:uid="{6744505A-3533-4E2A-BD3E-F8672BC4279B}" name="Column228" dataDxfId="32754" totalsRowDxfId="32753"/>
    <tableColumn id="243" xr3:uid="{D426FFF0-50F2-4C6B-AF37-2A46DE6CA4A5}" name="Column229" dataDxfId="32752" totalsRowDxfId="32751"/>
    <tableColumn id="244" xr3:uid="{A14AB979-20E6-4B17-9574-265B09855C4D}" name="Column230" dataDxfId="32750" totalsRowDxfId="32749"/>
    <tableColumn id="245" xr3:uid="{C4F1B3AD-452F-46FF-90F1-9030D02968FB}" name="Column231" dataDxfId="32748" totalsRowDxfId="32747"/>
    <tableColumn id="246" xr3:uid="{786D9934-7851-4332-AC1C-EB76B2563A59}" name="Column232" dataDxfId="32746" totalsRowDxfId="32745"/>
    <tableColumn id="247" xr3:uid="{92CC6696-4B1D-4B2B-9A64-D4AA6F857149}" name="Column233" dataDxfId="32744" totalsRowDxfId="32743"/>
    <tableColumn id="248" xr3:uid="{4438E00F-331B-40B9-AC46-744FC262D11C}" name="Column234" dataDxfId="32742" totalsRowDxfId="32741"/>
    <tableColumn id="249" xr3:uid="{FEC61834-4BF0-45C0-965F-8B30357DF11F}" name="Column235" dataDxfId="32740" totalsRowDxfId="32739"/>
    <tableColumn id="250" xr3:uid="{5853BD99-3EE6-43CA-9BF5-4D2523DCB33B}" name="Column236" dataDxfId="32738" totalsRowDxfId="32737"/>
    <tableColumn id="251" xr3:uid="{9954D780-204E-434C-B2E9-8F16769A3D4E}" name="Column237" dataDxfId="32736" totalsRowDxfId="32735"/>
    <tableColumn id="252" xr3:uid="{6A7F641D-98C3-40C2-B9D4-CA9CC9C0FA03}" name="Column238" dataDxfId="32734" totalsRowDxfId="32733"/>
    <tableColumn id="253" xr3:uid="{E8042F84-0326-4A3C-8900-FEDC66050601}" name="Column239" dataDxfId="32732" totalsRowDxfId="32731"/>
    <tableColumn id="254" xr3:uid="{B6508D98-B799-4601-B4FF-9E58D4A8ACE2}" name="Column240" dataDxfId="32730" totalsRowDxfId="32729"/>
    <tableColumn id="255" xr3:uid="{A42D5C6F-C9E7-4D64-84DF-9CD63084C428}" name="Column241" dataDxfId="32728" totalsRowDxfId="32727"/>
    <tableColumn id="256" xr3:uid="{6274186F-1398-4B77-8A89-30647CAD96A0}" name="Column242" dataDxfId="32726" totalsRowDxfId="32725"/>
    <tableColumn id="257" xr3:uid="{71916F02-3A40-4D74-97D8-E31668A98522}" name="Column243" dataDxfId="32724" totalsRowDxfId="32723"/>
    <tableColumn id="258" xr3:uid="{EEF28249-0A40-4B56-A48B-F24CC7CEA18C}" name="Column244" dataDxfId="32722" totalsRowDxfId="32721"/>
    <tableColumn id="259" xr3:uid="{479D1262-CFF4-470B-BA70-DFAEB5B666A5}" name="Column245" dataDxfId="32720" totalsRowDxfId="32719"/>
    <tableColumn id="260" xr3:uid="{01F80A17-184C-4D26-BEA4-AD44F57E74DB}" name="Column246" dataDxfId="32718" totalsRowDxfId="32717"/>
    <tableColumn id="261" xr3:uid="{6882B6B9-9959-4CAC-9F8D-D7ADB249A79D}" name="Column247" dataDxfId="32716" totalsRowDxfId="32715"/>
    <tableColumn id="262" xr3:uid="{9EA2B696-D0A7-4F3A-B1AA-298C167F07C3}" name="Column248" dataDxfId="32714" totalsRowDxfId="32713"/>
    <tableColumn id="263" xr3:uid="{D98DDE4E-3F69-4279-844A-719B665C5296}" name="Column249" dataDxfId="32712" totalsRowDxfId="32711"/>
    <tableColumn id="264" xr3:uid="{59F1899E-75EC-4B56-B71A-456ABAEDBD96}" name="Column250" dataDxfId="32710" totalsRowDxfId="32709"/>
    <tableColumn id="265" xr3:uid="{B6CFCED5-88BE-4CEF-82C0-AC68DEE9162C}" name="Column251" dataDxfId="32708" totalsRowDxfId="32707"/>
    <tableColumn id="266" xr3:uid="{D2CE4EEC-83CF-4E18-BD46-2AB512E4EB4A}" name="Column252" dataDxfId="32706" totalsRowDxfId="32705"/>
    <tableColumn id="267" xr3:uid="{154FCEB8-94A6-4271-9673-ABA814C70CF9}" name="Column253" dataDxfId="32704" totalsRowDxfId="32703"/>
    <tableColumn id="268" xr3:uid="{07DAF84C-99A3-4088-B5BE-C1396AC53ADA}" name="Column254" dataDxfId="32702" totalsRowDxfId="32701"/>
    <tableColumn id="269" xr3:uid="{86E400FF-A40C-4547-A698-F025EB2CD4D8}" name="Column255" dataDxfId="32700" totalsRowDxfId="32699"/>
    <tableColumn id="270" xr3:uid="{28B59728-0705-40FD-BDA7-0E68452A18AA}" name="Column256" dataDxfId="32698" totalsRowDxfId="32697"/>
    <tableColumn id="271" xr3:uid="{C8F54AF0-1BCA-4765-8AD0-38C4CF969989}" name="Column257" dataDxfId="32696" totalsRowDxfId="32695"/>
    <tableColumn id="272" xr3:uid="{B87D5414-D4FD-4088-89D1-A33A40248784}" name="Column258" dataDxfId="32694" totalsRowDxfId="32693"/>
    <tableColumn id="273" xr3:uid="{E84A4B1F-51A9-4648-A6F2-62200D144E60}" name="Column259" dataDxfId="32692" totalsRowDxfId="32691"/>
    <tableColumn id="274" xr3:uid="{6097C9BD-06D2-45A7-A423-8E25F60789B1}" name="Column260" dataDxfId="32690" totalsRowDxfId="32689"/>
    <tableColumn id="275" xr3:uid="{A13533E1-F0A8-43D3-960E-0EBAD47D3A7E}" name="Column261" dataDxfId="32688" totalsRowDxfId="32687"/>
    <tableColumn id="276" xr3:uid="{72677870-E1E9-4ED7-81CC-011F5D85562C}" name="Column262" dataDxfId="32686" totalsRowDxfId="32685"/>
    <tableColumn id="277" xr3:uid="{FD358CB0-50A7-4C2F-B574-271F4BE46D3A}" name="Column263" dataDxfId="32684" totalsRowDxfId="32683"/>
    <tableColumn id="278" xr3:uid="{20CC5B07-EC76-4516-909A-9B9ACF638DBE}" name="Column264" dataDxfId="32682" totalsRowDxfId="32681"/>
    <tableColumn id="279" xr3:uid="{0FB93725-C33B-4C07-A854-8CCBE7C46E5E}" name="Column265" dataDxfId="32680" totalsRowDxfId="32679"/>
    <tableColumn id="280" xr3:uid="{8092CB74-3944-4923-A896-A8B5588C8B0A}" name="Column266" dataDxfId="32678" totalsRowDxfId="32677"/>
    <tableColumn id="281" xr3:uid="{4ADAB113-1A3D-4B41-972D-24C9868041A5}" name="Column267" dataDxfId="32676" totalsRowDxfId="32675"/>
    <tableColumn id="282" xr3:uid="{6E43866B-EC0B-49E8-8687-0F17AB7A6DD7}" name="Column268" dataDxfId="32674" totalsRowDxfId="32673"/>
    <tableColumn id="283" xr3:uid="{AACA0203-5EBB-4554-8CA0-041A9261E914}" name="Column269" dataDxfId="32672" totalsRowDxfId="32671"/>
    <tableColumn id="284" xr3:uid="{44444E34-515D-43A0-8BDA-99535F6FDD7B}" name="Column270" dataDxfId="32670" totalsRowDxfId="32669"/>
    <tableColumn id="285" xr3:uid="{C9FBD8B7-617D-481E-B8AD-62AD6A91057F}" name="Column271" dataDxfId="32668" totalsRowDxfId="32667"/>
    <tableColumn id="286" xr3:uid="{4B82BBE7-5EB3-4A05-9C68-F5A5F832D3F0}" name="Column272" dataDxfId="32666" totalsRowDxfId="32665"/>
    <tableColumn id="287" xr3:uid="{6606D2FE-207C-4AF1-94C5-4C4B8C190313}" name="Column273" dataDxfId="32664" totalsRowDxfId="32663"/>
    <tableColumn id="288" xr3:uid="{10F5093F-F366-4BED-A809-0C8A62D204B2}" name="Column274" dataDxfId="32662" totalsRowDxfId="32661"/>
    <tableColumn id="289" xr3:uid="{8F89A1C1-9D0B-456E-B7AC-7669915E44EE}" name="Column275" dataDxfId="32660" totalsRowDxfId="32659"/>
    <tableColumn id="290" xr3:uid="{066CFEE2-6194-4183-B18D-CEF70F43C7ED}" name="Column276" dataDxfId="32658" totalsRowDxfId="32657"/>
    <tableColumn id="291" xr3:uid="{FFD8509C-E668-429C-9ADB-9E6B78CA96B0}" name="Column277" dataDxfId="32656" totalsRowDxfId="32655"/>
    <tableColumn id="292" xr3:uid="{80017499-A9DC-42EB-8573-B75A585AA401}" name="Column278" dataDxfId="32654" totalsRowDxfId="32653"/>
    <tableColumn id="293" xr3:uid="{8567BEC0-9FD4-44CA-85FC-394ACC4AF16D}" name="Column279" dataDxfId="32652" totalsRowDxfId="32651"/>
    <tableColumn id="294" xr3:uid="{ED5CE25B-8B3D-4261-AD3D-D746DC31C8A5}" name="Column280" dataDxfId="32650" totalsRowDxfId="32649"/>
    <tableColumn id="295" xr3:uid="{AF4738F3-B554-4013-A5D1-2283480E12F5}" name="Column281" dataDxfId="32648" totalsRowDxfId="32647"/>
    <tableColumn id="296" xr3:uid="{DC43B556-005D-4AEC-9B4B-D88E38324949}" name="Column282" dataDxfId="32646" totalsRowDxfId="32645"/>
    <tableColumn id="297" xr3:uid="{70C565C5-C277-4F8D-AD03-D891471DE92D}" name="Column283" dataDxfId="32644" totalsRowDxfId="32643"/>
    <tableColumn id="298" xr3:uid="{F387D107-49C6-4868-9DFA-5931C93FC092}" name="Column284" dataDxfId="32642" totalsRowDxfId="32641"/>
    <tableColumn id="299" xr3:uid="{9B750D04-2ACB-4241-A191-66A10D5C31FF}" name="Column285" dataDxfId="32640" totalsRowDxfId="32639"/>
    <tableColumn id="300" xr3:uid="{29E41046-F1A6-4D77-9964-F05EB6CB9C89}" name="Column286" dataDxfId="32638" totalsRowDxfId="32637"/>
    <tableColumn id="301" xr3:uid="{BEA77D64-8C24-4807-9D02-F0912EF453FC}" name="Column287" dataDxfId="32636" totalsRowDxfId="32635"/>
    <tableColumn id="302" xr3:uid="{B0094545-7AFF-4370-81E5-1A286664C843}" name="Column288" dataDxfId="32634" totalsRowDxfId="32633"/>
    <tableColumn id="303" xr3:uid="{4422B95B-6F6B-49ED-85ED-DAB24DB3E727}" name="Column289" dataDxfId="32632" totalsRowDxfId="32631"/>
    <tableColumn id="304" xr3:uid="{E9EB91F8-74F8-455C-9F39-C234A0AAAED6}" name="Column290" dataDxfId="32630" totalsRowDxfId="32629"/>
    <tableColumn id="305" xr3:uid="{37FAA7EA-E167-46B4-99F9-4EC44F66DB1B}" name="Column291" dataDxfId="32628" totalsRowDxfId="32627"/>
    <tableColumn id="306" xr3:uid="{A08F55EB-D79B-44A7-A107-2561648494D3}" name="Column292" dataDxfId="32626" totalsRowDxfId="32625"/>
    <tableColumn id="307" xr3:uid="{CE183B0D-9367-4747-88C6-4948DF72B79D}" name="Column293" dataDxfId="32624" totalsRowDxfId="32623"/>
    <tableColumn id="308" xr3:uid="{AED7001C-FEED-47CB-ACC4-CC71475F6EE4}" name="Column294" dataDxfId="32622" totalsRowDxfId="32621"/>
    <tableColumn id="309" xr3:uid="{17597548-31ED-48FB-AD01-BC93B193A437}" name="Column295" dataDxfId="32620" totalsRowDxfId="32619"/>
    <tableColumn id="310" xr3:uid="{F16282D4-C559-4975-B3AB-0D318BC3FA5C}" name="Column296" dataDxfId="32618" totalsRowDxfId="32617"/>
    <tableColumn id="311" xr3:uid="{54109C79-3BFF-423F-9C9F-943B57DF4578}" name="Column297" dataDxfId="32616" totalsRowDxfId="32615"/>
    <tableColumn id="312" xr3:uid="{1E110FDB-CC96-4F71-8EC9-54DDAC0BB655}" name="Column298" dataDxfId="32614" totalsRowDxfId="32613"/>
    <tableColumn id="313" xr3:uid="{FDEF76B8-D7C0-42AD-8ADC-AFC476A13F23}" name="Column299" dataDxfId="32612" totalsRowDxfId="32611"/>
    <tableColumn id="314" xr3:uid="{8D93D6A9-0E0D-4E64-97CC-184F0C4671AD}" name="Column300" dataDxfId="32610" totalsRowDxfId="32609"/>
    <tableColumn id="315" xr3:uid="{A03865FE-A677-4D10-8566-EFE5B6A7EE07}" name="Column301" dataDxfId="32608" totalsRowDxfId="32607"/>
    <tableColumn id="316" xr3:uid="{1290A91A-968A-44BB-86E0-A7D98152673F}" name="Column302" dataDxfId="32606" totalsRowDxfId="32605"/>
    <tableColumn id="317" xr3:uid="{0B9FB779-0E33-4411-97CD-0E631EECA6F2}" name="Column303" dataDxfId="32604" totalsRowDxfId="32603"/>
    <tableColumn id="318" xr3:uid="{A50A108F-6CD6-4D4C-AE26-A05C3EE576BC}" name="Column304" dataDxfId="32602" totalsRowDxfId="32601"/>
    <tableColumn id="319" xr3:uid="{6015D4BD-9F45-46A7-A09B-7D93CCB8895E}" name="Column305" dataDxfId="32600" totalsRowDxfId="32599"/>
    <tableColumn id="320" xr3:uid="{BF0D6A26-AF62-4EC3-8744-03D8414763CD}" name="Column306" dataDxfId="32598" totalsRowDxfId="32597"/>
    <tableColumn id="321" xr3:uid="{5DB7C90A-103A-44E9-919F-10FF19FD7203}" name="Column307" dataDxfId="32596" totalsRowDxfId="32595"/>
    <tableColumn id="322" xr3:uid="{A447E270-5EE7-425F-9536-49DB2E1F833C}" name="Column308" dataDxfId="32594" totalsRowDxfId="32593"/>
    <tableColumn id="323" xr3:uid="{D2A34D54-7887-40C9-A7C9-F3AF954B7BCE}" name="Column309" dataDxfId="32592" totalsRowDxfId="32591"/>
    <tableColumn id="324" xr3:uid="{6940D064-FD63-42AC-832F-D4C21F6C4190}" name="Column310" dataDxfId="32590" totalsRowDxfId="32589"/>
    <tableColumn id="325" xr3:uid="{25F0759F-7B84-4534-9BE4-0A7182FC7F42}" name="Column311" dataDxfId="32588" totalsRowDxfId="32587"/>
    <tableColumn id="326" xr3:uid="{1895FBE6-53D7-48FA-8EA3-6282FADA65CF}" name="Column312" dataDxfId="32586" totalsRowDxfId="32585"/>
    <tableColumn id="327" xr3:uid="{87D17545-FF4B-4F69-939A-76F3E3488805}" name="Column313" dataDxfId="32584" totalsRowDxfId="32583"/>
    <tableColumn id="328" xr3:uid="{EB708719-2A85-4E3F-981C-2575BBCE562A}" name="Column314" dataDxfId="32582" totalsRowDxfId="32581"/>
    <tableColumn id="329" xr3:uid="{0991E77A-530A-43BE-B225-42F6552E95BA}" name="Column315" dataDxfId="32580" totalsRowDxfId="32579"/>
    <tableColumn id="330" xr3:uid="{9D8C41DF-EB67-4E9D-8580-E84ED6740B1C}" name="Column316" dataDxfId="32578" totalsRowDxfId="32577"/>
    <tableColumn id="331" xr3:uid="{4AC5C016-EDCB-4B8A-8593-C484EBA2EDDE}" name="Column317" dataDxfId="32576" totalsRowDxfId="32575"/>
    <tableColumn id="332" xr3:uid="{27D0F216-62A0-4A50-8953-523980358414}" name="Column318" dataDxfId="32574" totalsRowDxfId="32573"/>
    <tableColumn id="333" xr3:uid="{BC76238F-BD43-4ECC-B3F2-CDD8AA7700EC}" name="Column319" dataDxfId="32572" totalsRowDxfId="32571"/>
    <tableColumn id="334" xr3:uid="{A3B226B5-02AB-47E9-A6AB-D43698344A31}" name="Column320" dataDxfId="32570" totalsRowDxfId="32569"/>
    <tableColumn id="335" xr3:uid="{B8738D44-C4A8-4248-AFB3-3B902319FA24}" name="Column321" dataDxfId="32568" totalsRowDxfId="32567"/>
    <tableColumn id="336" xr3:uid="{A87310F5-E70E-4682-9D55-9505EF851F4C}" name="Column322" dataDxfId="32566" totalsRowDxfId="32565"/>
    <tableColumn id="337" xr3:uid="{4573A0F0-923B-4CC4-832B-E3D98232F0DA}" name="Column323" dataDxfId="32564" totalsRowDxfId="32563"/>
    <tableColumn id="338" xr3:uid="{F3923E95-654C-44E4-BA0A-5A3E90218179}" name="Column324" dataDxfId="32562" totalsRowDxfId="32561"/>
    <tableColumn id="339" xr3:uid="{A877422A-CE4C-4D16-9979-AD784F448220}" name="Column325" dataDxfId="32560" totalsRowDxfId="32559"/>
    <tableColumn id="340" xr3:uid="{309C5E45-453E-4B9A-9D3F-5643089978A5}" name="Column326" dataDxfId="32558" totalsRowDxfId="32557"/>
    <tableColumn id="341" xr3:uid="{2E0E90E1-967E-4DDD-935A-8C2068A97245}" name="Column327" dataDxfId="32556" totalsRowDxfId="32555"/>
    <tableColumn id="342" xr3:uid="{42BD78B0-305C-46A8-AE79-3AFC04AACE49}" name="Column328" dataDxfId="32554" totalsRowDxfId="32553"/>
    <tableColumn id="343" xr3:uid="{27881D63-ADAD-4632-8CAA-52B0E710DBCF}" name="Column329" dataDxfId="32552" totalsRowDxfId="32551"/>
    <tableColumn id="344" xr3:uid="{125E8C6D-7574-439E-8E22-A2CC4C22302B}" name="Column330" dataDxfId="32550" totalsRowDxfId="32549"/>
    <tableColumn id="345" xr3:uid="{ADAF43B1-EAC7-4072-B0B4-21A8A7277578}" name="Column331" dataDxfId="32548" totalsRowDxfId="32547"/>
    <tableColumn id="346" xr3:uid="{73354901-BA6F-496F-8285-FBDEF7A9AAAC}" name="Column332" dataDxfId="32546" totalsRowDxfId="32545"/>
    <tableColumn id="347" xr3:uid="{FE43854A-7A42-48C4-9BFB-B928ADA83486}" name="Column333" dataDxfId="32544" totalsRowDxfId="32543"/>
    <tableColumn id="348" xr3:uid="{DF886B99-E8E7-42FD-857C-9B30AEA2154B}" name="Column334" dataDxfId="32542" totalsRowDxfId="32541"/>
    <tableColumn id="349" xr3:uid="{7AEA5548-C670-4EAC-8594-BC417EAC49A6}" name="Column335" dataDxfId="32540" totalsRowDxfId="32539"/>
    <tableColumn id="350" xr3:uid="{2D1BCA8E-61AB-4B66-BBAD-6D05A8AD5AF8}" name="Column336" dataDxfId="32538" totalsRowDxfId="32537"/>
    <tableColumn id="351" xr3:uid="{E4536B53-E79B-4E38-A767-4346ADBD3518}" name="Column337" dataDxfId="32536" totalsRowDxfId="32535"/>
    <tableColumn id="352" xr3:uid="{BF1FF7BF-2A4A-4225-AD2C-F68DA08B9FE2}" name="Column338" dataDxfId="32534" totalsRowDxfId="32533"/>
    <tableColumn id="353" xr3:uid="{04E0C354-B5F0-4099-B627-CAB972C9EFE2}" name="Column339" dataDxfId="32532" totalsRowDxfId="32531"/>
    <tableColumn id="354" xr3:uid="{E1C0ED39-53F7-48D3-AA60-6D998AC736E9}" name="Column340" dataDxfId="32530" totalsRowDxfId="32529"/>
    <tableColumn id="355" xr3:uid="{FFA6D609-2853-4D9D-A2B3-13118CDCD283}" name="Column341" dataDxfId="32528" totalsRowDxfId="32527"/>
    <tableColumn id="356" xr3:uid="{0894B5C6-63B7-4597-9E5C-D9DEF1D7C912}" name="Column342" dataDxfId="32526" totalsRowDxfId="32525"/>
    <tableColumn id="357" xr3:uid="{09F0A0F6-61D4-4F57-ADC7-F6AF20F57664}" name="Column343" dataDxfId="32524" totalsRowDxfId="32523"/>
    <tableColumn id="358" xr3:uid="{62841D66-DD5E-4269-AA44-B2CABA4E83E6}" name="Column344" dataDxfId="32522" totalsRowDxfId="32521"/>
    <tableColumn id="359" xr3:uid="{D93EE51E-64F6-4324-BF19-1D410B27DF42}" name="Column345" dataDxfId="32520" totalsRowDxfId="32519"/>
    <tableColumn id="360" xr3:uid="{6732808F-15C7-4F7A-9B93-97471D25F6A7}" name="Column346" dataDxfId="32518" totalsRowDxfId="32517"/>
    <tableColumn id="361" xr3:uid="{BB9D1ED8-7843-4EF1-BF41-23B1A9AF5953}" name="Column347" dataDxfId="32516" totalsRowDxfId="32515"/>
    <tableColumn id="362" xr3:uid="{E8D1FC36-81AC-4560-BC6B-470D56ED4880}" name="Column348" dataDxfId="32514" totalsRowDxfId="32513"/>
    <tableColumn id="363" xr3:uid="{67B6036E-D137-4070-9416-A8D722BC4A12}" name="Column349" dataDxfId="32512" totalsRowDxfId="32511"/>
    <tableColumn id="364" xr3:uid="{78FF3141-87B2-4601-B6FE-FCBC536B2584}" name="Column350" dataDxfId="32510" totalsRowDxfId="32509"/>
    <tableColumn id="365" xr3:uid="{9EF7F346-A1FE-46C1-ADF4-FECAAA7151A0}" name="Column351" dataDxfId="32508" totalsRowDxfId="32507"/>
    <tableColumn id="366" xr3:uid="{79B44B63-9049-4279-9789-B88C704767D6}" name="Column352" dataDxfId="32506" totalsRowDxfId="32505"/>
    <tableColumn id="367" xr3:uid="{A31A7CCD-2F6A-4399-905B-FC4C4688A354}" name="Column353" dataDxfId="32504" totalsRowDxfId="32503"/>
    <tableColumn id="368" xr3:uid="{EBB52FFB-AF31-499D-A9B1-920BA34F7421}" name="Column354" dataDxfId="32502" totalsRowDxfId="32501"/>
    <tableColumn id="369" xr3:uid="{0A7832E2-54D0-4D68-860E-B441083F98B9}" name="Column355" dataDxfId="32500" totalsRowDxfId="32499"/>
    <tableColumn id="370" xr3:uid="{5250720B-07B7-4713-BB9A-92BD609B1633}" name="Column356" dataDxfId="32498" totalsRowDxfId="32497"/>
    <tableColumn id="371" xr3:uid="{AB7644F1-5862-46C3-934D-4526BCD3AF6E}" name="Column357" dataDxfId="32496" totalsRowDxfId="32495"/>
    <tableColumn id="372" xr3:uid="{EA7F720C-E852-40CD-AF1C-472044BB1CBC}" name="Column358" dataDxfId="32494" totalsRowDxfId="32493"/>
    <tableColumn id="373" xr3:uid="{C0E292FD-758C-4860-B350-F4D149EBCB22}" name="Column359" dataDxfId="32492" totalsRowDxfId="32491"/>
    <tableColumn id="374" xr3:uid="{23A676CD-3FA7-49E7-A67D-E6546C0B0233}" name="Column360" dataDxfId="32490" totalsRowDxfId="32489"/>
    <tableColumn id="375" xr3:uid="{C2E80CC9-6681-429D-BFD2-46D2D67667BB}" name="Column361" dataDxfId="32488" totalsRowDxfId="32487"/>
    <tableColumn id="376" xr3:uid="{7923ECB6-CA1D-44B1-9A5F-209816DDA375}" name="Column362" dataDxfId="32486" totalsRowDxfId="32485"/>
    <tableColumn id="377" xr3:uid="{FA88D10E-6A08-4477-A70C-3C0A01442777}" name="Column363" dataDxfId="32484" totalsRowDxfId="32483"/>
    <tableColumn id="378" xr3:uid="{83877CDB-9C54-47F4-86D6-A9C9E06B4FD0}" name="Column364" dataDxfId="32482" totalsRowDxfId="32481"/>
    <tableColumn id="379" xr3:uid="{98DB2654-A902-427D-B79E-DD997CFB0958}" name="Column365" dataDxfId="32480" totalsRowDxfId="32479"/>
    <tableColumn id="380" xr3:uid="{8D6A870E-3648-4B8D-BFE9-862B2AF1F5C0}" name="Column366" dataDxfId="32478" totalsRowDxfId="32477"/>
    <tableColumn id="381" xr3:uid="{D670A27C-FA3C-4FE5-8C6F-D07C04297BED}" name="Column367" dataDxfId="32476" totalsRowDxfId="32475"/>
    <tableColumn id="382" xr3:uid="{FD00E3A4-A5DB-4D1E-9292-E88F10790625}" name="Column368" dataDxfId="32474" totalsRowDxfId="32473"/>
    <tableColumn id="383" xr3:uid="{F5A0066D-9389-4FAF-9056-204E4D0E8C48}" name="Column369" dataDxfId="32472" totalsRowDxfId="32471"/>
    <tableColumn id="384" xr3:uid="{A19E2FF6-5EEE-45FB-808A-0273BA076F0C}" name="Column370" dataDxfId="32470" totalsRowDxfId="32469"/>
    <tableColumn id="385" xr3:uid="{C3812416-8C78-4DC3-96F0-EF2EFFA2210F}" name="Column371" dataDxfId="32468" totalsRowDxfId="32467"/>
    <tableColumn id="386" xr3:uid="{C5D5299F-C5C2-4C6C-A985-677BB877435D}" name="Column372" dataDxfId="32466" totalsRowDxfId="32465"/>
    <tableColumn id="387" xr3:uid="{3BC848F6-CC81-4AE0-92D1-75F832DBAAC1}" name="Column373" dataDxfId="32464" totalsRowDxfId="32463"/>
    <tableColumn id="388" xr3:uid="{283D6323-A34D-4C2C-A77F-E3F3BF0169CB}" name="Column374" dataDxfId="32462" totalsRowDxfId="32461"/>
    <tableColumn id="389" xr3:uid="{764486FA-5526-4498-90BE-26071E787E90}" name="Column375" dataDxfId="32460" totalsRowDxfId="32459"/>
    <tableColumn id="390" xr3:uid="{4A712F4E-881E-40C5-A6F2-034F6145EADF}" name="Column376" dataDxfId="32458" totalsRowDxfId="32457"/>
    <tableColumn id="391" xr3:uid="{4D4A495B-2C1F-49A3-9C29-3500F1D4D600}" name="Column377" dataDxfId="32456" totalsRowDxfId="32455"/>
    <tableColumn id="392" xr3:uid="{E9F306A5-7C31-451A-9596-407309FB234F}" name="Column378" dataDxfId="32454" totalsRowDxfId="32453"/>
    <tableColumn id="393" xr3:uid="{A374A69A-AAE7-442A-B456-F79DB1EF3A72}" name="Column379" dataDxfId="32452" totalsRowDxfId="32451"/>
    <tableColumn id="394" xr3:uid="{15C1FD70-0928-4812-BA95-82669DEBB6CA}" name="Column380" dataDxfId="32450" totalsRowDxfId="32449"/>
    <tableColumn id="395" xr3:uid="{5672FA9B-BADE-4645-9059-6E8FEA4495A3}" name="Column381" dataDxfId="32448" totalsRowDxfId="32447"/>
    <tableColumn id="396" xr3:uid="{01B96272-F534-4A1E-B638-83319FA335CB}" name="Column382" dataDxfId="32446" totalsRowDxfId="32445"/>
    <tableColumn id="397" xr3:uid="{75B27447-D843-4EAE-AC04-D7F20AF7F92F}" name="Column383" dataDxfId="32444" totalsRowDxfId="32443"/>
    <tableColumn id="398" xr3:uid="{EF78E1BA-0548-4AB3-A9E5-9CFB762A05D6}" name="Column384" dataDxfId="32442" totalsRowDxfId="32441"/>
    <tableColumn id="399" xr3:uid="{BDF46092-D755-4F34-BAD1-67DF93220D0D}" name="Column385" dataDxfId="32440" totalsRowDxfId="32439"/>
    <tableColumn id="400" xr3:uid="{0A2E176A-F371-449F-A9DE-9C80B0E02A45}" name="Column386" dataDxfId="32438" totalsRowDxfId="32437"/>
    <tableColumn id="401" xr3:uid="{C244065A-395F-4DCC-B450-DFBACEB46841}" name="Column387" dataDxfId="32436" totalsRowDxfId="32435"/>
    <tableColumn id="402" xr3:uid="{DBAE69E6-1F6E-42D0-A990-7C5CFD69482C}" name="Column388" dataDxfId="32434" totalsRowDxfId="32433"/>
    <tableColumn id="403" xr3:uid="{D1DD795F-1C1D-42D7-9483-63455B1FB26E}" name="Column389" dataDxfId="32432" totalsRowDxfId="32431"/>
    <tableColumn id="404" xr3:uid="{FA4E6EF2-9A44-4622-9BE0-993B6A66AFF6}" name="Column390" dataDxfId="32430" totalsRowDxfId="32429"/>
    <tableColumn id="405" xr3:uid="{ADD79F51-36DF-49FF-9898-BC216CCA27BC}" name="Column391" dataDxfId="32428" totalsRowDxfId="32427"/>
    <tableColumn id="406" xr3:uid="{7BBEBCE8-8E2C-4468-8728-C138F555EDBA}" name="Column392" dataDxfId="32426" totalsRowDxfId="32425"/>
    <tableColumn id="407" xr3:uid="{B85387E9-E7F5-4349-9476-C4640EF2D0ED}" name="Column393" dataDxfId="32424" totalsRowDxfId="32423"/>
    <tableColumn id="408" xr3:uid="{17175938-7CB2-45DD-989F-DD6D077B7EBF}" name="Column394" dataDxfId="32422" totalsRowDxfId="32421"/>
    <tableColumn id="409" xr3:uid="{96D999A6-392C-40C0-8EC9-48FD5C3A59CB}" name="Column395" dataDxfId="32420" totalsRowDxfId="32419"/>
    <tableColumn id="410" xr3:uid="{7DF3D276-DA32-47AD-ACC0-36737A31542E}" name="Column396" dataDxfId="32418" totalsRowDxfId="32417"/>
    <tableColumn id="411" xr3:uid="{98CEA71B-04FE-431B-9D9A-C4160EE88FED}" name="Column397" dataDxfId="32416" totalsRowDxfId="32415"/>
    <tableColumn id="412" xr3:uid="{BD2A0D56-6056-4AB3-9023-9B08810F6CB4}" name="Column398" dataDxfId="32414" totalsRowDxfId="32413"/>
    <tableColumn id="413" xr3:uid="{06A99E0C-B0A8-4090-99EA-E97C1A262D1F}" name="Column399" dataDxfId="32412" totalsRowDxfId="32411"/>
    <tableColumn id="414" xr3:uid="{A0B31D3B-082B-4443-ADF4-CEAD71B2E71A}" name="Column400" dataDxfId="32410" totalsRowDxfId="32409"/>
    <tableColumn id="415" xr3:uid="{E367C1ED-5637-432B-B556-0BA793FB37F2}" name="Column401" dataDxfId="32408" totalsRowDxfId="32407"/>
    <tableColumn id="416" xr3:uid="{8BEA0D3F-8229-44AA-B298-758834A3BAB1}" name="Column402" dataDxfId="32406" totalsRowDxfId="32405"/>
    <tableColumn id="417" xr3:uid="{2BB3A8CD-4DA2-42D0-8A96-8479157CFCC2}" name="Column403" dataDxfId="32404" totalsRowDxfId="32403"/>
    <tableColumn id="418" xr3:uid="{6BBDDC7A-D2FE-4BFF-9868-F6CFA01D2A03}" name="Column404" dataDxfId="32402" totalsRowDxfId="32401"/>
    <tableColumn id="419" xr3:uid="{371EE852-6938-436D-9FF8-C463351E7CBF}" name="Column405" dataDxfId="32400" totalsRowDxfId="32399"/>
    <tableColumn id="420" xr3:uid="{A2BC0636-5F18-4E8F-92E5-2082E8F9FD66}" name="Column406" dataDxfId="32398" totalsRowDxfId="32397"/>
    <tableColumn id="421" xr3:uid="{5F8F1E40-1279-4710-AD41-188DA0B8216B}" name="Column407" dataDxfId="32396" totalsRowDxfId="32395"/>
    <tableColumn id="422" xr3:uid="{D6B196E3-A934-4A48-95B2-8F31F75CDF4F}" name="Column408" dataDxfId="32394" totalsRowDxfId="32393"/>
    <tableColumn id="423" xr3:uid="{51CE3254-73C9-4959-95D7-6F80E895A258}" name="Column409" dataDxfId="32392" totalsRowDxfId="32391"/>
    <tableColumn id="424" xr3:uid="{FDFD15CB-AD3D-453E-AD3D-6112EC18F62F}" name="Column410" dataDxfId="32390" totalsRowDxfId="32389"/>
    <tableColumn id="425" xr3:uid="{58323839-1455-48BB-8B34-4BC9FE98C3F4}" name="Column411" dataDxfId="32388" totalsRowDxfId="32387"/>
    <tableColumn id="426" xr3:uid="{6EF456FE-3EAE-441A-B759-EEC4397C4197}" name="Column412" dataDxfId="32386" totalsRowDxfId="32385"/>
    <tableColumn id="427" xr3:uid="{716FF2B8-7B6A-4CC6-B9F1-212784EE8A91}" name="Column413" dataDxfId="32384" totalsRowDxfId="32383"/>
    <tableColumn id="428" xr3:uid="{6ACA2E11-BD41-4FEF-8AB0-B331452A0035}" name="Column414" dataDxfId="32382" totalsRowDxfId="32381"/>
    <tableColumn id="429" xr3:uid="{94DDE1D8-5503-426A-9E08-D765490E9ACF}" name="Column415" dataDxfId="32380" totalsRowDxfId="32379"/>
    <tableColumn id="430" xr3:uid="{CD3EE12D-19C7-482F-9FE6-4E8EE8E41E5C}" name="Column416" dataDxfId="32378" totalsRowDxfId="32377"/>
    <tableColumn id="431" xr3:uid="{EDCB8C6C-D661-4404-A80E-F065061D1854}" name="Column417" dataDxfId="32376" totalsRowDxfId="32375"/>
    <tableColumn id="432" xr3:uid="{46432859-57B7-447F-B58F-E8D82D97C0FF}" name="Column418" dataDxfId="32374" totalsRowDxfId="32373"/>
    <tableColumn id="433" xr3:uid="{200CD14D-FF14-4534-A4D7-9B53CBE5A91B}" name="Column419" dataDxfId="32372" totalsRowDxfId="32371"/>
    <tableColumn id="434" xr3:uid="{CD1A484B-20DD-42E7-8A11-184B0B82104A}" name="Column420" dataDxfId="32370" totalsRowDxfId="32369"/>
    <tableColumn id="435" xr3:uid="{20F78274-F53D-4692-ACAB-07528D68D773}" name="Column421" dataDxfId="32368" totalsRowDxfId="32367"/>
    <tableColumn id="436" xr3:uid="{C67C1E87-AA5A-4B66-9122-A01273421C17}" name="Column422" dataDxfId="32366" totalsRowDxfId="32365"/>
    <tableColumn id="437" xr3:uid="{FA9DC6DA-835E-4F8F-961A-FD2589657281}" name="Column423" dataDxfId="32364" totalsRowDxfId="32363"/>
    <tableColumn id="438" xr3:uid="{C0CAAD52-155D-42E6-BB9E-0413DCA1D8E1}" name="Column424" dataDxfId="32362" totalsRowDxfId="32361"/>
    <tableColumn id="439" xr3:uid="{4E5F03C9-BE05-41DE-BF7E-899566B2B00F}" name="Column425" dataDxfId="32360" totalsRowDxfId="32359"/>
    <tableColumn id="440" xr3:uid="{FD27E217-977F-4EE5-873B-D23650464AB9}" name="Column426" dataDxfId="32358" totalsRowDxfId="32357"/>
    <tableColumn id="441" xr3:uid="{B234D41B-042B-486D-9D89-079E54AA8A5E}" name="Column427" dataDxfId="32356" totalsRowDxfId="32355"/>
    <tableColumn id="442" xr3:uid="{AE328DAA-FCB8-4579-85EC-3257AF70266A}" name="Column428" dataDxfId="32354" totalsRowDxfId="32353"/>
    <tableColumn id="443" xr3:uid="{97AACF00-B5A7-46A5-9384-4FFA7C5CA143}" name="Column429" dataDxfId="32352" totalsRowDxfId="32351"/>
    <tableColumn id="444" xr3:uid="{86A00BDB-F7F0-4F08-9860-F664DF75916B}" name="Column430" dataDxfId="32350" totalsRowDxfId="32349"/>
    <tableColumn id="445" xr3:uid="{3D7D1ECC-93A4-456A-9040-73EEA8BEC90A}" name="Column431" dataDxfId="32348" totalsRowDxfId="32347"/>
    <tableColumn id="446" xr3:uid="{76D201B3-6E14-41AD-AAC5-1C7EA30FA8DC}" name="Column432" dataDxfId="32346" totalsRowDxfId="32345"/>
    <tableColumn id="447" xr3:uid="{0B08D377-E636-43ED-A135-EEA07C952E5B}" name="Column433" dataDxfId="32344" totalsRowDxfId="32343"/>
    <tableColumn id="448" xr3:uid="{9C39F50A-51E9-4592-946F-841D15B1E693}" name="Column434" dataDxfId="32342" totalsRowDxfId="32341"/>
    <tableColumn id="449" xr3:uid="{9DEF0D7D-B768-470D-87AD-D6040C22508E}" name="Column435" dataDxfId="32340" totalsRowDxfId="32339"/>
    <tableColumn id="450" xr3:uid="{4D7509DD-86F8-4011-B978-8A4DC5273AE1}" name="Column436" dataDxfId="32338" totalsRowDxfId="32337"/>
    <tableColumn id="451" xr3:uid="{47B2A525-85F1-4174-9AC2-B7BA8C9BED56}" name="Column437" dataDxfId="32336" totalsRowDxfId="32335"/>
    <tableColumn id="452" xr3:uid="{DC09C61D-96B8-4EF9-91FE-C8760062AB9C}" name="Column438" dataDxfId="32334" totalsRowDxfId="32333"/>
    <tableColumn id="453" xr3:uid="{E8918215-C604-44CF-91D8-C01D8AD81594}" name="Column439" dataDxfId="32332" totalsRowDxfId="32331"/>
    <tableColumn id="454" xr3:uid="{54A15B7B-9C66-4431-9C4F-C475B621BEAD}" name="Column440" dataDxfId="32330" totalsRowDxfId="32329"/>
    <tableColumn id="455" xr3:uid="{D461039B-D2C8-4AE8-9944-714A63EAE09D}" name="Column441" dataDxfId="32328" totalsRowDxfId="32327"/>
    <tableColumn id="456" xr3:uid="{D582FF54-79B6-4978-9432-AFC46C4132FE}" name="Column442" dataDxfId="32326" totalsRowDxfId="32325"/>
    <tableColumn id="457" xr3:uid="{B5AE4147-886C-47E9-B0C9-E6DF6400DBAA}" name="Column443" dataDxfId="32324" totalsRowDxfId="32323"/>
    <tableColumn id="458" xr3:uid="{8123CE65-C1D2-4AAE-851E-410DDB20D7EC}" name="Column444" dataDxfId="32322" totalsRowDxfId="32321"/>
    <tableColumn id="459" xr3:uid="{BDFA52D0-5928-4CE9-B7CC-17C7F57676D8}" name="Column445" dataDxfId="32320" totalsRowDxfId="32319"/>
    <tableColumn id="460" xr3:uid="{57CA018D-45E6-4919-9153-EDDCA30E6126}" name="Column446" dataDxfId="32318" totalsRowDxfId="32317"/>
    <tableColumn id="461" xr3:uid="{961270C1-1488-4B8C-9B22-D081D4D0130D}" name="Column447" dataDxfId="32316" totalsRowDxfId="32315"/>
    <tableColumn id="462" xr3:uid="{941B3C63-256D-4551-A93C-B11E16FB4569}" name="Column448" dataDxfId="32314" totalsRowDxfId="32313"/>
    <tableColumn id="463" xr3:uid="{BDC694F9-5637-49B0-BE8B-B3CDA0EBC1DB}" name="Column449" dataDxfId="32312" totalsRowDxfId="32311"/>
    <tableColumn id="464" xr3:uid="{055FF7C8-846C-44AA-8EA1-5328EC197444}" name="Column450" dataDxfId="32310" totalsRowDxfId="32309"/>
    <tableColumn id="465" xr3:uid="{F0767B55-6442-4283-9E89-30F27A7EE4BD}" name="Column451" dataDxfId="32308" totalsRowDxfId="32307"/>
    <tableColumn id="466" xr3:uid="{7E5DF2D8-A362-45AA-BACB-CE01C2A4F6DB}" name="Column452" dataDxfId="32306" totalsRowDxfId="32305"/>
    <tableColumn id="467" xr3:uid="{F44CF2C9-4101-4B71-8BC4-438F74C97FD3}" name="Column453" dataDxfId="32304" totalsRowDxfId="32303"/>
    <tableColumn id="468" xr3:uid="{6F5B692B-C85B-46BA-B5F4-5F61705EB73A}" name="Column454" dataDxfId="32302" totalsRowDxfId="32301"/>
    <tableColumn id="469" xr3:uid="{EB88B2AB-A366-4303-9EAA-19EFD53BAAFC}" name="Column455" dataDxfId="32300" totalsRowDxfId="32299"/>
    <tableColumn id="470" xr3:uid="{AA7A7FCB-0D8B-4C83-9752-594A2FA2A431}" name="Column456" dataDxfId="32298" totalsRowDxfId="32297"/>
    <tableColumn id="471" xr3:uid="{F821E8F8-FE8C-4544-99B1-F824D079C636}" name="Column457" dataDxfId="32296" totalsRowDxfId="32295"/>
    <tableColumn id="472" xr3:uid="{5CDFFB49-AF19-40B3-8933-7B8886AB24F3}" name="Column458" dataDxfId="32294" totalsRowDxfId="32293"/>
    <tableColumn id="473" xr3:uid="{A728C48F-8677-4BE9-A834-A67A8488E6DF}" name="Column459" dataDxfId="32292" totalsRowDxfId="32291"/>
    <tableColumn id="474" xr3:uid="{BD88F8EA-BF5A-4C6C-972C-36182C72AD97}" name="Column460" dataDxfId="32290" totalsRowDxfId="32289"/>
    <tableColumn id="475" xr3:uid="{4ACA10C5-2BBB-413F-B14A-9A01DACDDDCC}" name="Column461" dataDxfId="32288" totalsRowDxfId="32287"/>
    <tableColumn id="476" xr3:uid="{D314C02F-B75C-43AD-AD4D-6FE8B82BE87F}" name="Column462" dataDxfId="32286" totalsRowDxfId="32285"/>
    <tableColumn id="477" xr3:uid="{E9D8C2A4-735D-44ED-8D72-DDDE5F3C806E}" name="Column463" dataDxfId="32284" totalsRowDxfId="32283"/>
    <tableColumn id="478" xr3:uid="{7AB0F0E2-12CD-4DD2-A30F-8FC289E070C2}" name="Column464" dataDxfId="32282" totalsRowDxfId="32281"/>
    <tableColumn id="479" xr3:uid="{D28EE8B1-2491-49B6-B2A8-109773593DD0}" name="Column465" dataDxfId="32280" totalsRowDxfId="32279"/>
    <tableColumn id="480" xr3:uid="{D61EAD93-8635-4EF9-9160-BD29D14C2629}" name="Column466" dataDxfId="32278" totalsRowDxfId="32277"/>
    <tableColumn id="481" xr3:uid="{EA91CA29-5CB9-43C1-BA8A-0214237CD75F}" name="Column467" dataDxfId="32276" totalsRowDxfId="32275"/>
    <tableColumn id="482" xr3:uid="{ED104233-80F1-4D30-AE4E-FE7826DB3BBD}" name="Column468" dataDxfId="32274" totalsRowDxfId="32273"/>
    <tableColumn id="483" xr3:uid="{17177C34-1CCA-461C-ACC3-71272B3E90FD}" name="Column469" dataDxfId="32272" totalsRowDxfId="32271"/>
    <tableColumn id="484" xr3:uid="{88BE9787-8F50-4BDB-A6F8-0531DCBE5B07}" name="Column470" dataDxfId="32270" totalsRowDxfId="32269"/>
    <tableColumn id="485" xr3:uid="{79A4043F-BDEA-4D24-835D-0759FF3B8425}" name="Column471" dataDxfId="32268" totalsRowDxfId="32267"/>
    <tableColumn id="486" xr3:uid="{B8657CFA-3F0B-4F41-8E99-21D29B662124}" name="Column472" dataDxfId="32266" totalsRowDxfId="32265"/>
    <tableColumn id="487" xr3:uid="{69CFDD2D-1EA4-421A-B589-9A2E1139C1AA}" name="Column473" dataDxfId="32264" totalsRowDxfId="32263"/>
    <tableColumn id="488" xr3:uid="{DBA77B8C-6D82-448D-8FB0-00E9D958E23E}" name="Column474" dataDxfId="32262" totalsRowDxfId="32261"/>
    <tableColumn id="489" xr3:uid="{FBF754A7-786E-4C32-91E8-875DD23785F9}" name="Column475" dataDxfId="32260" totalsRowDxfId="32259"/>
    <tableColumn id="490" xr3:uid="{4127B589-EA34-4216-ABA4-E7575F2EF5F5}" name="Column476" dataDxfId="32258" totalsRowDxfId="32257"/>
    <tableColumn id="491" xr3:uid="{54570923-6FBF-410D-B18F-689A4336EDA2}" name="Column477" dataDxfId="32256" totalsRowDxfId="32255"/>
    <tableColumn id="492" xr3:uid="{1ADB8708-EA72-4A22-B64C-D5DA86FD04F7}" name="Column478" dataDxfId="32254" totalsRowDxfId="32253"/>
    <tableColumn id="493" xr3:uid="{0628940C-5E7F-4942-BFBD-221BF11AF127}" name="Column479" dataDxfId="32252" totalsRowDxfId="32251"/>
    <tableColumn id="494" xr3:uid="{F0C996E0-E206-4E3F-9506-CBE1B1824306}" name="Column480" dataDxfId="32250" totalsRowDxfId="32249"/>
    <tableColumn id="495" xr3:uid="{946B9C46-BF5E-490B-867F-CCB15A6D72BB}" name="Column481" dataDxfId="32248" totalsRowDxfId="32247"/>
    <tableColumn id="496" xr3:uid="{3B24606C-17B4-476E-BC91-E5B7BCDB57C8}" name="Column482" dataDxfId="32246" totalsRowDxfId="32245"/>
    <tableColumn id="497" xr3:uid="{2C0E7608-B493-44E6-B60C-6A924A07A5CE}" name="Column483" dataDxfId="32244" totalsRowDxfId="32243"/>
    <tableColumn id="498" xr3:uid="{DAB4D08A-AB1D-48E3-9EB5-A77BA21CBD34}" name="Column484" dataDxfId="32242" totalsRowDxfId="32241"/>
    <tableColumn id="499" xr3:uid="{48F3FC36-0A39-460F-A445-8459A6DDCC43}" name="Column485" dataDxfId="32240" totalsRowDxfId="32239"/>
    <tableColumn id="500" xr3:uid="{D4109816-4CFE-494C-BC98-CB3BFD951198}" name="Column486" dataDxfId="32238" totalsRowDxfId="32237"/>
    <tableColumn id="501" xr3:uid="{6945FB9D-096D-4696-8F3D-F74D65AA0B84}" name="Column487" dataDxfId="32236" totalsRowDxfId="32235"/>
    <tableColumn id="502" xr3:uid="{1A6424A1-DDDA-45D6-82B6-3E3FEC9C3567}" name="Column488" dataDxfId="32234" totalsRowDxfId="32233"/>
    <tableColumn id="503" xr3:uid="{0828C992-1DCA-4D45-82D6-14D70CEFAEE5}" name="Column489" dataDxfId="32232" totalsRowDxfId="32231"/>
    <tableColumn id="504" xr3:uid="{9015E42D-D25F-4131-BDDD-17E7BEBD8850}" name="Column490" dataDxfId="32230" totalsRowDxfId="32229"/>
    <tableColumn id="505" xr3:uid="{DD53114A-4557-42DD-8B03-3176F9182049}" name="Column491" dataDxfId="32228" totalsRowDxfId="32227"/>
    <tableColumn id="506" xr3:uid="{8C723742-D06F-4E77-832B-615B856D2818}" name="Column492" dataDxfId="32226" totalsRowDxfId="32225"/>
    <tableColumn id="507" xr3:uid="{0A75D5A8-D7F3-4E46-BF9C-0CB41F51A8F6}" name="Column493" dataDxfId="32224" totalsRowDxfId="32223"/>
    <tableColumn id="508" xr3:uid="{FA45A4DE-09B2-4E61-BE16-0AF1B518D044}" name="Column494" dataDxfId="32222" totalsRowDxfId="32221"/>
    <tableColumn id="509" xr3:uid="{6B9D014F-A801-4012-AA31-704887B2A843}" name="Column495" dataDxfId="32220" totalsRowDxfId="32219"/>
    <tableColumn id="510" xr3:uid="{872063E1-2874-4C02-ACAA-06BEE17C7CD5}" name="Column496" dataDxfId="32218" totalsRowDxfId="32217"/>
    <tableColumn id="511" xr3:uid="{23C0AEA9-B0F3-41D1-8819-4F571AFEF16A}" name="Column497" dataDxfId="32216" totalsRowDxfId="32215"/>
    <tableColumn id="512" xr3:uid="{217308CB-EF87-4677-BF00-64ED1CBF2853}" name="Column498" dataDxfId="32214" totalsRowDxfId="32213"/>
    <tableColumn id="513" xr3:uid="{222E68FD-4502-4267-99D1-C8736D57FAA0}" name="Column499" dataDxfId="32212" totalsRowDxfId="32211"/>
    <tableColumn id="514" xr3:uid="{7CB090CB-4738-46ED-A11F-4D06E42003C5}" name="Column500" dataDxfId="32210" totalsRowDxfId="32209"/>
    <tableColumn id="515" xr3:uid="{DD830ADA-BAA7-4DE5-870D-7838D7AE808D}" name="Column501" dataDxfId="32208" totalsRowDxfId="32207"/>
    <tableColumn id="516" xr3:uid="{12C5B10D-6BD8-4D63-ACB2-6A2DF29473AC}" name="Column502" dataDxfId="32206" totalsRowDxfId="32205"/>
    <tableColumn id="517" xr3:uid="{B01F4493-7519-4902-81C2-9DC54741932C}" name="Column503" dataDxfId="32204" totalsRowDxfId="32203"/>
    <tableColumn id="518" xr3:uid="{53A1EAE8-EB17-4621-A9B7-FD9764512325}" name="Column504" dataDxfId="32202" totalsRowDxfId="32201"/>
    <tableColumn id="519" xr3:uid="{4C7FECEB-72F3-4045-806D-C1771584BF25}" name="Column505" dataDxfId="32200" totalsRowDxfId="32199"/>
    <tableColumn id="520" xr3:uid="{FFEC72D2-1857-470D-B82B-7B7B96828835}" name="Column506" dataDxfId="32198" totalsRowDxfId="32197"/>
    <tableColumn id="521" xr3:uid="{F1F67B41-47F9-4296-AC6E-850045B53938}" name="Column507" dataDxfId="32196" totalsRowDxfId="32195"/>
    <tableColumn id="522" xr3:uid="{353F1EFC-1053-458C-A73E-8C8EF9E15E87}" name="Column508" dataDxfId="32194" totalsRowDxfId="32193"/>
    <tableColumn id="523" xr3:uid="{38B2A49B-0FC6-477E-87A0-74E4391B73C0}" name="Column509" dataDxfId="32192" totalsRowDxfId="32191"/>
    <tableColumn id="524" xr3:uid="{6CE2A04F-A778-4370-9C23-C7DB611B6995}" name="Column510" dataDxfId="32190" totalsRowDxfId="32189"/>
    <tableColumn id="525" xr3:uid="{66EAA58B-25B6-408A-BA80-A2C1E8BDBC1B}" name="Column511" dataDxfId="32188" totalsRowDxfId="32187"/>
    <tableColumn id="526" xr3:uid="{6897EA8A-232A-4031-A9A7-B2E1B64534CB}" name="Column512" dataDxfId="32186" totalsRowDxfId="32185"/>
    <tableColumn id="527" xr3:uid="{BAE03BBA-5A30-42E6-8092-3662AAC1468E}" name="Column513" dataDxfId="32184" totalsRowDxfId="32183"/>
    <tableColumn id="528" xr3:uid="{6F5F02F5-C0B5-4A7D-AEA2-5311A0FF415E}" name="Column514" dataDxfId="32182" totalsRowDxfId="32181"/>
    <tableColumn id="529" xr3:uid="{2CA15E93-91FA-4B14-8E7A-C0FBE4CD192A}" name="Column515" dataDxfId="32180" totalsRowDxfId="32179"/>
    <tableColumn id="530" xr3:uid="{E608EA39-13E7-49A4-8707-41BE658DC2A8}" name="Column516" dataDxfId="32178" totalsRowDxfId="32177"/>
    <tableColumn id="531" xr3:uid="{4BAF182F-35A5-4D29-95B8-3C7371DA37C4}" name="Column517" dataDxfId="32176" totalsRowDxfId="32175"/>
    <tableColumn id="532" xr3:uid="{438BF7E3-CDBF-47FD-9B25-5F57840D11D4}" name="Column518" dataDxfId="32174" totalsRowDxfId="32173"/>
    <tableColumn id="533" xr3:uid="{FEB6F640-D0A4-4115-AEB5-E12ADB7D2FC1}" name="Column519" dataDxfId="32172" totalsRowDxfId="32171"/>
    <tableColumn id="534" xr3:uid="{0CE8A09B-EF1C-49E9-866D-9BB04FA95C39}" name="Column520" dataDxfId="32170" totalsRowDxfId="32169"/>
    <tableColumn id="535" xr3:uid="{9F62711B-E25F-4EEC-9B88-5AE5E5FF2216}" name="Column521" dataDxfId="32168" totalsRowDxfId="32167"/>
    <tableColumn id="536" xr3:uid="{2A379782-71A5-496D-92D6-0FDA05D3ABA6}" name="Column522" dataDxfId="32166" totalsRowDxfId="32165"/>
    <tableColumn id="537" xr3:uid="{D66FFE01-6916-42FE-9B8D-02AE4646B069}" name="Column523" dataDxfId="32164" totalsRowDxfId="32163"/>
    <tableColumn id="538" xr3:uid="{BDE988FB-9011-42A3-ACC8-318A1655045E}" name="Column524" dataDxfId="32162" totalsRowDxfId="32161"/>
    <tableColumn id="539" xr3:uid="{ADEA1B07-9A9B-49F4-AF69-46AEA2BC2ED4}" name="Column525" dataDxfId="32160" totalsRowDxfId="32159"/>
    <tableColumn id="540" xr3:uid="{EE4B71A3-F3E3-47D7-9D19-51BC33437CAC}" name="Column526" dataDxfId="32158" totalsRowDxfId="32157"/>
    <tableColumn id="541" xr3:uid="{76057505-E476-45CE-AAA4-E491DF746E39}" name="Column527" dataDxfId="32156" totalsRowDxfId="32155"/>
    <tableColumn id="542" xr3:uid="{504BFD8F-CE89-4AF4-9E83-61D98B8B3A67}" name="Column528" dataDxfId="32154" totalsRowDxfId="32153"/>
    <tableColumn id="543" xr3:uid="{FD914CBE-D4A8-4619-9BD1-7D06AEBD685D}" name="Column529" dataDxfId="32152" totalsRowDxfId="32151"/>
    <tableColumn id="544" xr3:uid="{7E95B894-9F7C-40E3-AC3C-D59E36A29AB7}" name="Column530" dataDxfId="32150" totalsRowDxfId="32149"/>
    <tableColumn id="545" xr3:uid="{48D00EA3-3749-4C13-B448-E7E3DD8FAB27}" name="Column531" dataDxfId="32148" totalsRowDxfId="32147"/>
    <tableColumn id="546" xr3:uid="{671C1B31-D592-473F-B54C-DD68E79F3747}" name="Column532" dataDxfId="32146" totalsRowDxfId="32145"/>
    <tableColumn id="547" xr3:uid="{7249BE19-870D-48E3-B466-D6A7AA632FF7}" name="Column533" dataDxfId="32144" totalsRowDxfId="32143"/>
    <tableColumn id="548" xr3:uid="{9DDB5065-93B1-4AEC-A701-B17B5C4B8A47}" name="Column534" dataDxfId="32142" totalsRowDxfId="32141"/>
    <tableColumn id="549" xr3:uid="{E5728877-98FC-47B2-BF51-5E884A048D02}" name="Column535" dataDxfId="32140" totalsRowDxfId="32139"/>
    <tableColumn id="550" xr3:uid="{2AE8521F-A644-4551-BA99-94E20480E8C6}" name="Column536" dataDxfId="32138" totalsRowDxfId="32137"/>
    <tableColumn id="551" xr3:uid="{BD87852C-CA93-4B86-A13E-AABBF984319B}" name="Column537" dataDxfId="32136" totalsRowDxfId="32135"/>
    <tableColumn id="552" xr3:uid="{3BECF560-E061-41B8-A387-A546BD8FB399}" name="Column538" dataDxfId="32134" totalsRowDxfId="32133"/>
    <tableColumn id="553" xr3:uid="{D9B571A0-0E50-498A-854A-AD044F2470AA}" name="Column539" dataDxfId="32132" totalsRowDxfId="32131"/>
    <tableColumn id="554" xr3:uid="{37782605-D889-4669-9A89-4118A38B286A}" name="Column540" dataDxfId="32130" totalsRowDxfId="32129"/>
    <tableColumn id="555" xr3:uid="{B247FFE3-A0CF-45E4-B623-AD369FBBC69E}" name="Column541" dataDxfId="32128" totalsRowDxfId="32127"/>
    <tableColumn id="556" xr3:uid="{14E3E829-9608-432B-BFFE-C078A3E846DD}" name="Column542" dataDxfId="32126" totalsRowDxfId="32125"/>
    <tableColumn id="557" xr3:uid="{65B6AF26-DB17-40BF-8AF9-7254D1244E81}" name="Column543" dataDxfId="32124" totalsRowDxfId="32123"/>
    <tableColumn id="558" xr3:uid="{0EDFB27B-7374-44FE-BA78-BFDC1E1A2DBD}" name="Column544" dataDxfId="32122" totalsRowDxfId="32121"/>
    <tableColumn id="559" xr3:uid="{1758DAC8-53E1-4042-BE0D-C16AF0516ABB}" name="Column545" dataDxfId="32120" totalsRowDxfId="32119"/>
    <tableColumn id="560" xr3:uid="{7E676FCA-E1B7-4EE9-B9AA-A013462E6D7C}" name="Column546" dataDxfId="32118" totalsRowDxfId="32117"/>
    <tableColumn id="561" xr3:uid="{D0A249A9-D5B2-4614-B557-A3DE4952277F}" name="Column547" dataDxfId="32116" totalsRowDxfId="32115"/>
    <tableColumn id="562" xr3:uid="{3B4D7C32-ECCF-4079-876D-8550B08F64A0}" name="Column548" dataDxfId="32114" totalsRowDxfId="32113"/>
    <tableColumn id="563" xr3:uid="{5530A458-3AB5-4E15-B472-AB56C96AF462}" name="Column549" dataDxfId="32112" totalsRowDxfId="32111"/>
    <tableColumn id="564" xr3:uid="{1D7A7D07-7874-4874-99C7-50B26390C553}" name="Column550" dataDxfId="32110" totalsRowDxfId="32109"/>
    <tableColumn id="565" xr3:uid="{B9324780-891E-4546-BD8B-AFCD61DDC5D0}" name="Column551" dataDxfId="32108" totalsRowDxfId="32107"/>
    <tableColumn id="566" xr3:uid="{243192FA-DB41-436A-958C-9D9DFBEF4850}" name="Column552" dataDxfId="32106" totalsRowDxfId="32105"/>
    <tableColumn id="567" xr3:uid="{0ED711F9-F875-4C39-AFC1-9172AF0F8433}" name="Column553" dataDxfId="32104" totalsRowDxfId="32103"/>
    <tableColumn id="568" xr3:uid="{638E44A4-24C2-46B7-86AD-026984CD6B1A}" name="Column554" dataDxfId="32102" totalsRowDxfId="32101"/>
    <tableColumn id="569" xr3:uid="{7989C8C5-D131-436C-858E-7371A022597D}" name="Column555" dataDxfId="32100" totalsRowDxfId="32099"/>
    <tableColumn id="570" xr3:uid="{56FFF241-A22A-4C35-B3A0-10B2E1072FF8}" name="Column556" dataDxfId="32098" totalsRowDxfId="32097"/>
    <tableColumn id="571" xr3:uid="{6248C127-553F-49C1-9022-2D24FBE7258E}" name="Column557" dataDxfId="32096" totalsRowDxfId="32095"/>
    <tableColumn id="572" xr3:uid="{39F1C1AA-C825-4C25-B1ED-3B9FEF3202B4}" name="Column558" dataDxfId="32094" totalsRowDxfId="32093"/>
    <tableColumn id="573" xr3:uid="{4E606D54-F159-4902-B0C1-C64C5BD79A5C}" name="Column559" dataDxfId="32092" totalsRowDxfId="32091"/>
    <tableColumn id="574" xr3:uid="{F7CF88A6-ACB4-4846-9566-AA5142599848}" name="Column560" dataDxfId="32090" totalsRowDxfId="32089"/>
    <tableColumn id="575" xr3:uid="{EF93C7D0-0EDA-4B3A-930A-4218FE3434B3}" name="Column561" dataDxfId="32088" totalsRowDxfId="32087"/>
    <tableColumn id="576" xr3:uid="{0CF7C52F-81C2-4162-A662-395ADD3DE30B}" name="Column562" dataDxfId="32086" totalsRowDxfId="32085"/>
    <tableColumn id="577" xr3:uid="{2598A737-034B-4976-B047-06D7D3A425B4}" name="Column563" dataDxfId="32084" totalsRowDxfId="32083"/>
    <tableColumn id="578" xr3:uid="{50EC3C20-0448-4468-8DB9-F22805525EFE}" name="Column564" dataDxfId="32082" totalsRowDxfId="32081"/>
    <tableColumn id="579" xr3:uid="{D45CD995-3D8C-4AD5-9537-152B8BD43E2D}" name="Column565" dataDxfId="32080" totalsRowDxfId="32079"/>
    <tableColumn id="580" xr3:uid="{76909D6D-2832-4B07-A5DA-04138F41F0D4}" name="Column566" dataDxfId="32078" totalsRowDxfId="32077"/>
    <tableColumn id="581" xr3:uid="{1F477C7E-B477-45E8-B315-943EBD2D74F5}" name="Column567" dataDxfId="32076" totalsRowDxfId="32075"/>
    <tableColumn id="582" xr3:uid="{41B6700C-E87D-4BC3-8F73-FC70C4BDE3D0}" name="Column568" dataDxfId="32074" totalsRowDxfId="32073"/>
    <tableColumn id="583" xr3:uid="{AB8DCE48-E560-4454-9186-C29EED7C6B7D}" name="Column569" dataDxfId="32072" totalsRowDxfId="32071"/>
    <tableColumn id="584" xr3:uid="{670630F9-46C9-40FA-85C1-1CCFB09A500B}" name="Column570" dataDxfId="32070" totalsRowDxfId="32069"/>
    <tableColumn id="585" xr3:uid="{A154BCCE-2D7E-4CF1-986A-4D604BAB6B89}" name="Column571" dataDxfId="32068" totalsRowDxfId="32067"/>
    <tableColumn id="586" xr3:uid="{D9D8D6FC-C701-4CD9-B5A6-7898F06E9AC2}" name="Column572" dataDxfId="32066" totalsRowDxfId="32065"/>
    <tableColumn id="587" xr3:uid="{6BAFD8FC-5F1F-456B-AA9F-32A7F320CF05}" name="Column573" dataDxfId="32064" totalsRowDxfId="32063"/>
    <tableColumn id="588" xr3:uid="{8B5E27DF-74B0-447F-8423-979F7F10469A}" name="Column574" dataDxfId="32062" totalsRowDxfId="32061"/>
    <tableColumn id="589" xr3:uid="{4DC7A147-D334-4989-8394-BC181E615A56}" name="Column575" dataDxfId="32060" totalsRowDxfId="32059"/>
    <tableColumn id="590" xr3:uid="{5A64EED8-3BB3-457B-844F-03E0BB65D8BF}" name="Column576" dataDxfId="32058" totalsRowDxfId="32057"/>
    <tableColumn id="591" xr3:uid="{29B4C988-A979-4B1B-B645-0DF47B0755B8}" name="Column577" dataDxfId="32056" totalsRowDxfId="32055"/>
    <tableColumn id="592" xr3:uid="{6AA0771A-F305-4DC4-BEA2-53377911EDFC}" name="Column578" dataDxfId="32054" totalsRowDxfId="32053"/>
    <tableColumn id="593" xr3:uid="{247D1715-56F1-4FD6-AE18-905B4162AEA3}" name="Column579" dataDxfId="32052" totalsRowDxfId="32051"/>
    <tableColumn id="594" xr3:uid="{EC80A649-EFF4-46D7-912D-53DE9887841E}" name="Column580" dataDxfId="32050" totalsRowDxfId="32049"/>
    <tableColumn id="595" xr3:uid="{C99479EC-E3E4-4BB4-B4D3-27AF4560F23D}" name="Column581" dataDxfId="32048" totalsRowDxfId="32047"/>
    <tableColumn id="596" xr3:uid="{13C394AA-6EEC-4B66-8980-A9083A557D2E}" name="Column582" dataDxfId="32046" totalsRowDxfId="32045"/>
    <tableColumn id="597" xr3:uid="{732A26CF-33B6-4BF4-A862-3A6D4EE93FEF}" name="Column583" dataDxfId="32044" totalsRowDxfId="32043"/>
    <tableColumn id="598" xr3:uid="{419CF1D6-258D-45F8-8C9C-87DF24504929}" name="Column584" dataDxfId="32042" totalsRowDxfId="32041"/>
    <tableColumn id="599" xr3:uid="{B8ED1002-199F-4B68-B2FC-C36142682177}" name="Column585" dataDxfId="32040" totalsRowDxfId="32039"/>
    <tableColumn id="600" xr3:uid="{7F091213-A84E-4350-BADA-7344D3130E02}" name="Column586" dataDxfId="32038" totalsRowDxfId="32037"/>
    <tableColumn id="601" xr3:uid="{E346A5A8-E0B7-4F79-BA6E-B23E95A1EB56}" name="Column587" dataDxfId="32036" totalsRowDxfId="32035"/>
    <tableColumn id="602" xr3:uid="{9B5709CC-9CE7-4C0A-A638-FF9D74A51B5A}" name="Column588" dataDxfId="32034" totalsRowDxfId="32033"/>
    <tableColumn id="603" xr3:uid="{F1438651-1759-4207-9FCD-555BB18997C9}" name="Column589" dataDxfId="32032" totalsRowDxfId="32031"/>
    <tableColumn id="604" xr3:uid="{A3EF6652-4BD3-4B4A-90EC-AAD5742F3E43}" name="Column590" dataDxfId="32030" totalsRowDxfId="32029"/>
    <tableColumn id="605" xr3:uid="{9AA5EE91-9872-4065-B2CF-D5A3772653ED}" name="Column591" dataDxfId="32028" totalsRowDxfId="32027"/>
    <tableColumn id="606" xr3:uid="{D3867FF6-40E9-48A8-BC2F-6E71A9F5FEDC}" name="Column592" dataDxfId="32026" totalsRowDxfId="32025"/>
    <tableColumn id="607" xr3:uid="{B6B772C0-6836-4306-A570-A9118149383D}" name="Column593" dataDxfId="32024" totalsRowDxfId="32023"/>
    <tableColumn id="608" xr3:uid="{4A1C53DC-9E8F-43DF-8B3A-F36A953F8A29}" name="Column594" dataDxfId="32022" totalsRowDxfId="32021"/>
    <tableColumn id="609" xr3:uid="{E78F7F88-C3AB-4817-A0CA-A0EDC09783BE}" name="Column595" dataDxfId="32020" totalsRowDxfId="32019"/>
    <tableColumn id="610" xr3:uid="{39901D9C-6579-4474-BED3-A277C810D0E7}" name="Column596" dataDxfId="32018" totalsRowDxfId="32017"/>
    <tableColumn id="611" xr3:uid="{4E409470-CB7D-4008-82D2-FEC86A100CAA}" name="Column597" dataDxfId="32016" totalsRowDxfId="32015"/>
    <tableColumn id="612" xr3:uid="{5615E3BD-2F45-4E29-98A1-BCFDCB5C3CD6}" name="Column598" dataDxfId="32014" totalsRowDxfId="32013"/>
    <tableColumn id="613" xr3:uid="{9E27DCA6-7C36-49C6-A16B-E2B81E18EB1B}" name="Column599" dataDxfId="32012" totalsRowDxfId="32011"/>
    <tableColumn id="614" xr3:uid="{747B3D6E-15DD-495A-AF67-C737E9D36A60}" name="Column600" dataDxfId="32010" totalsRowDxfId="32009"/>
    <tableColumn id="615" xr3:uid="{0B8A10B7-6380-42F8-8B91-DF92E7AEFD70}" name="Column601" dataDxfId="32008" totalsRowDxfId="32007"/>
    <tableColumn id="616" xr3:uid="{FA6E8A3E-337B-46ED-845D-B90AC38C7C2D}" name="Column602" dataDxfId="32006" totalsRowDxfId="32005"/>
    <tableColumn id="617" xr3:uid="{D56310DB-63D4-45FB-B348-7D94B6A70461}" name="Column603" dataDxfId="32004" totalsRowDxfId="32003"/>
    <tableColumn id="618" xr3:uid="{9BF9B0D4-CC6E-497C-8489-CF2CA32CC764}" name="Column604" dataDxfId="32002" totalsRowDxfId="32001"/>
    <tableColumn id="619" xr3:uid="{84A65175-F95C-4BC9-AE28-DEF81589E3AF}" name="Column605" dataDxfId="32000" totalsRowDxfId="31999"/>
    <tableColumn id="620" xr3:uid="{27CDBA88-561D-43E6-AA52-FE2694D0308C}" name="Column606" dataDxfId="31998" totalsRowDxfId="31997"/>
    <tableColumn id="621" xr3:uid="{DECC02B4-D6D6-41E6-B323-8E2E4F31F5D2}" name="Column607" dataDxfId="31996" totalsRowDxfId="31995"/>
    <tableColumn id="622" xr3:uid="{0AC26280-C75A-49EE-A049-D4F389881CFB}" name="Column608" dataDxfId="31994" totalsRowDxfId="31993"/>
    <tableColumn id="623" xr3:uid="{5FC96768-E4DB-4B00-951D-6FDD3C33D805}" name="Column609" dataDxfId="31992" totalsRowDxfId="31991"/>
    <tableColumn id="624" xr3:uid="{D92F3941-79BF-4E31-BD89-581869456D83}" name="Column610" dataDxfId="31990" totalsRowDxfId="31989"/>
    <tableColumn id="625" xr3:uid="{08FF3075-AF21-49F4-AB97-59B0A977DDD5}" name="Column611" dataDxfId="31988" totalsRowDxfId="31987"/>
    <tableColumn id="626" xr3:uid="{58358433-4058-498D-8FB8-20A3B7139B52}" name="Column612" dataDxfId="31986" totalsRowDxfId="31985"/>
    <tableColumn id="627" xr3:uid="{7E207DDF-6EB2-4F57-AE6D-09A462E51190}" name="Column613" dataDxfId="31984" totalsRowDxfId="31983"/>
    <tableColumn id="628" xr3:uid="{F177B882-CF33-4C13-9EFA-AFD5F3A7135A}" name="Column614" dataDxfId="31982" totalsRowDxfId="31981"/>
    <tableColumn id="629" xr3:uid="{D28DA7DF-8956-4537-A23C-2BB1FDE486AE}" name="Column615" dataDxfId="31980" totalsRowDxfId="31979"/>
    <tableColumn id="630" xr3:uid="{31ED5257-9240-4D02-AC5D-8B610E06922E}" name="Column616" dataDxfId="31978" totalsRowDxfId="31977"/>
    <tableColumn id="631" xr3:uid="{C90BA867-6B3E-48A9-A3AE-CFD7781C442D}" name="Column617" dataDxfId="31976" totalsRowDxfId="31975"/>
    <tableColumn id="632" xr3:uid="{73AC5B04-0A34-4CA4-A292-E48AFBBF80C5}" name="Column618" dataDxfId="31974" totalsRowDxfId="31973"/>
    <tableColumn id="633" xr3:uid="{A4BA800B-69A3-4671-8CC4-1E435C9535ED}" name="Column619" dataDxfId="31972" totalsRowDxfId="31971"/>
    <tableColumn id="634" xr3:uid="{5B7E2301-EBEF-49B3-B450-93236E7CA29F}" name="Column620" dataDxfId="31970" totalsRowDxfId="31969"/>
    <tableColumn id="635" xr3:uid="{4E9A0EB3-4DC4-40A8-8DDF-F3074E787292}" name="Column621" dataDxfId="31968" totalsRowDxfId="31967"/>
    <tableColumn id="636" xr3:uid="{342F29B5-CAD0-4B72-8E91-92D5142D4FAE}" name="Column622" dataDxfId="31966" totalsRowDxfId="31965"/>
    <tableColumn id="637" xr3:uid="{C1BA550E-D5CD-40EC-B1B7-CFF146071B30}" name="Column623" dataDxfId="31964" totalsRowDxfId="31963"/>
    <tableColumn id="638" xr3:uid="{E0027895-DDDC-4080-B3C3-01194905F21F}" name="Column624" dataDxfId="31962" totalsRowDxfId="31961"/>
    <tableColumn id="639" xr3:uid="{3C6F33E8-2022-4120-8567-ECC536B41AC0}" name="Column625" dataDxfId="31960" totalsRowDxfId="31959"/>
    <tableColumn id="640" xr3:uid="{A30F126F-2CBF-49E6-89DE-BB4FC1AB8680}" name="Column626" dataDxfId="31958" totalsRowDxfId="31957"/>
    <tableColumn id="641" xr3:uid="{F2476A0B-80D3-44BB-987A-82A4FFD9AB30}" name="Column627" dataDxfId="31956" totalsRowDxfId="31955"/>
    <tableColumn id="642" xr3:uid="{043D11D5-2F35-488E-8B2D-817028F90DD7}" name="Column628" dataDxfId="31954" totalsRowDxfId="31953"/>
    <tableColumn id="643" xr3:uid="{0E5CDF4D-E1B2-44A2-9BC7-37C837AEB4D6}" name="Column629" dataDxfId="31952" totalsRowDxfId="31951"/>
    <tableColumn id="644" xr3:uid="{D97580D1-D6AF-40F6-9097-BE7D47F54168}" name="Column630" dataDxfId="31950" totalsRowDxfId="31949"/>
    <tableColumn id="645" xr3:uid="{D0400CD2-7FDD-41F3-8E0C-4CFE51DA40BF}" name="Column631" dataDxfId="31948" totalsRowDxfId="31947"/>
    <tableColumn id="646" xr3:uid="{877AE7C8-AA92-4AE2-8850-573BC06AA6A5}" name="Column632" dataDxfId="31946" totalsRowDxfId="31945"/>
    <tableColumn id="647" xr3:uid="{88875B04-29E3-4909-8F77-8DC9C6245D05}" name="Column633" dataDxfId="31944" totalsRowDxfId="31943"/>
    <tableColumn id="648" xr3:uid="{5F5118D1-2B8F-4775-A76F-FED68223B257}" name="Column634" dataDxfId="31942" totalsRowDxfId="31941"/>
    <tableColumn id="649" xr3:uid="{6E510459-5F2C-4F19-BFC1-D7160F614DDC}" name="Column635" dataDxfId="31940" totalsRowDxfId="31939"/>
    <tableColumn id="650" xr3:uid="{7A9D7AF7-8A93-41B9-9EA9-41078C75F8CE}" name="Column636" dataDxfId="31938" totalsRowDxfId="31937"/>
    <tableColumn id="651" xr3:uid="{F50054DD-988A-46BC-AFA1-445633956457}" name="Column637" dataDxfId="31936" totalsRowDxfId="31935"/>
    <tableColumn id="652" xr3:uid="{BC9ABF94-90D1-4EED-BBEE-5579A42B3B7F}" name="Column638" dataDxfId="31934" totalsRowDxfId="31933"/>
    <tableColumn id="653" xr3:uid="{E7D3AFA8-7F31-4C6A-9B0A-96414B173381}" name="Column639" dataDxfId="31932" totalsRowDxfId="31931"/>
    <tableColumn id="654" xr3:uid="{5B97419E-FB23-4005-9838-4873580CAEF9}" name="Column640" dataDxfId="31930" totalsRowDxfId="31929"/>
    <tableColumn id="655" xr3:uid="{20BE8242-4ED3-414D-AFD6-CC7127706ADD}" name="Column641" dataDxfId="31928" totalsRowDxfId="31927"/>
    <tableColumn id="656" xr3:uid="{CBD8C297-9CB7-4114-AF84-6AFB788795A8}" name="Column642" dataDxfId="31926" totalsRowDxfId="31925"/>
    <tableColumn id="657" xr3:uid="{1A81E7DA-25B5-46DE-8538-D6F22086C703}" name="Column643" dataDxfId="31924" totalsRowDxfId="31923"/>
    <tableColumn id="658" xr3:uid="{9B41B109-5141-41C9-9A2A-A8F907C6AA6A}" name="Column644" dataDxfId="31922" totalsRowDxfId="31921"/>
    <tableColumn id="659" xr3:uid="{A745A735-3B60-4673-B3D7-F00C378A00C0}" name="Column645" dataDxfId="31920" totalsRowDxfId="31919"/>
    <tableColumn id="660" xr3:uid="{C38DB12D-4633-4AB6-B311-F6526BAE275D}" name="Column646" dataDxfId="31918" totalsRowDxfId="31917"/>
    <tableColumn id="661" xr3:uid="{EF218805-4485-4EA1-981A-077935E50DDB}" name="Column647" dataDxfId="31916" totalsRowDxfId="31915"/>
    <tableColumn id="662" xr3:uid="{38D93CFD-08FB-4E0B-93F0-0AE42FF04536}" name="Column648" dataDxfId="31914" totalsRowDxfId="31913"/>
    <tableColumn id="663" xr3:uid="{F146608E-96A6-4501-A03F-415A63BB5B97}" name="Column649" dataDxfId="31912" totalsRowDxfId="31911"/>
    <tableColumn id="664" xr3:uid="{512E813A-4AD8-40C2-949B-C3126D693B4E}" name="Column650" dataDxfId="31910" totalsRowDxfId="31909"/>
    <tableColumn id="665" xr3:uid="{799E0906-EF41-4467-8BC0-484360E6F8C7}" name="Column651" dataDxfId="31908" totalsRowDxfId="31907"/>
    <tableColumn id="666" xr3:uid="{A898928D-4866-4D12-BBE6-4E1E6A378FE6}" name="Column652" dataDxfId="31906" totalsRowDxfId="31905"/>
    <tableColumn id="667" xr3:uid="{B126F10C-98A9-4669-B280-725D0FCB6A8E}" name="Column653" dataDxfId="31904" totalsRowDxfId="31903"/>
    <tableColumn id="668" xr3:uid="{F11FF084-38EF-4FE9-AA1E-F966CADB84BD}" name="Column654" dataDxfId="31902" totalsRowDxfId="31901"/>
    <tableColumn id="669" xr3:uid="{A038667F-BB8A-4A7C-B23E-862B651B0180}" name="Column655" dataDxfId="31900" totalsRowDxfId="31899"/>
    <tableColumn id="670" xr3:uid="{800A95F0-4F27-40F4-A596-D38CE6164F25}" name="Column656" dataDxfId="31898" totalsRowDxfId="31897"/>
    <tableColumn id="671" xr3:uid="{3DDEA7C2-AA3E-489D-B42A-717B481BD83B}" name="Column657" dataDxfId="31896" totalsRowDxfId="31895"/>
    <tableColumn id="672" xr3:uid="{94303AEB-6E95-4D21-A54B-7048682D9688}" name="Column658" dataDxfId="31894" totalsRowDxfId="31893"/>
    <tableColumn id="673" xr3:uid="{200E7043-0EF4-4D1A-B824-DC9438625177}" name="Column659" dataDxfId="31892" totalsRowDxfId="31891"/>
    <tableColumn id="674" xr3:uid="{C21F82C1-2A40-45FF-B530-7DCAABA34612}" name="Column660" dataDxfId="31890" totalsRowDxfId="31889"/>
    <tableColumn id="675" xr3:uid="{3421EF2E-EC8E-4842-8251-1F5363E31BB8}" name="Column661" dataDxfId="31888" totalsRowDxfId="31887"/>
    <tableColumn id="676" xr3:uid="{81EF233C-2EB2-4CCE-8B97-C4A9C16D70C1}" name="Column662" dataDxfId="31886" totalsRowDxfId="31885"/>
    <tableColumn id="677" xr3:uid="{2BB40076-34B0-4A85-BCA2-37A678DB46A5}" name="Column663" dataDxfId="31884" totalsRowDxfId="31883"/>
    <tableColumn id="678" xr3:uid="{0087DDC5-3F98-4B22-9571-8E014738B88D}" name="Column664" dataDxfId="31882" totalsRowDxfId="31881"/>
    <tableColumn id="679" xr3:uid="{27DB7DDB-3B15-47A5-A809-D35D5974183E}" name="Column665" dataDxfId="31880" totalsRowDxfId="31879"/>
    <tableColumn id="680" xr3:uid="{152BD06E-6A7C-4879-93BA-305839359406}" name="Column666" dataDxfId="31878" totalsRowDxfId="31877"/>
    <tableColumn id="681" xr3:uid="{B7F554A8-4B67-417F-A768-3601ABF0679D}" name="Column667" dataDxfId="31876" totalsRowDxfId="31875"/>
    <tableColumn id="682" xr3:uid="{8EC13F42-4B80-40AF-8988-4D8C44D8A196}" name="Column668" dataDxfId="31874" totalsRowDxfId="31873"/>
    <tableColumn id="683" xr3:uid="{5D0A2624-8B45-476A-A11F-A372737EE2A2}" name="Column669" dataDxfId="31872" totalsRowDxfId="31871"/>
    <tableColumn id="684" xr3:uid="{F331E6AF-28B0-49DF-A023-588A7838C5B0}" name="Column670" dataDxfId="31870" totalsRowDxfId="31869"/>
    <tableColumn id="685" xr3:uid="{6967CF3A-9A8A-470D-B0B3-617E9DC453B2}" name="Column671" dataDxfId="31868" totalsRowDxfId="31867"/>
    <tableColumn id="686" xr3:uid="{53259E86-7A58-4C09-A672-8B4BBF569BAA}" name="Column672" dataDxfId="31866" totalsRowDxfId="31865"/>
    <tableColumn id="687" xr3:uid="{C1B2E3E1-5C53-435E-9FFA-7666880F447B}" name="Column673" dataDxfId="31864" totalsRowDxfId="31863"/>
    <tableColumn id="688" xr3:uid="{1F31BB4E-02DC-40A0-8D26-0C09A63F18CC}" name="Column674" dataDxfId="31862" totalsRowDxfId="31861"/>
    <tableColumn id="689" xr3:uid="{53B5C8BA-35C9-47C0-8FFE-867BE75B49DC}" name="Column675" dataDxfId="31860" totalsRowDxfId="31859"/>
    <tableColumn id="690" xr3:uid="{0EE8F4B8-F6F4-4467-9B66-C1BA26C6EA01}" name="Column676" dataDxfId="31858" totalsRowDxfId="31857"/>
    <tableColumn id="691" xr3:uid="{3042102F-E375-4198-8C6B-80C7D5A3189E}" name="Column677" dataDxfId="31856" totalsRowDxfId="31855"/>
    <tableColumn id="692" xr3:uid="{3CD61970-E8B1-4862-A2C3-300DEF980D70}" name="Column678" dataDxfId="31854" totalsRowDxfId="31853"/>
    <tableColumn id="693" xr3:uid="{DD0A7522-3D25-4401-8E24-B5298E3D8AB7}" name="Column679" dataDxfId="31852" totalsRowDxfId="31851"/>
    <tableColumn id="694" xr3:uid="{EA5ABF3E-C2EF-4C02-BAB6-C79298B48F79}" name="Column680" dataDxfId="31850" totalsRowDxfId="31849"/>
    <tableColumn id="695" xr3:uid="{ABFBED1C-19F7-486A-A048-1347F1D69B5C}" name="Column681" dataDxfId="31848" totalsRowDxfId="31847"/>
    <tableColumn id="696" xr3:uid="{09E4C74A-C094-4788-BDA0-A99C7FB6955B}" name="Column682" dataDxfId="31846" totalsRowDxfId="31845"/>
    <tableColumn id="697" xr3:uid="{DE188EF6-A351-4FDB-861A-75387EAD8D5C}" name="Column683" dataDxfId="31844" totalsRowDxfId="31843"/>
    <tableColumn id="698" xr3:uid="{01C136E1-3672-48B1-811F-62223A2551EC}" name="Column684" dataDxfId="31842" totalsRowDxfId="31841"/>
    <tableColumn id="699" xr3:uid="{A3451C71-48A3-4CCF-B012-6F5A6DB60535}" name="Column685" dataDxfId="31840" totalsRowDxfId="31839"/>
    <tableColumn id="700" xr3:uid="{94803B5D-FBA8-4CF3-82D7-E9ED15FF2E40}" name="Column686" dataDxfId="31838" totalsRowDxfId="31837"/>
    <tableColumn id="701" xr3:uid="{649AB315-EF2E-4CC2-B4F9-1E60536A0C6E}" name="Column687" dataDxfId="31836" totalsRowDxfId="31835"/>
    <tableColumn id="702" xr3:uid="{9D71976D-CE65-4083-B498-25C7C676EC4B}" name="Column688" dataDxfId="31834" totalsRowDxfId="31833"/>
    <tableColumn id="703" xr3:uid="{DB0A6F42-A1ED-4EAB-BA73-25D440930347}" name="Column689" dataDxfId="31832" totalsRowDxfId="31831"/>
    <tableColumn id="704" xr3:uid="{E1BB1DA6-F234-4BBB-98B9-FAB8D8FF05C3}" name="Column690" dataDxfId="31830" totalsRowDxfId="31829"/>
    <tableColumn id="705" xr3:uid="{CE901714-8083-46E0-9257-968EB2AE837B}" name="Column691" dataDxfId="31828" totalsRowDxfId="31827"/>
    <tableColumn id="706" xr3:uid="{9E1E0EB7-1DB4-4DBA-9229-241CDFAC2044}" name="Column692" dataDxfId="31826" totalsRowDxfId="31825"/>
    <tableColumn id="707" xr3:uid="{3F5A1D78-EBC0-452F-AAEF-C6E2AD450C6C}" name="Column693" dataDxfId="31824" totalsRowDxfId="31823"/>
    <tableColumn id="708" xr3:uid="{F556531A-D9FD-4337-8159-FC9324648A13}" name="Column694" dataDxfId="31822" totalsRowDxfId="31821"/>
    <tableColumn id="709" xr3:uid="{7D57E513-57FD-437D-9C6C-75032EAF2248}" name="Column695" dataDxfId="31820" totalsRowDxfId="31819"/>
    <tableColumn id="710" xr3:uid="{C377D368-9129-43C7-BBBA-B89F8A0536B9}" name="Column696" dataDxfId="31818" totalsRowDxfId="31817"/>
    <tableColumn id="711" xr3:uid="{CACCEFA4-721E-4180-94AC-1E7D563C7120}" name="Column697" dataDxfId="31816" totalsRowDxfId="31815"/>
    <tableColumn id="712" xr3:uid="{F7D25E70-B68C-4295-AF52-452CD8870CAE}" name="Column698" dataDxfId="31814" totalsRowDxfId="31813"/>
    <tableColumn id="713" xr3:uid="{A339EF5D-849C-4995-B0C2-410A65C99440}" name="Column699" dataDxfId="31812" totalsRowDxfId="31811"/>
    <tableColumn id="714" xr3:uid="{1FEB487D-FEF9-4F49-B080-859E3BC85131}" name="Column700" dataDxfId="31810" totalsRowDxfId="31809"/>
    <tableColumn id="715" xr3:uid="{4D7DFBBE-6C5B-45A5-B02D-87E485804010}" name="Column701" dataDxfId="31808" totalsRowDxfId="31807"/>
    <tableColumn id="716" xr3:uid="{2812114F-4B85-43F7-B7D9-A496EA8BCB17}" name="Column702" dataDxfId="31806" totalsRowDxfId="31805"/>
    <tableColumn id="717" xr3:uid="{6F4A1A5C-B728-4696-B030-52B8BD805884}" name="Column703" dataDxfId="31804" totalsRowDxfId="31803"/>
    <tableColumn id="718" xr3:uid="{E98799CA-FB7C-4B3E-B902-ABDB3F008463}" name="Column704" dataDxfId="31802" totalsRowDxfId="31801"/>
    <tableColumn id="719" xr3:uid="{ED3EB162-8663-43AE-9586-F0F5BC37B36B}" name="Column705" dataDxfId="31800" totalsRowDxfId="31799"/>
    <tableColumn id="720" xr3:uid="{67A50D4E-35E5-4FDC-91F1-749642692547}" name="Column706" dataDxfId="31798" totalsRowDxfId="31797"/>
    <tableColumn id="721" xr3:uid="{ADC5A4F3-FEA4-47CE-924C-EE6FFD4BC48E}" name="Column707" dataDxfId="31796" totalsRowDxfId="31795"/>
    <tableColumn id="722" xr3:uid="{914ABF9E-740F-47FF-9E3B-22A3C4F6C82C}" name="Column708" dataDxfId="31794" totalsRowDxfId="31793"/>
    <tableColumn id="723" xr3:uid="{F9E2C2AC-D5E8-47AB-BD94-338C96EC4F9E}" name="Column709" dataDxfId="31792" totalsRowDxfId="31791"/>
    <tableColumn id="724" xr3:uid="{A79D6383-FB03-4353-B822-E887B11A8AFD}" name="Column710" dataDxfId="31790" totalsRowDxfId="31789"/>
    <tableColumn id="725" xr3:uid="{BBC09EA7-3D3C-4EC7-B388-C0D1BAD75FB0}" name="Column711" dataDxfId="31788" totalsRowDxfId="31787"/>
    <tableColumn id="726" xr3:uid="{76DBF7B9-858B-4EEF-A6BF-F6D54F363E9C}" name="Column712" dataDxfId="31786" totalsRowDxfId="31785"/>
    <tableColumn id="727" xr3:uid="{5A26510F-ACD3-4768-BA66-7A560D4818D0}" name="Column713" dataDxfId="31784" totalsRowDxfId="31783"/>
    <tableColumn id="728" xr3:uid="{A47456E7-66DF-4727-BCCA-FC8D3A008853}" name="Column714" dataDxfId="31782" totalsRowDxfId="31781"/>
    <tableColumn id="729" xr3:uid="{BB29B75E-CEE4-4AF7-AAAD-25BB0A9BB6B3}" name="Column715" dataDxfId="31780" totalsRowDxfId="31779"/>
    <tableColumn id="730" xr3:uid="{C21FA2CF-E135-4C3C-961D-C6B82EA01BB3}" name="Column716" dataDxfId="31778" totalsRowDxfId="31777"/>
    <tableColumn id="731" xr3:uid="{B0DF9DCD-9A40-4DC4-BCB1-061AEC487AAB}" name="Column717" dataDxfId="31776" totalsRowDxfId="31775"/>
    <tableColumn id="732" xr3:uid="{D6F1D4A2-08D3-4D2F-8659-8E63D924459B}" name="Column718" dataDxfId="31774" totalsRowDxfId="31773"/>
    <tableColumn id="733" xr3:uid="{47FB98E9-BBD1-416F-863E-AC28E3043D82}" name="Column719" dataDxfId="31772" totalsRowDxfId="31771"/>
    <tableColumn id="734" xr3:uid="{D23B9EBE-ADBB-4B3E-9EF7-DE41877AB2CA}" name="Column720" dataDxfId="31770" totalsRowDxfId="31769"/>
    <tableColumn id="735" xr3:uid="{AD5F12FE-A548-44B7-8393-DE9C4B8CCC53}" name="Column721" dataDxfId="31768" totalsRowDxfId="31767"/>
    <tableColumn id="736" xr3:uid="{3C7184DE-78D9-46A4-A64C-837F195F06CA}" name="Column722" dataDxfId="31766" totalsRowDxfId="31765"/>
    <tableColumn id="737" xr3:uid="{36D12202-2C01-4F61-9041-50F6EB85CBBC}" name="Column723" dataDxfId="31764" totalsRowDxfId="31763"/>
    <tableColumn id="738" xr3:uid="{F9654FFB-0752-4C53-8A09-DE74C6E7A78F}" name="Column724" dataDxfId="31762" totalsRowDxfId="31761"/>
    <tableColumn id="739" xr3:uid="{D073427C-8F64-4F4F-959F-88275D35212A}" name="Column725" dataDxfId="31760" totalsRowDxfId="31759"/>
    <tableColumn id="740" xr3:uid="{9CE1539E-05C5-474C-8F6A-07F832C72D97}" name="Column726" dataDxfId="31758" totalsRowDxfId="31757"/>
    <tableColumn id="741" xr3:uid="{E615CF0A-2B76-499B-8162-98AA4AB9BEED}" name="Column727" dataDxfId="31756" totalsRowDxfId="31755"/>
    <tableColumn id="742" xr3:uid="{92735EC1-2454-4871-A21B-35E0C9E65138}" name="Column728" dataDxfId="31754" totalsRowDxfId="31753"/>
    <tableColumn id="743" xr3:uid="{7A2A716C-A202-41AF-847E-CAF1C195A444}" name="Column729" dataDxfId="31752" totalsRowDxfId="31751"/>
    <tableColumn id="744" xr3:uid="{5F5EB49B-32DB-4D6C-BB33-C4A4B3998469}" name="Column730" dataDxfId="31750" totalsRowDxfId="31749"/>
    <tableColumn id="745" xr3:uid="{CAAAC02F-CEA4-4723-BEB9-244AA16C4372}" name="Column731" dataDxfId="31748" totalsRowDxfId="31747"/>
    <tableColumn id="746" xr3:uid="{90D0C2C5-09C9-4CE7-A32D-29D691A4AD6D}" name="Column732" dataDxfId="31746" totalsRowDxfId="31745"/>
    <tableColumn id="747" xr3:uid="{D2CC8DB4-190D-4028-9569-434F8137DFDB}" name="Column733" dataDxfId="31744" totalsRowDxfId="31743"/>
    <tableColumn id="748" xr3:uid="{D714FBF1-8E4E-4804-B943-0EA6CBD50A51}" name="Column734" dataDxfId="31742" totalsRowDxfId="31741"/>
    <tableColumn id="749" xr3:uid="{C1881DE3-C0C0-4AC9-B3C6-2AA32D0D9663}" name="Column735" dataDxfId="31740" totalsRowDxfId="31739"/>
    <tableColumn id="750" xr3:uid="{D6492D80-B8F0-4EB5-938F-936858539AC9}" name="Column736" dataDxfId="31738" totalsRowDxfId="31737"/>
    <tableColumn id="751" xr3:uid="{69B11791-F552-4A44-8FD8-21D595D90601}" name="Column737" dataDxfId="31736" totalsRowDxfId="31735"/>
    <tableColumn id="752" xr3:uid="{06AF0740-9511-46CD-9239-D72E7D22F258}" name="Column738" dataDxfId="31734" totalsRowDxfId="31733"/>
    <tableColumn id="753" xr3:uid="{73D97E61-B21B-4F2B-A11A-AEAF4423F005}" name="Column739" dataDxfId="31732" totalsRowDxfId="31731"/>
    <tableColumn id="754" xr3:uid="{787E16B8-443C-421F-98E9-DCB5A134803F}" name="Column740" dataDxfId="31730" totalsRowDxfId="31729"/>
    <tableColumn id="755" xr3:uid="{3AA6C2B8-549F-4A8B-BFF1-08C6CAA09CA3}" name="Column741" dataDxfId="31728" totalsRowDxfId="31727"/>
    <tableColumn id="756" xr3:uid="{FA7C6F3B-9ED0-4ECD-B5B2-E61CB78AD804}" name="Column742" dataDxfId="31726" totalsRowDxfId="31725"/>
    <tableColumn id="757" xr3:uid="{6B67327F-CA71-4A07-8993-A11F769AC4F1}" name="Column743" dataDxfId="31724" totalsRowDxfId="31723"/>
    <tableColumn id="758" xr3:uid="{84303635-E14F-4686-9343-2AE093F78572}" name="Column744" dataDxfId="31722" totalsRowDxfId="31721"/>
    <tableColumn id="759" xr3:uid="{B343CBE0-3765-408A-96E2-0E422E6A321E}" name="Column745" dataDxfId="31720" totalsRowDxfId="31719"/>
    <tableColumn id="760" xr3:uid="{AAC3BD9E-EBB7-4A66-AD3D-5ADA08D701A7}" name="Column746" dataDxfId="31718" totalsRowDxfId="31717"/>
    <tableColumn id="761" xr3:uid="{E12A4825-1AA1-409C-8B4A-359E41F81D82}" name="Column747" dataDxfId="31716" totalsRowDxfId="31715"/>
    <tableColumn id="762" xr3:uid="{2D450581-447C-460A-8CAF-15A9EE691203}" name="Column748" dataDxfId="31714" totalsRowDxfId="31713"/>
    <tableColumn id="763" xr3:uid="{C601F7A2-D295-4CDA-A4D6-2999FC175755}" name="Column749" dataDxfId="31712" totalsRowDxfId="31711"/>
    <tableColumn id="764" xr3:uid="{0ADF2F59-B9C4-46C2-A1DC-38CB832E8A6C}" name="Column750" dataDxfId="31710" totalsRowDxfId="31709"/>
    <tableColumn id="765" xr3:uid="{6B67A927-87C1-4E74-8A22-BFE81A771E07}" name="Column751" dataDxfId="31708" totalsRowDxfId="31707"/>
    <tableColumn id="766" xr3:uid="{0F3519DC-CC15-4D65-A2DE-AC04975BB63E}" name="Column752" dataDxfId="31706" totalsRowDxfId="31705"/>
    <tableColumn id="767" xr3:uid="{F60D9E4D-D81A-4F8D-A489-DA4FFF593317}" name="Column753" dataDxfId="31704" totalsRowDxfId="31703"/>
    <tableColumn id="768" xr3:uid="{04CD9CC3-3FED-4671-8DA0-0149A87A7CD8}" name="Column754" dataDxfId="31702" totalsRowDxfId="31701"/>
    <tableColumn id="769" xr3:uid="{2526D705-DE97-409F-A635-CE4EA7B8AD0C}" name="Column755" dataDxfId="31700" totalsRowDxfId="31699"/>
    <tableColumn id="770" xr3:uid="{A7C59864-21B0-4A71-B9FB-88C32A069351}" name="Column756" dataDxfId="31698" totalsRowDxfId="31697"/>
    <tableColumn id="771" xr3:uid="{7ED3383E-859D-4CEB-B169-7335E6749DEB}" name="Column757" dataDxfId="31696" totalsRowDxfId="31695"/>
    <tableColumn id="772" xr3:uid="{BC0E9579-7F56-4951-847C-F8832672E84F}" name="Column758" dataDxfId="31694" totalsRowDxfId="31693"/>
    <tableColumn id="773" xr3:uid="{7096DDF9-C3DA-483E-B8D4-C76B80B60F4F}" name="Column759" dataDxfId="31692" totalsRowDxfId="31691"/>
    <tableColumn id="774" xr3:uid="{4E1ECAB1-66B6-4C6F-9A6A-A5D8C599B2D0}" name="Column760" dataDxfId="31690" totalsRowDxfId="31689"/>
    <tableColumn id="775" xr3:uid="{621C4E98-A93B-4020-BCC9-25752277102E}" name="Column761" dataDxfId="31688" totalsRowDxfId="31687"/>
    <tableColumn id="776" xr3:uid="{E1806699-D8A4-4CE1-A5D8-16E4D58B1511}" name="Column762" dataDxfId="31686" totalsRowDxfId="31685"/>
    <tableColumn id="777" xr3:uid="{DC518F3E-F067-4A4B-B627-0DCD818ED533}" name="Column763" dataDxfId="31684" totalsRowDxfId="31683"/>
    <tableColumn id="778" xr3:uid="{5153D915-3BF4-476D-853E-1FCCD00400A0}" name="Column764" dataDxfId="31682" totalsRowDxfId="31681"/>
    <tableColumn id="779" xr3:uid="{EEB63A31-802D-4479-8643-EA36858E8106}" name="Column765" dataDxfId="31680" totalsRowDxfId="31679"/>
    <tableColumn id="780" xr3:uid="{E248C75E-C72B-4998-B8E6-020C0C6472B6}" name="Column766" dataDxfId="31678" totalsRowDxfId="31677"/>
    <tableColumn id="781" xr3:uid="{9CBC0AA1-FB69-4AFB-B368-66CDCDE0D8A8}" name="Column767" dataDxfId="31676" totalsRowDxfId="31675"/>
    <tableColumn id="782" xr3:uid="{C8CDC94A-A61E-4E3E-8D56-632633BD4881}" name="Column768" dataDxfId="31674" totalsRowDxfId="31673"/>
    <tableColumn id="783" xr3:uid="{5EF3EDE4-A1A3-4A9D-B760-B8E671A784BA}" name="Column769" dataDxfId="31672" totalsRowDxfId="31671"/>
    <tableColumn id="784" xr3:uid="{3233D8F2-DFC3-4D8C-8BEA-065E1459D17C}" name="Column770" dataDxfId="31670" totalsRowDxfId="31669"/>
    <tableColumn id="785" xr3:uid="{C6577991-7230-47F3-9B88-B782C93D3BF9}" name="Column771" dataDxfId="31668" totalsRowDxfId="31667"/>
    <tableColumn id="786" xr3:uid="{8F4106F5-F08C-4AA6-8C15-E456C3883B16}" name="Column772" dataDxfId="31666" totalsRowDxfId="31665"/>
    <tableColumn id="787" xr3:uid="{25B96557-16DA-4093-B740-79E2497212B9}" name="Column773" dataDxfId="31664" totalsRowDxfId="31663"/>
    <tableColumn id="788" xr3:uid="{983E7C20-D2D9-46AB-ADEC-24066623C392}" name="Column774" dataDxfId="31662" totalsRowDxfId="31661"/>
    <tableColumn id="789" xr3:uid="{E9BB4B03-5450-4966-958E-70B2A7C12995}" name="Column775" dataDxfId="31660" totalsRowDxfId="31659"/>
    <tableColumn id="790" xr3:uid="{98757ED3-E014-44BD-A68D-DAAEAC4DE9DE}" name="Column776" dataDxfId="31658" totalsRowDxfId="31657"/>
    <tableColumn id="791" xr3:uid="{888ADFB1-22B0-41FA-8108-5CAE6285F757}" name="Column777" dataDxfId="31656" totalsRowDxfId="31655"/>
    <tableColumn id="792" xr3:uid="{BC758EC6-C026-4D88-8526-A3692411B287}" name="Column778" dataDxfId="31654" totalsRowDxfId="31653"/>
    <tableColumn id="793" xr3:uid="{D762B427-4E83-4783-A740-FAFBF1C45937}" name="Column779" dataDxfId="31652" totalsRowDxfId="31651"/>
    <tableColumn id="794" xr3:uid="{D0AE48D1-3CE5-4872-BA55-AB45EAF3DE96}" name="Column780" dataDxfId="31650" totalsRowDxfId="31649"/>
    <tableColumn id="795" xr3:uid="{8DC3A0DF-5260-44BE-B1A5-6A6634157BBC}" name="Column781" dataDxfId="31648" totalsRowDxfId="31647"/>
    <tableColumn id="796" xr3:uid="{B925A4F5-8E99-4831-A8D1-13DAAD33DBB9}" name="Column782" dataDxfId="31646" totalsRowDxfId="31645"/>
    <tableColumn id="797" xr3:uid="{E0BC8BD1-4BCA-4B4E-BEAE-CC1B868B356E}" name="Column783" dataDxfId="31644" totalsRowDxfId="31643"/>
    <tableColumn id="798" xr3:uid="{E045F69E-D1E1-4212-B90D-4A54DDCB953C}" name="Column784" dataDxfId="31642" totalsRowDxfId="31641"/>
    <tableColumn id="799" xr3:uid="{9AB88DBA-11CE-49F7-816A-BE354408420E}" name="Column785" dataDxfId="31640" totalsRowDxfId="31639"/>
    <tableColumn id="800" xr3:uid="{64652D33-111C-4588-B64D-F22EEB48B99D}" name="Column786" dataDxfId="31638" totalsRowDxfId="31637"/>
    <tableColumn id="801" xr3:uid="{A08C3989-194F-4A3B-B2A2-E6B32FB20E68}" name="Column787" dataDxfId="31636" totalsRowDxfId="31635"/>
    <tableColumn id="802" xr3:uid="{B3324721-C57A-4D93-A93C-DC34CF3F22FB}" name="Column788" dataDxfId="31634" totalsRowDxfId="31633"/>
    <tableColumn id="803" xr3:uid="{CB28D86F-2631-45E5-8A47-DCEF146ADC7E}" name="Column789" dataDxfId="31632" totalsRowDxfId="31631"/>
    <tableColumn id="804" xr3:uid="{0F7DF76D-FE34-463E-AAB9-39A472E23601}" name="Column790" dataDxfId="31630" totalsRowDxfId="31629"/>
    <tableColumn id="805" xr3:uid="{83F8FB89-2657-4C8D-A84E-EF827FB1ED9C}" name="Column791" dataDxfId="31628" totalsRowDxfId="31627"/>
    <tableColumn id="806" xr3:uid="{5D63FFA7-E33B-4CB4-9CAF-B5C723DDD114}" name="Column792" dataDxfId="31626" totalsRowDxfId="31625"/>
    <tableColumn id="807" xr3:uid="{D88316A0-F7D9-4500-BE69-E6D42B741368}" name="Column793" dataDxfId="31624" totalsRowDxfId="31623"/>
    <tableColumn id="808" xr3:uid="{9726C512-061E-4E6A-96A6-22C42370FB7B}" name="Column794" dataDxfId="31622" totalsRowDxfId="31621"/>
    <tableColumn id="809" xr3:uid="{1123940E-00D7-44B5-9A87-6C7A905E64FF}" name="Column795" dataDxfId="31620" totalsRowDxfId="31619"/>
    <tableColumn id="810" xr3:uid="{1495E62E-6C42-4BDF-8C60-99CD416A1D0C}" name="Column796" dataDxfId="31618" totalsRowDxfId="31617"/>
    <tableColumn id="811" xr3:uid="{F9C4701E-45F1-4F23-93E7-EDBDE98F5696}" name="Column797" dataDxfId="31616" totalsRowDxfId="31615"/>
    <tableColumn id="812" xr3:uid="{8C5CA23B-9FAA-4334-BE06-7A9A69931E4F}" name="Column798" dataDxfId="31614" totalsRowDxfId="31613"/>
    <tableColumn id="813" xr3:uid="{2AB3C41A-FD76-4502-A1CF-4F1C1C43FCF7}" name="Column799" dataDxfId="31612" totalsRowDxfId="31611"/>
    <tableColumn id="814" xr3:uid="{868FFB39-4EB3-4141-B9DF-49C9632A4A57}" name="Column800" dataDxfId="31610" totalsRowDxfId="31609"/>
    <tableColumn id="815" xr3:uid="{8F44E54B-F80B-4B7C-A087-A6C5EE833015}" name="Column801" dataDxfId="31608" totalsRowDxfId="31607"/>
    <tableColumn id="816" xr3:uid="{DC387BE7-BCE3-435E-9C1C-56A1EEFC2C11}" name="Column802" dataDxfId="31606" totalsRowDxfId="31605"/>
    <tableColumn id="817" xr3:uid="{A882A137-2D6E-446D-81DD-D85E146D3244}" name="Column803" dataDxfId="31604" totalsRowDxfId="31603"/>
    <tableColumn id="818" xr3:uid="{E6FCABC4-8A25-462B-AD39-2CDE51AC4B3A}" name="Column804" dataDxfId="31602" totalsRowDxfId="31601"/>
    <tableColumn id="819" xr3:uid="{667225DB-AB71-4B19-885C-AC6E5440D25D}" name="Column805" dataDxfId="31600" totalsRowDxfId="31599"/>
    <tableColumn id="820" xr3:uid="{E7894868-B1A3-4477-B758-0192C3445261}" name="Column806" dataDxfId="31598" totalsRowDxfId="31597"/>
    <tableColumn id="821" xr3:uid="{529D503E-5678-41F8-9253-1CE096E67707}" name="Column807" dataDxfId="31596" totalsRowDxfId="31595"/>
    <tableColumn id="822" xr3:uid="{FACA9EF2-D02F-4398-82A9-D12CECA4ACF0}" name="Column808" dataDxfId="31594" totalsRowDxfId="31593"/>
    <tableColumn id="823" xr3:uid="{2A7AD255-FCBB-46A0-92F0-402A22A86320}" name="Column809" dataDxfId="31592" totalsRowDxfId="31591"/>
    <tableColumn id="824" xr3:uid="{DFC30E37-6539-4AAA-B49B-9B158B8A5918}" name="Column810" dataDxfId="31590" totalsRowDxfId="31589"/>
    <tableColumn id="825" xr3:uid="{B4D90504-3B44-42B7-8BE9-65E1554BAB3A}" name="Column811" dataDxfId="31588" totalsRowDxfId="31587"/>
    <tableColumn id="826" xr3:uid="{62CB4904-F75F-4B19-A5F6-DD7C62BCCFDF}" name="Column812" dataDxfId="31586" totalsRowDxfId="31585"/>
    <tableColumn id="827" xr3:uid="{A050A62C-E981-49AD-8284-4034B0443A69}" name="Column813" dataDxfId="31584" totalsRowDxfId="31583"/>
    <tableColumn id="828" xr3:uid="{314B9127-892F-458C-838A-14E6E7A7E570}" name="Column814" dataDxfId="31582" totalsRowDxfId="31581"/>
    <tableColumn id="829" xr3:uid="{EE9953C5-B5CE-42DF-9231-D759A6D92F2C}" name="Column815" dataDxfId="31580" totalsRowDxfId="31579"/>
    <tableColumn id="830" xr3:uid="{FBA66741-94E7-4023-B4E8-95A7B489048D}" name="Column816" dataDxfId="31578" totalsRowDxfId="31577"/>
    <tableColumn id="831" xr3:uid="{E926BEB0-F566-4F00-A3D9-AF31BBC3D56C}" name="Column817" dataDxfId="31576" totalsRowDxfId="31575"/>
    <tableColumn id="832" xr3:uid="{62D31586-400F-4ECF-8012-15A901ABBF3F}" name="Column818" dataDxfId="31574" totalsRowDxfId="31573"/>
    <tableColumn id="833" xr3:uid="{B21843BC-FF13-4FDD-9400-F96451D83749}" name="Column819" dataDxfId="31572" totalsRowDxfId="31571"/>
    <tableColumn id="834" xr3:uid="{A178D13C-81F6-49C7-B927-2B07FF84AD73}" name="Column820" dataDxfId="31570" totalsRowDxfId="31569"/>
    <tableColumn id="835" xr3:uid="{531AD96F-CE9F-4018-AC86-DB507B751A00}" name="Column821" dataDxfId="31568" totalsRowDxfId="31567"/>
    <tableColumn id="836" xr3:uid="{3B7E1076-3DC9-4195-B65B-ABF638AB4BBC}" name="Column822" dataDxfId="31566" totalsRowDxfId="31565"/>
    <tableColumn id="837" xr3:uid="{A73D461D-F06F-4ED9-8A31-09905EF0C88A}" name="Column823" dataDxfId="31564" totalsRowDxfId="31563"/>
    <tableColumn id="838" xr3:uid="{5F39BBF3-C9C5-40B7-960B-A2F407A0339F}" name="Column824" dataDxfId="31562" totalsRowDxfId="31561"/>
    <tableColumn id="839" xr3:uid="{721C0396-DCF9-4D7E-B27A-13523E47504A}" name="Column825" dataDxfId="31560" totalsRowDxfId="31559"/>
    <tableColumn id="840" xr3:uid="{B43B399F-54E3-4FCF-B626-55F158854276}" name="Column826" dataDxfId="31558" totalsRowDxfId="31557"/>
    <tableColumn id="841" xr3:uid="{F52359C5-BF54-438E-BB94-D784C2A0C1EA}" name="Column827" dataDxfId="31556" totalsRowDxfId="31555"/>
    <tableColumn id="842" xr3:uid="{E9643518-752F-43A7-A4EB-A4D8B347C2E2}" name="Column828" dataDxfId="31554" totalsRowDxfId="31553"/>
    <tableColumn id="843" xr3:uid="{654A867B-2618-435B-98B1-8AE37992EE96}" name="Column829" dataDxfId="31552" totalsRowDxfId="31551"/>
    <tableColumn id="844" xr3:uid="{2B6EA7EE-B509-486D-86E2-E68B624CA8D0}" name="Column830" dataDxfId="31550" totalsRowDxfId="31549"/>
    <tableColumn id="845" xr3:uid="{442C973B-0F17-411F-95E0-D17707635E5E}" name="Column831" dataDxfId="31548" totalsRowDxfId="31547"/>
    <tableColumn id="846" xr3:uid="{A1BCB45D-B894-4F12-A3F6-4BBA88BF5255}" name="Column832" dataDxfId="31546" totalsRowDxfId="31545"/>
    <tableColumn id="847" xr3:uid="{2D40C91B-CE08-4B35-B260-595C28B6A78A}" name="Column833" dataDxfId="31544" totalsRowDxfId="31543"/>
    <tableColumn id="848" xr3:uid="{6437FD9A-0D0D-47E8-B3F2-DB9C9C216C27}" name="Column834" dataDxfId="31542" totalsRowDxfId="31541"/>
    <tableColumn id="849" xr3:uid="{318B1AAD-80D9-4126-8DCB-65740269901B}" name="Column835" dataDxfId="31540" totalsRowDxfId="31539"/>
    <tableColumn id="850" xr3:uid="{01368453-13E8-4F4D-B744-E883B2AFD70E}" name="Column836" dataDxfId="31538" totalsRowDxfId="31537"/>
    <tableColumn id="851" xr3:uid="{C272D950-8334-4656-A95C-08E23B53809A}" name="Column837" dataDxfId="31536" totalsRowDxfId="31535"/>
    <tableColumn id="852" xr3:uid="{BA8B3CF6-D450-454D-83B5-71687FA0C387}" name="Column838" dataDxfId="31534" totalsRowDxfId="31533"/>
    <tableColumn id="853" xr3:uid="{38B3333F-8439-4C82-989E-8A6238E3175E}" name="Column839" dataDxfId="31532" totalsRowDxfId="31531"/>
    <tableColumn id="854" xr3:uid="{6A71C231-9F72-4A15-8001-C45B3E5678C2}" name="Column840" dataDxfId="31530" totalsRowDxfId="31529"/>
    <tableColumn id="855" xr3:uid="{8FAE8B22-FE9E-482D-A68E-E742D9C28C09}" name="Column841" dataDxfId="31528" totalsRowDxfId="31527"/>
    <tableColumn id="856" xr3:uid="{40AFDA7A-FA7D-4E23-8C08-6BE63DC23DA3}" name="Column842" dataDxfId="31526" totalsRowDxfId="31525"/>
    <tableColumn id="857" xr3:uid="{998BC9CD-26A6-451D-B0BC-8E85C15751AE}" name="Column843" dataDxfId="31524" totalsRowDxfId="31523"/>
    <tableColumn id="858" xr3:uid="{6014FB51-C7E1-4C1F-B76A-BCC18034C0FC}" name="Column844" dataDxfId="31522" totalsRowDxfId="31521"/>
    <tableColumn id="859" xr3:uid="{213BF088-A43A-4736-80FD-107027BE01BC}" name="Column845" dataDxfId="31520" totalsRowDxfId="31519"/>
    <tableColumn id="860" xr3:uid="{2F9BC724-ED59-4629-9507-B09A89F7C09A}" name="Column846" dataDxfId="31518" totalsRowDxfId="31517"/>
    <tableColumn id="861" xr3:uid="{9C2BC68F-B7B8-4FB8-AA28-211C47DB6A9B}" name="Column847" dataDxfId="31516" totalsRowDxfId="31515"/>
    <tableColumn id="862" xr3:uid="{722753EE-7DCA-4016-A3D4-55976DD769AB}" name="Column848" dataDxfId="31514" totalsRowDxfId="31513"/>
    <tableColumn id="863" xr3:uid="{3C0BEB16-5E17-4813-8479-7BC6FDCAF0F6}" name="Column849" dataDxfId="31512" totalsRowDxfId="31511"/>
    <tableColumn id="864" xr3:uid="{00C1910E-6DD6-4077-BD15-B76AC989C3FC}" name="Column850" dataDxfId="31510" totalsRowDxfId="31509"/>
    <tableColumn id="865" xr3:uid="{DD9075BC-B674-4EC7-8930-D34146CDFAFC}" name="Column851" dataDxfId="31508" totalsRowDxfId="31507"/>
    <tableColumn id="866" xr3:uid="{BD350C16-C7C2-4EB1-B071-3C213246E4F5}" name="Column852" dataDxfId="31506" totalsRowDxfId="31505"/>
    <tableColumn id="867" xr3:uid="{AD52E600-3F03-4DAD-9441-AEA0257CE69F}" name="Column853" dataDxfId="31504" totalsRowDxfId="31503"/>
    <tableColumn id="868" xr3:uid="{D8350746-C4BB-45FB-B530-11EB4B56E984}" name="Column854" dataDxfId="31502" totalsRowDxfId="31501"/>
    <tableColumn id="869" xr3:uid="{40BC9F98-0754-4B3F-BACB-6F503F6821AC}" name="Column855" dataDxfId="31500" totalsRowDxfId="31499"/>
    <tableColumn id="870" xr3:uid="{F8DCC938-404C-4008-837B-3235CC5274CA}" name="Column856" dataDxfId="31498" totalsRowDxfId="31497"/>
    <tableColumn id="871" xr3:uid="{8E00707E-F6FA-4DF7-A703-A3D3ADF6828C}" name="Column857" dataDxfId="31496" totalsRowDxfId="31495"/>
    <tableColumn id="872" xr3:uid="{F19AC6FB-4049-4524-B317-F605BD26329C}" name="Column858" dataDxfId="31494" totalsRowDxfId="31493"/>
    <tableColumn id="873" xr3:uid="{16B96B9A-1207-43B3-B081-29929EB3AC4B}" name="Column859" dataDxfId="31492" totalsRowDxfId="31491"/>
    <tableColumn id="874" xr3:uid="{54580657-BA27-456C-B660-F7FA5E30AA4F}" name="Column860" dataDxfId="31490" totalsRowDxfId="31489"/>
    <tableColumn id="875" xr3:uid="{42A7AADD-17E0-4F26-B1AC-2504556C8BFA}" name="Column861" dataDxfId="31488" totalsRowDxfId="31487"/>
    <tableColumn id="876" xr3:uid="{EBA9AAB6-B0CF-432D-B0D0-028FE86C6F08}" name="Column862" dataDxfId="31486" totalsRowDxfId="31485"/>
    <tableColumn id="877" xr3:uid="{B7C68AA6-4E4A-4DB6-A997-D0A480C0C76E}" name="Column863" dataDxfId="31484" totalsRowDxfId="31483"/>
    <tableColumn id="878" xr3:uid="{3174D95C-BB64-4DD3-90B7-04A5CCB23CF6}" name="Column864" dataDxfId="31482" totalsRowDxfId="31481"/>
    <tableColumn id="879" xr3:uid="{A75590FC-09E6-483F-9EED-F8A97AF2E7BA}" name="Column865" dataDxfId="31480" totalsRowDxfId="31479"/>
    <tableColumn id="880" xr3:uid="{438D2DEF-6894-47CC-9D64-0D7F7909D53F}" name="Column866" dataDxfId="31478" totalsRowDxfId="31477"/>
    <tableColumn id="881" xr3:uid="{30DCB7FC-0907-4101-9965-1D761720D424}" name="Column867" dataDxfId="31476" totalsRowDxfId="31475"/>
    <tableColumn id="882" xr3:uid="{2D74B947-0A14-4269-8C0E-784F90F5CA35}" name="Column868" dataDxfId="31474" totalsRowDxfId="31473"/>
    <tableColumn id="883" xr3:uid="{BCEEAF79-929A-43CD-807C-7BD62DE52E86}" name="Column869" dataDxfId="31472" totalsRowDxfId="31471"/>
    <tableColumn id="884" xr3:uid="{41E73465-8E24-4C5C-9061-DAFE3FCE3ADD}" name="Column870" dataDxfId="31470" totalsRowDxfId="31469"/>
    <tableColumn id="885" xr3:uid="{846D6839-DD41-49B0-BA1D-26DCE421A555}" name="Column871" dataDxfId="31468" totalsRowDxfId="31467"/>
    <tableColumn id="886" xr3:uid="{55C57E41-29D3-4C59-9348-AC607F03471B}" name="Column872" dataDxfId="31466" totalsRowDxfId="31465"/>
    <tableColumn id="887" xr3:uid="{21CA6959-4B40-4AE6-80B3-96AB9547E8EE}" name="Column873" dataDxfId="31464" totalsRowDxfId="31463"/>
    <tableColumn id="888" xr3:uid="{60A4893A-655D-4703-A5EF-56A9978DC4B3}" name="Column874" dataDxfId="31462" totalsRowDxfId="31461"/>
    <tableColumn id="889" xr3:uid="{AB3B3087-CD4C-42D7-9157-FD1D922F6806}" name="Column875" dataDxfId="31460" totalsRowDxfId="31459"/>
    <tableColumn id="890" xr3:uid="{6050DAF9-EE78-4D44-AF91-128DA65B9AAC}" name="Column876" dataDxfId="31458" totalsRowDxfId="31457"/>
    <tableColumn id="891" xr3:uid="{54819E15-9AB6-42F5-B27F-06C84E80FD70}" name="Column877" dataDxfId="31456" totalsRowDxfId="31455"/>
    <tableColumn id="892" xr3:uid="{D9F4B81A-026C-4757-87C9-82233B9420A4}" name="Column878" dataDxfId="31454" totalsRowDxfId="31453"/>
    <tableColumn id="893" xr3:uid="{5BF49A3C-0552-4069-8299-973F01C96DCF}" name="Column879" dataDxfId="31452" totalsRowDxfId="31451"/>
    <tableColumn id="894" xr3:uid="{97F488BE-4C37-474B-AE3A-067378C8A459}" name="Column880" dataDxfId="31450" totalsRowDxfId="31449"/>
    <tableColumn id="895" xr3:uid="{57C381D6-6253-4048-B47B-EEA07F68B1C6}" name="Column881" dataDxfId="31448" totalsRowDxfId="31447"/>
    <tableColumn id="896" xr3:uid="{23E55F4E-F2BE-4425-A620-B2619E780489}" name="Column882" dataDxfId="31446" totalsRowDxfId="31445"/>
    <tableColumn id="897" xr3:uid="{882598A6-BEBC-4E50-9C03-FC68A913A38E}" name="Column883" dataDxfId="31444" totalsRowDxfId="31443"/>
    <tableColumn id="898" xr3:uid="{290F83F0-3D82-43AE-A609-EAD23C964B5E}" name="Column884" dataDxfId="31442" totalsRowDxfId="31441"/>
    <tableColumn id="899" xr3:uid="{752705C8-A5AB-42EB-9352-C6DF3BEDF423}" name="Column885" dataDxfId="31440" totalsRowDxfId="31439"/>
    <tableColumn id="900" xr3:uid="{AEF5B73B-D9C9-47FE-AC16-CD21DB22968D}" name="Column886" dataDxfId="31438" totalsRowDxfId="31437"/>
    <tableColumn id="901" xr3:uid="{84ECDD33-A275-45C3-8FBB-7CF63A53154F}" name="Column887" dataDxfId="31436" totalsRowDxfId="31435"/>
    <tableColumn id="902" xr3:uid="{EFA68185-C018-40CC-8C31-B15EBC849803}" name="Column888" dataDxfId="31434" totalsRowDxfId="31433"/>
    <tableColumn id="903" xr3:uid="{B4BEA554-40E0-497E-967E-58E8AC6029D9}" name="Column889" dataDxfId="31432" totalsRowDxfId="31431"/>
    <tableColumn id="904" xr3:uid="{A9859C1B-78B5-4A41-94D4-D1586191279B}" name="Column890" dataDxfId="31430" totalsRowDxfId="31429"/>
    <tableColumn id="905" xr3:uid="{0CE6CF42-9ABC-4DD9-B8DB-FB9C77D9C898}" name="Column891" dataDxfId="31428" totalsRowDxfId="31427"/>
    <tableColumn id="906" xr3:uid="{0C4B3B14-DCDE-418A-A506-86E69E7B35FE}" name="Column892" dataDxfId="31426" totalsRowDxfId="31425"/>
    <tableColumn id="907" xr3:uid="{A4AFB896-83AF-466E-85F2-DA6F5488B1CB}" name="Column893" dataDxfId="31424" totalsRowDxfId="31423"/>
    <tableColumn id="908" xr3:uid="{2DACF7A1-D175-4ABD-8DB1-F3B29A2D4657}" name="Column894" dataDxfId="31422" totalsRowDxfId="31421"/>
    <tableColumn id="909" xr3:uid="{E153178D-F6DA-43A6-BAA3-61A3AF79ABDE}" name="Column895" dataDxfId="31420" totalsRowDxfId="31419"/>
    <tableColumn id="910" xr3:uid="{84E5DB88-A35C-496B-AF32-5E84FED23DE9}" name="Column896" dataDxfId="31418" totalsRowDxfId="31417"/>
    <tableColumn id="911" xr3:uid="{57165679-DFDE-49D7-8883-5E67894A2045}" name="Column897" dataDxfId="31416" totalsRowDxfId="31415"/>
    <tableColumn id="912" xr3:uid="{842BC348-1175-42AA-B1D9-8ACACEB4769F}" name="Column898" dataDxfId="31414" totalsRowDxfId="31413"/>
    <tableColumn id="913" xr3:uid="{3F247CE5-FE70-4751-9369-ACC01AFC09CF}" name="Column899" dataDxfId="31412" totalsRowDxfId="31411"/>
    <tableColumn id="914" xr3:uid="{EE3F5E01-B0C6-4A00-892C-67DD70D36897}" name="Column900" dataDxfId="31410" totalsRowDxfId="31409"/>
    <tableColumn id="915" xr3:uid="{F32C9442-F128-4E65-A17C-03D921C18051}" name="Column901" dataDxfId="31408" totalsRowDxfId="31407"/>
    <tableColumn id="916" xr3:uid="{230F5959-CBE7-4E6E-B0F3-05FBFF0D5BE5}" name="Column902" dataDxfId="31406" totalsRowDxfId="31405"/>
    <tableColumn id="917" xr3:uid="{63F658D2-E4CE-492A-96CB-617E7C95EE8B}" name="Column903" dataDxfId="31404" totalsRowDxfId="31403"/>
    <tableColumn id="918" xr3:uid="{73ED3B64-8D60-4198-BDA5-0C9176148C61}" name="Column904" dataDxfId="31402" totalsRowDxfId="31401"/>
    <tableColumn id="919" xr3:uid="{21C77AA8-1785-412B-8F59-27C622345FA5}" name="Column905" dataDxfId="31400" totalsRowDxfId="31399"/>
    <tableColumn id="920" xr3:uid="{B283FDCE-99DB-440F-A414-CB6C284B3E6F}" name="Column906" dataDxfId="31398" totalsRowDxfId="31397"/>
    <tableColumn id="921" xr3:uid="{639FD5FF-6C6E-4DE1-9DCA-1CF87480A8A2}" name="Column907" dataDxfId="31396" totalsRowDxfId="31395"/>
    <tableColumn id="922" xr3:uid="{F8B094B3-7ACD-4A2C-BC18-AB98BFFF83FD}" name="Column908" dataDxfId="31394" totalsRowDxfId="31393"/>
    <tableColumn id="923" xr3:uid="{BE4C1CB1-78BF-472D-B397-6F164ECDDCF4}" name="Column909" dataDxfId="31392" totalsRowDxfId="31391"/>
    <tableColumn id="924" xr3:uid="{AE366436-838D-4C1B-943E-183D07614A95}" name="Column910" dataDxfId="31390" totalsRowDxfId="31389"/>
    <tableColumn id="925" xr3:uid="{0A61796F-192A-427B-9821-0899242608FB}" name="Column911" dataDxfId="31388" totalsRowDxfId="31387"/>
    <tableColumn id="926" xr3:uid="{7D39AFCD-1A5D-44B1-95B4-20ED1B035442}" name="Column912" dataDxfId="31386" totalsRowDxfId="31385"/>
    <tableColumn id="927" xr3:uid="{407F0BC8-284A-4EE4-9009-9EC6E62F98B2}" name="Column913" dataDxfId="31384" totalsRowDxfId="31383"/>
    <tableColumn id="928" xr3:uid="{05478095-CA1B-4E93-911B-72B8BD6A82D4}" name="Column914" dataDxfId="31382" totalsRowDxfId="31381"/>
    <tableColumn id="929" xr3:uid="{B8C7CA37-D2B1-4F9B-BCA6-0920FAB1750B}" name="Column915" dataDxfId="31380" totalsRowDxfId="31379"/>
    <tableColumn id="930" xr3:uid="{7B4C7D24-8B7A-4414-9AF0-D2A34A253F5E}" name="Column916" dataDxfId="31378" totalsRowDxfId="31377"/>
    <tableColumn id="931" xr3:uid="{E0D33DB1-E8FC-46E0-9B63-06FF1176AE77}" name="Column917" dataDxfId="31376" totalsRowDxfId="31375"/>
    <tableColumn id="932" xr3:uid="{9CD28B95-A862-4D54-B697-282CD97C95D1}" name="Column918" dataDxfId="31374" totalsRowDxfId="31373"/>
    <tableColumn id="933" xr3:uid="{4E27EBEE-FD61-464D-98D8-88AA36C8A0DD}" name="Column919" dataDxfId="31372" totalsRowDxfId="31371"/>
    <tableColumn id="934" xr3:uid="{08FE79F8-86F5-49F6-AB1B-1DB75EA46838}" name="Column920" dataDxfId="31370" totalsRowDxfId="31369"/>
    <tableColumn id="935" xr3:uid="{B2012B33-5203-463F-B5C7-FCD000395C67}" name="Column921" dataDxfId="31368" totalsRowDxfId="31367"/>
    <tableColumn id="936" xr3:uid="{AB7CE545-91A8-4690-8ED2-28CA677C4208}" name="Column922" dataDxfId="31366" totalsRowDxfId="31365"/>
    <tableColumn id="937" xr3:uid="{F6204A22-AD0A-42E1-AA8E-B9256343CB06}" name="Column923" dataDxfId="31364" totalsRowDxfId="31363"/>
    <tableColumn id="938" xr3:uid="{DE42559A-5DC0-4F76-8978-FB31A8E0AFD4}" name="Column924" dataDxfId="31362" totalsRowDxfId="31361"/>
    <tableColumn id="939" xr3:uid="{8D47C7C8-CEF6-4BF9-8B5D-19758CF2EC56}" name="Column925" dataDxfId="31360" totalsRowDxfId="31359"/>
    <tableColumn id="940" xr3:uid="{3C746275-5358-4DFD-AAC5-8E33E9D8C222}" name="Column926" dataDxfId="31358" totalsRowDxfId="31357"/>
    <tableColumn id="941" xr3:uid="{12517C8B-BA20-44C7-BDA0-34C18F4E595C}" name="Column927" dataDxfId="31356" totalsRowDxfId="31355"/>
    <tableColumn id="942" xr3:uid="{8B59343F-30A6-49C0-9E4E-A693FC914D8B}" name="Column928" dataDxfId="31354" totalsRowDxfId="31353"/>
    <tableColumn id="943" xr3:uid="{B858B45F-819B-46FC-95DE-664285FC49EB}" name="Column929" dataDxfId="31352" totalsRowDxfId="31351"/>
    <tableColumn id="944" xr3:uid="{D75D91EF-3260-493D-A6FB-51C27E7D263E}" name="Column930" dataDxfId="31350" totalsRowDxfId="31349"/>
    <tableColumn id="945" xr3:uid="{E510B5A5-E138-41D7-A4E3-75D13BC71AEB}" name="Column931" dataDxfId="31348" totalsRowDxfId="31347"/>
    <tableColumn id="946" xr3:uid="{B3561449-D286-4781-99D3-BF3CD8DC39F9}" name="Column932" dataDxfId="31346" totalsRowDxfId="31345"/>
    <tableColumn id="947" xr3:uid="{84D7BFFA-606B-46F8-B6B3-19936E9A8270}" name="Column933" dataDxfId="31344" totalsRowDxfId="31343"/>
    <tableColumn id="948" xr3:uid="{CB5E2465-4468-4F1F-9C64-257AF0B2B786}" name="Column934" dataDxfId="31342" totalsRowDxfId="31341"/>
    <tableColumn id="949" xr3:uid="{890F3A27-CC4D-4E8C-A084-08FDF3E1D06B}" name="Column935" dataDxfId="31340" totalsRowDxfId="31339"/>
    <tableColumn id="950" xr3:uid="{75A719DA-509C-4AC6-88FA-C64C6988A990}" name="Column936" dataDxfId="31338" totalsRowDxfId="31337"/>
    <tableColumn id="951" xr3:uid="{3A84B707-E7D8-40B8-B2D9-B8A4B1B819E2}" name="Column937" dataDxfId="31336" totalsRowDxfId="31335"/>
    <tableColumn id="952" xr3:uid="{0CE5C286-491A-4975-8BC7-753FC686ACE3}" name="Column938" dataDxfId="31334" totalsRowDxfId="31333"/>
    <tableColumn id="953" xr3:uid="{B8DF439C-930E-4343-B210-50F81834BBE7}" name="Column939" dataDxfId="31332" totalsRowDxfId="31331"/>
    <tableColumn id="954" xr3:uid="{78AF6EFA-1CEE-44C5-97C4-B05ACA24C7A5}" name="Column940" dataDxfId="31330" totalsRowDxfId="31329"/>
    <tableColumn id="955" xr3:uid="{51BBDFB5-E8AB-4AC6-8661-5846BE256075}" name="Column941" dataDxfId="31328" totalsRowDxfId="31327"/>
    <tableColumn id="956" xr3:uid="{9DDF450B-32F6-492E-91B9-5D9A675DD888}" name="Column942" dataDxfId="31326" totalsRowDxfId="31325"/>
    <tableColumn id="957" xr3:uid="{00F608D3-9B98-4688-9140-5BDE386168F1}" name="Column943" dataDxfId="31324" totalsRowDxfId="31323"/>
    <tableColumn id="958" xr3:uid="{F0B0E784-5F5E-44C6-BF16-86EB9D8C34CD}" name="Column944" dataDxfId="31322" totalsRowDxfId="31321"/>
    <tableColumn id="959" xr3:uid="{BAAC9DAA-0D2D-4F1D-8956-EF44B15D22B7}" name="Column945" dataDxfId="31320" totalsRowDxfId="31319"/>
    <tableColumn id="960" xr3:uid="{A35F4DFD-AC9E-48C4-9E95-F698F0E3FF35}" name="Column946" dataDxfId="31318" totalsRowDxfId="31317"/>
    <tableColumn id="961" xr3:uid="{0469EB25-1BD0-48CC-83BB-98E97137E090}" name="Column947" dataDxfId="31316" totalsRowDxfId="31315"/>
    <tableColumn id="962" xr3:uid="{43FAB359-3B01-4D98-A8EE-907524371139}" name="Column948" dataDxfId="31314" totalsRowDxfId="31313"/>
    <tableColumn id="963" xr3:uid="{665C86AC-30CC-4AFF-A710-39808FE937B7}" name="Column949" dataDxfId="31312" totalsRowDxfId="31311"/>
    <tableColumn id="964" xr3:uid="{0453B171-B9B9-4589-8C44-958635B04A09}" name="Column950" dataDxfId="31310" totalsRowDxfId="31309"/>
    <tableColumn id="965" xr3:uid="{E091E326-BA52-4875-A634-135FDFE1A4E1}" name="Column951" dataDxfId="31308" totalsRowDxfId="31307"/>
    <tableColumn id="966" xr3:uid="{1AD4B68C-6C0E-471E-9FE5-511BB71CD141}" name="Column952" dataDxfId="31306" totalsRowDxfId="31305"/>
    <tableColumn id="967" xr3:uid="{89E03174-904D-4206-BD69-71FA8D21D0C7}" name="Column953" dataDxfId="31304" totalsRowDxfId="31303"/>
    <tableColumn id="968" xr3:uid="{ADF602A5-DEF6-4EE0-96E0-28BC208C8D85}" name="Column954" dataDxfId="31302" totalsRowDxfId="31301"/>
    <tableColumn id="969" xr3:uid="{4407A00A-6692-4DE4-BCDD-4D9824D267A8}" name="Column955" dataDxfId="31300" totalsRowDxfId="31299"/>
    <tableColumn id="970" xr3:uid="{F9419A3F-7E4C-441C-A8D5-896AE1310D52}" name="Column956" dataDxfId="31298" totalsRowDxfId="31297"/>
    <tableColumn id="971" xr3:uid="{7C5AE8EF-0270-4E13-852C-32503CC16E4A}" name="Column957" dataDxfId="31296" totalsRowDxfId="31295"/>
    <tableColumn id="972" xr3:uid="{67E5C2A7-473A-4CB7-AC3C-53ED980D7021}" name="Column958" dataDxfId="31294" totalsRowDxfId="31293"/>
    <tableColumn id="973" xr3:uid="{EE2A060C-A3AB-4C6A-94F5-A762E08A32BF}" name="Column959" dataDxfId="31292" totalsRowDxfId="31291"/>
    <tableColumn id="974" xr3:uid="{AC2AED7F-5F64-4035-82BC-0243ADF0E6DE}" name="Column960" dataDxfId="31290" totalsRowDxfId="31289"/>
    <tableColumn id="975" xr3:uid="{5E03625D-B78D-4688-8A09-0DEC36B63C88}" name="Column961" dataDxfId="31288" totalsRowDxfId="31287"/>
    <tableColumn id="976" xr3:uid="{E2507163-A26E-4D8F-A38F-416BDF754C0C}" name="Column962" dataDxfId="31286" totalsRowDxfId="31285"/>
    <tableColumn id="977" xr3:uid="{59423D1A-4089-43D5-9DFB-0CD629568015}" name="Column963" dataDxfId="31284" totalsRowDxfId="31283"/>
    <tableColumn id="978" xr3:uid="{CDDCD8E6-4A64-4E2C-B634-E6F373A490BB}" name="Column964" dataDxfId="31282" totalsRowDxfId="31281"/>
    <tableColumn id="979" xr3:uid="{FDBCF69E-135F-4B88-8745-4AE0DBC591D3}" name="Column965" dataDxfId="31280" totalsRowDxfId="31279"/>
    <tableColumn id="980" xr3:uid="{59C4EA0C-40D1-4D42-B2E6-0B5953188C83}" name="Column966" dataDxfId="31278" totalsRowDxfId="31277"/>
    <tableColumn id="981" xr3:uid="{CAAA2847-4628-4BF4-9E0B-A7E673F5C89D}" name="Column967" dataDxfId="31276" totalsRowDxfId="31275"/>
    <tableColumn id="982" xr3:uid="{F05E3BFF-6BB7-4B62-A591-E208333EF637}" name="Column968" dataDxfId="31274" totalsRowDxfId="31273"/>
    <tableColumn id="983" xr3:uid="{19456538-20C8-4506-8098-E40A01C894D8}" name="Column969" dataDxfId="31272" totalsRowDxfId="31271"/>
    <tableColumn id="984" xr3:uid="{4FC1257D-B8A5-4139-9639-FAF0925A880F}" name="Column970" dataDxfId="31270" totalsRowDxfId="31269"/>
    <tableColumn id="985" xr3:uid="{5A7284AC-01FD-4853-B705-B9C8FE7B9ADC}" name="Column971" dataDxfId="31268" totalsRowDxfId="31267"/>
    <tableColumn id="986" xr3:uid="{AB108275-5ACE-422D-A900-7ECA4C0C8639}" name="Column972" dataDxfId="31266" totalsRowDxfId="31265"/>
    <tableColumn id="987" xr3:uid="{E701D561-4AB8-4948-8941-EA6E66829E66}" name="Column973" dataDxfId="31264" totalsRowDxfId="31263"/>
    <tableColumn id="988" xr3:uid="{22BC027E-533D-4895-BD9E-2C8BC3736725}" name="Column974" dataDxfId="31262" totalsRowDxfId="31261"/>
    <tableColumn id="989" xr3:uid="{F596D402-2E68-4A11-9107-E26AFBD01652}" name="Column975" dataDxfId="31260" totalsRowDxfId="31259"/>
    <tableColumn id="990" xr3:uid="{4513CABF-CCE5-489E-802A-59454ED0877D}" name="Column976" dataDxfId="31258" totalsRowDxfId="31257"/>
    <tableColumn id="991" xr3:uid="{97F87B3B-C0F4-4F42-A257-47F9E50E4DA6}" name="Column977" dataDxfId="31256" totalsRowDxfId="31255"/>
    <tableColumn id="992" xr3:uid="{12898F4E-61D4-4A94-B709-EE6491D583AA}" name="Column978" dataDxfId="31254" totalsRowDxfId="31253"/>
    <tableColumn id="993" xr3:uid="{A2816E5E-47AC-4203-90E1-E2C91C449544}" name="Column979" dataDxfId="31252" totalsRowDxfId="31251"/>
    <tableColumn id="994" xr3:uid="{2F24BDAF-3C1C-47C9-AE13-08A978383CE0}" name="Column980" dataDxfId="31250" totalsRowDxfId="31249"/>
    <tableColumn id="995" xr3:uid="{0C58E792-9779-4530-BD1A-DD7EB8582A94}" name="Column981" dataDxfId="31248" totalsRowDxfId="31247"/>
    <tableColumn id="996" xr3:uid="{D59B2306-1130-4DA0-9590-C7A2BD34DEF2}" name="Column982" dataDxfId="31246" totalsRowDxfId="31245"/>
    <tableColumn id="997" xr3:uid="{493E26BE-AEFD-485F-88B2-61A20C562BB7}" name="Column983" dataDxfId="31244" totalsRowDxfId="31243"/>
    <tableColumn id="998" xr3:uid="{4E8307C5-38E2-4FC2-9B14-A2398DA6FFE7}" name="Column984" dataDxfId="31242" totalsRowDxfId="31241"/>
    <tableColumn id="999" xr3:uid="{8071BA94-A295-48B2-B619-964FE622971E}" name="Column985" dataDxfId="31240" totalsRowDxfId="31239"/>
    <tableColumn id="1000" xr3:uid="{06E8D14A-C43C-4FEB-A17E-AD7CDC98A333}" name="Column986" dataDxfId="31238" totalsRowDxfId="31237"/>
    <tableColumn id="1001" xr3:uid="{A6B3EC5B-0E4A-49CF-A442-C16AA035F0CA}" name="Column987" dataDxfId="31236" totalsRowDxfId="31235"/>
    <tableColumn id="1002" xr3:uid="{144E34B9-58EA-4574-AFE6-1F92E99DAC92}" name="Column988" dataDxfId="31234" totalsRowDxfId="31233"/>
    <tableColumn id="1003" xr3:uid="{7440F6A0-5B24-4DBA-B025-4CD08D687788}" name="Column989" dataDxfId="31232" totalsRowDxfId="31231"/>
    <tableColumn id="1004" xr3:uid="{23025ED3-9068-4ADB-BB4E-27A4E744F043}" name="Column990" dataDxfId="31230" totalsRowDxfId="31229"/>
    <tableColumn id="1005" xr3:uid="{9A8DE3DC-7C1E-4D8C-A758-7E605B31B880}" name="Column991" dataDxfId="31228" totalsRowDxfId="31227"/>
    <tableColumn id="1006" xr3:uid="{4AC48DBC-F9FD-4748-913E-96E015FACFF2}" name="Column992" dataDxfId="31226" totalsRowDxfId="31225"/>
    <tableColumn id="1007" xr3:uid="{D494AC2C-03E0-4096-B1C7-59DF2750ABFE}" name="Column993" dataDxfId="31224" totalsRowDxfId="31223"/>
    <tableColumn id="1008" xr3:uid="{F828B93D-9901-436C-B4BF-22C091148956}" name="Column994" dataDxfId="31222" totalsRowDxfId="31221"/>
    <tableColumn id="1009" xr3:uid="{CF1A1A4F-48B0-4294-A1C5-26B812FC48B5}" name="Column995" dataDxfId="31220" totalsRowDxfId="31219"/>
    <tableColumn id="1010" xr3:uid="{FB6A09E3-F683-4411-8C06-3A114EC94E66}" name="Column996" dataDxfId="31218" totalsRowDxfId="31217"/>
    <tableColumn id="1011" xr3:uid="{CC1FA741-FC5E-4272-B589-B9A19EB28ECC}" name="Column997" dataDxfId="31216" totalsRowDxfId="31215"/>
    <tableColumn id="1012" xr3:uid="{874D774A-6784-418E-AE5D-91AAF607394B}" name="Column998" dataDxfId="31214" totalsRowDxfId="31213"/>
    <tableColumn id="1013" xr3:uid="{8E2129D2-EB31-42BD-87CD-EFE1F1D9BE11}" name="Column999" dataDxfId="31212" totalsRowDxfId="31211"/>
    <tableColumn id="1014" xr3:uid="{F4968ABE-4B4E-4B20-948F-5C4130FD7380}" name="Column1000" dataDxfId="31210" totalsRowDxfId="31209"/>
    <tableColumn id="1015" xr3:uid="{69F45CD2-72EC-482A-81D2-25B1E98BE86B}" name="Column1001" dataDxfId="31208" totalsRowDxfId="31207"/>
    <tableColumn id="1016" xr3:uid="{4DAF918E-72A2-4755-BA1B-6C8145D14A0B}" name="Column1002" dataDxfId="31206" totalsRowDxfId="31205"/>
    <tableColumn id="1017" xr3:uid="{CCE72BA5-367B-4248-B1F7-E251D1253B52}" name="Column1003" dataDxfId="31204" totalsRowDxfId="31203"/>
    <tableColumn id="1018" xr3:uid="{F92DA4DE-427B-4190-8CF9-F1DF8CBC85AE}" name="Column1004" dataDxfId="31202" totalsRowDxfId="31201"/>
    <tableColumn id="1019" xr3:uid="{0814255E-AE3A-427E-B346-04BC6C7AA3EF}" name="Column1005" dataDxfId="31200" totalsRowDxfId="31199"/>
    <tableColumn id="1020" xr3:uid="{4BE4CEC1-A966-4165-B72D-325B5868709C}" name="Column1006" dataDxfId="31198" totalsRowDxfId="31197"/>
    <tableColumn id="1021" xr3:uid="{FD4E6F3A-A629-4630-9CEA-4C031A7F0502}" name="Column1007" dataDxfId="31196" totalsRowDxfId="31195"/>
    <tableColumn id="1022" xr3:uid="{C18CB762-F11A-40CF-8963-F255A6CBA0A3}" name="Column1008" dataDxfId="31194" totalsRowDxfId="31193"/>
    <tableColumn id="1023" xr3:uid="{D04E4E41-6BB0-4610-A12E-F4F5B1B47673}" name="Column1009" dataDxfId="31192" totalsRowDxfId="31191"/>
    <tableColumn id="1024" xr3:uid="{4ADD663F-21CE-481D-9928-6608F3968F1F}" name="Column1010" dataDxfId="31190" totalsRowDxfId="31189"/>
    <tableColumn id="1025" xr3:uid="{139E5348-DE34-4995-8170-B480F4AE11F2}" name="Column1011" dataDxfId="31188" totalsRowDxfId="31187"/>
    <tableColumn id="1026" xr3:uid="{3E683C0F-BAD3-4F33-BD2B-4D90E8B34396}" name="Column1012" dataDxfId="31186" totalsRowDxfId="31185"/>
    <tableColumn id="1027" xr3:uid="{C0814B93-1208-4AF5-92E9-1492C7C3AD57}" name="Column1013" dataDxfId="31184" totalsRowDxfId="31183"/>
    <tableColumn id="1028" xr3:uid="{86E1817D-C3D5-4876-BBB3-71AAC60320ED}" name="Column1014" dataDxfId="31182" totalsRowDxfId="31181"/>
    <tableColumn id="1029" xr3:uid="{58076B5B-6FFB-4B45-BC09-7518D19419CE}" name="Column1015" dataDxfId="31180" totalsRowDxfId="31179"/>
    <tableColumn id="1030" xr3:uid="{22676B8C-0FFA-46DF-B5B9-7B4922522D72}" name="Column1016" dataDxfId="31178" totalsRowDxfId="31177"/>
    <tableColumn id="1031" xr3:uid="{5ABC5DBE-F95F-428F-AA71-3DB943DF3AAC}" name="Column1017" dataDxfId="31176" totalsRowDxfId="31175"/>
    <tableColumn id="1032" xr3:uid="{587A6985-8C74-4360-8A7D-9A38027F613A}" name="Column1018" dataDxfId="31174" totalsRowDxfId="31173"/>
    <tableColumn id="1033" xr3:uid="{F0B50105-0D1D-4821-815E-5473EE6623C0}" name="Column1019" dataDxfId="31172" totalsRowDxfId="31171"/>
    <tableColumn id="1034" xr3:uid="{E825F8E5-CB70-4AF0-AE4B-3DAFC65B4402}" name="Column1020" dataDxfId="31170" totalsRowDxfId="31169"/>
    <tableColumn id="1035" xr3:uid="{29629F4F-0166-4D42-867E-73F8559F66DA}" name="Column1021" dataDxfId="31168" totalsRowDxfId="31167"/>
    <tableColumn id="1036" xr3:uid="{3382304D-2193-4AB3-A082-5C0D9E5F2A68}" name="Column1022" dataDxfId="31166" totalsRowDxfId="31165"/>
    <tableColumn id="1037" xr3:uid="{9E1A9D81-DC27-4D29-A01A-38D708070E2C}" name="Column1023" dataDxfId="31164" totalsRowDxfId="31163"/>
    <tableColumn id="1038" xr3:uid="{DD5C6F2D-46CF-4843-B3CD-7E988AA375D6}" name="Column1024" dataDxfId="31162" totalsRowDxfId="31161"/>
    <tableColumn id="1039" xr3:uid="{CE951684-C6C2-42C8-849E-18D3B732D85C}" name="Column1025" dataDxfId="31160" totalsRowDxfId="31159"/>
    <tableColumn id="1040" xr3:uid="{A3CEDB16-392A-4418-87CD-0A1CC4230FFC}" name="Column1026" dataDxfId="31158" totalsRowDxfId="31157"/>
    <tableColumn id="1041" xr3:uid="{5B2AF586-2BA9-4691-8E6A-32BA475D31A2}" name="Column1027" dataDxfId="31156" totalsRowDxfId="31155"/>
    <tableColumn id="1042" xr3:uid="{ADFF0D98-B0A0-4B06-BEB6-F15481663B38}" name="Column1028" dataDxfId="31154" totalsRowDxfId="31153"/>
    <tableColumn id="1043" xr3:uid="{98D285DF-FB93-4FDA-8824-56CA7D7D94D8}" name="Column1029" dataDxfId="31152" totalsRowDxfId="31151"/>
    <tableColumn id="1044" xr3:uid="{156AC800-5DB8-4958-9404-E5BC632DD9B6}" name="Column1030" dataDxfId="31150" totalsRowDxfId="31149"/>
    <tableColumn id="1045" xr3:uid="{BD8E12A8-82F8-40DF-9611-2B63FC01A347}" name="Column1031" dataDxfId="31148" totalsRowDxfId="31147"/>
    <tableColumn id="1046" xr3:uid="{0D44A148-BBB5-4D82-89F4-F560A3B16D02}" name="Column1032" dataDxfId="31146" totalsRowDxfId="31145"/>
    <tableColumn id="1047" xr3:uid="{C7FBB2EA-677F-45BE-91A5-BF67B46204E6}" name="Column1033" dataDxfId="31144" totalsRowDxfId="31143"/>
    <tableColumn id="1048" xr3:uid="{A85F10F2-28D6-4572-B703-273F180602D2}" name="Column1034" dataDxfId="31142" totalsRowDxfId="31141"/>
    <tableColumn id="1049" xr3:uid="{99B357E1-00A1-40EB-840F-62385A9BFE6B}" name="Column1035" dataDxfId="31140" totalsRowDxfId="31139"/>
    <tableColumn id="1050" xr3:uid="{30213FC8-F81B-4F9D-A22F-0A2730A68F43}" name="Column1036" dataDxfId="31138" totalsRowDxfId="31137"/>
    <tableColumn id="1051" xr3:uid="{06EBF9D9-3A80-465D-8B8A-A8DBFD2F9A67}" name="Column1037" dataDxfId="31136" totalsRowDxfId="31135"/>
    <tableColumn id="1052" xr3:uid="{8E6B5A55-2B48-4D67-9E8A-C4ED0A7C1F37}" name="Column1038" dataDxfId="31134" totalsRowDxfId="31133"/>
    <tableColumn id="1053" xr3:uid="{E18D6D67-9A0C-46D3-BAF1-098A782A42F3}" name="Column1039" dataDxfId="31132" totalsRowDxfId="31131"/>
    <tableColumn id="1054" xr3:uid="{A60EC4C9-6D77-427F-930A-CC20C3DF0267}" name="Column1040" dataDxfId="31130" totalsRowDxfId="31129"/>
    <tableColumn id="1055" xr3:uid="{53314869-31F2-4C32-9CDF-E0B2B7A0B23E}" name="Column1041" dataDxfId="31128" totalsRowDxfId="31127"/>
    <tableColumn id="1056" xr3:uid="{5815E471-AAFF-44F6-A7F2-6C835AA12A54}" name="Column1042" dataDxfId="31126" totalsRowDxfId="31125"/>
    <tableColumn id="1057" xr3:uid="{6AAF2057-DCE2-475B-B967-927AE912147A}" name="Column1043" dataDxfId="31124" totalsRowDxfId="31123"/>
    <tableColumn id="1058" xr3:uid="{4BE4D189-57E9-445A-98FF-15AF825B6535}" name="Column1044" dataDxfId="31122" totalsRowDxfId="31121"/>
    <tableColumn id="1059" xr3:uid="{1D516139-5FA4-4A5B-BF4D-6088720C5A9B}" name="Column1045" dataDxfId="31120" totalsRowDxfId="31119"/>
    <tableColumn id="1060" xr3:uid="{35126E42-3BB5-4982-98AF-D01B27164B03}" name="Column1046" dataDxfId="31118" totalsRowDxfId="31117"/>
    <tableColumn id="1061" xr3:uid="{414047A3-7F6B-42F5-8B02-B25092B081AE}" name="Column1047" dataDxfId="31116" totalsRowDxfId="31115"/>
    <tableColumn id="1062" xr3:uid="{128BDEE8-95E7-4BFE-8562-D61CD5480B24}" name="Column1048" dataDxfId="31114" totalsRowDxfId="31113"/>
    <tableColumn id="1063" xr3:uid="{5B3B9F7E-B88F-4341-A21C-4B601633B539}" name="Column1049" dataDxfId="31112" totalsRowDxfId="31111"/>
    <tableColumn id="1064" xr3:uid="{00BF437C-6293-42BC-8858-8437EA157F83}" name="Column1050" dataDxfId="31110" totalsRowDxfId="31109"/>
    <tableColumn id="1065" xr3:uid="{97D5F407-B546-4D32-8D93-BA649FB4417A}" name="Column1051" dataDxfId="31108" totalsRowDxfId="31107"/>
    <tableColumn id="1066" xr3:uid="{3142D2E1-1938-4063-8DB4-CC7A402D84AD}" name="Column1052" dataDxfId="31106" totalsRowDxfId="31105"/>
    <tableColumn id="1067" xr3:uid="{DE80F0DF-6BD2-4F4F-97CE-EF8F6AEB3E3B}" name="Column1053" dataDxfId="31104" totalsRowDxfId="31103"/>
    <tableColumn id="1068" xr3:uid="{5484E89A-2F9E-4AB3-8898-31C818AF19DB}" name="Column1054" dataDxfId="31102" totalsRowDxfId="31101"/>
    <tableColumn id="1069" xr3:uid="{C9B747D7-2EF0-47B7-A8A4-D3716857BB7A}" name="Column1055" dataDxfId="31100" totalsRowDxfId="31099"/>
    <tableColumn id="1070" xr3:uid="{E43639FF-341C-4812-8869-E68607FFB3A5}" name="Column1056" dataDxfId="31098" totalsRowDxfId="31097"/>
    <tableColumn id="1071" xr3:uid="{1CF22E86-CBE0-4C9F-AFD0-ED027864B900}" name="Column1057" dataDxfId="31096" totalsRowDxfId="31095"/>
    <tableColumn id="1072" xr3:uid="{AE3F5EC5-ECBC-4139-8ED6-163B922A1F11}" name="Column1058" dataDxfId="31094" totalsRowDxfId="31093"/>
    <tableColumn id="1073" xr3:uid="{A8ACDEE9-B0BF-4BC4-9340-58462ABD4294}" name="Column1059" dataDxfId="31092" totalsRowDxfId="31091"/>
    <tableColumn id="1074" xr3:uid="{297FF3D7-0938-42CB-86EC-8A8ED17857C0}" name="Column1060" dataDxfId="31090" totalsRowDxfId="31089"/>
    <tableColumn id="1075" xr3:uid="{F819C76A-C11E-4537-A6D4-F0E248B823E3}" name="Column1061" dataDxfId="31088" totalsRowDxfId="31087"/>
    <tableColumn id="1076" xr3:uid="{2C41B016-299E-4E8C-B6F7-829D87721DA5}" name="Column1062" dataDxfId="31086" totalsRowDxfId="31085"/>
    <tableColumn id="1077" xr3:uid="{81D9D701-7863-4593-BE1B-C754C83EB3DA}" name="Column1063" dataDxfId="31084" totalsRowDxfId="31083"/>
    <tableColumn id="1078" xr3:uid="{6654A7C6-A85F-4D5D-9FF6-0107F0D1D310}" name="Column1064" dataDxfId="31082" totalsRowDxfId="31081"/>
    <tableColumn id="1079" xr3:uid="{57089AF7-88B1-4608-B310-7FA3597F5534}" name="Column1065" dataDxfId="31080" totalsRowDxfId="31079"/>
    <tableColumn id="1080" xr3:uid="{DDA1B84C-69E9-434F-B8AC-13FCD1EDC6F8}" name="Column1066" dataDxfId="31078" totalsRowDxfId="31077"/>
    <tableColumn id="1081" xr3:uid="{974FC873-E2A4-4D9E-9CD8-EFEE58D3B18E}" name="Column1067" dataDxfId="31076" totalsRowDxfId="31075"/>
    <tableColumn id="1082" xr3:uid="{771E849F-44B6-44C0-8FF6-1B458FFE139A}" name="Column1068" dataDxfId="31074" totalsRowDxfId="31073"/>
    <tableColumn id="1083" xr3:uid="{1386C1D7-E8EB-4D9C-BCA1-E077753EE368}" name="Column1069" dataDxfId="31072" totalsRowDxfId="31071"/>
    <tableColumn id="1084" xr3:uid="{9C8805D4-6929-48B4-8188-6646F383BB63}" name="Column1070" dataDxfId="31070" totalsRowDxfId="31069"/>
    <tableColumn id="1085" xr3:uid="{24875CF7-B102-4C0C-B8F0-F950AC423BD6}" name="Column1071" dataDxfId="31068" totalsRowDxfId="31067"/>
    <tableColumn id="1086" xr3:uid="{A3940028-F595-43A0-87B1-82EC77460976}" name="Column1072" dataDxfId="31066" totalsRowDxfId="31065"/>
    <tableColumn id="1087" xr3:uid="{A354EB97-E753-4050-A435-727233B7D75B}" name="Column1073" dataDxfId="31064" totalsRowDxfId="31063"/>
    <tableColumn id="1088" xr3:uid="{DA7B2DF0-66D5-49F9-84A0-8EF4C398FE5A}" name="Column1074" dataDxfId="31062" totalsRowDxfId="31061"/>
    <tableColumn id="1089" xr3:uid="{C2018B87-D8CA-48A3-90AB-FB517A393F72}" name="Column1075" dataDxfId="31060" totalsRowDxfId="31059"/>
    <tableColumn id="1090" xr3:uid="{EDCDCADC-251A-40FB-B688-D619FB029861}" name="Column1076" dataDxfId="31058" totalsRowDxfId="31057"/>
    <tableColumn id="1091" xr3:uid="{08975407-A8F2-4019-8920-0D4749CA3631}" name="Column1077" dataDxfId="31056" totalsRowDxfId="31055"/>
    <tableColumn id="1092" xr3:uid="{92FCF10B-5C6E-4415-9B4A-5C31AA4F24EA}" name="Column1078" dataDxfId="31054" totalsRowDxfId="31053"/>
    <tableColumn id="1093" xr3:uid="{93B5BF71-F32B-46C2-B4D5-27AC20868B3A}" name="Column1079" dataDxfId="31052" totalsRowDxfId="31051"/>
    <tableColumn id="1094" xr3:uid="{FEF44032-E827-49DD-9998-0BE3E03A09B0}" name="Column1080" dataDxfId="31050" totalsRowDxfId="31049"/>
    <tableColumn id="1095" xr3:uid="{326D3455-14E6-4C75-89D9-ADED218D1E60}" name="Column1081" dataDxfId="31048" totalsRowDxfId="31047"/>
    <tableColumn id="1096" xr3:uid="{0E440CFA-D732-4067-9F62-233CA970E3D2}" name="Column1082" dataDxfId="31046" totalsRowDxfId="31045"/>
    <tableColumn id="1097" xr3:uid="{BDEEEC75-0D12-4E40-9AD4-58962008D037}" name="Column1083" dataDxfId="31044" totalsRowDxfId="31043"/>
    <tableColumn id="1098" xr3:uid="{725FAE24-C967-4816-B68B-84A641BFA24B}" name="Column1084" dataDxfId="31042" totalsRowDxfId="31041"/>
    <tableColumn id="1099" xr3:uid="{DA21BA56-2BBE-4ECA-A166-AE045A52EEC0}" name="Column1085" dataDxfId="31040" totalsRowDxfId="31039"/>
    <tableColumn id="1100" xr3:uid="{71D22DA9-4229-4BD1-B27E-13471F7CA273}" name="Column1086" dataDxfId="31038" totalsRowDxfId="31037"/>
    <tableColumn id="1101" xr3:uid="{BC5CB1E7-EB6B-443D-A246-F32B0425FECA}" name="Column1087" dataDxfId="31036" totalsRowDxfId="31035"/>
    <tableColumn id="1102" xr3:uid="{9F7408DB-62AE-41AF-AAB1-936EE532A928}" name="Column1088" dataDxfId="31034" totalsRowDxfId="31033"/>
    <tableColumn id="1103" xr3:uid="{E4DB5167-7A20-4D80-8528-9BBE1C3E7BB8}" name="Column1089" dataDxfId="31032" totalsRowDxfId="31031"/>
    <tableColumn id="1104" xr3:uid="{D4B3428C-21CC-4588-9704-7896B7BB1135}" name="Column1090" dataDxfId="31030" totalsRowDxfId="31029"/>
    <tableColumn id="1105" xr3:uid="{FFF307A8-AC35-43A3-83D5-4E457167A24B}" name="Column1091" dataDxfId="31028" totalsRowDxfId="31027"/>
    <tableColumn id="1106" xr3:uid="{0C21E973-868A-4BE5-8E80-949CE2499BB0}" name="Column1092" dataDxfId="31026" totalsRowDxfId="31025"/>
    <tableColumn id="1107" xr3:uid="{3EFC94CA-4BFD-4521-A1F6-C1037117D7AA}" name="Column1093" dataDxfId="31024" totalsRowDxfId="31023"/>
    <tableColumn id="1108" xr3:uid="{10D8E510-C5A5-41F9-BE74-C1B6D90A4F61}" name="Column1094" dataDxfId="31022" totalsRowDxfId="31021"/>
    <tableColumn id="1109" xr3:uid="{2EA5FC8A-7F00-46F6-B784-BC6517C19AD5}" name="Column1095" dataDxfId="31020" totalsRowDxfId="31019"/>
    <tableColumn id="1110" xr3:uid="{AD293F60-92EA-4D51-B8DB-9CAAB542D47D}" name="Column1096" dataDxfId="31018" totalsRowDxfId="31017"/>
    <tableColumn id="1111" xr3:uid="{DE8E4978-E951-46BE-A2FC-C953FAEE60F3}" name="Column1097" dataDxfId="31016" totalsRowDxfId="31015"/>
    <tableColumn id="1112" xr3:uid="{4DE11F70-E0BB-4647-AD25-9602C6052293}" name="Column1098" dataDxfId="31014" totalsRowDxfId="31013"/>
    <tableColumn id="1113" xr3:uid="{A4BDD90E-01FD-4C95-BF43-BEFF22CE6674}" name="Column1099" dataDxfId="31012" totalsRowDxfId="31011"/>
    <tableColumn id="1114" xr3:uid="{C4125BC1-4A08-4363-A814-C36551A798D9}" name="Column1100" dataDxfId="31010" totalsRowDxfId="31009"/>
    <tableColumn id="1115" xr3:uid="{112DA1A1-05AB-4B2D-BE78-E59DCFE3810C}" name="Column1101" dataDxfId="31008" totalsRowDxfId="31007"/>
    <tableColumn id="1116" xr3:uid="{69479651-15F9-4449-A0B5-7F194BD7918C}" name="Column1102" dataDxfId="31006" totalsRowDxfId="31005"/>
    <tableColumn id="1117" xr3:uid="{8429ECE4-11CE-4756-ADC2-A7291711FC34}" name="Column1103" dataDxfId="31004" totalsRowDxfId="31003"/>
    <tableColumn id="1118" xr3:uid="{83C2E7D5-5CF9-4CEF-928C-4639FEB90B51}" name="Column1104" dataDxfId="31002" totalsRowDxfId="31001"/>
    <tableColumn id="1119" xr3:uid="{F2A3F2DF-B5F4-4F53-994E-4582E8E99E14}" name="Column1105" dataDxfId="31000" totalsRowDxfId="30999"/>
    <tableColumn id="1120" xr3:uid="{C7E4E1C4-7E69-48BF-AC5A-229B11C900D8}" name="Column1106" dataDxfId="30998" totalsRowDxfId="30997"/>
    <tableColumn id="1121" xr3:uid="{9BB80A73-2F88-40D6-91A9-397FC00DC89E}" name="Column1107" dataDxfId="30996" totalsRowDxfId="30995"/>
    <tableColumn id="1122" xr3:uid="{CE371090-BC16-4E08-97B0-DD97B9FDA7D9}" name="Column1108" dataDxfId="30994" totalsRowDxfId="30993"/>
    <tableColumn id="1123" xr3:uid="{E3CDF61B-332B-4DD3-BC4A-421C54ADDB49}" name="Column1109" dataDxfId="30992" totalsRowDxfId="30991"/>
    <tableColumn id="1124" xr3:uid="{2AD810E9-412D-4970-82A4-DFB2444E0D42}" name="Column1110" dataDxfId="30990" totalsRowDxfId="30989"/>
    <tableColumn id="1125" xr3:uid="{874CB85C-5F1B-4758-96BC-CAEB1740CA4E}" name="Column1111" dataDxfId="30988" totalsRowDxfId="30987"/>
    <tableColumn id="1126" xr3:uid="{A55A44F0-ADE1-4B23-AE87-B4D53C6B342A}" name="Column1112" dataDxfId="30986" totalsRowDxfId="30985"/>
    <tableColumn id="1127" xr3:uid="{4EF91734-2E27-46B8-9201-5DCB7EBD066E}" name="Column1113" dataDxfId="30984" totalsRowDxfId="30983"/>
    <tableColumn id="1128" xr3:uid="{D37B1767-D20E-443F-9EA7-1581ECF60803}" name="Column1114" dataDxfId="30982" totalsRowDxfId="30981"/>
    <tableColumn id="1129" xr3:uid="{A6C3B6B1-E70F-4EC4-91A4-28951E3A7E32}" name="Column1115" dataDxfId="30980" totalsRowDxfId="30979"/>
    <tableColumn id="1130" xr3:uid="{3B16F534-F293-472E-A7F4-5BCA234DC7DC}" name="Column1116" dataDxfId="30978" totalsRowDxfId="30977"/>
    <tableColumn id="1131" xr3:uid="{61ACF791-7988-476F-9CAE-5AEC32332B7B}" name="Column1117" dataDxfId="30976" totalsRowDxfId="30975"/>
    <tableColumn id="1132" xr3:uid="{EB2D1173-0A90-434C-99B6-F4916546B0BE}" name="Column1118" dataDxfId="30974" totalsRowDxfId="30973"/>
    <tableColumn id="1133" xr3:uid="{7A116E14-13B6-4D7D-927C-61C59D752F2B}" name="Column1119" dataDxfId="30972" totalsRowDxfId="30971"/>
    <tableColumn id="1134" xr3:uid="{2560D221-3753-41AA-B41C-74C0EB9B88B5}" name="Column1120" dataDxfId="30970" totalsRowDxfId="30969"/>
    <tableColumn id="1135" xr3:uid="{B7189D55-192B-46E6-B2AE-7843CD13FEA3}" name="Column1121" dataDxfId="30968" totalsRowDxfId="30967"/>
    <tableColumn id="1136" xr3:uid="{55B5F0DA-087E-4E05-A447-7D7599F05596}" name="Column1122" dataDxfId="30966" totalsRowDxfId="30965"/>
    <tableColumn id="1137" xr3:uid="{09989975-14B7-44A6-887B-B6FF5C6C0FA9}" name="Column1123" dataDxfId="30964" totalsRowDxfId="30963"/>
    <tableColumn id="1138" xr3:uid="{95DD7538-169F-4CB5-BCA7-6AF6FF5FE265}" name="Column1124" dataDxfId="30962" totalsRowDxfId="30961"/>
    <tableColumn id="1139" xr3:uid="{2E144C37-E387-40E6-959E-5ADF18AB1CEE}" name="Column1125" dataDxfId="30960" totalsRowDxfId="30959"/>
    <tableColumn id="1140" xr3:uid="{A3B6DF09-5ADA-4C0F-AB54-DEFE16BAAB61}" name="Column1126" dataDxfId="30958" totalsRowDxfId="30957"/>
    <tableColumn id="1141" xr3:uid="{0D4A25CE-43A1-4B00-8993-2860E0904AB7}" name="Column1127" dataDxfId="30956" totalsRowDxfId="30955"/>
    <tableColumn id="1142" xr3:uid="{F1551129-C1BA-4034-94E2-253AE86B5A10}" name="Column1128" dataDxfId="30954" totalsRowDxfId="30953"/>
    <tableColumn id="1143" xr3:uid="{EAACEBF6-3D6A-4E8E-8878-95447F8A7F2E}" name="Column1129" dataDxfId="30952" totalsRowDxfId="30951"/>
    <tableColumn id="1144" xr3:uid="{B4017162-4154-4474-974E-D844CBC0784F}" name="Column1130" dataDxfId="30950" totalsRowDxfId="30949"/>
    <tableColumn id="1145" xr3:uid="{0B217D6A-35F7-4107-94A9-A74B28D0FDBB}" name="Column1131" dataDxfId="30948" totalsRowDxfId="30947"/>
    <tableColumn id="1146" xr3:uid="{C9318389-B76B-4127-A7D7-E564AD1B4CD0}" name="Column1132" dataDxfId="30946" totalsRowDxfId="30945"/>
    <tableColumn id="1147" xr3:uid="{DA653721-A7C5-40F4-82FE-7C83A7F9031B}" name="Column1133" dataDxfId="30944" totalsRowDxfId="30943"/>
    <tableColumn id="1148" xr3:uid="{25FA3F42-C26C-4D1A-999A-E650EBA58789}" name="Column1134" dataDxfId="30942" totalsRowDxfId="30941"/>
    <tableColumn id="1149" xr3:uid="{257E40C5-4ED3-46C6-B2EA-621DC2A8797E}" name="Column1135" dataDxfId="30940" totalsRowDxfId="30939"/>
    <tableColumn id="1150" xr3:uid="{1FF30A02-8927-4D75-AA03-9A1192E1A089}" name="Column1136" dataDxfId="30938" totalsRowDxfId="30937"/>
    <tableColumn id="1151" xr3:uid="{F76556AF-AB4B-4CE5-BCA2-EAC0C0E73F74}" name="Column1137" dataDxfId="30936" totalsRowDxfId="30935"/>
    <tableColumn id="1152" xr3:uid="{EF02FAEF-FCB3-4611-8906-96126634DED2}" name="Column1138" dataDxfId="30934" totalsRowDxfId="30933"/>
    <tableColumn id="1153" xr3:uid="{767BA39C-7F8B-4102-B612-58C2D429984C}" name="Column1139" dataDxfId="30932" totalsRowDxfId="30931"/>
    <tableColumn id="1154" xr3:uid="{74F6D775-57D9-48F1-B219-F81B8A76EF60}" name="Column1140" dataDxfId="30930" totalsRowDxfId="30929"/>
    <tableColumn id="1155" xr3:uid="{6677A441-65A1-4C87-BF14-F5F4F80D2105}" name="Column1141" dataDxfId="30928" totalsRowDxfId="30927"/>
    <tableColumn id="1156" xr3:uid="{EA5ADC66-47C2-4A78-8EE5-51A0CF86ACE1}" name="Column1142" dataDxfId="30926" totalsRowDxfId="30925"/>
    <tableColumn id="1157" xr3:uid="{B5B4B98F-1DAA-45DF-A790-44470E70D821}" name="Column1143" dataDxfId="30924" totalsRowDxfId="30923"/>
    <tableColumn id="1158" xr3:uid="{557F66F9-DD83-41C3-8092-5C7E46BCD38D}" name="Column1144" dataDxfId="30922" totalsRowDxfId="30921"/>
    <tableColumn id="1159" xr3:uid="{CC50E42A-A6A2-4E24-AEDA-2A35D6BB157B}" name="Column1145" dataDxfId="30920" totalsRowDxfId="30919"/>
    <tableColumn id="1160" xr3:uid="{E5816171-FDAB-47D1-9ECE-A3DAC33C1463}" name="Column1146" dataDxfId="30918" totalsRowDxfId="30917"/>
    <tableColumn id="1161" xr3:uid="{DF502C86-ABCE-499D-AAE7-C64EAB3BD27E}" name="Column1147" dataDxfId="30916" totalsRowDxfId="30915"/>
    <tableColumn id="1162" xr3:uid="{A6D925DA-4915-4438-B522-6DA2D4ADD099}" name="Column1148" dataDxfId="30914" totalsRowDxfId="30913"/>
    <tableColumn id="1163" xr3:uid="{D1E470AD-0F2E-4E86-A617-1F53256A0AB9}" name="Column1149" dataDxfId="30912" totalsRowDxfId="30911"/>
    <tableColumn id="1164" xr3:uid="{81EEC5A2-8CAF-4F82-8C32-953DAA6F4E50}" name="Column1150" dataDxfId="30910" totalsRowDxfId="30909"/>
    <tableColumn id="1165" xr3:uid="{49BBB05B-75EA-4534-8D0A-B3527DD1DFD8}" name="Column1151" dataDxfId="30908" totalsRowDxfId="30907"/>
    <tableColumn id="1166" xr3:uid="{F4F7437E-840A-46D7-99BD-3DD030EF3218}" name="Column1152" dataDxfId="30906" totalsRowDxfId="30905"/>
    <tableColumn id="1167" xr3:uid="{46B9DD83-A875-43E7-ABD7-19AFE775F18F}" name="Column1153" dataDxfId="30904" totalsRowDxfId="30903"/>
    <tableColumn id="1168" xr3:uid="{077A3F38-567C-4CE9-B146-4316C37438DD}" name="Column1154" dataDxfId="30902" totalsRowDxfId="30901"/>
    <tableColumn id="1169" xr3:uid="{206EC957-F556-4190-894D-E6E706356B81}" name="Column1155" dataDxfId="30900" totalsRowDxfId="30899"/>
    <tableColumn id="1170" xr3:uid="{105224A6-F6CA-4D14-866E-C4380D7265C0}" name="Column1156" dataDxfId="30898" totalsRowDxfId="30897"/>
    <tableColumn id="1171" xr3:uid="{4CB48659-001F-43F5-9870-EFE865A6D65E}" name="Column1157" dataDxfId="30896" totalsRowDxfId="30895"/>
    <tableColumn id="1172" xr3:uid="{E9BE9F72-38BE-4432-BAE8-62A768E3A607}" name="Column1158" dataDxfId="30894" totalsRowDxfId="30893"/>
    <tableColumn id="1173" xr3:uid="{A61DECC6-B5FA-44CF-BCFE-253271A0F003}" name="Column1159" dataDxfId="30892" totalsRowDxfId="30891"/>
    <tableColumn id="1174" xr3:uid="{87B42BA6-CF09-4B39-88FE-15B21331D7AB}" name="Column1160" dataDxfId="30890" totalsRowDxfId="30889"/>
    <tableColumn id="1175" xr3:uid="{8739A3F7-9636-406C-92F0-8ED7422C7CCE}" name="Column1161" dataDxfId="30888" totalsRowDxfId="30887"/>
    <tableColumn id="1176" xr3:uid="{8006E4C1-0C6D-4AA4-909B-258684412F6E}" name="Column1162" dataDxfId="30886" totalsRowDxfId="30885"/>
    <tableColumn id="1177" xr3:uid="{06109968-B94C-402D-94F6-0658378BE1E6}" name="Column1163" dataDxfId="30884" totalsRowDxfId="30883"/>
    <tableColumn id="1178" xr3:uid="{1CA8EFC8-F080-44B1-B188-E73446CBAAAB}" name="Column1164" dataDxfId="30882" totalsRowDxfId="30881"/>
    <tableColumn id="1179" xr3:uid="{DD242A6F-59B1-4226-9BB7-0BFF4F57D559}" name="Column1165" dataDxfId="30880" totalsRowDxfId="30879"/>
    <tableColumn id="1180" xr3:uid="{21FFA737-ABC5-43C0-B95D-48BCA5EBA9F2}" name="Column1166" dataDxfId="30878" totalsRowDxfId="30877"/>
    <tableColumn id="1181" xr3:uid="{1006EF5C-9717-4B18-9D47-AEFB4FEB0A4C}" name="Column1167" dataDxfId="30876" totalsRowDxfId="30875"/>
    <tableColumn id="1182" xr3:uid="{DFF20AA0-EDF3-4375-A067-5BA3E3DB4F3B}" name="Column1168" dataDxfId="30874" totalsRowDxfId="30873"/>
    <tableColumn id="1183" xr3:uid="{4131E5A8-8BCE-419E-8D81-643DA7904928}" name="Column1169" dataDxfId="30872" totalsRowDxfId="30871"/>
    <tableColumn id="1184" xr3:uid="{27E40CDC-557B-4907-A0A0-C1B30B96C58E}" name="Column1170" dataDxfId="30870" totalsRowDxfId="30869"/>
    <tableColumn id="1185" xr3:uid="{71399DF5-ABCD-47A1-B2B3-F96EDCC58CE8}" name="Column1171" dataDxfId="30868" totalsRowDxfId="30867"/>
    <tableColumn id="1186" xr3:uid="{CE65755B-7157-426F-BA25-718FF7FF6E11}" name="Column1172" dataDxfId="30866" totalsRowDxfId="30865"/>
    <tableColumn id="1187" xr3:uid="{D4DE9687-0B0C-4D77-A43E-8F18D39F7602}" name="Column1173" dataDxfId="30864" totalsRowDxfId="30863"/>
    <tableColumn id="1188" xr3:uid="{36A182F4-912E-41CA-845F-8087B6C54AFB}" name="Column1174" dataDxfId="30862" totalsRowDxfId="30861"/>
    <tableColumn id="1189" xr3:uid="{77621E16-1561-4F1E-AD1F-5E522CCD3F16}" name="Column1175" dataDxfId="30860" totalsRowDxfId="30859"/>
    <tableColumn id="1190" xr3:uid="{54290627-6FFB-4FF8-A14D-6C0F8C900C54}" name="Column1176" dataDxfId="30858" totalsRowDxfId="30857"/>
    <tableColumn id="1191" xr3:uid="{D824BC30-AFA1-454C-854A-E4467B299C92}" name="Column1177" dataDxfId="30856" totalsRowDxfId="30855"/>
    <tableColumn id="1192" xr3:uid="{083E9856-28C9-45A1-8080-A32D6FB0877A}" name="Column1178" dataDxfId="30854" totalsRowDxfId="30853"/>
    <tableColumn id="1193" xr3:uid="{8B670F64-4928-46F0-953B-55EEAE7602C5}" name="Column1179" dataDxfId="30852" totalsRowDxfId="30851"/>
    <tableColumn id="1194" xr3:uid="{DAC536A7-3692-4B22-8BE9-428268171C67}" name="Column1180" dataDxfId="30850" totalsRowDxfId="30849"/>
    <tableColumn id="1195" xr3:uid="{BEEC9899-DEA2-48CC-9780-286D55A4BDE2}" name="Column1181" dataDxfId="30848" totalsRowDxfId="30847"/>
    <tableColumn id="1196" xr3:uid="{B17183B6-0891-4FB4-8F36-9B7DA43641CA}" name="Column1182" dataDxfId="30846" totalsRowDxfId="30845"/>
    <tableColumn id="1197" xr3:uid="{31914856-D0D1-4B19-AA09-90B61466687F}" name="Column1183" dataDxfId="30844" totalsRowDxfId="30843"/>
    <tableColumn id="1198" xr3:uid="{5D82D33C-62D9-4A07-AC3F-0468CF4227BF}" name="Column1184" dataDxfId="30842" totalsRowDxfId="30841"/>
    <tableColumn id="1199" xr3:uid="{5772A1A1-0808-47A0-B4CD-640750727D3D}" name="Column1185" dataDxfId="30840" totalsRowDxfId="30839"/>
    <tableColumn id="1200" xr3:uid="{5F609BE8-E7EE-4A24-AF8A-426958443764}" name="Column1186" dataDxfId="30838" totalsRowDxfId="30837"/>
    <tableColumn id="1201" xr3:uid="{85B52934-6FC0-4B05-916E-F45C007EEE95}" name="Column1187" dataDxfId="30836" totalsRowDxfId="30835"/>
    <tableColumn id="1202" xr3:uid="{14AD558C-FE4E-4B65-91BB-4FBC919755BE}" name="Column1188" dataDxfId="30834" totalsRowDxfId="30833"/>
    <tableColumn id="1203" xr3:uid="{F6441DB8-917A-496A-B029-4418ED1E2D5D}" name="Column1189" dataDxfId="30832" totalsRowDxfId="30831"/>
    <tableColumn id="1204" xr3:uid="{B542618C-8F1F-4C41-A6C8-7D9377B614DB}" name="Column1190" dataDxfId="30830" totalsRowDxfId="30829"/>
    <tableColumn id="1205" xr3:uid="{2458FAF3-AA3D-418F-AEEF-A496E13835FE}" name="Column1191" dataDxfId="30828" totalsRowDxfId="30827"/>
    <tableColumn id="1206" xr3:uid="{8D3BDC57-9E0F-4E8A-8B0B-BBB77A7293B4}" name="Column1192" dataDxfId="30826" totalsRowDxfId="30825"/>
    <tableColumn id="1207" xr3:uid="{0DDAB367-92B8-4D98-9594-435C04E2E4E1}" name="Column1193" dataDxfId="30824" totalsRowDxfId="30823"/>
    <tableColumn id="1208" xr3:uid="{E471C5EB-94BD-4733-8358-00165B5C54BE}" name="Column1194" dataDxfId="30822" totalsRowDxfId="30821"/>
    <tableColumn id="1209" xr3:uid="{8795C9F3-97DE-44A2-B7A3-D6165B2CDEEF}" name="Column1195" dataDxfId="30820" totalsRowDxfId="30819"/>
    <tableColumn id="1210" xr3:uid="{E1153B3F-8A87-48F6-8E26-A56DEDA800FB}" name="Column1196" dataDxfId="30818" totalsRowDxfId="30817"/>
    <tableColumn id="1211" xr3:uid="{28326DDF-8D9C-48C3-B306-4C525909544D}" name="Column1197" dataDxfId="30816" totalsRowDxfId="30815"/>
    <tableColumn id="1212" xr3:uid="{22AD2563-77B3-465B-9D1F-5AF3BCDCAE5B}" name="Column1198" dataDxfId="30814" totalsRowDxfId="30813"/>
    <tableColumn id="1213" xr3:uid="{FE73194A-968E-4403-A92A-D17BEBE3926A}" name="Column1199" dataDxfId="30812" totalsRowDxfId="30811"/>
    <tableColumn id="1214" xr3:uid="{8B9D0EDD-F0BE-46C4-B69C-85A14E125919}" name="Column1200" dataDxfId="30810" totalsRowDxfId="30809"/>
    <tableColumn id="1215" xr3:uid="{2F8E8F0E-71F1-4DE9-8956-E3CDCAD76159}" name="Column1201" dataDxfId="30808" totalsRowDxfId="30807"/>
    <tableColumn id="1216" xr3:uid="{C1BEDEEC-51FA-47DF-B194-A375171ADC4B}" name="Column1202" dataDxfId="30806" totalsRowDxfId="30805"/>
    <tableColumn id="1217" xr3:uid="{DBF46E0F-CE08-4AD3-B8DC-1BEC58803D53}" name="Column1203" dataDxfId="30804" totalsRowDxfId="30803"/>
    <tableColumn id="1218" xr3:uid="{8887727E-BF53-4828-BB01-931E912D8943}" name="Column1204" dataDxfId="30802" totalsRowDxfId="30801"/>
    <tableColumn id="1219" xr3:uid="{425A91A4-455C-4C51-ABF3-316A1C9ED48C}" name="Column1205" dataDxfId="30800" totalsRowDxfId="30799"/>
    <tableColumn id="1220" xr3:uid="{6B6E7AB4-5738-455F-8451-26C5FE41F170}" name="Column1206" dataDxfId="30798" totalsRowDxfId="30797"/>
    <tableColumn id="1221" xr3:uid="{2AD94690-2A03-4CAD-82FD-7B6C825401AD}" name="Column1207" dataDxfId="30796" totalsRowDxfId="30795"/>
    <tableColumn id="1222" xr3:uid="{B668F8F6-2283-4619-84BE-7C84E7C20C45}" name="Column1208" dataDxfId="30794" totalsRowDxfId="30793"/>
    <tableColumn id="1223" xr3:uid="{606580C8-CEA3-4DD3-8A62-578D4013149F}" name="Column1209" dataDxfId="30792" totalsRowDxfId="30791"/>
    <tableColumn id="1224" xr3:uid="{AE89DB96-78DF-466E-BB49-A997145E0D72}" name="Column1210" dataDxfId="30790" totalsRowDxfId="30789"/>
    <tableColumn id="1225" xr3:uid="{23AA0A98-EB5C-41F0-B880-23352A975A40}" name="Column1211" dataDxfId="30788" totalsRowDxfId="30787"/>
    <tableColumn id="1226" xr3:uid="{6C29EAE0-49D0-4708-834B-FF25C731692A}" name="Column1212" dataDxfId="30786" totalsRowDxfId="30785"/>
    <tableColumn id="1227" xr3:uid="{D72D3CB4-DFD1-4602-828E-3B5B70156EB5}" name="Column1213" dataDxfId="30784" totalsRowDxfId="30783"/>
    <tableColumn id="1228" xr3:uid="{8C4AD990-A694-455B-819D-E3EC85E9BFEE}" name="Column1214" dataDxfId="30782" totalsRowDxfId="30781"/>
    <tableColumn id="1229" xr3:uid="{D29D2758-79B9-490A-B1BF-482E1A39C472}" name="Column1215" dataDxfId="30780" totalsRowDxfId="30779"/>
    <tableColumn id="1230" xr3:uid="{F680AA99-55D7-4885-8957-C688B2AAD6F8}" name="Column1216" dataDxfId="30778" totalsRowDxfId="30777"/>
    <tableColumn id="1231" xr3:uid="{9C5921B4-7F2E-49E6-8464-74A7FCB06A2D}" name="Column1217" dataDxfId="30776" totalsRowDxfId="30775"/>
    <tableColumn id="1232" xr3:uid="{A222D9E1-0756-4D6A-8B57-56B727E2D813}" name="Column1218" dataDxfId="30774" totalsRowDxfId="30773"/>
    <tableColumn id="1233" xr3:uid="{24F7E437-6A5E-4072-92D5-71E3588EBC15}" name="Column1219" dataDxfId="30772" totalsRowDxfId="30771"/>
    <tableColumn id="1234" xr3:uid="{666A5C9E-2088-4705-8587-046494E9F5BC}" name="Column1220" dataDxfId="30770" totalsRowDxfId="30769"/>
    <tableColumn id="1235" xr3:uid="{1D3C5047-332F-4FE9-8219-ABDB9CC49626}" name="Column1221" dataDxfId="30768" totalsRowDxfId="30767"/>
    <tableColumn id="1236" xr3:uid="{50CE9EC1-4AB2-409F-B7AA-3708E7ADDA4C}" name="Column1222" dataDxfId="30766" totalsRowDxfId="30765"/>
    <tableColumn id="1237" xr3:uid="{B0534012-FEDB-4F7B-B541-3D1484B36B46}" name="Column1223" dataDxfId="30764" totalsRowDxfId="30763"/>
    <tableColumn id="1238" xr3:uid="{C6D3B1D3-B1C4-4133-9E4B-1409B6B1BB13}" name="Column1224" dataDxfId="30762" totalsRowDxfId="30761"/>
    <tableColumn id="1239" xr3:uid="{6B3A6131-1A57-4EC4-B1F8-897BF16E2C08}" name="Column1225" dataDxfId="30760" totalsRowDxfId="30759"/>
    <tableColumn id="1240" xr3:uid="{A75F814E-64B8-4DB8-98FA-50CA6103E936}" name="Column1226" dataDxfId="30758" totalsRowDxfId="30757"/>
    <tableColumn id="1241" xr3:uid="{EDCE83E9-8C5C-4324-B3D4-6125ACAC300C}" name="Column1227" dataDxfId="30756" totalsRowDxfId="30755"/>
    <tableColumn id="1242" xr3:uid="{6BE17E36-C291-49A8-8DAE-A0D5ED00B2D9}" name="Column1228" dataDxfId="30754" totalsRowDxfId="30753"/>
    <tableColumn id="1243" xr3:uid="{C5E93F18-A733-4714-B778-4FBBC9262E48}" name="Column1229" dataDxfId="30752" totalsRowDxfId="30751"/>
    <tableColumn id="1244" xr3:uid="{3DF43CD8-E11D-472A-ACEE-C4DC865120B5}" name="Column1230" dataDxfId="30750" totalsRowDxfId="30749"/>
    <tableColumn id="1245" xr3:uid="{3646D18A-566E-4206-A114-56655B1850EA}" name="Column1231" dataDxfId="30748" totalsRowDxfId="30747"/>
    <tableColumn id="1246" xr3:uid="{3D8F13D9-D190-4ACE-A571-E08EA4059E29}" name="Column1232" dataDxfId="30746" totalsRowDxfId="30745"/>
    <tableColumn id="1247" xr3:uid="{2574DFF5-DC13-4CB7-9E0C-ED696E59EE3C}" name="Column1233" dataDxfId="30744" totalsRowDxfId="30743"/>
    <tableColumn id="1248" xr3:uid="{573150E2-2B77-4DA5-B740-2AE17793DDF6}" name="Column1234" dataDxfId="30742" totalsRowDxfId="30741"/>
    <tableColumn id="1249" xr3:uid="{86DD5238-8A1D-4798-AF9C-DEFAD70C8EDC}" name="Column1235" dataDxfId="30740" totalsRowDxfId="30739"/>
    <tableColumn id="1250" xr3:uid="{1AD7CCB0-0445-4F25-9A8B-C5E0636A9E8C}" name="Column1236" dataDxfId="30738" totalsRowDxfId="30737"/>
    <tableColumn id="1251" xr3:uid="{3CF7551F-FADD-4DCD-A276-28E944B9D9DC}" name="Column1237" dataDxfId="30736" totalsRowDxfId="30735"/>
    <tableColumn id="1252" xr3:uid="{EEDD8B48-EC05-4B22-A209-100585D02BBF}" name="Column1238" dataDxfId="30734" totalsRowDxfId="30733"/>
    <tableColumn id="1253" xr3:uid="{C9C9F03E-E9BF-472A-AA7C-92C1039FB878}" name="Column1239" dataDxfId="30732" totalsRowDxfId="30731"/>
    <tableColumn id="1254" xr3:uid="{2FFFEDDC-E7D1-45A8-8B60-08C28DD52C22}" name="Column1240" dataDxfId="30730" totalsRowDxfId="30729"/>
    <tableColumn id="1255" xr3:uid="{EF810B34-2628-48CE-8F8B-F886C5188078}" name="Column1241" dataDxfId="30728" totalsRowDxfId="30727"/>
    <tableColumn id="1256" xr3:uid="{5780D7DA-A33B-495E-9922-0D0D954D2B11}" name="Column1242" dataDxfId="30726" totalsRowDxfId="30725"/>
    <tableColumn id="1257" xr3:uid="{A1AD7BE1-7F73-42D6-A545-EFB40D353F09}" name="Column1243" dataDxfId="30724" totalsRowDxfId="30723"/>
    <tableColumn id="1258" xr3:uid="{5960DD4B-AA60-4024-A920-75BF7031ACA7}" name="Column1244" dataDxfId="30722" totalsRowDxfId="30721"/>
    <tableColumn id="1259" xr3:uid="{99F6AC33-88FC-4497-9612-C5528A0C01DC}" name="Column1245" dataDxfId="30720" totalsRowDxfId="30719"/>
    <tableColumn id="1260" xr3:uid="{2DB332F9-2C45-4D47-A476-4AC80E590A8F}" name="Column1246" dataDxfId="30718" totalsRowDxfId="30717"/>
    <tableColumn id="1261" xr3:uid="{2A9C8419-0217-47E1-950C-5ADB86B35469}" name="Column1247" dataDxfId="30716" totalsRowDxfId="30715"/>
    <tableColumn id="1262" xr3:uid="{344D058B-4491-4808-82C6-245D681C25D2}" name="Column1248" dataDxfId="30714" totalsRowDxfId="30713"/>
    <tableColumn id="1263" xr3:uid="{7B3AA0B4-8497-4ACF-A025-5FF566CF84AB}" name="Column1249" dataDxfId="30712" totalsRowDxfId="30711"/>
    <tableColumn id="1264" xr3:uid="{09AED6BF-F874-4F14-A5FB-ECF8F582CABB}" name="Column1250" dataDxfId="30710" totalsRowDxfId="30709"/>
    <tableColumn id="1265" xr3:uid="{4BC72D47-1FC7-4130-B61D-FBBBE4280DE6}" name="Column1251" dataDxfId="30708" totalsRowDxfId="30707"/>
    <tableColumn id="1266" xr3:uid="{A74FD3FA-F627-4819-82D0-F739D09B9686}" name="Column1252" dataDxfId="30706" totalsRowDxfId="30705"/>
    <tableColumn id="1267" xr3:uid="{D02A9A64-6476-4825-BEB8-A441463C3DFD}" name="Column1253" dataDxfId="30704" totalsRowDxfId="30703"/>
    <tableColumn id="1268" xr3:uid="{7021BA62-10A0-420B-999C-8F819BB1A962}" name="Column1254" dataDxfId="30702" totalsRowDxfId="30701"/>
    <tableColumn id="1269" xr3:uid="{94BAAC0E-C595-4154-8312-DD74ED4937D3}" name="Column1255" dataDxfId="30700" totalsRowDxfId="30699"/>
    <tableColumn id="1270" xr3:uid="{1E75A0DA-83FF-4FAD-B420-C1DA28979DC9}" name="Column1256" dataDxfId="30698" totalsRowDxfId="30697"/>
    <tableColumn id="1271" xr3:uid="{439E6B2C-59CB-4534-95FE-0DCF7870B57B}" name="Column1257" dataDxfId="30696" totalsRowDxfId="30695"/>
    <tableColumn id="1272" xr3:uid="{508457EB-A69C-415B-938E-55762AFACABF}" name="Column1258" dataDxfId="30694" totalsRowDxfId="30693"/>
    <tableColumn id="1273" xr3:uid="{9F756BA3-54AC-4B9F-8936-A9B91CACBE59}" name="Column1259" dataDxfId="30692" totalsRowDxfId="30691"/>
    <tableColumn id="1274" xr3:uid="{E22398C4-5A94-49CB-A554-C9F8B50DAE93}" name="Column1260" dataDxfId="30690" totalsRowDxfId="30689"/>
    <tableColumn id="1275" xr3:uid="{90042D27-1553-4EB8-B029-145B7B441067}" name="Column1261" dataDxfId="30688" totalsRowDxfId="30687"/>
    <tableColumn id="1276" xr3:uid="{B74C289E-B21E-4727-8DAB-EA251D0573F0}" name="Column1262" dataDxfId="30686" totalsRowDxfId="30685"/>
    <tableColumn id="1277" xr3:uid="{BE536B08-5B3D-4521-8A16-DF17430FD115}" name="Column1263" dataDxfId="30684" totalsRowDxfId="30683"/>
    <tableColumn id="1278" xr3:uid="{1854C890-AFD4-4767-AB9C-D1C5C00E975E}" name="Column1264" dataDxfId="30682" totalsRowDxfId="30681"/>
    <tableColumn id="1279" xr3:uid="{5FD04353-EC33-441E-A1F6-3155A3FB0CEA}" name="Column1265" dataDxfId="30680" totalsRowDxfId="30679"/>
    <tableColumn id="1280" xr3:uid="{FA8E8366-52C3-4781-B8AC-C243468F2E3B}" name="Column1266" dataDxfId="30678" totalsRowDxfId="30677"/>
    <tableColumn id="1281" xr3:uid="{78D891FF-E5D3-4285-8FAC-E3266C9E7A8C}" name="Column1267" dataDxfId="30676" totalsRowDxfId="30675"/>
    <tableColumn id="1282" xr3:uid="{D053D988-F169-4770-A7B4-9760CFF51075}" name="Column1268" dataDxfId="30674" totalsRowDxfId="30673"/>
    <tableColumn id="1283" xr3:uid="{484EEE85-3740-4A42-A8C8-C3F6AF44096F}" name="Column1269" dataDxfId="30672" totalsRowDxfId="30671"/>
    <tableColumn id="1284" xr3:uid="{B07AA487-8BF3-4E5D-85C4-FF8B8BE19746}" name="Column1270" dataDxfId="30670" totalsRowDxfId="30669"/>
    <tableColumn id="1285" xr3:uid="{2758E8EE-F1D5-4745-88B8-B93CB8B5FC1E}" name="Column1271" dataDxfId="30668" totalsRowDxfId="30667"/>
    <tableColumn id="1286" xr3:uid="{21E35D38-E6BE-44E3-BD02-BD88B61D31C2}" name="Column1272" dataDxfId="30666" totalsRowDxfId="30665"/>
    <tableColumn id="1287" xr3:uid="{413B2FB1-504B-4F86-9E69-2ABFC1CFAECB}" name="Column1273" dataDxfId="30664" totalsRowDxfId="30663"/>
    <tableColumn id="1288" xr3:uid="{ADF0C03A-3554-412F-A22F-1B36158A3AB1}" name="Column1274" dataDxfId="30662" totalsRowDxfId="30661"/>
    <tableColumn id="1289" xr3:uid="{A75A7855-AE37-4426-9425-8E2624F1249E}" name="Column1275" dataDxfId="30660" totalsRowDxfId="30659"/>
    <tableColumn id="1290" xr3:uid="{FC201A8A-254A-4568-87C5-9DE0D4DCD383}" name="Column1276" dataDxfId="30658" totalsRowDxfId="30657"/>
    <tableColumn id="1291" xr3:uid="{85BE9234-777D-47EC-8CC2-737D515AAD5D}" name="Column1277" dataDxfId="30656" totalsRowDxfId="30655"/>
    <tableColumn id="1292" xr3:uid="{0F8F3A5F-26E2-4DB7-8D31-BF4ACE2A4200}" name="Column1278" dataDxfId="30654" totalsRowDxfId="30653"/>
    <tableColumn id="1293" xr3:uid="{CD335C6D-B4E6-4681-AF9A-4A830F52FF00}" name="Column1279" dataDxfId="30652" totalsRowDxfId="30651"/>
    <tableColumn id="1294" xr3:uid="{9914AEFB-F67B-4399-9501-0E2B4383300C}" name="Column1280" dataDxfId="30650" totalsRowDxfId="30649"/>
    <tableColumn id="1295" xr3:uid="{89DF98E1-1BE5-4B5C-B1DC-4371DBFFC430}" name="Column1281" dataDxfId="30648" totalsRowDxfId="30647"/>
    <tableColumn id="1296" xr3:uid="{D16DB44C-EE79-458F-B2CB-01B8B75DD9D4}" name="Column1282" dataDxfId="30646" totalsRowDxfId="30645"/>
    <tableColumn id="1297" xr3:uid="{C5BFEEC2-F128-4CBC-A25C-401AD32D63F9}" name="Column1283" dataDxfId="30644" totalsRowDxfId="30643"/>
    <tableColumn id="1298" xr3:uid="{E8C4A5F5-2A44-4047-B1E2-B5A7A0CF8A0F}" name="Column1284" dataDxfId="30642" totalsRowDxfId="30641"/>
    <tableColumn id="1299" xr3:uid="{43609399-FA8E-4594-BBDD-DB8D373E6327}" name="Column1285" dataDxfId="30640" totalsRowDxfId="30639"/>
    <tableColumn id="1300" xr3:uid="{2EA8A173-74CD-44BC-9050-5F731DF8CC5C}" name="Column1286" dataDxfId="30638" totalsRowDxfId="30637"/>
    <tableColumn id="1301" xr3:uid="{694BA2BE-E82B-4CD2-9DA4-0A988513546B}" name="Column1287" dataDxfId="30636" totalsRowDxfId="30635"/>
    <tableColumn id="1302" xr3:uid="{8400DAD0-F984-4BA1-991F-94DD3525B3E7}" name="Column1288" dataDxfId="30634" totalsRowDxfId="30633"/>
    <tableColumn id="1303" xr3:uid="{CD8E8B87-A5CB-49E3-BF72-48618FFE7A06}" name="Column1289" dataDxfId="30632" totalsRowDxfId="30631"/>
    <tableColumn id="1304" xr3:uid="{2AEB071A-7358-483A-B7B9-A7B70547D26F}" name="Column1290" dataDxfId="30630" totalsRowDxfId="30629"/>
    <tableColumn id="1305" xr3:uid="{AFFA3B87-6BBC-437B-B09F-9D05FADBADF7}" name="Column1291" dataDxfId="30628" totalsRowDxfId="30627"/>
    <tableColumn id="1306" xr3:uid="{4A6AD138-34D7-4BB0-9C2F-FB6AE4607498}" name="Column1292" dataDxfId="30626" totalsRowDxfId="30625"/>
    <tableColumn id="1307" xr3:uid="{230A3737-C213-4897-B74E-CC3918FD1E97}" name="Column1293" dataDxfId="30624" totalsRowDxfId="30623"/>
    <tableColumn id="1308" xr3:uid="{6032714A-814F-4A6F-B3AB-6E992F2E90AF}" name="Column1294" dataDxfId="30622" totalsRowDxfId="30621"/>
    <tableColumn id="1309" xr3:uid="{C51249F9-D4E9-45D8-B75D-50AB4926921A}" name="Column1295" dataDxfId="30620" totalsRowDxfId="30619"/>
    <tableColumn id="1310" xr3:uid="{0FCB0981-7C5C-4491-BC86-F680BE53B08E}" name="Column1296" dataDxfId="30618" totalsRowDxfId="30617"/>
    <tableColumn id="1311" xr3:uid="{EBB1215E-CF8F-4E26-8603-4000CA809848}" name="Column1297" dataDxfId="30616" totalsRowDxfId="30615"/>
    <tableColumn id="1312" xr3:uid="{EA930F8F-73F4-4910-8CC3-20742896C084}" name="Column1298" dataDxfId="30614" totalsRowDxfId="30613"/>
    <tableColumn id="1313" xr3:uid="{F45F2F63-9B30-4B36-AD47-9CE63C3977E9}" name="Column1299" dataDxfId="30612" totalsRowDxfId="30611"/>
    <tableColumn id="1314" xr3:uid="{77F7D101-E1A8-4E02-957E-B64B59BF4EEE}" name="Column1300" dataDxfId="30610" totalsRowDxfId="30609"/>
    <tableColumn id="1315" xr3:uid="{8AB61F00-82ED-4E3F-873A-463B5C6F9962}" name="Column1301" dataDxfId="30608" totalsRowDxfId="30607"/>
    <tableColumn id="1316" xr3:uid="{C8813948-41E3-46FD-9FB9-61724BFABE97}" name="Column1302" dataDxfId="30606" totalsRowDxfId="30605"/>
    <tableColumn id="1317" xr3:uid="{73FE563E-581B-4CA7-95E4-9890AC1628B3}" name="Column1303" dataDxfId="30604" totalsRowDxfId="30603"/>
    <tableColumn id="1318" xr3:uid="{A66938DE-4C54-4379-9732-0EEDEC5DCC65}" name="Column1304" dataDxfId="30602" totalsRowDxfId="30601"/>
    <tableColumn id="1319" xr3:uid="{39D69D5C-330F-492E-82FD-2DFFC827EF28}" name="Column1305" dataDxfId="30600" totalsRowDxfId="30599"/>
    <tableColumn id="1320" xr3:uid="{32F6DCE3-D26D-4A47-8AD0-4581C146904C}" name="Column1306" dataDxfId="30598" totalsRowDxfId="30597"/>
    <tableColumn id="1321" xr3:uid="{E8D4B851-E16C-45DF-B79B-CAEFD037E874}" name="Column1307" dataDxfId="30596" totalsRowDxfId="30595"/>
    <tableColumn id="1322" xr3:uid="{C81EB1DD-E9F3-46B1-AE4F-1442A819B237}" name="Column1308" dataDxfId="30594" totalsRowDxfId="30593"/>
    <tableColumn id="1323" xr3:uid="{64E33B9B-D453-4E35-B6F5-E68216AC6B7F}" name="Column1309" dataDxfId="30592" totalsRowDxfId="30591"/>
    <tableColumn id="1324" xr3:uid="{2A9751BB-80EA-4B4E-A045-5372ECA57EB4}" name="Column1310" dataDxfId="30590" totalsRowDxfId="30589"/>
    <tableColumn id="1325" xr3:uid="{785AB06A-4E61-4E85-91C1-8D4B27E74C8B}" name="Column1311" dataDxfId="30588" totalsRowDxfId="30587"/>
    <tableColumn id="1326" xr3:uid="{3A3EDBE3-746A-4DA4-8476-6FF6A408E9C6}" name="Column1312" dataDxfId="30586" totalsRowDxfId="30585"/>
    <tableColumn id="1327" xr3:uid="{7219663E-FEE7-4F35-B646-812E403FF117}" name="Column1313" dataDxfId="30584" totalsRowDxfId="30583"/>
    <tableColumn id="1328" xr3:uid="{E0F747A0-4D47-470C-A5F5-46456234C2F3}" name="Column1314" dataDxfId="30582" totalsRowDxfId="30581"/>
    <tableColumn id="1329" xr3:uid="{E020BA78-F4C7-47F4-BE17-07350FCF0027}" name="Column1315" dataDxfId="30580" totalsRowDxfId="30579"/>
    <tableColumn id="1330" xr3:uid="{CC266068-D373-402B-A3AB-EE6C302A6671}" name="Column1316" dataDxfId="30578" totalsRowDxfId="30577"/>
    <tableColumn id="1331" xr3:uid="{3CCB9598-1CCF-4316-B9B0-6B6E1136B26D}" name="Column1317" dataDxfId="30576" totalsRowDxfId="30575"/>
    <tableColumn id="1332" xr3:uid="{254302A1-5EBD-4E5F-B6D4-6816BCF08D98}" name="Column1318" dataDxfId="30574" totalsRowDxfId="30573"/>
    <tableColumn id="1333" xr3:uid="{D2F7BD50-26B1-4175-8EDE-3A0BD2AC0FCE}" name="Column1319" dataDxfId="30572" totalsRowDxfId="30571"/>
    <tableColumn id="1334" xr3:uid="{4291D804-F2D1-4F06-BFB5-7204FC1059CA}" name="Column1320" dataDxfId="30570" totalsRowDxfId="30569"/>
    <tableColumn id="1335" xr3:uid="{15AB8B50-11EE-4281-A4A0-E4673176D378}" name="Column1321" dataDxfId="30568" totalsRowDxfId="30567"/>
    <tableColumn id="1336" xr3:uid="{663DA85A-523D-48AA-A0D2-B5AEA08687BB}" name="Column1322" dataDxfId="30566" totalsRowDxfId="30565"/>
    <tableColumn id="1337" xr3:uid="{F2102BBC-0FE4-4D12-8BCA-A6AACA10075B}" name="Column1323" dataDxfId="30564" totalsRowDxfId="30563"/>
    <tableColumn id="1338" xr3:uid="{03870A4B-66EC-4FB7-9F1F-B255ACC82D7E}" name="Column1324" dataDxfId="30562" totalsRowDxfId="30561"/>
    <tableColumn id="1339" xr3:uid="{20048BA1-854B-463C-B608-3D0A500D4C0A}" name="Column1325" dataDxfId="30560" totalsRowDxfId="30559"/>
    <tableColumn id="1340" xr3:uid="{31BCEBE2-BAC0-4DD4-8475-5C144933B6D3}" name="Column1326" dataDxfId="30558" totalsRowDxfId="30557"/>
    <tableColumn id="1341" xr3:uid="{088786F8-B1B8-490B-B7B1-949808670882}" name="Column1327" dataDxfId="30556" totalsRowDxfId="30555"/>
    <tableColumn id="1342" xr3:uid="{1027DE7F-3E60-4416-9D30-A9586E421BE0}" name="Column1328" dataDxfId="30554" totalsRowDxfId="30553"/>
    <tableColumn id="1343" xr3:uid="{D2956245-C638-4285-84A9-578903FA8673}" name="Column1329" dataDxfId="30552" totalsRowDxfId="30551"/>
    <tableColumn id="1344" xr3:uid="{295E020B-D1B3-421D-B6FE-AC5EF079762B}" name="Column1330" dataDxfId="30550" totalsRowDxfId="30549"/>
    <tableColumn id="1345" xr3:uid="{A0231669-895B-4127-98ED-0DEED9FCC217}" name="Column1331" dataDxfId="30548" totalsRowDxfId="30547"/>
    <tableColumn id="1346" xr3:uid="{E42ED0D1-878B-4D9C-839B-F1E6BF6D7CAB}" name="Column1332" dataDxfId="30546" totalsRowDxfId="30545"/>
    <tableColumn id="1347" xr3:uid="{A279EC60-F40C-485E-9700-9B28CDB1D974}" name="Column1333" dataDxfId="30544" totalsRowDxfId="30543"/>
    <tableColumn id="1348" xr3:uid="{B31F7169-B1E7-4CB6-8E72-C8E40040C729}" name="Column1334" dataDxfId="30542" totalsRowDxfId="30541"/>
    <tableColumn id="1349" xr3:uid="{7E72EF07-E279-4665-BFEE-FF1AE6229A4D}" name="Column1335" dataDxfId="30540" totalsRowDxfId="30539"/>
    <tableColumn id="1350" xr3:uid="{4E099AA5-F9DC-4662-B15F-F582D2FCDBC8}" name="Column1336" dataDxfId="30538" totalsRowDxfId="30537"/>
    <tableColumn id="1351" xr3:uid="{1B17B3A8-64C6-4FCE-94D9-EE26969D3CEA}" name="Column1337" dataDxfId="30536" totalsRowDxfId="30535"/>
    <tableColumn id="1352" xr3:uid="{6E0366A6-907B-4A49-822D-73539A5B7EB0}" name="Column1338" dataDxfId="30534" totalsRowDxfId="30533"/>
    <tableColumn id="1353" xr3:uid="{0ACEB9EB-42CB-453A-B901-7FDA131A0B9C}" name="Column1339" dataDxfId="30532" totalsRowDxfId="30531"/>
    <tableColumn id="1354" xr3:uid="{699FDECA-1E1B-45C2-980B-BC777C36CAA5}" name="Column1340" dataDxfId="30530" totalsRowDxfId="30529"/>
    <tableColumn id="1355" xr3:uid="{2FE6B17E-EF54-487C-AB33-CD9DD824C21A}" name="Column1341" dataDxfId="30528" totalsRowDxfId="30527"/>
    <tableColumn id="1356" xr3:uid="{31BAF649-75C0-4C78-A78D-2BC77C689B26}" name="Column1342" dataDxfId="30526" totalsRowDxfId="30525"/>
    <tableColumn id="1357" xr3:uid="{6030F5A2-BD96-4795-AA39-29BB44282296}" name="Column1343" dataDxfId="30524" totalsRowDxfId="30523"/>
    <tableColumn id="1358" xr3:uid="{C331EF0E-D7F3-4C78-9F38-EF5E76763F03}" name="Column1344" dataDxfId="30522" totalsRowDxfId="30521"/>
    <tableColumn id="1359" xr3:uid="{9330FA90-27D2-48C7-890E-40E22C6DDD87}" name="Column1345" dataDxfId="30520" totalsRowDxfId="30519"/>
    <tableColumn id="1360" xr3:uid="{2BE41019-2092-4B46-83B8-011B079620A5}" name="Column1346" dataDxfId="30518" totalsRowDxfId="30517"/>
    <tableColumn id="1361" xr3:uid="{A32EC5EC-D8E1-41DB-8DA7-BDAFCC3D450A}" name="Column1347" dataDxfId="30516" totalsRowDxfId="30515"/>
    <tableColumn id="1362" xr3:uid="{1BDEC510-B328-40FC-8506-97EDE21C3452}" name="Column1348" dataDxfId="30514" totalsRowDxfId="30513"/>
    <tableColumn id="1363" xr3:uid="{56709F23-28C6-47A0-A1B1-884B33BA796E}" name="Column1349" dataDxfId="30512" totalsRowDxfId="30511"/>
    <tableColumn id="1364" xr3:uid="{13EB8B31-C547-403C-92D8-23C39DB80773}" name="Column1350" dataDxfId="30510" totalsRowDxfId="30509"/>
    <tableColumn id="1365" xr3:uid="{04019D2D-FA4D-493A-8A0B-F3118DD5D1EB}" name="Column1351" dataDxfId="30508" totalsRowDxfId="30507"/>
    <tableColumn id="1366" xr3:uid="{FACF4176-BCF2-4947-8913-5EDB3F7D8181}" name="Column1352" dataDxfId="30506" totalsRowDxfId="30505"/>
    <tableColumn id="1367" xr3:uid="{D39079FC-7927-4E10-AF6E-E6BAE05CA74D}" name="Column1353" dataDxfId="30504" totalsRowDxfId="30503"/>
    <tableColumn id="1368" xr3:uid="{3982C426-558C-4DFF-9DA8-C2C8E1F1BFC4}" name="Column1354" dataDxfId="30502" totalsRowDxfId="30501"/>
    <tableColumn id="1369" xr3:uid="{4E9F6BE4-DC46-45B3-A027-8B5A69DAE253}" name="Column1355" dataDxfId="30500" totalsRowDxfId="30499"/>
    <tableColumn id="1370" xr3:uid="{2FB66902-053B-4E9F-AB04-E38AF2F60942}" name="Column1356" dataDxfId="30498" totalsRowDxfId="30497"/>
    <tableColumn id="1371" xr3:uid="{9A5C1B70-F781-431A-A76C-9F64584C5754}" name="Column1357" dataDxfId="30496" totalsRowDxfId="30495"/>
    <tableColumn id="1372" xr3:uid="{6A2C0EF8-10E5-408E-A9E4-A0D4158E96D1}" name="Column1358" dataDxfId="30494" totalsRowDxfId="30493"/>
    <tableColumn id="1373" xr3:uid="{5E9F8FB0-4CC7-4FC5-9102-BD640D1E56FB}" name="Column1359" dataDxfId="30492" totalsRowDxfId="30491"/>
    <tableColumn id="1374" xr3:uid="{ACEB0968-B659-4C0C-A498-D22E003460F3}" name="Column1360" dataDxfId="30490" totalsRowDxfId="30489"/>
    <tableColumn id="1375" xr3:uid="{856E5E0B-0EED-4051-8D4A-BBA8B072C5CF}" name="Column1361" dataDxfId="30488" totalsRowDxfId="30487"/>
    <tableColumn id="1376" xr3:uid="{2E0716F8-73FF-4430-B111-4BB021E06C35}" name="Column1362" dataDxfId="30486" totalsRowDxfId="30485"/>
    <tableColumn id="1377" xr3:uid="{B0A9507F-4DB0-4B14-A8EE-23E30D8C5FC1}" name="Column1363" dataDxfId="30484" totalsRowDxfId="30483"/>
    <tableColumn id="1378" xr3:uid="{F93A43F7-2EAF-4637-86D8-2A802196473B}" name="Column1364" dataDxfId="30482" totalsRowDxfId="30481"/>
    <tableColumn id="1379" xr3:uid="{0A3BEAC5-C140-400C-8A2D-12A3663C14E3}" name="Column1365" dataDxfId="30480" totalsRowDxfId="30479"/>
    <tableColumn id="1380" xr3:uid="{9F033C8A-57D4-4DDB-A18B-E00D834B29EF}" name="Column1366" dataDxfId="30478" totalsRowDxfId="30477"/>
    <tableColumn id="1381" xr3:uid="{409C53F1-1E1A-4AA7-A047-D663D2AAFABC}" name="Column1367" dataDxfId="30476" totalsRowDxfId="30475"/>
    <tableColumn id="1382" xr3:uid="{31B6A45D-477C-450C-B120-B62BC2F1F143}" name="Column1368" dataDxfId="30474" totalsRowDxfId="30473"/>
    <tableColumn id="1383" xr3:uid="{E9F04AE6-AE56-4A31-9DC0-188C02F0C9E7}" name="Column1369" dataDxfId="30472" totalsRowDxfId="30471"/>
    <tableColumn id="1384" xr3:uid="{15527DC3-0712-4D1A-8AF9-965FDBBB5F64}" name="Column1370" dataDxfId="30470" totalsRowDxfId="30469"/>
    <tableColumn id="1385" xr3:uid="{2521B748-A524-44E7-B52B-1C02796DD70A}" name="Column1371" dataDxfId="30468" totalsRowDxfId="30467"/>
    <tableColumn id="1386" xr3:uid="{A1C85F67-617C-4843-879C-3D0FC933D754}" name="Column1372" dataDxfId="30466" totalsRowDxfId="30465"/>
    <tableColumn id="1387" xr3:uid="{436A762E-349E-4855-A1DC-83D0D93B068D}" name="Column1373" dataDxfId="30464" totalsRowDxfId="30463"/>
    <tableColumn id="1388" xr3:uid="{727FCC7F-868F-4E45-B785-3F84E5FDB1DB}" name="Column1374" dataDxfId="30462" totalsRowDxfId="30461"/>
    <tableColumn id="1389" xr3:uid="{3D88F7B2-0FB4-4D6C-BA31-CA97CEE89E9F}" name="Column1375" dataDxfId="30460" totalsRowDxfId="30459"/>
    <tableColumn id="1390" xr3:uid="{741DE947-FD18-4080-8232-E1F9975B9234}" name="Column1376" dataDxfId="30458" totalsRowDxfId="30457"/>
    <tableColumn id="1391" xr3:uid="{09BD0E02-DBFF-41D2-9D1B-94E4A6D46C05}" name="Column1377" dataDxfId="30456" totalsRowDxfId="30455"/>
    <tableColumn id="1392" xr3:uid="{4F325ECA-E886-4E94-8F4D-8E7FB96ADCE1}" name="Column1378" dataDxfId="30454" totalsRowDxfId="30453"/>
    <tableColumn id="1393" xr3:uid="{A8F0F5FF-61D3-45B1-8FA3-7012B21A57A1}" name="Column1379" dataDxfId="30452" totalsRowDxfId="30451"/>
    <tableColumn id="1394" xr3:uid="{FCB46C3B-1563-49EF-9B8C-1982B1221ECC}" name="Column1380" dataDxfId="30450" totalsRowDxfId="30449"/>
    <tableColumn id="1395" xr3:uid="{A9E36186-DF8D-4B85-879D-E09AE4B14E94}" name="Column1381" dataDxfId="30448" totalsRowDxfId="30447"/>
    <tableColumn id="1396" xr3:uid="{7B4171AF-D016-4476-90A8-39556827780A}" name="Column1382" dataDxfId="30446" totalsRowDxfId="30445"/>
    <tableColumn id="1397" xr3:uid="{C3A878D2-B83A-4B14-B069-A30FFBB1F9C2}" name="Column1383" dataDxfId="30444" totalsRowDxfId="30443"/>
    <tableColumn id="1398" xr3:uid="{26BA49E9-5449-4BB7-A8A4-FFFBE5611CB0}" name="Column1384" dataDxfId="30442" totalsRowDxfId="30441"/>
    <tableColumn id="1399" xr3:uid="{D041F295-5D8D-4CEC-B6CE-CD4A5D383A48}" name="Column1385" dataDxfId="30440" totalsRowDxfId="30439"/>
    <tableColumn id="1400" xr3:uid="{AAF4CEF7-EBA5-4272-AB7F-FCD0D53620C0}" name="Column1386" dataDxfId="30438" totalsRowDxfId="30437"/>
    <tableColumn id="1401" xr3:uid="{CC347E5D-9D14-444F-96AF-BB003568A062}" name="Column1387" dataDxfId="30436" totalsRowDxfId="30435"/>
    <tableColumn id="1402" xr3:uid="{F40419EB-5B32-4605-81CD-E43E28DB1242}" name="Column1388" dataDxfId="30434" totalsRowDxfId="30433"/>
    <tableColumn id="1403" xr3:uid="{AE2C5AC1-3772-4366-9B51-B87740B7194F}" name="Column1389" dataDxfId="30432" totalsRowDxfId="30431"/>
    <tableColumn id="1404" xr3:uid="{EADE2518-66C2-4214-A1E8-0794375BD94F}" name="Column1390" dataDxfId="30430" totalsRowDxfId="30429"/>
    <tableColumn id="1405" xr3:uid="{93A8C051-0A9F-4A44-9685-F886124B3CDE}" name="Column1391" dataDxfId="30428" totalsRowDxfId="30427"/>
    <tableColumn id="1406" xr3:uid="{729CB8CD-0250-4B95-BEAF-0DEA108522D9}" name="Column1392" dataDxfId="30426" totalsRowDxfId="30425"/>
    <tableColumn id="1407" xr3:uid="{D8E8C72B-2B5C-422B-8301-FB91976B9EFA}" name="Column1393" dataDxfId="30424" totalsRowDxfId="30423"/>
    <tableColumn id="1408" xr3:uid="{3F7F9C18-F1DD-4596-8292-8DF6A82D2AD2}" name="Column1394" dataDxfId="30422" totalsRowDxfId="30421"/>
    <tableColumn id="1409" xr3:uid="{EC6A3C44-3D35-4854-BD2B-FEC7DD7B00DF}" name="Column1395" dataDxfId="30420" totalsRowDxfId="30419"/>
    <tableColumn id="1410" xr3:uid="{B603E486-AE48-4F7F-929F-95571D776AEB}" name="Column1396" dataDxfId="30418" totalsRowDxfId="30417"/>
    <tableColumn id="1411" xr3:uid="{66614D4A-DAA8-450E-B13E-157F2EC21969}" name="Column1397" dataDxfId="30416" totalsRowDxfId="30415"/>
    <tableColumn id="1412" xr3:uid="{2DB35C23-EA81-45D1-B0E7-58D5A8F567C8}" name="Column1398" dataDxfId="30414" totalsRowDxfId="30413"/>
    <tableColumn id="1413" xr3:uid="{2D13FFBD-3309-4FA4-81FE-CA8B655BFFD7}" name="Column1399" dataDxfId="30412" totalsRowDxfId="30411"/>
    <tableColumn id="1414" xr3:uid="{49DF200F-26A3-4CD6-8056-1CDB830A4CFC}" name="Column1400" dataDxfId="30410" totalsRowDxfId="30409"/>
    <tableColumn id="1415" xr3:uid="{E50407B4-49EB-4447-8F0B-984B2A714AD5}" name="Column1401" dataDxfId="30408" totalsRowDxfId="30407"/>
    <tableColumn id="1416" xr3:uid="{88AA460D-FD43-4A0F-9809-C04B18BF2F3D}" name="Column1402" dataDxfId="30406" totalsRowDxfId="30405"/>
    <tableColumn id="1417" xr3:uid="{2250C209-6C93-4669-9D77-C56C1322F0E3}" name="Column1403" dataDxfId="30404" totalsRowDxfId="30403"/>
    <tableColumn id="1418" xr3:uid="{41EB12AC-1DBC-42D9-9CF9-2E711F1172D9}" name="Column1404" dataDxfId="30402" totalsRowDxfId="30401"/>
    <tableColumn id="1419" xr3:uid="{291A7061-8327-4BB4-B5E2-29EBD47D36D7}" name="Column1405" dataDxfId="30400" totalsRowDxfId="30399"/>
    <tableColumn id="1420" xr3:uid="{B44AC908-8AAE-481C-A118-4207E63C9EB3}" name="Column1406" dataDxfId="30398" totalsRowDxfId="30397"/>
    <tableColumn id="1421" xr3:uid="{7009094E-BA39-47E1-BC0D-D0A8D1D3D273}" name="Column1407" dataDxfId="30396" totalsRowDxfId="30395"/>
    <tableColumn id="1422" xr3:uid="{3FD071A7-4CBE-4AB6-A444-801B685D0C77}" name="Column1408" dataDxfId="30394" totalsRowDxfId="30393"/>
    <tableColumn id="1423" xr3:uid="{DB5795C3-839A-4B39-8B86-DE2506D4B29C}" name="Column1409" dataDxfId="30392" totalsRowDxfId="30391"/>
    <tableColumn id="1424" xr3:uid="{BF5ACD40-1242-4E35-AB5F-3A462DC53232}" name="Column1410" dataDxfId="30390" totalsRowDxfId="30389"/>
    <tableColumn id="1425" xr3:uid="{B17810DE-0BE5-4867-8BDE-8DFEF819634E}" name="Column1411" dataDxfId="30388" totalsRowDxfId="30387"/>
    <tableColumn id="1426" xr3:uid="{FB44B3B3-06B8-47B1-9777-5BE11DA0010C}" name="Column1412" dataDxfId="30386" totalsRowDxfId="30385"/>
    <tableColumn id="1427" xr3:uid="{009FF867-E662-496F-BF69-6C234540C8F8}" name="Column1413" dataDxfId="30384" totalsRowDxfId="30383"/>
    <tableColumn id="1428" xr3:uid="{F27F6914-2B48-4CCB-8D71-316C8C70D11B}" name="Column1414" dataDxfId="30382" totalsRowDxfId="30381"/>
    <tableColumn id="1429" xr3:uid="{F516ACA7-7225-4092-A109-EF79777C9947}" name="Column1415" dataDxfId="30380" totalsRowDxfId="30379"/>
    <tableColumn id="1430" xr3:uid="{149D7448-0BF2-4D4E-990F-A32D9946A43E}" name="Column1416" dataDxfId="30378" totalsRowDxfId="30377"/>
    <tableColumn id="1431" xr3:uid="{4E3DE677-FDD1-493D-B20E-388D1ECA63D9}" name="Column1417" dataDxfId="30376" totalsRowDxfId="30375"/>
    <tableColumn id="1432" xr3:uid="{3CA8A336-3EC7-432A-B1B5-5EDCBD3E713F}" name="Column1418" dataDxfId="30374" totalsRowDxfId="30373"/>
    <tableColumn id="1433" xr3:uid="{406A4178-A0B2-4E3E-A2E6-5B499185FD8B}" name="Column1419" dataDxfId="30372" totalsRowDxfId="30371"/>
    <tableColumn id="1434" xr3:uid="{DD64FB70-4A4C-4EF2-A55D-D7A06FCA73F4}" name="Column1420" dataDxfId="30370" totalsRowDxfId="30369"/>
    <tableColumn id="1435" xr3:uid="{174BE300-BBBD-4AE7-A701-6C89058AB24C}" name="Column1421" dataDxfId="30368" totalsRowDxfId="30367"/>
    <tableColumn id="1436" xr3:uid="{D3DCE7B4-65A5-400A-8B4C-4E4B261C970E}" name="Column1422" dataDxfId="30366" totalsRowDxfId="30365"/>
    <tableColumn id="1437" xr3:uid="{57EBBB95-F9EF-476D-BF66-66F32527BA9C}" name="Column1423" dataDxfId="30364" totalsRowDxfId="30363"/>
    <tableColumn id="1438" xr3:uid="{DB229410-D00D-49A0-B03E-90ED61905191}" name="Column1424" dataDxfId="30362" totalsRowDxfId="30361"/>
    <tableColumn id="1439" xr3:uid="{571EE758-C237-4738-A2B7-938C363225E5}" name="Column1425" dataDxfId="30360" totalsRowDxfId="30359"/>
    <tableColumn id="1440" xr3:uid="{82FBB6E9-D18E-4E99-AF2B-77A56F8F2423}" name="Column1426" dataDxfId="30358" totalsRowDxfId="30357"/>
    <tableColumn id="1441" xr3:uid="{CDD86B87-E542-473D-9892-BF404C817D88}" name="Column1427" dataDxfId="30356" totalsRowDxfId="30355"/>
    <tableColumn id="1442" xr3:uid="{1A00D5D7-8A70-46C7-92FA-CAC109BB25D6}" name="Column1428" dataDxfId="30354" totalsRowDxfId="30353"/>
    <tableColumn id="1443" xr3:uid="{A4FD41F3-24E3-400A-8BBA-6A832DA4E116}" name="Column1429" dataDxfId="30352" totalsRowDxfId="30351"/>
    <tableColumn id="1444" xr3:uid="{ABF2CC69-30FB-4E2A-ABCB-578F1AD2AE22}" name="Column1430" dataDxfId="30350" totalsRowDxfId="30349"/>
    <tableColumn id="1445" xr3:uid="{C5C57882-5604-415D-91D7-04F8C132D946}" name="Column1431" dataDxfId="30348" totalsRowDxfId="30347"/>
    <tableColumn id="1446" xr3:uid="{81539012-CA0C-4E92-B003-4A9EE9D57BEF}" name="Column1432" dataDxfId="30346" totalsRowDxfId="30345"/>
    <tableColumn id="1447" xr3:uid="{AC5F5EB2-8B38-4355-93D2-A4C2A6B69674}" name="Column1433" dataDxfId="30344" totalsRowDxfId="30343"/>
    <tableColumn id="1448" xr3:uid="{CF1D890D-938C-424B-9F00-35167A4DE6DB}" name="Column1434" dataDxfId="30342" totalsRowDxfId="30341"/>
    <tableColumn id="1449" xr3:uid="{32D2B7DA-7AC4-436D-BD02-2C29168E7EAA}" name="Column1435" dataDxfId="30340" totalsRowDxfId="30339"/>
    <tableColumn id="1450" xr3:uid="{796C27B6-CD89-4B27-AA3B-DF610DF7CFE8}" name="Column1436" dataDxfId="30338" totalsRowDxfId="30337"/>
    <tableColumn id="1451" xr3:uid="{EA7C3267-E2F9-4F39-B3B3-7AC23B86BC65}" name="Column1437" dataDxfId="30336" totalsRowDxfId="30335"/>
    <tableColumn id="1452" xr3:uid="{E695AF8C-18DC-4ABF-BF57-DC4599E98E5F}" name="Column1438" dataDxfId="30334" totalsRowDxfId="30333"/>
    <tableColumn id="1453" xr3:uid="{59B4BCB2-F1D6-4874-B597-A81CD7709AFF}" name="Column1439" dataDxfId="30332" totalsRowDxfId="30331"/>
    <tableColumn id="1454" xr3:uid="{F846CF44-7B27-4EB8-9821-35B1BBBB754B}" name="Column1440" dataDxfId="30330" totalsRowDxfId="30329"/>
    <tableColumn id="1455" xr3:uid="{FCB5BDBA-B28F-4130-9BD0-A61DD5CE975C}" name="Column1441" dataDxfId="30328" totalsRowDxfId="30327"/>
    <tableColumn id="1456" xr3:uid="{1BE22836-3446-41B5-AA2C-489605002B5A}" name="Column1442" dataDxfId="30326" totalsRowDxfId="30325"/>
    <tableColumn id="1457" xr3:uid="{8964AB4C-2DC9-4DD0-A4EE-CE188BE6C4CC}" name="Column1443" dataDxfId="30324" totalsRowDxfId="30323"/>
    <tableColumn id="1458" xr3:uid="{E8FE4ABB-523E-4744-ABF6-EACF181C3E24}" name="Column1444" dataDxfId="30322" totalsRowDxfId="30321"/>
    <tableColumn id="1459" xr3:uid="{001C5B44-F002-471D-8A7B-CAA8046A46AB}" name="Column1445" dataDxfId="30320" totalsRowDxfId="30319"/>
    <tableColumn id="1460" xr3:uid="{4EB84734-18C0-4EE7-9960-1BB9DDF16934}" name="Column1446" dataDxfId="30318" totalsRowDxfId="30317"/>
    <tableColumn id="1461" xr3:uid="{F2E987EB-B979-494C-B4F7-DC7D39AB5F4C}" name="Column1447" dataDxfId="30316" totalsRowDxfId="30315"/>
    <tableColumn id="1462" xr3:uid="{61F6E395-12CE-40B7-BA69-95EC55EC65EF}" name="Column1448" dataDxfId="30314" totalsRowDxfId="30313"/>
    <tableColumn id="1463" xr3:uid="{F2D371CD-2D90-429A-B3FF-DB87E96A4182}" name="Column1449" dataDxfId="30312" totalsRowDxfId="30311"/>
    <tableColumn id="1464" xr3:uid="{1A9E2AFC-69AE-467E-9BB2-5E5C7480C7C1}" name="Column1450" dataDxfId="30310" totalsRowDxfId="30309"/>
    <tableColumn id="1465" xr3:uid="{8AC54BD1-A69C-404F-BD3F-D05440CD17BF}" name="Column1451" dataDxfId="30308" totalsRowDxfId="30307"/>
    <tableColumn id="1466" xr3:uid="{06439D79-AFF9-43A3-8461-62E8E3994CBF}" name="Column1452" dataDxfId="30306" totalsRowDxfId="30305"/>
    <tableColumn id="1467" xr3:uid="{E1DF9E7E-179F-453B-8118-7A66C88A8A8B}" name="Column1453" dataDxfId="30304" totalsRowDxfId="30303"/>
    <tableColumn id="1468" xr3:uid="{2CF3A8BC-CB08-49EC-B133-C2CD0F806E3C}" name="Column1454" dataDxfId="30302" totalsRowDxfId="30301"/>
    <tableColumn id="1469" xr3:uid="{93C6DBB6-967D-4120-93DD-AE0268A043AC}" name="Column1455" dataDxfId="30300" totalsRowDxfId="30299"/>
    <tableColumn id="1470" xr3:uid="{F88720FA-6881-4A19-AEBB-73372BD46BE8}" name="Column1456" dataDxfId="30298" totalsRowDxfId="30297"/>
    <tableColumn id="1471" xr3:uid="{4D49B5DF-FD0F-42A3-A406-534C9757FB03}" name="Column1457" dataDxfId="30296" totalsRowDxfId="30295"/>
    <tableColumn id="1472" xr3:uid="{672BDDBE-5602-45E4-8FD6-BE82040AAD72}" name="Column1458" dataDxfId="30294" totalsRowDxfId="30293"/>
    <tableColumn id="1473" xr3:uid="{3528AAC6-89DC-479E-9AC8-97EE276D42A0}" name="Column1459" dataDxfId="30292" totalsRowDxfId="30291"/>
    <tableColumn id="1474" xr3:uid="{62DF92AE-5475-40DD-BA65-742D9EEC4B7C}" name="Column1460" dataDxfId="30290" totalsRowDxfId="30289"/>
    <tableColumn id="1475" xr3:uid="{D17E0F80-5B04-4823-BACA-EE226808802C}" name="Column1461" dataDxfId="30288" totalsRowDxfId="30287"/>
    <tableColumn id="1476" xr3:uid="{251699C5-C028-45EB-88E6-71D2AFA60E57}" name="Column1462" dataDxfId="30286" totalsRowDxfId="30285"/>
    <tableColumn id="1477" xr3:uid="{678B2BA2-4C52-4D22-A703-1AA5ACCCE31E}" name="Column1463" dataDxfId="30284" totalsRowDxfId="30283"/>
    <tableColumn id="1478" xr3:uid="{759FD383-F14A-4432-91E1-D8875267FB76}" name="Column1464" dataDxfId="30282" totalsRowDxfId="30281"/>
    <tableColumn id="1479" xr3:uid="{8B69B899-273F-4A1C-AA0E-01C52604C464}" name="Column1465" dataDxfId="30280" totalsRowDxfId="30279"/>
    <tableColumn id="1480" xr3:uid="{F596CC74-E1A9-4D30-8B2F-52EA7DF37D6F}" name="Column1466" dataDxfId="30278" totalsRowDxfId="30277"/>
    <tableColumn id="1481" xr3:uid="{88634CDD-1148-4BE2-ACDF-3C2C3EE14700}" name="Column1467" dataDxfId="30276" totalsRowDxfId="30275"/>
    <tableColumn id="1482" xr3:uid="{2FC4FE7E-E64F-4F2B-9A25-BB281F465883}" name="Column1468" dataDxfId="30274" totalsRowDxfId="30273"/>
    <tableColumn id="1483" xr3:uid="{6F5B2202-A789-4F1D-BDC7-869B05C27140}" name="Column1469" dataDxfId="30272" totalsRowDxfId="30271"/>
    <tableColumn id="1484" xr3:uid="{FC785D50-F8FB-4D0B-8549-0D536ACAB083}" name="Column1470" dataDxfId="30270" totalsRowDxfId="30269"/>
    <tableColumn id="1485" xr3:uid="{48C37E51-1BE5-441A-8C7B-694282ED2851}" name="Column1471" dataDxfId="30268" totalsRowDxfId="30267"/>
    <tableColumn id="1486" xr3:uid="{6DA3F6F5-09BD-46B9-BE00-5A314DCCF6C3}" name="Column1472" dataDxfId="30266" totalsRowDxfId="30265"/>
    <tableColumn id="1487" xr3:uid="{9C48F678-B546-47D9-A4E0-55755ED82FA2}" name="Column1473" dataDxfId="30264" totalsRowDxfId="30263"/>
    <tableColumn id="1488" xr3:uid="{545EC135-FB46-4173-8D12-CF0DAB538489}" name="Column1474" dataDxfId="30262" totalsRowDxfId="30261"/>
    <tableColumn id="1489" xr3:uid="{0140BD7E-F40D-4AF3-88FB-68DDB4D92E90}" name="Column1475" dataDxfId="30260" totalsRowDxfId="30259"/>
    <tableColumn id="1490" xr3:uid="{D566182F-0530-44DD-93EA-A1B9F3BA647B}" name="Column1476" dataDxfId="30258" totalsRowDxfId="30257"/>
    <tableColumn id="1491" xr3:uid="{728FBD22-B8E4-4CA1-A9C5-F56817733615}" name="Column1477" dataDxfId="30256" totalsRowDxfId="30255"/>
    <tableColumn id="1492" xr3:uid="{1C82502F-A30C-457D-BB2A-321337A52998}" name="Column1478" dataDxfId="30254" totalsRowDxfId="30253"/>
    <tableColumn id="1493" xr3:uid="{96D3A8C9-3FBD-4389-8C95-EDD5649D7276}" name="Column1479" dataDxfId="30252" totalsRowDxfId="30251"/>
    <tableColumn id="1494" xr3:uid="{46D98F94-BA5F-4BAA-9F6C-802327C1E7F3}" name="Column1480" dataDxfId="30250" totalsRowDxfId="30249"/>
    <tableColumn id="1495" xr3:uid="{80524DFE-2D3A-49C9-8D4B-ABA9A22986C8}" name="Column1481" dataDxfId="30248" totalsRowDxfId="30247"/>
    <tableColumn id="1496" xr3:uid="{D893CB7A-E14D-4FC6-AD8F-91159F2D5EB9}" name="Column1482" dataDxfId="30246" totalsRowDxfId="30245"/>
    <tableColumn id="1497" xr3:uid="{3D49DF66-776F-4A63-803D-90F9A82E2810}" name="Column1483" dataDxfId="30244" totalsRowDxfId="30243"/>
    <tableColumn id="1498" xr3:uid="{008CBC78-F259-4CFE-8ABE-EC24CF2F9954}" name="Column1484" dataDxfId="30242" totalsRowDxfId="30241"/>
    <tableColumn id="1499" xr3:uid="{B9A5435D-77A0-4D7A-BC20-2A4A0FC15282}" name="Column1485" dataDxfId="30240" totalsRowDxfId="30239"/>
    <tableColumn id="1500" xr3:uid="{967341C3-FB35-47F3-9BFB-9CC71A72CFC1}" name="Column1486" dataDxfId="30238" totalsRowDxfId="30237"/>
    <tableColumn id="1501" xr3:uid="{FCACD053-5201-4201-AED5-B721FAC66191}" name="Column1487" dataDxfId="30236" totalsRowDxfId="30235"/>
    <tableColumn id="1502" xr3:uid="{B8949D85-A1D7-4665-A45C-209C25D15956}" name="Column1488" dataDxfId="30234" totalsRowDxfId="30233"/>
    <tableColumn id="1503" xr3:uid="{370613DB-A06A-47CD-97E1-EE9ECDDDCC2D}" name="Column1489" dataDxfId="30232" totalsRowDxfId="30231"/>
    <tableColumn id="1504" xr3:uid="{B4E7A66B-552F-42A6-978D-E948106F09E9}" name="Column1490" dataDxfId="30230" totalsRowDxfId="30229"/>
    <tableColumn id="1505" xr3:uid="{D6A39562-D6D4-482C-9498-F7857A5236FD}" name="Column1491" dataDxfId="30228" totalsRowDxfId="30227"/>
    <tableColumn id="1506" xr3:uid="{8303C80E-A226-422E-9FB5-9AB7FFED61A8}" name="Column1492" dataDxfId="30226" totalsRowDxfId="30225"/>
    <tableColumn id="1507" xr3:uid="{3EC10299-E3FD-46DE-B3AF-76CFAFB98181}" name="Column1493" dataDxfId="30224" totalsRowDxfId="30223"/>
    <tableColumn id="1508" xr3:uid="{1B905E4A-9F85-477C-89B4-A503B9B7555D}" name="Column1494" dataDxfId="30222" totalsRowDxfId="30221"/>
    <tableColumn id="1509" xr3:uid="{618D8FBD-B4ED-4956-A6F7-0D0D96F5B2FB}" name="Column1495" dataDxfId="30220" totalsRowDxfId="30219"/>
    <tableColumn id="1510" xr3:uid="{8122C7C1-25F1-4650-87DC-8C80F20215CD}" name="Column1496" dataDxfId="30218" totalsRowDxfId="30217"/>
    <tableColumn id="1511" xr3:uid="{D06064E8-705F-42F7-B035-A392EA8739CE}" name="Column1497" dataDxfId="30216" totalsRowDxfId="30215"/>
    <tableColumn id="1512" xr3:uid="{C2B2732F-2BF5-4594-9A31-92F50B3F27AB}" name="Column1498" dataDxfId="30214" totalsRowDxfId="30213"/>
    <tableColumn id="1513" xr3:uid="{7BB1B08C-CA1E-40AF-AF95-A412EBF56CE3}" name="Column1499" dataDxfId="30212" totalsRowDxfId="30211"/>
    <tableColumn id="1514" xr3:uid="{E688AA91-ECCB-4A18-844C-C16353853160}" name="Column1500" dataDxfId="30210" totalsRowDxfId="30209"/>
    <tableColumn id="1515" xr3:uid="{3E6E83AB-7B27-47F2-A1F6-4C4AFBECFF4F}" name="Column1501" dataDxfId="30208" totalsRowDxfId="30207"/>
    <tableColumn id="1516" xr3:uid="{B5ADFA8C-9F42-43C7-B0C8-7D3845EAF26B}" name="Column1502" dataDxfId="30206" totalsRowDxfId="30205"/>
    <tableColumn id="1517" xr3:uid="{FF9DBC1F-D653-4A51-AFAD-E6D26691841E}" name="Column1503" dataDxfId="30204" totalsRowDxfId="30203"/>
    <tableColumn id="1518" xr3:uid="{A2867BD6-3616-4F6A-BBF0-7979968353BE}" name="Column1504" dataDxfId="30202" totalsRowDxfId="30201"/>
    <tableColumn id="1519" xr3:uid="{7CBD958D-0EA8-4529-8196-1B965EE2F2C1}" name="Column1505" dataDxfId="30200" totalsRowDxfId="30199"/>
    <tableColumn id="1520" xr3:uid="{54FB53A4-CA2C-4CC3-B8D3-AB0BEEB020D9}" name="Column1506" dataDxfId="30198" totalsRowDxfId="30197"/>
    <tableColumn id="1521" xr3:uid="{00374F56-61DB-4BF6-B540-408B76890617}" name="Column1507" dataDxfId="30196" totalsRowDxfId="30195"/>
    <tableColumn id="1522" xr3:uid="{266EF39F-2334-4BB3-857D-BD14AD384A94}" name="Column1508" dataDxfId="30194" totalsRowDxfId="30193"/>
    <tableColumn id="1523" xr3:uid="{4B760025-657C-4CF8-939D-5E065216056D}" name="Column1509" dataDxfId="30192" totalsRowDxfId="30191"/>
    <tableColumn id="1524" xr3:uid="{85971E2F-6D91-4552-909E-2234C1F55D40}" name="Column1510" dataDxfId="30190" totalsRowDxfId="30189"/>
    <tableColumn id="1525" xr3:uid="{17CF2F51-2CA6-4EC4-9358-DE0A06AF03F7}" name="Column1511" dataDxfId="30188" totalsRowDxfId="30187"/>
    <tableColumn id="1526" xr3:uid="{A881585C-9590-4F91-A6A8-87A8BDACA1BF}" name="Column1512" dataDxfId="30186" totalsRowDxfId="30185"/>
    <tableColumn id="1527" xr3:uid="{8D04AD78-220A-4D21-B3F3-10968070545D}" name="Column1513" dataDxfId="30184" totalsRowDxfId="30183"/>
    <tableColumn id="1528" xr3:uid="{962176AF-3227-4625-8A81-E721ED713962}" name="Column1514" dataDxfId="30182" totalsRowDxfId="30181"/>
    <tableColumn id="1529" xr3:uid="{40F34BEA-8BDF-4FC9-8AAD-34537A49FA52}" name="Column1515" dataDxfId="30180" totalsRowDxfId="30179"/>
    <tableColumn id="1530" xr3:uid="{165E2409-88D3-4E77-AAA4-BB73D97B19B7}" name="Column1516" dataDxfId="30178" totalsRowDxfId="30177"/>
    <tableColumn id="1531" xr3:uid="{36FF773F-B32F-4F75-98A8-0319B84F4908}" name="Column1517" dataDxfId="30176" totalsRowDxfId="30175"/>
    <tableColumn id="1532" xr3:uid="{32622818-953A-4E78-B1CC-2AEDABCC2FC4}" name="Column1518" dataDxfId="30174" totalsRowDxfId="30173"/>
    <tableColumn id="1533" xr3:uid="{737005BD-5997-4267-A929-82DEE01F97E4}" name="Column1519" dataDxfId="30172" totalsRowDxfId="30171"/>
    <tableColumn id="1534" xr3:uid="{1E8332A4-66A1-43E8-B593-2C09604F071E}" name="Column1520" dataDxfId="30170" totalsRowDxfId="30169"/>
    <tableColumn id="1535" xr3:uid="{CE74E967-B87F-40FD-BAA6-222F18DAF2A9}" name="Column1521" dataDxfId="30168" totalsRowDxfId="30167"/>
    <tableColumn id="1536" xr3:uid="{0EF0371D-33BF-401E-9692-A8E2DB9532D4}" name="Column1522" dataDxfId="30166" totalsRowDxfId="30165"/>
    <tableColumn id="1537" xr3:uid="{1AA00B49-84BC-41A7-BFC4-D53D48F43413}" name="Column1523" dataDxfId="30164" totalsRowDxfId="30163"/>
    <tableColumn id="1538" xr3:uid="{41061554-CE5E-4821-B54D-D9D21C41325F}" name="Column1524" dataDxfId="30162" totalsRowDxfId="30161"/>
    <tableColumn id="1539" xr3:uid="{FDA86482-7582-499B-9FA3-1B60DE85ED56}" name="Column1525" dataDxfId="30160" totalsRowDxfId="30159"/>
    <tableColumn id="1540" xr3:uid="{D3A17D31-55AB-456A-AFD2-7DDFFD6B1541}" name="Column1526" dataDxfId="30158" totalsRowDxfId="30157"/>
    <tableColumn id="1541" xr3:uid="{02B4D411-7BCC-4784-8714-B9ABE5D3AD04}" name="Column1527" dataDxfId="30156" totalsRowDxfId="30155"/>
    <tableColumn id="1542" xr3:uid="{93CB1FE4-D0C2-483F-B69D-A6158BE66E24}" name="Column1528" dataDxfId="30154" totalsRowDxfId="30153"/>
    <tableColumn id="1543" xr3:uid="{4060EB16-A6EE-47BA-B36D-9C053ED0D070}" name="Column1529" dataDxfId="30152" totalsRowDxfId="30151"/>
    <tableColumn id="1544" xr3:uid="{F977F27D-CFD0-44AE-81F6-7FFB795F351A}" name="Column1530" dataDxfId="30150" totalsRowDxfId="30149"/>
    <tableColumn id="1545" xr3:uid="{8CFC49FC-D38B-43A4-B2F6-80B21710EEBA}" name="Column1531" dataDxfId="30148" totalsRowDxfId="30147"/>
    <tableColumn id="1546" xr3:uid="{F8941866-6E70-4F94-8408-84980969784D}" name="Column1532" dataDxfId="30146" totalsRowDxfId="30145"/>
    <tableColumn id="1547" xr3:uid="{EDBA14AE-FCDF-4B12-8D78-759273515FFA}" name="Column1533" dataDxfId="30144" totalsRowDxfId="30143"/>
    <tableColumn id="1548" xr3:uid="{84CEDEDD-44B9-4A76-8A2D-B75FCF45340A}" name="Column1534" dataDxfId="30142" totalsRowDxfId="30141"/>
    <tableColumn id="1549" xr3:uid="{A79EA517-7703-4753-89B5-8BC228ABF0B4}" name="Column1535" dataDxfId="30140" totalsRowDxfId="30139"/>
    <tableColumn id="1550" xr3:uid="{5A392E65-C234-4FF6-A64F-8470AEB0476F}" name="Column1536" dataDxfId="30138" totalsRowDxfId="30137"/>
    <tableColumn id="1551" xr3:uid="{255645BE-E866-4500-B59C-679B059B67F9}" name="Column1537" dataDxfId="30136" totalsRowDxfId="30135"/>
    <tableColumn id="1552" xr3:uid="{37905474-DB46-4C9A-815A-E696FDC5963D}" name="Column1538" dataDxfId="30134" totalsRowDxfId="30133"/>
    <tableColumn id="1553" xr3:uid="{44F9AEB1-18C2-4C69-A01A-64C71CB87776}" name="Column1539" dataDxfId="30132" totalsRowDxfId="30131"/>
    <tableColumn id="1554" xr3:uid="{86AC8111-1AF5-4B43-93AF-B647054AB43F}" name="Column1540" dataDxfId="30130" totalsRowDxfId="30129"/>
    <tableColumn id="1555" xr3:uid="{D238F882-B64E-4574-88A7-0634A03BDD41}" name="Column1541" dataDxfId="30128" totalsRowDxfId="30127"/>
    <tableColumn id="1556" xr3:uid="{138C5FF8-1527-4E1B-AD7A-774D05728159}" name="Column1542" dataDxfId="30126" totalsRowDxfId="30125"/>
    <tableColumn id="1557" xr3:uid="{3547583A-36DC-445C-A37A-0F01A2853031}" name="Column1543" dataDxfId="30124" totalsRowDxfId="30123"/>
    <tableColumn id="1558" xr3:uid="{A9328350-AE53-475B-B8A7-AA16AC7341D0}" name="Column1544" dataDxfId="30122" totalsRowDxfId="30121"/>
    <tableColumn id="1559" xr3:uid="{D61AA057-B5F3-44BA-854C-478DCFF65D39}" name="Column1545" dataDxfId="30120" totalsRowDxfId="30119"/>
    <tableColumn id="1560" xr3:uid="{09D87EA1-AFBE-4857-84A0-E32D7E8ABFF7}" name="Column1546" dataDxfId="30118" totalsRowDxfId="30117"/>
    <tableColumn id="1561" xr3:uid="{F27F0BD5-7827-4613-A6C0-15E2AF32B594}" name="Column1547" dataDxfId="30116" totalsRowDxfId="30115"/>
    <tableColumn id="1562" xr3:uid="{0C686FDF-BC76-42AE-BE14-445D0A73C59B}" name="Column1548" dataDxfId="30114" totalsRowDxfId="30113"/>
    <tableColumn id="1563" xr3:uid="{D3646B90-12B6-45B1-8C85-A9EDA3B8F969}" name="Column1549" dataDxfId="30112" totalsRowDxfId="30111"/>
    <tableColumn id="1564" xr3:uid="{2B95078B-A310-426D-B51D-5C09CB197564}" name="Column1550" dataDxfId="30110" totalsRowDxfId="30109"/>
    <tableColumn id="1565" xr3:uid="{01A30AB6-78DE-4ABF-8A1C-FA835BFFCA82}" name="Column1551" dataDxfId="30108" totalsRowDxfId="30107"/>
    <tableColumn id="1566" xr3:uid="{95C48F26-AD10-4227-8326-6BDB5B099496}" name="Column1552" dataDxfId="30106" totalsRowDxfId="30105"/>
    <tableColumn id="1567" xr3:uid="{64FEE5BD-F7A1-449C-8021-9B5D93C7C824}" name="Column1553" dataDxfId="30104" totalsRowDxfId="30103"/>
    <tableColumn id="1568" xr3:uid="{7F1DADCD-7A26-403C-AF44-56121F52687F}" name="Column1554" dataDxfId="30102" totalsRowDxfId="30101"/>
    <tableColumn id="1569" xr3:uid="{164EE2D7-8F49-4D42-8C1C-726C2EE0B210}" name="Column1555" dataDxfId="30100" totalsRowDxfId="30099"/>
    <tableColumn id="1570" xr3:uid="{C8B3E14A-7369-4BF3-9AAA-B19D2A30A611}" name="Column1556" dataDxfId="30098" totalsRowDxfId="30097"/>
    <tableColumn id="1571" xr3:uid="{866688B3-1015-49C8-9F0D-8CF5B40DB803}" name="Column1557" dataDxfId="30096" totalsRowDxfId="30095"/>
    <tableColumn id="1572" xr3:uid="{94294CCD-84C2-4A31-A594-17D934B8E5BF}" name="Column1558" dataDxfId="30094" totalsRowDxfId="30093"/>
    <tableColumn id="1573" xr3:uid="{0B52527C-64D7-415D-9C1F-74BAA21A8E8E}" name="Column1559" dataDxfId="30092" totalsRowDxfId="30091"/>
    <tableColumn id="1574" xr3:uid="{A7E7317F-8695-4B26-9921-1F6E185B2775}" name="Column1560" dataDxfId="30090" totalsRowDxfId="30089"/>
    <tableColumn id="1575" xr3:uid="{8370EE04-803A-4AB4-A928-85BF4D478123}" name="Column1561" dataDxfId="30088" totalsRowDxfId="30087"/>
    <tableColumn id="1576" xr3:uid="{39C22893-18B3-41B1-A0EC-C938112379C4}" name="Column1562" dataDxfId="30086" totalsRowDxfId="30085"/>
    <tableColumn id="1577" xr3:uid="{30C3F076-A8E6-4445-917C-F138F9AEC8FF}" name="Column1563" dataDxfId="30084" totalsRowDxfId="30083"/>
    <tableColumn id="1578" xr3:uid="{5DF5A4BB-21EA-42F2-A2A7-D00B98A7A565}" name="Column1564" dataDxfId="30082" totalsRowDxfId="30081"/>
    <tableColumn id="1579" xr3:uid="{A3A016C6-FF93-4501-A976-5BBC28568BC8}" name="Column1565" dataDxfId="30080" totalsRowDxfId="30079"/>
    <tableColumn id="1580" xr3:uid="{CD69A94A-276A-4231-B7EE-B14435067ED5}" name="Column1566" dataDxfId="30078" totalsRowDxfId="30077"/>
    <tableColumn id="1581" xr3:uid="{64BC0CB7-B644-421C-B52F-9246DC97E59A}" name="Column1567" dataDxfId="30076" totalsRowDxfId="30075"/>
    <tableColumn id="1582" xr3:uid="{DE547075-5918-4BAD-99B1-6D76D018E441}" name="Column1568" dataDxfId="30074" totalsRowDxfId="30073"/>
    <tableColumn id="1583" xr3:uid="{CE9715DC-2081-4F7D-8C37-1EB7E268B401}" name="Column1569" dataDxfId="30072" totalsRowDxfId="30071"/>
    <tableColumn id="1584" xr3:uid="{DF9F3823-A426-433B-B48E-08261C866AB1}" name="Column1570" dataDxfId="30070" totalsRowDxfId="30069"/>
    <tableColumn id="1585" xr3:uid="{A108EDC1-714F-4207-87AE-CDC3D4C8D733}" name="Column1571" dataDxfId="30068" totalsRowDxfId="30067"/>
    <tableColumn id="1586" xr3:uid="{B176EAB6-9A63-4452-88C9-024DDB125BC5}" name="Column1572" dataDxfId="30066" totalsRowDxfId="30065"/>
    <tableColumn id="1587" xr3:uid="{F1BA1DD7-D1E0-4943-B75B-298CA0C4634F}" name="Column1573" dataDxfId="30064" totalsRowDxfId="30063"/>
    <tableColumn id="1588" xr3:uid="{CB05BAEA-AE5F-42C7-AF70-2BBA32C46B04}" name="Column1574" dataDxfId="30062" totalsRowDxfId="30061"/>
    <tableColumn id="1589" xr3:uid="{5090AD8A-0D37-479C-853E-183AB558649C}" name="Column1575" dataDxfId="30060" totalsRowDxfId="30059"/>
    <tableColumn id="1590" xr3:uid="{A97E048C-AB12-473D-9DD1-5E76A5E82593}" name="Column1576" dataDxfId="30058" totalsRowDxfId="30057"/>
    <tableColumn id="1591" xr3:uid="{E2F40A7B-606A-42C0-A496-1441CDAFC223}" name="Column1577" dataDxfId="30056" totalsRowDxfId="30055"/>
    <tableColumn id="1592" xr3:uid="{B938AE3B-066E-428C-A89A-8E2F2E00795B}" name="Column1578" dataDxfId="30054" totalsRowDxfId="30053"/>
    <tableColumn id="1593" xr3:uid="{36B0C977-4FB3-4417-BEFB-86371C857984}" name="Column1579" dataDxfId="30052" totalsRowDxfId="30051"/>
    <tableColumn id="1594" xr3:uid="{891A7287-D0D9-4FF4-8F30-13451E561AAC}" name="Column1580" dataDxfId="30050" totalsRowDxfId="30049"/>
    <tableColumn id="1595" xr3:uid="{3B6B0039-7106-4E71-B184-51836AC0ECC2}" name="Column1581" dataDxfId="30048" totalsRowDxfId="30047"/>
    <tableColumn id="1596" xr3:uid="{EB25E91C-27C0-43E0-BD9F-FA3E2263A7D7}" name="Column1582" dataDxfId="30046" totalsRowDxfId="30045"/>
    <tableColumn id="1597" xr3:uid="{73AF3351-FC08-4B1B-BB7A-22C379FC48F4}" name="Column1583" dataDxfId="30044" totalsRowDxfId="30043"/>
    <tableColumn id="1598" xr3:uid="{96041808-0494-467B-8A4B-E7CFBDB3D384}" name="Column1584" dataDxfId="30042" totalsRowDxfId="30041"/>
    <tableColumn id="1599" xr3:uid="{165D1CDE-63FB-4EF7-B979-FD6D4A9AB18B}" name="Column1585" dataDxfId="30040" totalsRowDxfId="30039"/>
    <tableColumn id="1600" xr3:uid="{D1478C4E-2E2C-4FD1-BB28-F0FEA0BABD0F}" name="Column1586" dataDxfId="30038" totalsRowDxfId="30037"/>
    <tableColumn id="1601" xr3:uid="{7037F3AC-B41E-4D1F-B11A-91AD99646E9A}" name="Column1587" dataDxfId="30036" totalsRowDxfId="30035"/>
    <tableColumn id="1602" xr3:uid="{9726417C-69D2-48A2-825A-B058795E5C43}" name="Column1588" dataDxfId="30034" totalsRowDxfId="30033"/>
    <tableColumn id="1603" xr3:uid="{344DE538-4CCA-44D5-B06E-709FFA24BE2D}" name="Column1589" dataDxfId="30032" totalsRowDxfId="30031"/>
    <tableColumn id="1604" xr3:uid="{615DF06C-C0CC-410E-972A-C1D24D984CCE}" name="Column1590" dataDxfId="30030" totalsRowDxfId="30029"/>
    <tableColumn id="1605" xr3:uid="{79EAA3F2-EB3A-4A88-9405-CDE0B75A3E92}" name="Column1591" dataDxfId="30028" totalsRowDxfId="30027"/>
    <tableColumn id="1606" xr3:uid="{54778323-AA78-4FA5-978A-673939A912FD}" name="Column1592" dataDxfId="30026" totalsRowDxfId="30025"/>
    <tableColumn id="1607" xr3:uid="{002D3BF0-4881-4DF8-8437-3BFF4EFC95AB}" name="Column1593" dataDxfId="30024" totalsRowDxfId="30023"/>
    <tableColumn id="1608" xr3:uid="{18944ACD-9F12-4205-A3F3-A8414672B45B}" name="Column1594" dataDxfId="30022" totalsRowDxfId="30021"/>
    <tableColumn id="1609" xr3:uid="{442852A0-0004-408E-96BA-91E1113BA156}" name="Column1595" dataDxfId="30020" totalsRowDxfId="30019"/>
    <tableColumn id="1610" xr3:uid="{189CF407-CA28-4AD5-B45F-802E3BBBCA8C}" name="Column1596" dataDxfId="30018" totalsRowDxfId="30017"/>
    <tableColumn id="1611" xr3:uid="{429D07C2-8073-49B4-8C27-ACC0D4E320AB}" name="Column1597" dataDxfId="30016" totalsRowDxfId="30015"/>
    <tableColumn id="1612" xr3:uid="{7FCE746E-16D3-4EBC-ADA1-35316CA29B90}" name="Column1598" dataDxfId="30014" totalsRowDxfId="30013"/>
    <tableColumn id="1613" xr3:uid="{036843AB-ACB3-4519-9286-8FEAA61D0C0E}" name="Column1599" dataDxfId="30012" totalsRowDxfId="30011"/>
    <tableColumn id="1614" xr3:uid="{37275D1F-39C8-4587-8370-765C1E08DDED}" name="Column1600" dataDxfId="30010" totalsRowDxfId="30009"/>
    <tableColumn id="1615" xr3:uid="{8754FAD1-C085-4976-97D3-BCABF5E5048A}" name="Column1601" dataDxfId="30008" totalsRowDxfId="30007"/>
    <tableColumn id="1616" xr3:uid="{2F0D3AD1-8CF8-4E5A-AC3D-35231096F53F}" name="Column1602" dataDxfId="30006" totalsRowDxfId="30005"/>
    <tableColumn id="1617" xr3:uid="{F00535C2-1906-4D7C-BBDB-D96136341FCD}" name="Column1603" dataDxfId="30004" totalsRowDxfId="30003"/>
    <tableColumn id="1618" xr3:uid="{32612107-24B1-45B3-878C-DA2D7DBAE34C}" name="Column1604" dataDxfId="30002" totalsRowDxfId="30001"/>
    <tableColumn id="1619" xr3:uid="{0B9C0F6A-B2AF-4F65-80FB-5C477EF045D4}" name="Column1605" dataDxfId="30000" totalsRowDxfId="29999"/>
    <tableColumn id="1620" xr3:uid="{C3DD1F67-722F-41ED-AC32-8B8EF18E0440}" name="Column1606" dataDxfId="29998" totalsRowDxfId="29997"/>
    <tableColumn id="1621" xr3:uid="{B6EB5CE0-E3FE-4D20-8E2B-307843E5E07A}" name="Column1607" dataDxfId="29996" totalsRowDxfId="29995"/>
    <tableColumn id="1622" xr3:uid="{0FBA6F24-FD6F-46D5-8026-1F03E3848423}" name="Column1608" dataDxfId="29994" totalsRowDxfId="29993"/>
    <tableColumn id="1623" xr3:uid="{2DBD99A5-C548-41BE-B0B0-6CB2C1E34CFB}" name="Column1609" dataDxfId="29992" totalsRowDxfId="29991"/>
    <tableColumn id="1624" xr3:uid="{1867C029-2E56-4801-AC92-2A6781B5EB38}" name="Column1610" dataDxfId="29990" totalsRowDxfId="29989"/>
    <tableColumn id="1625" xr3:uid="{3787545A-D2CA-40F6-9B3A-FD9BDC1C3419}" name="Column1611" dataDxfId="29988" totalsRowDxfId="29987"/>
    <tableColumn id="1626" xr3:uid="{F3D674E6-B842-4FA0-9F73-21862479B574}" name="Column1612" dataDxfId="29986" totalsRowDxfId="29985"/>
    <tableColumn id="1627" xr3:uid="{BE752CC2-304F-438D-87DF-20217AC2BAF6}" name="Column1613" dataDxfId="29984" totalsRowDxfId="29983"/>
    <tableColumn id="1628" xr3:uid="{1B74FC2A-3E17-48D3-94B7-2DB13137BDF9}" name="Column1614" dataDxfId="29982" totalsRowDxfId="29981"/>
    <tableColumn id="1629" xr3:uid="{2B75546F-4618-4C9A-A182-9CE8A66F0C6A}" name="Column1615" dataDxfId="29980" totalsRowDxfId="29979"/>
    <tableColumn id="1630" xr3:uid="{7B2E0ED1-061A-4029-9F96-39F388DDC4EB}" name="Column1616" dataDxfId="29978" totalsRowDxfId="29977"/>
    <tableColumn id="1631" xr3:uid="{1DFEDA71-5FB4-446C-90A3-F2B483964F4E}" name="Column1617" dataDxfId="29976" totalsRowDxfId="29975"/>
    <tableColumn id="1632" xr3:uid="{ECFA5FB8-2074-4317-B69D-421E7B28EFED}" name="Column1618" dataDxfId="29974" totalsRowDxfId="29973"/>
    <tableColumn id="1633" xr3:uid="{369339AE-D911-44B4-9B6F-6C452892A3D0}" name="Column1619" dataDxfId="29972" totalsRowDxfId="29971"/>
    <tableColumn id="1634" xr3:uid="{ED53E757-488B-4248-98A7-1A961C0469A0}" name="Column1620" dataDxfId="29970" totalsRowDxfId="29969"/>
    <tableColumn id="1635" xr3:uid="{AE45664A-63A8-4C61-961A-A9C2B6CC5E11}" name="Column1621" dataDxfId="29968" totalsRowDxfId="29967"/>
    <tableColumn id="1636" xr3:uid="{F7BAF004-3B9A-4DBB-A948-25CEAD056D7B}" name="Column1622" dataDxfId="29966" totalsRowDxfId="29965"/>
    <tableColumn id="1637" xr3:uid="{0790E9DF-213D-4C98-A59C-3CDE0664926C}" name="Column1623" dataDxfId="29964" totalsRowDxfId="29963"/>
    <tableColumn id="1638" xr3:uid="{344B1EAB-13EE-4D6E-811D-255998E4E3E8}" name="Column1624" dataDxfId="29962" totalsRowDxfId="29961"/>
    <tableColumn id="1639" xr3:uid="{1B55ADFF-1AD2-4478-8EFE-6291D096F2FE}" name="Column1625" dataDxfId="29960" totalsRowDxfId="29959"/>
    <tableColumn id="1640" xr3:uid="{1E8E3B16-9739-426D-84F2-18B2E7514628}" name="Column1626" dataDxfId="29958" totalsRowDxfId="29957"/>
    <tableColumn id="1641" xr3:uid="{402ACF3C-0156-49A1-9941-35F69579D48E}" name="Column1627" dataDxfId="29956" totalsRowDxfId="29955"/>
    <tableColumn id="1642" xr3:uid="{C7D83575-17EA-466A-A49F-F16E65381EF7}" name="Column1628" dataDxfId="29954" totalsRowDxfId="29953"/>
    <tableColumn id="1643" xr3:uid="{BE1FB4D2-1583-43F5-B575-78E6D5D2741E}" name="Column1629" dataDxfId="29952" totalsRowDxfId="29951"/>
    <tableColumn id="1644" xr3:uid="{0385389F-918A-46BC-9632-4C883E744C5E}" name="Column1630" dataDxfId="29950" totalsRowDxfId="29949"/>
    <tableColumn id="1645" xr3:uid="{AA2221C3-A6C7-4DB5-B1F7-668CBAED341F}" name="Column1631" dataDxfId="29948" totalsRowDxfId="29947"/>
    <tableColumn id="1646" xr3:uid="{213B18D7-B1E0-415B-BCA2-0983A6A5D3FC}" name="Column1632" dataDxfId="29946" totalsRowDxfId="29945"/>
    <tableColumn id="1647" xr3:uid="{BE8A6383-8033-4049-BF27-317882E570C5}" name="Column1633" dataDxfId="29944" totalsRowDxfId="29943"/>
    <tableColumn id="1648" xr3:uid="{59CB245A-6C94-4610-9820-B6A57434EB39}" name="Column1634" dataDxfId="29942" totalsRowDxfId="29941"/>
    <tableColumn id="1649" xr3:uid="{A067D815-04B0-442D-9105-E872ED3010E9}" name="Column1635" dataDxfId="29940" totalsRowDxfId="29939"/>
    <tableColumn id="1650" xr3:uid="{498253C1-C8B6-482F-BB64-0F0E2D7D7352}" name="Column1636" dataDxfId="29938" totalsRowDxfId="29937"/>
    <tableColumn id="1651" xr3:uid="{3347D922-D502-43BE-8F87-BFF7B506378A}" name="Column1637" dataDxfId="29936" totalsRowDxfId="29935"/>
    <tableColumn id="1652" xr3:uid="{45996C72-17F5-46AD-A61B-57C363D52CA2}" name="Column1638" dataDxfId="29934" totalsRowDxfId="29933"/>
    <tableColumn id="1653" xr3:uid="{F7ED1FE1-BC38-467F-BA47-E8FA44FD1F84}" name="Column1639" dataDxfId="29932" totalsRowDxfId="29931"/>
    <tableColumn id="1654" xr3:uid="{A9DD90FB-78BE-4FF1-AF7B-C71700C15921}" name="Column1640" dataDxfId="29930" totalsRowDxfId="29929"/>
    <tableColumn id="1655" xr3:uid="{EC9CF877-681B-461E-9177-B6AC66E3AC4D}" name="Column1641" dataDxfId="29928" totalsRowDxfId="29927"/>
    <tableColumn id="1656" xr3:uid="{EC5E6D01-230E-4F89-B141-16297C2CA7F8}" name="Column1642" dataDxfId="29926" totalsRowDxfId="29925"/>
    <tableColumn id="1657" xr3:uid="{F5D2DA2D-EDC6-4CA6-8820-73E13C39D59F}" name="Column1643" dataDxfId="29924" totalsRowDxfId="29923"/>
    <tableColumn id="1658" xr3:uid="{E3C8E049-D9F2-48FD-8359-11A8CC7C6F4A}" name="Column1644" dataDxfId="29922" totalsRowDxfId="29921"/>
    <tableColumn id="1659" xr3:uid="{59903361-6512-4A8A-9F90-D42B964432A9}" name="Column1645" dataDxfId="29920" totalsRowDxfId="29919"/>
    <tableColumn id="1660" xr3:uid="{92DFCD90-4742-40BB-B463-9A162657207D}" name="Column1646" dataDxfId="29918" totalsRowDxfId="29917"/>
    <tableColumn id="1661" xr3:uid="{BCFF7D34-C86A-4869-B1C2-41C78657CECE}" name="Column1647" dataDxfId="29916" totalsRowDxfId="29915"/>
    <tableColumn id="1662" xr3:uid="{11ECABC7-6329-4D34-AE73-00DCBB008720}" name="Column1648" dataDxfId="29914" totalsRowDxfId="29913"/>
    <tableColumn id="1663" xr3:uid="{B3F76534-1C9C-4FCB-9151-1F12D96E5071}" name="Column1649" dataDxfId="29912" totalsRowDxfId="29911"/>
    <tableColumn id="1664" xr3:uid="{31715695-DA54-46B9-A5C9-4546A4E8F21D}" name="Column1650" dataDxfId="29910" totalsRowDxfId="29909"/>
    <tableColumn id="1665" xr3:uid="{3E424B60-1310-4459-BEB9-9D1653360E0C}" name="Column1651" dataDxfId="29908" totalsRowDxfId="29907"/>
    <tableColumn id="1666" xr3:uid="{A860B61D-88CC-4C17-80DA-9DCFDFFE8BEA}" name="Column1652" dataDxfId="29906" totalsRowDxfId="29905"/>
    <tableColumn id="1667" xr3:uid="{FCB6C153-AB8B-4A2B-A389-C745114A8C27}" name="Column1653" dataDxfId="29904" totalsRowDxfId="29903"/>
    <tableColumn id="1668" xr3:uid="{90182D6C-8CDB-418D-A542-1963078779FC}" name="Column1654" dataDxfId="29902" totalsRowDxfId="29901"/>
    <tableColumn id="1669" xr3:uid="{5613734D-BC12-4D75-A289-E44A498D06B4}" name="Column1655" dataDxfId="29900" totalsRowDxfId="29899"/>
    <tableColumn id="1670" xr3:uid="{C9787701-D3A7-4FF9-BD28-8C1D338484F6}" name="Column1656" dataDxfId="29898" totalsRowDxfId="29897"/>
    <tableColumn id="1671" xr3:uid="{695F1AFA-1B1D-463A-A65E-FF2D67DFBC20}" name="Column1657" dataDxfId="29896" totalsRowDxfId="29895"/>
    <tableColumn id="1672" xr3:uid="{E33DE20E-8CD2-4A69-A0BB-C37B86692BC0}" name="Column1658" dataDxfId="29894" totalsRowDxfId="29893"/>
    <tableColumn id="1673" xr3:uid="{DF50A7D5-C970-4298-AE9D-5FF59373410F}" name="Column1659" dataDxfId="29892" totalsRowDxfId="29891"/>
    <tableColumn id="1674" xr3:uid="{B2B0D63A-816E-4FD8-8770-A82A87C56305}" name="Column1660" dataDxfId="29890" totalsRowDxfId="29889"/>
    <tableColumn id="1675" xr3:uid="{CA32A4DB-548D-47B8-AE56-D3992D9E7FF5}" name="Column1661" dataDxfId="29888" totalsRowDxfId="29887"/>
    <tableColumn id="1676" xr3:uid="{3D0D4905-9995-4DCC-8D81-A6DCC6830DE5}" name="Column1662" dataDxfId="29886" totalsRowDxfId="29885"/>
    <tableColumn id="1677" xr3:uid="{F8E93B40-7A69-43DB-A849-C42DE9277726}" name="Column1663" dataDxfId="29884" totalsRowDxfId="29883"/>
    <tableColumn id="1678" xr3:uid="{7FE71F02-D252-45DF-9EC1-260E0BA243E1}" name="Column1664" dataDxfId="29882" totalsRowDxfId="29881"/>
    <tableColumn id="1679" xr3:uid="{90FDAF4D-4573-471E-9491-30E9664FD865}" name="Column1665" dataDxfId="29880" totalsRowDxfId="29879"/>
    <tableColumn id="1680" xr3:uid="{0507F178-B44B-4901-839B-AD21C163320C}" name="Column1666" dataDxfId="29878" totalsRowDxfId="29877"/>
    <tableColumn id="1681" xr3:uid="{B1902BBB-DD16-45F7-98CB-5ED17A818359}" name="Column1667" dataDxfId="29876" totalsRowDxfId="29875"/>
    <tableColumn id="1682" xr3:uid="{26898E92-04F7-4F62-B43D-2468DCAD9D73}" name="Column1668" dataDxfId="29874" totalsRowDxfId="29873"/>
    <tableColumn id="1683" xr3:uid="{9572EAA3-D51F-47C1-924F-CA5BA86F00DA}" name="Column1669" dataDxfId="29872" totalsRowDxfId="29871"/>
    <tableColumn id="1684" xr3:uid="{AA275530-CD84-4964-9093-18BD0034BCFC}" name="Column1670" dataDxfId="29870" totalsRowDxfId="29869"/>
    <tableColumn id="1685" xr3:uid="{6D53F4C0-F337-4A19-8A7F-59F86B989BA5}" name="Column1671" dataDxfId="29868" totalsRowDxfId="29867"/>
    <tableColumn id="1686" xr3:uid="{C92BE636-5837-4E68-8527-B5D41EB2723A}" name="Column1672" dataDxfId="29866" totalsRowDxfId="29865"/>
    <tableColumn id="1687" xr3:uid="{1D6B6337-6A53-4494-B75D-A6185DDA1F17}" name="Column1673" dataDxfId="29864" totalsRowDxfId="29863"/>
    <tableColumn id="1688" xr3:uid="{0C13CFCB-CFC0-4FF7-BDF0-52558453DD36}" name="Column1674" dataDxfId="29862" totalsRowDxfId="29861"/>
    <tableColumn id="1689" xr3:uid="{2F8663A3-6B67-46D8-9479-C91C664B7DE6}" name="Column1675" dataDxfId="29860" totalsRowDxfId="29859"/>
    <tableColumn id="1690" xr3:uid="{044BC5B9-6BC3-482E-BB50-43420174E41D}" name="Column1676" dataDxfId="29858" totalsRowDxfId="29857"/>
    <tableColumn id="1691" xr3:uid="{10217D5D-A8AA-48B1-AD18-82FE6050231C}" name="Column1677" dataDxfId="29856" totalsRowDxfId="29855"/>
    <tableColumn id="1692" xr3:uid="{78715FBE-C505-4064-A0D3-9821F79AA6F2}" name="Column1678" dataDxfId="29854" totalsRowDxfId="29853"/>
    <tableColumn id="1693" xr3:uid="{9BDC2D26-543D-4592-9C5E-4B811E0CA0D6}" name="Column1679" dataDxfId="29852" totalsRowDxfId="29851"/>
    <tableColumn id="1694" xr3:uid="{DF2B7C20-46F4-48F5-A53A-13295FFDCCB3}" name="Column1680" dataDxfId="29850" totalsRowDxfId="29849"/>
    <tableColumn id="1695" xr3:uid="{EC43BA3B-1B5C-4781-8F63-3E607DC15FA3}" name="Column1681" dataDxfId="29848" totalsRowDxfId="29847"/>
    <tableColumn id="1696" xr3:uid="{46B28F73-0410-4D2C-BDF3-280C36321E30}" name="Column1682" dataDxfId="29846" totalsRowDxfId="29845"/>
    <tableColumn id="1697" xr3:uid="{4D676022-F9AD-4B0A-927B-86A04897B381}" name="Column1683" dataDxfId="29844" totalsRowDxfId="29843"/>
    <tableColumn id="1698" xr3:uid="{28A014AD-8E72-45B1-9D02-C2CCD10739C9}" name="Column1684" dataDxfId="29842" totalsRowDxfId="29841"/>
    <tableColumn id="1699" xr3:uid="{C90B7660-A2F6-4788-9F00-6B8270B0C6A9}" name="Column1685" dataDxfId="29840" totalsRowDxfId="29839"/>
    <tableColumn id="1700" xr3:uid="{77773B7E-4BE2-4A6C-A707-BD41F62F1E72}" name="Column1686" dataDxfId="29838" totalsRowDxfId="29837"/>
    <tableColumn id="1701" xr3:uid="{C6E3C46C-F4C1-46F4-B8C9-3B655CD4318B}" name="Column1687" dataDxfId="29836" totalsRowDxfId="29835"/>
    <tableColumn id="1702" xr3:uid="{A609B166-71F6-4023-A48D-7759C5B8F941}" name="Column1688" dataDxfId="29834" totalsRowDxfId="29833"/>
    <tableColumn id="1703" xr3:uid="{A88BA682-BF78-48D2-B475-BC7A15ACF519}" name="Column1689" dataDxfId="29832" totalsRowDxfId="29831"/>
    <tableColumn id="1704" xr3:uid="{E5B0661E-5D13-4FF0-98B5-A97F9C308CBE}" name="Column1690" dataDxfId="29830" totalsRowDxfId="29829"/>
    <tableColumn id="1705" xr3:uid="{6238C444-E06A-40C6-92E8-67B9F90AD297}" name="Column1691" dataDxfId="29828" totalsRowDxfId="29827"/>
    <tableColumn id="1706" xr3:uid="{DCB579E3-200E-4BE4-B5A7-F0C7E5A8248E}" name="Column1692" dataDxfId="29826" totalsRowDxfId="29825"/>
    <tableColumn id="1707" xr3:uid="{C54100C1-6EC7-4901-A515-B81283457B50}" name="Column1693" dataDxfId="29824" totalsRowDxfId="29823"/>
    <tableColumn id="1708" xr3:uid="{94CC2EED-0BDA-46C6-9825-1F9C25754246}" name="Column1694" dataDxfId="29822" totalsRowDxfId="29821"/>
    <tableColumn id="1709" xr3:uid="{C7C96C7D-FF54-4A17-A5FF-9B4BCCE6B4E4}" name="Column1695" dataDxfId="29820" totalsRowDxfId="29819"/>
    <tableColumn id="1710" xr3:uid="{D4DF8D0B-EAF8-4F2C-8851-D55DC49B38B8}" name="Column1696" dataDxfId="29818" totalsRowDxfId="29817"/>
    <tableColumn id="1711" xr3:uid="{2FD323B2-C08F-4F3A-8680-FCB623022A5B}" name="Column1697" dataDxfId="29816" totalsRowDxfId="29815"/>
    <tableColumn id="1712" xr3:uid="{2D74F106-E43B-49DF-96A3-9F41EF8D94F1}" name="Column1698" dataDxfId="29814" totalsRowDxfId="29813"/>
    <tableColumn id="1713" xr3:uid="{015C9B02-BD1F-4EFC-82CF-450AF4BA90F9}" name="Column1699" dataDxfId="29812" totalsRowDxfId="29811"/>
    <tableColumn id="1714" xr3:uid="{90D20055-A471-4575-A1C1-76D690CDBC98}" name="Column1700" dataDxfId="29810" totalsRowDxfId="29809"/>
    <tableColumn id="1715" xr3:uid="{DAA7A4E5-886D-4414-B5AE-2254F037D1FD}" name="Column1701" dataDxfId="29808" totalsRowDxfId="29807"/>
    <tableColumn id="1716" xr3:uid="{8BFC2D15-6FB7-4B13-A83C-B9A38E287121}" name="Column1702" dataDxfId="29806" totalsRowDxfId="29805"/>
    <tableColumn id="1717" xr3:uid="{3418EF97-18E2-4F95-B946-28F2970A646B}" name="Column1703" dataDxfId="29804" totalsRowDxfId="29803"/>
    <tableColumn id="1718" xr3:uid="{7130D67E-7739-4F4A-BA17-90828719B6B7}" name="Column1704" dataDxfId="29802" totalsRowDxfId="29801"/>
    <tableColumn id="1719" xr3:uid="{433FE216-FB52-4275-A819-2CB339E3794B}" name="Column1705" dataDxfId="29800" totalsRowDxfId="29799"/>
    <tableColumn id="1720" xr3:uid="{B93516CD-9768-43DC-94AB-AF176DD79330}" name="Column1706" dataDxfId="29798" totalsRowDxfId="29797"/>
    <tableColumn id="1721" xr3:uid="{5F17EA16-D164-45E8-A829-CE813C2A3C85}" name="Column1707" dataDxfId="29796" totalsRowDxfId="29795"/>
    <tableColumn id="1722" xr3:uid="{AD1DAEF1-8948-431A-8212-3BC91F073455}" name="Column1708" dataDxfId="29794" totalsRowDxfId="29793"/>
    <tableColumn id="1723" xr3:uid="{185BD6AE-D476-4D37-A56F-83715C3512AA}" name="Column1709" dataDxfId="29792" totalsRowDxfId="29791"/>
    <tableColumn id="1724" xr3:uid="{C03DA691-E184-4C11-93D3-BA413DF5BBA1}" name="Column1710" dataDxfId="29790" totalsRowDxfId="29789"/>
    <tableColumn id="1725" xr3:uid="{8EE66A66-49E4-4432-B7F2-AFFA800EF79B}" name="Column1711" dataDxfId="29788" totalsRowDxfId="29787"/>
    <tableColumn id="1726" xr3:uid="{132E57D1-56CC-4BB0-96BB-BD315CC61E22}" name="Column1712" dataDxfId="29786" totalsRowDxfId="29785"/>
    <tableColumn id="1727" xr3:uid="{3D901D9E-B9CF-45A8-BCE2-621970A1D23D}" name="Column1713" dataDxfId="29784" totalsRowDxfId="29783"/>
    <tableColumn id="1728" xr3:uid="{71F638CB-E3F5-4874-986D-C1917491CFCC}" name="Column1714" dataDxfId="29782" totalsRowDxfId="29781"/>
    <tableColumn id="1729" xr3:uid="{FA59BABD-BCB8-48B9-8B6E-47B76EF3EFDD}" name="Column1715" dataDxfId="29780" totalsRowDxfId="29779"/>
    <tableColumn id="1730" xr3:uid="{4D5CE03D-3915-442A-AEC8-07A2AA7E2CDB}" name="Column1716" dataDxfId="29778" totalsRowDxfId="29777"/>
    <tableColumn id="1731" xr3:uid="{7B80D271-DB91-48D8-85FD-A79C8DAB84E3}" name="Column1717" dataDxfId="29776" totalsRowDxfId="29775"/>
    <tableColumn id="1732" xr3:uid="{68F002CB-4929-4B4E-B526-94CDABC50F43}" name="Column1718" dataDxfId="29774" totalsRowDxfId="29773"/>
    <tableColumn id="1733" xr3:uid="{F4A5E477-0AF5-4B04-AC7D-16B2E359BA07}" name="Column1719" dataDxfId="29772" totalsRowDxfId="29771"/>
    <tableColumn id="1734" xr3:uid="{F196CC14-CAA7-4047-AB32-DE6820D00509}" name="Column1720" dataDxfId="29770" totalsRowDxfId="29769"/>
    <tableColumn id="1735" xr3:uid="{F2A350CF-958F-486C-BFCF-1789812D974F}" name="Column1721" dataDxfId="29768" totalsRowDxfId="29767"/>
    <tableColumn id="1736" xr3:uid="{191FBDE3-E9AC-4BF2-8DA4-33695BD8F1C5}" name="Column1722" dataDxfId="29766" totalsRowDxfId="29765"/>
    <tableColumn id="1737" xr3:uid="{442C54EC-794D-454E-8023-0D20B38A44F2}" name="Column1723" dataDxfId="29764" totalsRowDxfId="29763"/>
    <tableColumn id="1738" xr3:uid="{0921D9C3-930B-4E9E-96FE-66E9A8067052}" name="Column1724" dataDxfId="29762" totalsRowDxfId="29761"/>
    <tableColumn id="1739" xr3:uid="{3F21B12A-EE46-4306-AA50-AA762A381841}" name="Column1725" dataDxfId="29760" totalsRowDxfId="29759"/>
    <tableColumn id="1740" xr3:uid="{92C152C7-CC71-4ABC-AEE5-9C8FFE33F910}" name="Column1726" dataDxfId="29758" totalsRowDxfId="29757"/>
    <tableColumn id="1741" xr3:uid="{255578F9-E6E2-4764-9A9A-659742E84B55}" name="Column1727" dataDxfId="29756" totalsRowDxfId="29755"/>
    <tableColumn id="1742" xr3:uid="{C8E0AC70-16C3-475D-AA58-1B7C6C7272C3}" name="Column1728" dataDxfId="29754" totalsRowDxfId="29753"/>
    <tableColumn id="1743" xr3:uid="{CFDB44C6-59AB-4771-B2D0-5D77386EEA49}" name="Column1729" dataDxfId="29752" totalsRowDxfId="29751"/>
    <tableColumn id="1744" xr3:uid="{19AE0779-E138-4EF5-B3DF-4D6A275F613B}" name="Column1730" dataDxfId="29750" totalsRowDxfId="29749"/>
    <tableColumn id="1745" xr3:uid="{CC3074ED-F9BB-4BD6-9FC3-17732B6A841C}" name="Column1731" dataDxfId="29748" totalsRowDxfId="29747"/>
    <tableColumn id="1746" xr3:uid="{3C6F6374-793F-4F96-AC46-E3BE4A6368EC}" name="Column1732" dataDxfId="29746" totalsRowDxfId="29745"/>
    <tableColumn id="1747" xr3:uid="{82376024-2A7B-4440-8774-F9472CFCAFA2}" name="Column1733" dataDxfId="29744" totalsRowDxfId="29743"/>
    <tableColumn id="1748" xr3:uid="{67FA6587-F26D-402E-B2BF-2F8FCED3194D}" name="Column1734" dataDxfId="29742" totalsRowDxfId="29741"/>
    <tableColumn id="1749" xr3:uid="{ED35B83B-0329-4506-8496-8E3271136B41}" name="Column1735" dataDxfId="29740" totalsRowDxfId="29739"/>
    <tableColumn id="1750" xr3:uid="{D313D252-D6CB-4721-931C-938708ECFA67}" name="Column1736" dataDxfId="29738" totalsRowDxfId="29737"/>
    <tableColumn id="1751" xr3:uid="{4F597CEC-36C8-4866-A200-F3810438E9A3}" name="Column1737" dataDxfId="29736" totalsRowDxfId="29735"/>
    <tableColumn id="1752" xr3:uid="{6A5AC5CB-086D-4996-8CFA-86D25A8270E1}" name="Column1738" dataDxfId="29734" totalsRowDxfId="29733"/>
    <tableColumn id="1753" xr3:uid="{CEF527CF-3D9C-40FC-A598-5801D77E5729}" name="Column1739" dataDxfId="29732" totalsRowDxfId="29731"/>
    <tableColumn id="1754" xr3:uid="{CC1344FC-9D4B-4D21-97A8-8F666056D5DD}" name="Column1740" dataDxfId="29730" totalsRowDxfId="29729"/>
    <tableColumn id="1755" xr3:uid="{CB55830D-948C-4EF0-8C90-8532778BCFCE}" name="Column1741" dataDxfId="29728" totalsRowDxfId="29727"/>
    <tableColumn id="1756" xr3:uid="{6199002B-7E47-4F38-B833-06A8B30DEADF}" name="Column1742" dataDxfId="29726" totalsRowDxfId="29725"/>
    <tableColumn id="1757" xr3:uid="{5A9ACC92-7FAC-4531-A285-14E3FB42AE09}" name="Column1743" dataDxfId="29724" totalsRowDxfId="29723"/>
    <tableColumn id="1758" xr3:uid="{97A409AE-84AC-4E28-A56B-4741B47DB7FC}" name="Column1744" dataDxfId="29722" totalsRowDxfId="29721"/>
    <tableColumn id="1759" xr3:uid="{49AFE82F-3767-4757-AC30-7F4F57D5E014}" name="Column1745" dataDxfId="29720" totalsRowDxfId="29719"/>
    <tableColumn id="1760" xr3:uid="{BB4E3E55-172B-4086-B26B-2A731BAA2F09}" name="Column1746" dataDxfId="29718" totalsRowDxfId="29717"/>
    <tableColumn id="1761" xr3:uid="{A3DA6C5B-496C-43F1-BC6E-E5FD9F755F9B}" name="Column1747" dataDxfId="29716" totalsRowDxfId="29715"/>
    <tableColumn id="1762" xr3:uid="{0E8D3C61-2FCD-4F95-9452-72F3F3A6B7B7}" name="Column1748" dataDxfId="29714" totalsRowDxfId="29713"/>
    <tableColumn id="1763" xr3:uid="{C868D7F4-A357-45E0-AD74-529EF58EDC86}" name="Column1749" dataDxfId="29712" totalsRowDxfId="29711"/>
    <tableColumn id="1764" xr3:uid="{09C0D026-2806-4E2B-8498-1CECD1BE645B}" name="Column1750" dataDxfId="29710" totalsRowDxfId="29709"/>
    <tableColumn id="1765" xr3:uid="{1EA66AAF-AFFF-426C-A89D-816849CA22DF}" name="Column1751" dataDxfId="29708" totalsRowDxfId="29707"/>
    <tableColumn id="1766" xr3:uid="{9AD85ACE-5F92-43B6-AE6E-1399D1D444F2}" name="Column1752" dataDxfId="29706" totalsRowDxfId="29705"/>
    <tableColumn id="1767" xr3:uid="{DF39D199-B2B3-4674-9BB0-0F504DE30515}" name="Column1753" dataDxfId="29704" totalsRowDxfId="29703"/>
    <tableColumn id="1768" xr3:uid="{FDAA8A46-43FF-446C-BBCA-AF56175D60B0}" name="Column1754" dataDxfId="29702" totalsRowDxfId="29701"/>
    <tableColumn id="1769" xr3:uid="{598380C5-538C-425F-8C2D-AC00A88FDB29}" name="Column1755" dataDxfId="29700" totalsRowDxfId="29699"/>
    <tableColumn id="1770" xr3:uid="{64747E55-71AB-4296-89CF-4B8DB091E283}" name="Column1756" dataDxfId="29698" totalsRowDxfId="29697"/>
    <tableColumn id="1771" xr3:uid="{C00D4E3C-6E01-4B53-B33A-614700C24D4F}" name="Column1757" dataDxfId="29696" totalsRowDxfId="29695"/>
    <tableColumn id="1772" xr3:uid="{7225AD1C-79C2-4205-912C-BE0C43B781E6}" name="Column1758" dataDxfId="29694" totalsRowDxfId="29693"/>
    <tableColumn id="1773" xr3:uid="{F2862126-EC85-4DDF-9B51-7D47B6F7CB05}" name="Column1759" dataDxfId="29692" totalsRowDxfId="29691"/>
    <tableColumn id="1774" xr3:uid="{C63A3A14-D217-4450-84AA-245112BF4F92}" name="Column1760" dataDxfId="29690" totalsRowDxfId="29689"/>
    <tableColumn id="1775" xr3:uid="{98AF557B-EAA4-4C3F-995D-E8CA90E471A2}" name="Column1761" dataDxfId="29688" totalsRowDxfId="29687"/>
    <tableColumn id="1776" xr3:uid="{988325B8-4CC1-4630-9EEC-D2FA74940227}" name="Column1762" dataDxfId="29686" totalsRowDxfId="29685"/>
    <tableColumn id="1777" xr3:uid="{BD161826-F382-4E39-88DF-671C18A9FD62}" name="Column1763" dataDxfId="29684" totalsRowDxfId="29683"/>
    <tableColumn id="1778" xr3:uid="{CB07E13A-7822-4BB1-8275-3A2A5E2BACAA}" name="Column1764" dataDxfId="29682" totalsRowDxfId="29681"/>
    <tableColumn id="1779" xr3:uid="{D726055A-10A5-48D4-A441-F3A413CF130E}" name="Column1765" dataDxfId="29680" totalsRowDxfId="29679"/>
    <tableColumn id="1780" xr3:uid="{C5608C9E-F5F3-4670-996C-F46B68742276}" name="Column1766" dataDxfId="29678" totalsRowDxfId="29677"/>
    <tableColumn id="1781" xr3:uid="{A3012276-390A-45CD-9E02-B0A25E1B293F}" name="Column1767" dataDxfId="29676" totalsRowDxfId="29675"/>
    <tableColumn id="1782" xr3:uid="{3339FAC7-463B-401A-976E-38B0930425EB}" name="Column1768" dataDxfId="29674" totalsRowDxfId="29673"/>
    <tableColumn id="1783" xr3:uid="{7288D41C-57E5-43AA-868A-4511EF68BE62}" name="Column1769" dataDxfId="29672" totalsRowDxfId="29671"/>
    <tableColumn id="1784" xr3:uid="{2EA2C88C-4210-4920-9471-CE587CB8DFAE}" name="Column1770" dataDxfId="29670" totalsRowDxfId="29669"/>
    <tableColumn id="1785" xr3:uid="{2BB01637-4299-4653-854D-FD15242B8943}" name="Column1771" dataDxfId="29668" totalsRowDxfId="29667"/>
    <tableColumn id="1786" xr3:uid="{554FD7C9-FF30-4AD3-BC20-A20D353976F6}" name="Column1772" dataDxfId="29666" totalsRowDxfId="29665"/>
    <tableColumn id="1787" xr3:uid="{A9C45E5A-C189-44AB-AF74-15C236CFA048}" name="Column1773" dataDxfId="29664" totalsRowDxfId="29663"/>
    <tableColumn id="1788" xr3:uid="{7D902D16-C958-45B3-A9D1-24C1B00CA167}" name="Column1774" dataDxfId="29662" totalsRowDxfId="29661"/>
    <tableColumn id="1789" xr3:uid="{B5E826EF-360A-47E2-851F-B165A440CAB0}" name="Column1775" dataDxfId="29660" totalsRowDxfId="29659"/>
    <tableColumn id="1790" xr3:uid="{3D40359F-F64D-4190-88D5-638CA6B4A3E6}" name="Column1776" dataDxfId="29658" totalsRowDxfId="29657"/>
    <tableColumn id="1791" xr3:uid="{C77CED8A-4AFA-4EB7-A1AF-D313BEC3D833}" name="Column1777" dataDxfId="29656" totalsRowDxfId="29655"/>
    <tableColumn id="1792" xr3:uid="{79D2E544-F61A-4569-9DD2-EA7CEECC1522}" name="Column1778" dataDxfId="29654" totalsRowDxfId="29653"/>
    <tableColumn id="1793" xr3:uid="{FCEBD902-5411-4F21-8583-1D89F11E89D9}" name="Column1779" dataDxfId="29652" totalsRowDxfId="29651"/>
    <tableColumn id="1794" xr3:uid="{767DA33B-96B7-4A11-9A8C-6BEBF625C359}" name="Column1780" dataDxfId="29650" totalsRowDxfId="29649"/>
    <tableColumn id="1795" xr3:uid="{663EE926-1C11-4AE7-ABA0-110294EC7567}" name="Column1781" dataDxfId="29648" totalsRowDxfId="29647"/>
    <tableColumn id="1796" xr3:uid="{1ADD62AA-C4CD-42D0-92F9-57183F7ED1EC}" name="Column1782" dataDxfId="29646" totalsRowDxfId="29645"/>
    <tableColumn id="1797" xr3:uid="{03E84233-1F8B-41D9-8183-87D17EE61C61}" name="Column1783" dataDxfId="29644" totalsRowDxfId="29643"/>
    <tableColumn id="1798" xr3:uid="{9C0B4AB9-26E6-4E33-80A7-197FC55FB7DD}" name="Column1784" dataDxfId="29642" totalsRowDxfId="29641"/>
    <tableColumn id="1799" xr3:uid="{1EFFF46B-C238-49C9-93BC-0604739A75DD}" name="Column1785" dataDxfId="29640" totalsRowDxfId="29639"/>
    <tableColumn id="1800" xr3:uid="{E984731F-B43E-4299-B100-0D30A61830B3}" name="Column1786" dataDxfId="29638" totalsRowDxfId="29637"/>
    <tableColumn id="1801" xr3:uid="{A23025DB-7969-40D2-934C-060287EB16A9}" name="Column1787" dataDxfId="29636" totalsRowDxfId="29635"/>
    <tableColumn id="1802" xr3:uid="{3FEB9FC0-BD00-459D-A239-55F141233F2C}" name="Column1788" dataDxfId="29634" totalsRowDxfId="29633"/>
    <tableColumn id="1803" xr3:uid="{A6732AF3-F57C-40ED-8642-614024E21844}" name="Column1789" dataDxfId="29632" totalsRowDxfId="29631"/>
    <tableColumn id="1804" xr3:uid="{2DA20C1F-C6AE-4A39-9309-D829CAF95278}" name="Column1790" dataDxfId="29630" totalsRowDxfId="29629"/>
    <tableColumn id="1805" xr3:uid="{8BEAE16C-DE34-42E1-9780-A4E0C138F4D9}" name="Column1791" dataDxfId="29628" totalsRowDxfId="29627"/>
    <tableColumn id="1806" xr3:uid="{C4CFE1BF-179A-415B-9909-BB755D574AFC}" name="Column1792" dataDxfId="29626" totalsRowDxfId="29625"/>
    <tableColumn id="1807" xr3:uid="{D652D443-0356-431A-9ADD-91515353BEEA}" name="Column1793" dataDxfId="29624" totalsRowDxfId="29623"/>
    <tableColumn id="1808" xr3:uid="{99504281-F564-4264-90BD-DF820B8325BB}" name="Column1794" dataDxfId="29622" totalsRowDxfId="29621"/>
    <tableColumn id="1809" xr3:uid="{3E769770-1899-4319-B3E8-045E3A8353BA}" name="Column1795" dataDxfId="29620" totalsRowDxfId="29619"/>
    <tableColumn id="1810" xr3:uid="{5A5DF915-CBF9-4F30-927F-9F6E51195AFB}" name="Column1796" dataDxfId="29618" totalsRowDxfId="29617"/>
    <tableColumn id="1811" xr3:uid="{7F36300B-62B2-44A2-B31E-39289B920E93}" name="Column1797" dataDxfId="29616" totalsRowDxfId="29615"/>
    <tableColumn id="1812" xr3:uid="{9A96D26F-86E2-4ED5-83C5-D93C907E8BDB}" name="Column1798" dataDxfId="29614" totalsRowDxfId="29613"/>
    <tableColumn id="1813" xr3:uid="{0E29FD46-7749-4BA4-885F-DCC6F51F2829}" name="Column1799" dataDxfId="29612" totalsRowDxfId="29611"/>
    <tableColumn id="1814" xr3:uid="{017BB70D-87D3-4A6C-9DE3-695A8F29E9B0}" name="Column1800" dataDxfId="29610" totalsRowDxfId="29609"/>
    <tableColumn id="1815" xr3:uid="{1039FD7A-1357-483C-BFE9-934B164F9FFB}" name="Column1801" dataDxfId="29608" totalsRowDxfId="29607"/>
    <tableColumn id="1816" xr3:uid="{8DCB6D37-862F-47EB-AAE2-51C99630ECB3}" name="Column1802" dataDxfId="29606" totalsRowDxfId="29605"/>
    <tableColumn id="1817" xr3:uid="{36C8DF19-BD08-4683-AD01-78EF859DA908}" name="Column1803" dataDxfId="29604" totalsRowDxfId="29603"/>
    <tableColumn id="1818" xr3:uid="{A68527A3-0779-4382-999A-68282BDD3366}" name="Column1804" dataDxfId="29602" totalsRowDxfId="29601"/>
    <tableColumn id="1819" xr3:uid="{6E783136-2820-4E19-8B47-7F1F942C1915}" name="Column1805" dataDxfId="29600" totalsRowDxfId="29599"/>
    <tableColumn id="1820" xr3:uid="{E44986F4-02F8-4B05-BAF9-3E9252DB456B}" name="Column1806" dataDxfId="29598" totalsRowDxfId="29597"/>
    <tableColumn id="1821" xr3:uid="{68694771-3EC2-48F3-93C1-197A42876222}" name="Column1807" dataDxfId="29596" totalsRowDxfId="29595"/>
    <tableColumn id="1822" xr3:uid="{86953FCE-BA11-4407-8A16-F04F16A7A3F5}" name="Column1808" dataDxfId="29594" totalsRowDxfId="29593"/>
    <tableColumn id="1823" xr3:uid="{D7B09F25-358B-450B-9436-7925D2A064B8}" name="Column1809" dataDxfId="29592" totalsRowDxfId="29591"/>
    <tableColumn id="1824" xr3:uid="{553F7FF1-7603-44D4-BBC5-E9CD50E6E259}" name="Column1810" dataDxfId="29590" totalsRowDxfId="29589"/>
    <tableColumn id="1825" xr3:uid="{AD8B0E5C-6A2C-4B27-92DE-CB318268C14C}" name="Column1811" dataDxfId="29588" totalsRowDxfId="29587"/>
    <tableColumn id="1826" xr3:uid="{8E7DE2C9-16F7-4AE4-8FBA-CD1D562FCB56}" name="Column1812" dataDxfId="29586" totalsRowDxfId="29585"/>
    <tableColumn id="1827" xr3:uid="{DA87A4E5-F7DF-408F-8C3E-73FA0E3251F6}" name="Column1813" dataDxfId="29584" totalsRowDxfId="29583"/>
    <tableColumn id="1828" xr3:uid="{B1DCE18B-1BE0-40EF-8C4C-8D67A365FF8B}" name="Column1814" dataDxfId="29582" totalsRowDxfId="29581"/>
    <tableColumn id="1829" xr3:uid="{86898DAA-3E46-4DA6-9A8B-B106AA9E85C4}" name="Column1815" dataDxfId="29580" totalsRowDxfId="29579"/>
    <tableColumn id="1830" xr3:uid="{46A0DE7C-C2BA-49A4-999B-7AEA339AFB4C}" name="Column1816" dataDxfId="29578" totalsRowDxfId="29577"/>
    <tableColumn id="1831" xr3:uid="{699AE224-65E1-48BE-8880-34BD23B46B0B}" name="Column1817" dataDxfId="29576" totalsRowDxfId="29575"/>
    <tableColumn id="1832" xr3:uid="{42FEA54D-12AB-47F6-9C10-F42C115A0995}" name="Column1818" dataDxfId="29574" totalsRowDxfId="29573"/>
    <tableColumn id="1833" xr3:uid="{61B74D07-F6B6-4B62-AC26-1F2B1CCED1C3}" name="Column1819" dataDxfId="29572" totalsRowDxfId="29571"/>
    <tableColumn id="1834" xr3:uid="{126CC930-6341-4BF8-978D-281DBADC1B16}" name="Column1820" dataDxfId="29570" totalsRowDxfId="29569"/>
    <tableColumn id="1835" xr3:uid="{D8F5ED7C-9025-4F25-AAB9-4EA239658B3C}" name="Column1821" dataDxfId="29568" totalsRowDxfId="29567"/>
    <tableColumn id="1836" xr3:uid="{7DBEF902-A9AB-4518-BD47-378CF3A1CBA6}" name="Column1822" dataDxfId="29566" totalsRowDxfId="29565"/>
    <tableColumn id="1837" xr3:uid="{F9FA7E57-61F3-483E-8D8C-8AA0DF8E9A86}" name="Column1823" dataDxfId="29564" totalsRowDxfId="29563"/>
    <tableColumn id="1838" xr3:uid="{C03B453D-7DE6-40F2-BDEE-73B2AB4FEF8A}" name="Column1824" dataDxfId="29562" totalsRowDxfId="29561"/>
    <tableColumn id="1839" xr3:uid="{154141DC-985C-463F-B50C-8B35519FFFF7}" name="Column1825" dataDxfId="29560" totalsRowDxfId="29559"/>
    <tableColumn id="1840" xr3:uid="{F481CD28-FE89-4656-AAC9-47B64B4A4F2A}" name="Column1826" dataDxfId="29558" totalsRowDxfId="29557"/>
    <tableColumn id="1841" xr3:uid="{929A47F3-C22F-4C8D-8A7B-029BB6EAB1F6}" name="Column1827" dataDxfId="29556" totalsRowDxfId="29555"/>
    <tableColumn id="1842" xr3:uid="{87BD1DF5-B944-4F1E-BD68-534338047F3D}" name="Column1828" dataDxfId="29554" totalsRowDxfId="29553"/>
    <tableColumn id="1843" xr3:uid="{509D1884-7518-4354-906C-EEA747D597E1}" name="Column1829" dataDxfId="29552" totalsRowDxfId="29551"/>
    <tableColumn id="1844" xr3:uid="{ACF670D6-115C-44A5-8DE7-2BD8F26888BA}" name="Column1830" dataDxfId="29550" totalsRowDxfId="29549"/>
    <tableColumn id="1845" xr3:uid="{D71BA6C4-5AF4-47A4-AF58-48D3726CFE90}" name="Column1831" dataDxfId="29548" totalsRowDxfId="29547"/>
    <tableColumn id="1846" xr3:uid="{1429D4CA-9CFF-4013-A232-C98DB1671B0D}" name="Column1832" dataDxfId="29546" totalsRowDxfId="29545"/>
    <tableColumn id="1847" xr3:uid="{64F0C87D-5501-4377-A129-8F9CF96EBBD4}" name="Column1833" dataDxfId="29544" totalsRowDxfId="29543"/>
    <tableColumn id="1848" xr3:uid="{D1AAE42C-4F76-4E18-B576-D4D7F359A90E}" name="Column1834" dataDxfId="29542" totalsRowDxfId="29541"/>
    <tableColumn id="1849" xr3:uid="{E28BD375-847C-4974-B4FD-9ECA8424F094}" name="Column1835" dataDxfId="29540" totalsRowDxfId="29539"/>
    <tableColumn id="1850" xr3:uid="{69C00D40-4E2C-45B5-A6E7-73A23FE60235}" name="Column1836" dataDxfId="29538" totalsRowDxfId="29537"/>
    <tableColumn id="1851" xr3:uid="{75537A14-B905-4048-9657-893C75753127}" name="Column1837" dataDxfId="29536" totalsRowDxfId="29535"/>
    <tableColumn id="1852" xr3:uid="{388522D7-A9C2-476C-ADA6-007E58082B86}" name="Column1838" dataDxfId="29534" totalsRowDxfId="29533"/>
    <tableColumn id="1853" xr3:uid="{CF62ADE4-1D7D-406A-844C-7774D14911F9}" name="Column1839" dataDxfId="29532" totalsRowDxfId="29531"/>
    <tableColumn id="1854" xr3:uid="{3DD9908B-3549-4557-B6B0-0615029D5830}" name="Column1840" dataDxfId="29530" totalsRowDxfId="29529"/>
    <tableColumn id="1855" xr3:uid="{63DE6749-B95A-4E01-9463-6FF1B4E2CB4C}" name="Column1841" dataDxfId="29528" totalsRowDxfId="29527"/>
    <tableColumn id="1856" xr3:uid="{CD526026-A659-44C5-A107-B38D46D5D3AB}" name="Column1842" dataDxfId="29526" totalsRowDxfId="29525"/>
    <tableColumn id="1857" xr3:uid="{E5A7721B-BC58-473C-8CA1-09C7428C187A}" name="Column1843" dataDxfId="29524" totalsRowDxfId="29523"/>
    <tableColumn id="1858" xr3:uid="{8494A857-87DF-4083-AA08-EA275E4D4FAE}" name="Column1844" dataDxfId="29522" totalsRowDxfId="29521"/>
    <tableColumn id="1859" xr3:uid="{93E8845E-11D9-4107-84B7-8F33541748A5}" name="Column1845" dataDxfId="29520" totalsRowDxfId="29519"/>
    <tableColumn id="1860" xr3:uid="{E2DF9370-B182-4999-81A3-ADFEDE09392A}" name="Column1846" dataDxfId="29518" totalsRowDxfId="29517"/>
    <tableColumn id="1861" xr3:uid="{BA270F58-87FC-4A77-94EF-5D6817E308AC}" name="Column1847" dataDxfId="29516" totalsRowDxfId="29515"/>
    <tableColumn id="1862" xr3:uid="{C17B3D0A-478A-4EDB-BB63-5E9E9278D645}" name="Column1848" dataDxfId="29514" totalsRowDxfId="29513"/>
    <tableColumn id="1863" xr3:uid="{FA7526F9-3197-456E-8DF9-CF367F4AE32E}" name="Column1849" dataDxfId="29512" totalsRowDxfId="29511"/>
    <tableColumn id="1864" xr3:uid="{60D77C9D-0849-4412-AA04-C2A60E373B21}" name="Column1850" dataDxfId="29510" totalsRowDxfId="29509"/>
    <tableColumn id="1865" xr3:uid="{034B8E7F-9DF8-4784-A5D2-76BAC714F365}" name="Column1851" dataDxfId="29508" totalsRowDxfId="29507"/>
    <tableColumn id="1866" xr3:uid="{F79FE76D-9EAB-4B52-9A1B-F41B16225521}" name="Column1852" dataDxfId="29506" totalsRowDxfId="29505"/>
    <tableColumn id="1867" xr3:uid="{7525D2B1-5C9E-490A-9E17-CFE6BF8B4652}" name="Column1853" dataDxfId="29504" totalsRowDxfId="29503"/>
    <tableColumn id="1868" xr3:uid="{EAEEAC1C-A9A4-43CB-ADF9-C3B899630E8D}" name="Column1854" dataDxfId="29502" totalsRowDxfId="29501"/>
    <tableColumn id="1869" xr3:uid="{CEA99975-2276-4716-AE03-E1FE2B9A1142}" name="Column1855" dataDxfId="29500" totalsRowDxfId="29499"/>
    <tableColumn id="1870" xr3:uid="{88B35D7B-0801-439E-A918-00C69990477F}" name="Column1856" dataDxfId="29498" totalsRowDxfId="29497"/>
    <tableColumn id="1871" xr3:uid="{56AB0932-2545-4805-B83E-98BDAEC5E0D7}" name="Column1857" dataDxfId="29496" totalsRowDxfId="29495"/>
    <tableColumn id="1872" xr3:uid="{E0E6D4D3-5825-4895-8870-90A9300F22F4}" name="Column1858" dataDxfId="29494" totalsRowDxfId="29493"/>
    <tableColumn id="1873" xr3:uid="{5661323A-8494-40BE-B0BE-E627BA7803D7}" name="Column1859" dataDxfId="29492" totalsRowDxfId="29491"/>
    <tableColumn id="1874" xr3:uid="{5734FF62-2D94-481F-846A-F93FBAF18631}" name="Column1860" dataDxfId="29490" totalsRowDxfId="29489"/>
    <tableColumn id="1875" xr3:uid="{56C74092-20FE-46FF-971D-E23E13F9681D}" name="Column1861" dataDxfId="29488" totalsRowDxfId="29487"/>
    <tableColumn id="1876" xr3:uid="{A513484E-A3FB-45C2-99D4-106D1EE323F6}" name="Column1862" dataDxfId="29486" totalsRowDxfId="29485"/>
    <tableColumn id="1877" xr3:uid="{57612E0C-9377-4A09-BE02-C2176322BE19}" name="Column1863" dataDxfId="29484" totalsRowDxfId="29483"/>
    <tableColumn id="1878" xr3:uid="{B75C4173-EA2B-4382-BC04-295CCE717A32}" name="Column1864" dataDxfId="29482" totalsRowDxfId="29481"/>
    <tableColumn id="1879" xr3:uid="{FE6A459C-AC73-4EF3-A2C0-934F64AD8245}" name="Column1865" dataDxfId="29480" totalsRowDxfId="29479"/>
    <tableColumn id="1880" xr3:uid="{1990F4DF-2E99-4288-8EA7-3982A689FB99}" name="Column1866" dataDxfId="29478" totalsRowDxfId="29477"/>
    <tableColumn id="1881" xr3:uid="{C72DE288-E2C3-443B-9F03-91B3E6A5B7A3}" name="Column1867" dataDxfId="29476" totalsRowDxfId="29475"/>
    <tableColumn id="1882" xr3:uid="{28E280C6-5B3F-41E4-BD79-9E653F187B30}" name="Column1868" dataDxfId="29474" totalsRowDxfId="29473"/>
    <tableColumn id="1883" xr3:uid="{C41C0C40-40EC-451B-9739-DF7059A8FEBB}" name="Column1869" dataDxfId="29472" totalsRowDxfId="29471"/>
    <tableColumn id="1884" xr3:uid="{B5182F02-E2AA-4CAE-B67E-69B7305BF1F1}" name="Column1870" dataDxfId="29470" totalsRowDxfId="29469"/>
    <tableColumn id="1885" xr3:uid="{C9E24F88-2FD8-4AEE-82A6-2EE7472FBB45}" name="Column1871" dataDxfId="29468" totalsRowDxfId="29467"/>
    <tableColumn id="1886" xr3:uid="{92F13677-6C2B-4862-A421-F07F1D7FE343}" name="Column1872" dataDxfId="29466" totalsRowDxfId="29465"/>
    <tableColumn id="1887" xr3:uid="{8665F167-E62A-4E92-B41A-7868B81E4618}" name="Column1873" dataDxfId="29464" totalsRowDxfId="29463"/>
    <tableColumn id="1888" xr3:uid="{AFDAF8FB-8E49-48FF-B72C-C65944271DE7}" name="Column1874" dataDxfId="29462" totalsRowDxfId="29461"/>
    <tableColumn id="1889" xr3:uid="{B9CD1A07-8CC6-46CA-84A7-A26DC5AC5ABB}" name="Column1875" dataDxfId="29460" totalsRowDxfId="29459"/>
    <tableColumn id="1890" xr3:uid="{9FAD8A15-0E25-4248-9AAC-63C37491C94B}" name="Column1876" dataDxfId="29458" totalsRowDxfId="29457"/>
    <tableColumn id="1891" xr3:uid="{5F0C1CCD-FED8-41D7-A3F3-8CAD191E70FE}" name="Column1877" dataDxfId="29456" totalsRowDxfId="29455"/>
    <tableColumn id="1892" xr3:uid="{F1FBE0CF-5E9F-4B54-8F01-2E37432AD24D}" name="Column1878" dataDxfId="29454" totalsRowDxfId="29453"/>
    <tableColumn id="1893" xr3:uid="{177CFE21-30F3-4009-B3B1-A5281C3AD957}" name="Column1879" dataDxfId="29452" totalsRowDxfId="29451"/>
    <tableColumn id="1894" xr3:uid="{DA6EE765-7116-42A4-8860-7B6BB1181570}" name="Column1880" dataDxfId="29450" totalsRowDxfId="29449"/>
    <tableColumn id="1895" xr3:uid="{A457056B-DC7D-4EA2-B6A4-15B5A85555CB}" name="Column1881" dataDxfId="29448" totalsRowDxfId="29447"/>
    <tableColumn id="1896" xr3:uid="{1917032B-461E-4A41-A602-A259EFC7F79E}" name="Column1882" dataDxfId="29446" totalsRowDxfId="29445"/>
    <tableColumn id="1897" xr3:uid="{2568AA47-C8F3-4F8D-A7A5-9E9019F7068D}" name="Column1883" dataDxfId="29444" totalsRowDxfId="29443"/>
    <tableColumn id="1898" xr3:uid="{972BEBAD-4832-4F1F-A06C-04F36630C01C}" name="Column1884" dataDxfId="29442" totalsRowDxfId="29441"/>
    <tableColumn id="1899" xr3:uid="{938C7C47-A111-43B4-8706-E04A7AB92D21}" name="Column1885" dataDxfId="29440" totalsRowDxfId="29439"/>
    <tableColumn id="1900" xr3:uid="{79988B06-0DDE-4E80-9561-79C4DFD7F083}" name="Column1886" dataDxfId="29438" totalsRowDxfId="29437"/>
    <tableColumn id="1901" xr3:uid="{DFA28DE0-F548-42BD-88A2-B0DBA74E591C}" name="Column1887" dataDxfId="29436" totalsRowDxfId="29435"/>
    <tableColumn id="1902" xr3:uid="{B8685B3D-90B6-488D-9319-1A044F2B42D3}" name="Column1888" dataDxfId="29434" totalsRowDxfId="29433"/>
    <tableColumn id="1903" xr3:uid="{E0C9323F-44D7-48AC-B1D2-5CC5157FA786}" name="Column1889" dataDxfId="29432" totalsRowDxfId="29431"/>
    <tableColumn id="1904" xr3:uid="{B34C745A-9C8D-4A09-9767-985DE29EE035}" name="Column1890" dataDxfId="29430" totalsRowDxfId="29429"/>
    <tableColumn id="1905" xr3:uid="{FA06F1FB-C5A5-4177-8557-446CD42A82C3}" name="Column1891" dataDxfId="29428" totalsRowDxfId="29427"/>
    <tableColumn id="1906" xr3:uid="{3EA13FDF-8E41-4596-B74E-C2F614E6C61E}" name="Column1892" dataDxfId="29426" totalsRowDxfId="29425"/>
    <tableColumn id="1907" xr3:uid="{78466250-CECE-45F3-B666-71518AEDDF87}" name="Column1893" dataDxfId="29424" totalsRowDxfId="29423"/>
    <tableColumn id="1908" xr3:uid="{4C707FBD-77F9-48AF-9614-C0AAE3382EAC}" name="Column1894" dataDxfId="29422" totalsRowDxfId="29421"/>
    <tableColumn id="1909" xr3:uid="{1CFB122B-B93B-4E92-AE91-D0376225C339}" name="Column1895" dataDxfId="29420" totalsRowDxfId="29419"/>
    <tableColumn id="1910" xr3:uid="{6E456925-B1A4-4520-9909-2AFEEBB06ABA}" name="Column1896" dataDxfId="29418" totalsRowDxfId="29417"/>
    <tableColumn id="1911" xr3:uid="{B88AC6A9-4B5D-4EDD-AB7A-E68756D2BFD2}" name="Column1897" dataDxfId="29416" totalsRowDxfId="29415"/>
    <tableColumn id="1912" xr3:uid="{37C2AF2B-B1A6-4D84-B9EA-D71273DE0730}" name="Column1898" dataDxfId="29414" totalsRowDxfId="29413"/>
    <tableColumn id="1913" xr3:uid="{2FF398E3-2AE5-4668-B5BA-653431548BF4}" name="Column1899" dataDxfId="29412" totalsRowDxfId="29411"/>
    <tableColumn id="1914" xr3:uid="{40611CD6-871C-44DE-82D2-AC9E9C05227B}" name="Column1900" dataDxfId="29410" totalsRowDxfId="29409"/>
    <tableColumn id="1915" xr3:uid="{66851841-3982-414C-943F-B1A4EA8F0822}" name="Column1901" dataDxfId="29408" totalsRowDxfId="29407"/>
    <tableColumn id="1916" xr3:uid="{051269AE-0718-482A-BAD1-3122591FB8E8}" name="Column1902" dataDxfId="29406" totalsRowDxfId="29405"/>
    <tableColumn id="1917" xr3:uid="{597FBA88-8D74-4C21-982E-E57088127EA2}" name="Column1903" dataDxfId="29404" totalsRowDxfId="29403"/>
    <tableColumn id="1918" xr3:uid="{FA95A150-7A86-456C-A327-F5D081347E34}" name="Column1904" dataDxfId="29402" totalsRowDxfId="29401"/>
    <tableColumn id="1919" xr3:uid="{8CB08987-6C05-4B1D-8B1E-B6596CF942CE}" name="Column1905" dataDxfId="29400" totalsRowDxfId="29399"/>
    <tableColumn id="1920" xr3:uid="{4121DC83-6087-41DC-9ED1-F0CE68190C47}" name="Column1906" dataDxfId="29398" totalsRowDxfId="29397"/>
    <tableColumn id="1921" xr3:uid="{F3FF4ADB-127C-4B5A-B004-2122EDC8DE59}" name="Column1907" dataDxfId="29396" totalsRowDxfId="29395"/>
    <tableColumn id="1922" xr3:uid="{E81AEA36-6FD2-42AA-B63D-8242EDA31605}" name="Column1908" dataDxfId="29394" totalsRowDxfId="29393"/>
    <tableColumn id="1923" xr3:uid="{0DEF4B06-2D95-4B14-81AA-09521AB6A418}" name="Column1909" dataDxfId="29392" totalsRowDxfId="29391"/>
    <tableColumn id="1924" xr3:uid="{9FBA2E94-769C-41F1-A382-30C6444DBFA9}" name="Column1910" dataDxfId="29390" totalsRowDxfId="29389"/>
    <tableColumn id="1925" xr3:uid="{0F7B1825-4D26-44A3-99E8-D0E0903B1ED2}" name="Column1911" dataDxfId="29388" totalsRowDxfId="29387"/>
    <tableColumn id="1926" xr3:uid="{7B609F15-C299-45CD-815C-A53DAD1D6C77}" name="Column1912" dataDxfId="29386" totalsRowDxfId="29385"/>
    <tableColumn id="1927" xr3:uid="{451C830D-586B-4C87-B313-DAA0B39A7767}" name="Column1913" dataDxfId="29384" totalsRowDxfId="29383"/>
    <tableColumn id="1928" xr3:uid="{16C242BC-0F71-49B4-8703-816CBB025EB9}" name="Column1914" dataDxfId="29382" totalsRowDxfId="29381"/>
    <tableColumn id="1929" xr3:uid="{A5FCF224-3A4D-46D3-9B78-D5A4550271BE}" name="Column1915" dataDxfId="29380" totalsRowDxfId="29379"/>
    <tableColumn id="1930" xr3:uid="{3CFC0D2C-2099-40C0-8BB7-1D93944E1FC1}" name="Column1916" dataDxfId="29378" totalsRowDxfId="29377"/>
    <tableColumn id="1931" xr3:uid="{A40FE5D6-7710-4965-9BEE-14115B756FB4}" name="Column1917" dataDxfId="29376" totalsRowDxfId="29375"/>
    <tableColumn id="1932" xr3:uid="{0E4DE9D7-5356-4270-8EDB-D2E44A624219}" name="Column1918" dataDxfId="29374" totalsRowDxfId="29373"/>
    <tableColumn id="1933" xr3:uid="{B110242E-844A-4BED-B275-BA4F749E8572}" name="Column1919" dataDxfId="29372" totalsRowDxfId="29371"/>
    <tableColumn id="1934" xr3:uid="{C4BC627C-AA1E-43E6-8C74-E81748CF084F}" name="Column1920" dataDxfId="29370" totalsRowDxfId="29369"/>
    <tableColumn id="1935" xr3:uid="{2BB4DBE0-845B-4B40-BA3E-5A4A31CB2FB4}" name="Column1921" dataDxfId="29368" totalsRowDxfId="29367"/>
    <tableColumn id="1936" xr3:uid="{2060AC45-934E-44F3-A877-24D886EF05F8}" name="Column1922" dataDxfId="29366" totalsRowDxfId="29365"/>
    <tableColumn id="1937" xr3:uid="{FF3AFC94-64E2-4C87-BE29-0B97AA9A7EE4}" name="Column1923" dataDxfId="29364" totalsRowDxfId="29363"/>
    <tableColumn id="1938" xr3:uid="{A5F4FBC0-F47A-41FF-A53B-48FC0759DF43}" name="Column1924" dataDxfId="29362" totalsRowDxfId="29361"/>
    <tableColumn id="1939" xr3:uid="{3C5FB762-790A-456A-93EA-0705ABAAB54D}" name="Column1925" dataDxfId="29360" totalsRowDxfId="29359"/>
    <tableColumn id="1940" xr3:uid="{ED303D0B-0E06-455F-BA41-C81BF75E9367}" name="Column1926" dataDxfId="29358" totalsRowDxfId="29357"/>
    <tableColumn id="1941" xr3:uid="{9A50E480-ABFC-4DDB-B479-863B3C2A8945}" name="Column1927" dataDxfId="29356" totalsRowDxfId="29355"/>
    <tableColumn id="1942" xr3:uid="{9D97CB9C-FE4F-472F-816C-B6DCE661FF1A}" name="Column1928" dataDxfId="29354" totalsRowDxfId="29353"/>
    <tableColumn id="1943" xr3:uid="{EACBA1A6-D4D4-4631-AA84-7A3BE1B3A7B0}" name="Column1929" dataDxfId="29352" totalsRowDxfId="29351"/>
    <tableColumn id="1944" xr3:uid="{CB908326-5962-46C2-AE79-B5EAA8797742}" name="Column1930" dataDxfId="29350" totalsRowDxfId="29349"/>
    <tableColumn id="1945" xr3:uid="{00335D3E-0A80-42B5-82DD-82EAAFDB75C4}" name="Column1931" dataDxfId="29348" totalsRowDxfId="29347"/>
    <tableColumn id="1946" xr3:uid="{817B7128-0EEF-463B-92A4-D625CC625798}" name="Column1932" dataDxfId="29346" totalsRowDxfId="29345"/>
    <tableColumn id="1947" xr3:uid="{D9C4D2A6-388C-4EA3-BEA9-5CA6F428895C}" name="Column1933" dataDxfId="29344" totalsRowDxfId="29343"/>
    <tableColumn id="1948" xr3:uid="{1C761AFE-2DC0-4C1C-906F-4F9EACA96900}" name="Column1934" dataDxfId="29342" totalsRowDxfId="29341"/>
    <tableColumn id="1949" xr3:uid="{8556D453-3279-40B3-8427-0EC404E430B6}" name="Column1935" dataDxfId="29340" totalsRowDxfId="29339"/>
    <tableColumn id="1950" xr3:uid="{393DE993-164D-41F0-B0F6-BF6D6506B663}" name="Column1936" dataDxfId="29338" totalsRowDxfId="29337"/>
    <tableColumn id="1951" xr3:uid="{63AE0B40-B58B-4372-8E12-571E62CFF4AA}" name="Column1937" dataDxfId="29336" totalsRowDxfId="29335"/>
    <tableColumn id="1952" xr3:uid="{E7C940AB-77D7-4612-B270-1C4FADD5ED38}" name="Column1938" dataDxfId="29334" totalsRowDxfId="29333"/>
    <tableColumn id="1953" xr3:uid="{AD2E473E-A3D1-4B38-A8EC-2B97F0E50647}" name="Column1939" dataDxfId="29332" totalsRowDxfId="29331"/>
    <tableColumn id="1954" xr3:uid="{E1A8ADE3-A5A5-4D44-A5A8-6DAC906CF6D6}" name="Column1940" dataDxfId="29330" totalsRowDxfId="29329"/>
    <tableColumn id="1955" xr3:uid="{52C7A4DD-7710-448B-A99D-17C5E2DA3419}" name="Column1941" dataDxfId="29328" totalsRowDxfId="29327"/>
    <tableColumn id="1956" xr3:uid="{1C267040-FCAB-44DC-AB12-AD204C00EE25}" name="Column1942" dataDxfId="29326" totalsRowDxfId="29325"/>
    <tableColumn id="1957" xr3:uid="{F3BD9A2E-D2BB-47DD-9575-501D3B3806AF}" name="Column1943" dataDxfId="29324" totalsRowDxfId="29323"/>
    <tableColumn id="1958" xr3:uid="{38484C8A-457D-4E84-8756-59CC1199D1D5}" name="Column1944" dataDxfId="29322" totalsRowDxfId="29321"/>
    <tableColumn id="1959" xr3:uid="{A99167B2-5483-4FD7-8435-FBB28BD79640}" name="Column1945" dataDxfId="29320" totalsRowDxfId="29319"/>
    <tableColumn id="1960" xr3:uid="{3C15D2D3-551C-47FD-A4EB-8628D82AE000}" name="Column1946" dataDxfId="29318" totalsRowDxfId="29317"/>
    <tableColumn id="1961" xr3:uid="{EEB4F299-0DAC-4013-922E-4B6EB71592A2}" name="Column1947" dataDxfId="29316" totalsRowDxfId="29315"/>
    <tableColumn id="1962" xr3:uid="{1E21EE11-E5A2-4A84-B387-80C5F2FF6E03}" name="Column1948" dataDxfId="29314" totalsRowDxfId="29313"/>
    <tableColumn id="1963" xr3:uid="{62954F40-2063-483F-95B2-ADD8DDD7133D}" name="Column1949" dataDxfId="29312" totalsRowDxfId="29311"/>
    <tableColumn id="1964" xr3:uid="{032968E6-2C4E-44F6-9D6E-A3367CF74CEB}" name="Column1950" dataDxfId="29310" totalsRowDxfId="29309"/>
    <tableColumn id="1965" xr3:uid="{5B82B3C5-0ACA-4326-B28B-B2BCD87EC8A5}" name="Column1951" dataDxfId="29308" totalsRowDxfId="29307"/>
    <tableColumn id="1966" xr3:uid="{A7D541A9-346F-434A-A14A-E6F29A842C89}" name="Column1952" dataDxfId="29306" totalsRowDxfId="29305"/>
    <tableColumn id="1967" xr3:uid="{4569EAD2-B9A9-4AFB-AF12-AA25F3C39CCA}" name="Column1953" dataDxfId="29304" totalsRowDxfId="29303"/>
    <tableColumn id="1968" xr3:uid="{5FB0D18F-8AB3-413B-873A-1106F6F4F399}" name="Column1954" dataDxfId="29302" totalsRowDxfId="29301"/>
    <tableColumn id="1969" xr3:uid="{8DD757F0-09E5-421E-94E3-15F3C0FCD477}" name="Column1955" dataDxfId="29300" totalsRowDxfId="29299"/>
    <tableColumn id="1970" xr3:uid="{7770B43E-6349-42C6-BD69-1A31D9583366}" name="Column1956" dataDxfId="29298" totalsRowDxfId="29297"/>
    <tableColumn id="1971" xr3:uid="{4C46ABC7-FD74-4AB4-A99C-3C0CA5DFAA2B}" name="Column1957" dataDxfId="29296" totalsRowDxfId="29295"/>
    <tableColumn id="1972" xr3:uid="{AEF2C486-A6C2-461A-B646-C03CF9FA9AFE}" name="Column1958" dataDxfId="29294" totalsRowDxfId="29293"/>
    <tableColumn id="1973" xr3:uid="{C08A8F6A-2400-4A7E-9926-03C68FA600C6}" name="Column1959" dataDxfId="29292" totalsRowDxfId="29291"/>
    <tableColumn id="1974" xr3:uid="{865141B5-F6AD-4A5E-8A00-B3BE57050F77}" name="Column1960" dataDxfId="29290" totalsRowDxfId="29289"/>
    <tableColumn id="1975" xr3:uid="{B39C2B82-D289-4958-A97B-0CAAED0CCED7}" name="Column1961" dataDxfId="29288" totalsRowDxfId="29287"/>
    <tableColumn id="1976" xr3:uid="{79AC2CA1-BDA2-4883-995B-981AA140D245}" name="Column1962" dataDxfId="29286" totalsRowDxfId="29285"/>
    <tableColumn id="1977" xr3:uid="{04DB4869-B998-46CE-93F3-6321FE363413}" name="Column1963" dataDxfId="29284" totalsRowDxfId="29283"/>
    <tableColumn id="1978" xr3:uid="{EB3A71BD-3486-407D-8321-A742F1C07F30}" name="Column1964" dataDxfId="29282" totalsRowDxfId="29281"/>
    <tableColumn id="1979" xr3:uid="{18378B25-1B24-41B1-8A17-3CF455E051E6}" name="Column1965" dataDxfId="29280" totalsRowDxfId="29279"/>
    <tableColumn id="1980" xr3:uid="{13E532E5-EB5A-424F-AC58-9E953666EF7F}" name="Column1966" dataDxfId="29278" totalsRowDxfId="29277"/>
    <tableColumn id="1981" xr3:uid="{04D1E16F-56AC-4ED2-AA70-9A45F1D2FE19}" name="Column1967" dataDxfId="29276" totalsRowDxfId="29275"/>
    <tableColumn id="1982" xr3:uid="{6A910A17-A026-4E0A-AAAA-AB71186837A7}" name="Column1968" dataDxfId="29274" totalsRowDxfId="29273"/>
    <tableColumn id="1983" xr3:uid="{599C8DBD-A395-4625-9891-081992BBF301}" name="Column1969" dataDxfId="29272" totalsRowDxfId="29271"/>
    <tableColumn id="1984" xr3:uid="{B6C4E08C-C77A-4F5C-87BE-8FFBDAB52DE8}" name="Column1970" dataDxfId="29270" totalsRowDxfId="29269"/>
    <tableColumn id="1985" xr3:uid="{01B64323-0D6A-4AD6-85A7-6B03BA1A95D5}" name="Column1971" dataDxfId="29268" totalsRowDxfId="29267"/>
    <tableColumn id="1986" xr3:uid="{7C35ECF5-B122-4A67-BD3B-A608EBE02C2C}" name="Column1972" dataDxfId="29266" totalsRowDxfId="29265"/>
    <tableColumn id="1987" xr3:uid="{4EBEAAB0-FCE5-4F57-A8EB-2E8419022761}" name="Column1973" dataDxfId="29264" totalsRowDxfId="29263"/>
    <tableColumn id="1988" xr3:uid="{352F332D-A9ED-404C-AB9A-0FB7D28881A0}" name="Column1974" dataDxfId="29262" totalsRowDxfId="29261"/>
    <tableColumn id="1989" xr3:uid="{4D2726B1-FBFD-4188-8AEB-87F4F147FE05}" name="Column1975" dataDxfId="29260" totalsRowDxfId="29259"/>
    <tableColumn id="1990" xr3:uid="{75B50F5B-BA18-4E81-9140-3B2408BD4BBC}" name="Column1976" dataDxfId="29258" totalsRowDxfId="29257"/>
    <tableColumn id="1991" xr3:uid="{0BB0C8C9-B903-4884-A8B1-697EEE907EAC}" name="Column1977" dataDxfId="29256" totalsRowDxfId="29255"/>
    <tableColumn id="1992" xr3:uid="{C94B0F8C-0043-498C-B2F8-8970B54D1C10}" name="Column1978" dataDxfId="29254" totalsRowDxfId="29253"/>
    <tableColumn id="1993" xr3:uid="{F0DD1A12-E403-4913-AF67-215798148847}" name="Column1979" dataDxfId="29252" totalsRowDxfId="29251"/>
    <tableColumn id="1994" xr3:uid="{3C2FAB81-8A35-4B7C-9ABC-1381111435E6}" name="Column1980" dataDxfId="29250" totalsRowDxfId="29249"/>
    <tableColumn id="1995" xr3:uid="{CBFF5C7F-E621-437C-B2EC-031E515847FD}" name="Column1981" dataDxfId="29248" totalsRowDxfId="29247"/>
    <tableColumn id="1996" xr3:uid="{EDEFB77A-F7CB-46F3-BB51-33207A40772D}" name="Column1982" dataDxfId="29246" totalsRowDxfId="29245"/>
    <tableColumn id="1997" xr3:uid="{C841CD3F-8916-4225-98D3-EC292A488736}" name="Column1983" dataDxfId="29244" totalsRowDxfId="29243"/>
    <tableColumn id="1998" xr3:uid="{1C6F9EDD-8626-4FEB-B3F2-9C39D768E378}" name="Column1984" dataDxfId="29242" totalsRowDxfId="29241"/>
    <tableColumn id="1999" xr3:uid="{BF6F02C2-A786-4773-B1C6-FFF34E3B37C9}" name="Column1985" dataDxfId="29240" totalsRowDxfId="29239"/>
    <tableColumn id="2000" xr3:uid="{6D1B7524-339D-4FFF-AAF9-B5F0CF61AB81}" name="Column1986" dataDxfId="29238" totalsRowDxfId="29237"/>
    <tableColumn id="2001" xr3:uid="{ED33A291-98EA-4ADD-AAFA-452B733C873D}" name="Column1987" dataDxfId="29236" totalsRowDxfId="29235"/>
    <tableColumn id="2002" xr3:uid="{DBC3D31E-D330-4F79-B725-80537597AD59}" name="Column1988" dataDxfId="29234" totalsRowDxfId="29233"/>
    <tableColumn id="2003" xr3:uid="{56336E0C-379E-4D75-A3C6-1F818FCDE3A7}" name="Column1989" dataDxfId="29232" totalsRowDxfId="29231"/>
    <tableColumn id="2004" xr3:uid="{2107DE3A-BDF3-497A-AE4C-C46E5029359D}" name="Column1990" dataDxfId="29230" totalsRowDxfId="29229"/>
    <tableColumn id="2005" xr3:uid="{AB8FAF91-3B24-43AC-BB27-D64D7A9637B5}" name="Column1991" dataDxfId="29228" totalsRowDxfId="29227"/>
    <tableColumn id="2006" xr3:uid="{4005EBDF-0CB0-4110-8109-FB2A5A1A9E75}" name="Column1992" dataDxfId="29226" totalsRowDxfId="29225"/>
    <tableColumn id="2007" xr3:uid="{9035E72B-A094-4D37-ADF5-373C48A6EC68}" name="Column1993" dataDxfId="29224" totalsRowDxfId="29223"/>
    <tableColumn id="2008" xr3:uid="{DD633EED-BA91-4BAC-982D-81996709612B}" name="Column1994" dataDxfId="29222" totalsRowDxfId="29221"/>
    <tableColumn id="2009" xr3:uid="{F960E323-DA49-4FCD-9186-3AF02B2FA142}" name="Column1995" dataDxfId="29220" totalsRowDxfId="29219"/>
    <tableColumn id="2010" xr3:uid="{6ECAF864-5AFC-47EF-986C-477FF2943FF2}" name="Column1996" dataDxfId="29218" totalsRowDxfId="29217"/>
    <tableColumn id="2011" xr3:uid="{B6D8F02D-CFC1-4588-9767-5AE6369AC068}" name="Column1997" dataDxfId="29216" totalsRowDxfId="29215"/>
    <tableColumn id="2012" xr3:uid="{8022A243-1414-4992-BB34-543838C5CB0A}" name="Column1998" dataDxfId="29214" totalsRowDxfId="29213"/>
    <tableColumn id="2013" xr3:uid="{03DC5896-B61A-497E-B1A5-BAB3D0E3D9A4}" name="Column1999" dataDxfId="29212" totalsRowDxfId="29211"/>
    <tableColumn id="2014" xr3:uid="{60034D32-F350-4E25-9E5A-C0230E5AEBE2}" name="Column2000" dataDxfId="29210" totalsRowDxfId="29209"/>
    <tableColumn id="2015" xr3:uid="{9A0CB2D4-0EFF-430B-9A36-E30509436470}" name="Column2001" dataDxfId="29208" totalsRowDxfId="29207"/>
    <tableColumn id="2016" xr3:uid="{E49CDFED-D931-4C73-8392-A16F7673527E}" name="Column2002" dataDxfId="29206" totalsRowDxfId="29205"/>
    <tableColumn id="2017" xr3:uid="{DC93C84C-DAED-432F-879F-927A934DAE92}" name="Column2003" dataDxfId="29204" totalsRowDxfId="29203"/>
    <tableColumn id="2018" xr3:uid="{1CEEED98-E740-4403-BF5D-309C50DB9A50}" name="Column2004" dataDxfId="29202" totalsRowDxfId="29201"/>
    <tableColumn id="2019" xr3:uid="{4F5CCAD4-089F-452D-A3FC-49032C4E724E}" name="Column2005" dataDxfId="29200" totalsRowDxfId="29199"/>
    <tableColumn id="2020" xr3:uid="{F0E63889-53E5-454E-97E9-42D8E4473C47}" name="Column2006" dataDxfId="29198" totalsRowDxfId="29197"/>
    <tableColumn id="2021" xr3:uid="{91AB1E22-DAF1-4814-809C-8ABAEF47B6A4}" name="Column2007" dataDxfId="29196" totalsRowDxfId="29195"/>
    <tableColumn id="2022" xr3:uid="{CC1A2FC0-A3BB-4207-9D1D-239F90E5B99E}" name="Column2008" dataDxfId="29194" totalsRowDxfId="29193"/>
    <tableColumn id="2023" xr3:uid="{274F2ADE-B381-4F73-BA85-D6071FCA595C}" name="Column2009" dataDxfId="29192" totalsRowDxfId="29191"/>
    <tableColumn id="2024" xr3:uid="{196EB03C-FEBD-4554-9074-5EB79B876C2A}" name="Column2010" dataDxfId="29190" totalsRowDxfId="29189"/>
    <tableColumn id="2025" xr3:uid="{B0E2B4FF-DCF8-4377-B3AE-099C3B401737}" name="Column2011" dataDxfId="29188" totalsRowDxfId="29187"/>
    <tableColumn id="2026" xr3:uid="{8E75D9A0-230F-48B3-BD9F-FEC05546FF44}" name="Column2012" dataDxfId="29186" totalsRowDxfId="29185"/>
    <tableColumn id="2027" xr3:uid="{D66AE29F-8C9B-4F71-8716-5EC22F74F37B}" name="Column2013" dataDxfId="29184" totalsRowDxfId="29183"/>
    <tableColumn id="2028" xr3:uid="{6EDCD876-B02A-4E8E-8C54-C57A81F35691}" name="Column2014" dataDxfId="29182" totalsRowDxfId="29181"/>
    <tableColumn id="2029" xr3:uid="{192CFB6E-26EB-4120-B4EA-0C99E00C027B}" name="Column2015" dataDxfId="29180" totalsRowDxfId="29179"/>
    <tableColumn id="2030" xr3:uid="{0DA97F4C-173C-4040-A008-6CC97247BE6F}" name="Column2016" dataDxfId="29178" totalsRowDxfId="29177"/>
    <tableColumn id="2031" xr3:uid="{032C2685-7678-413E-9DC0-1B04C1323AEF}" name="Column2017" dataDxfId="29176" totalsRowDxfId="29175"/>
    <tableColumn id="2032" xr3:uid="{C5478E87-DD26-4791-8A6E-0A98B8C9456B}" name="Column2018" dataDxfId="29174" totalsRowDxfId="29173"/>
    <tableColumn id="2033" xr3:uid="{18D4143E-1277-46BB-A9A8-A6C26F6A617B}" name="Column2019" dataDxfId="29172" totalsRowDxfId="29171"/>
    <tableColumn id="2034" xr3:uid="{E7133699-5970-4D68-8472-C62CC46CBD8A}" name="Column2020" dataDxfId="29170" totalsRowDxfId="29169"/>
    <tableColumn id="2035" xr3:uid="{51C9FA9F-7281-44BE-808E-78DEB2788178}" name="Column2021" dataDxfId="29168" totalsRowDxfId="29167"/>
    <tableColumn id="2036" xr3:uid="{1657C0DC-80ED-48DD-BFE2-F1CB9213F740}" name="Column2022" dataDxfId="29166" totalsRowDxfId="29165"/>
    <tableColumn id="2037" xr3:uid="{16346A15-C1A8-4924-B9EC-410BD7DE2422}" name="Column2023" dataDxfId="29164" totalsRowDxfId="29163"/>
    <tableColumn id="2038" xr3:uid="{12D6BBAE-72B2-4DE0-8761-1E90BD09DBCE}" name="Column2024" dataDxfId="29162" totalsRowDxfId="29161"/>
    <tableColumn id="2039" xr3:uid="{70EB5E3D-3520-4FB7-AD86-62602BAE2974}" name="Column2025" dataDxfId="29160" totalsRowDxfId="29159"/>
    <tableColumn id="2040" xr3:uid="{CD79F7BD-134B-40B0-9E44-1CC48E15BEEB}" name="Column2026" dataDxfId="29158" totalsRowDxfId="29157"/>
    <tableColumn id="2041" xr3:uid="{4533FD76-EA1D-4D32-A284-592A5E2EFD2D}" name="Column2027" dataDxfId="29156" totalsRowDxfId="29155"/>
    <tableColumn id="2042" xr3:uid="{C706CD11-6986-4EA5-819B-F7301E860272}" name="Column2028" dataDxfId="29154" totalsRowDxfId="29153"/>
    <tableColumn id="2043" xr3:uid="{494E7264-C23E-45B5-9888-2890EE34C5EF}" name="Column2029" dataDxfId="29152" totalsRowDxfId="29151"/>
    <tableColumn id="2044" xr3:uid="{E0AD44FD-6AEC-4274-BD2D-AFD1B5062AA3}" name="Column2030" dataDxfId="29150" totalsRowDxfId="29149"/>
    <tableColumn id="2045" xr3:uid="{AA244E1A-7C30-49E5-A6D0-0FFA3FEDA86B}" name="Column2031" dataDxfId="29148" totalsRowDxfId="29147"/>
    <tableColumn id="2046" xr3:uid="{6258CCE0-CB37-4A4E-9B43-A934759F73F9}" name="Column2032" dataDxfId="29146" totalsRowDxfId="29145"/>
    <tableColumn id="2047" xr3:uid="{8EFD510A-A60C-40D4-9059-0058A1203015}" name="Column2033" dataDxfId="29144" totalsRowDxfId="29143"/>
    <tableColumn id="2048" xr3:uid="{CCFCAF44-2CAA-44A9-86EB-A8D127E94463}" name="Column2034" dataDxfId="29142" totalsRowDxfId="29141"/>
    <tableColumn id="2049" xr3:uid="{8667EA7B-0585-41BC-8F72-84B1C3D41047}" name="Column2035" dataDxfId="29140" totalsRowDxfId="29139"/>
    <tableColumn id="2050" xr3:uid="{87065579-D772-47E2-8664-97D6D4E378D1}" name="Column2036" dataDxfId="29138" totalsRowDxfId="29137"/>
    <tableColumn id="2051" xr3:uid="{14A03CCC-E238-4AD1-B996-8467479ECCC9}" name="Column2037" dataDxfId="29136" totalsRowDxfId="29135"/>
    <tableColumn id="2052" xr3:uid="{008B8373-2810-43A5-B721-AF7AE1D7A161}" name="Column2038" dataDxfId="29134" totalsRowDxfId="29133"/>
    <tableColumn id="2053" xr3:uid="{525C0777-EC23-4E8B-80B4-C5D06CF11001}" name="Column2039" dataDxfId="29132" totalsRowDxfId="29131"/>
    <tableColumn id="2054" xr3:uid="{DF36B2AE-51DE-44DA-9B28-59ABF6E41679}" name="Column2040" dataDxfId="29130" totalsRowDxfId="29129"/>
    <tableColumn id="2055" xr3:uid="{5A0A36CD-E36B-4C5C-AB6A-7F32FE603C1A}" name="Column2041" dataDxfId="29128" totalsRowDxfId="29127"/>
    <tableColumn id="2056" xr3:uid="{0A0A9780-B8A3-416E-84D5-56AF8669D339}" name="Column2042" dataDxfId="29126" totalsRowDxfId="29125"/>
    <tableColumn id="2057" xr3:uid="{8B651384-4EF4-4906-BCF3-8B893006B70A}" name="Column2043" dataDxfId="29124" totalsRowDxfId="29123"/>
    <tableColumn id="2058" xr3:uid="{4E04C53A-7453-4ED5-B553-78802BF7B971}" name="Column2044" dataDxfId="29122" totalsRowDxfId="29121"/>
    <tableColumn id="2059" xr3:uid="{A4953DA1-DDC0-4D6A-B092-BDFF7704666F}" name="Column2045" dataDxfId="29120" totalsRowDxfId="29119"/>
    <tableColumn id="2060" xr3:uid="{CB05D006-102B-499D-AED0-A4696B44D454}" name="Column2046" dataDxfId="29118" totalsRowDxfId="29117"/>
    <tableColumn id="2061" xr3:uid="{4C9DEC35-749C-45A2-A730-FDF254BA70E2}" name="Column2047" dataDxfId="29116" totalsRowDxfId="29115"/>
    <tableColumn id="2062" xr3:uid="{2D7F6E8C-2FB7-463A-823F-5D9BEEAB7C77}" name="Column2048" dataDxfId="29114" totalsRowDxfId="29113"/>
    <tableColumn id="2063" xr3:uid="{F13FD396-3E8B-471E-A845-A87394D1FC64}" name="Column2049" dataDxfId="29112" totalsRowDxfId="29111"/>
    <tableColumn id="2064" xr3:uid="{93ED0DEC-AD7C-48A7-98E1-F6FF4D1631EF}" name="Column2050" dataDxfId="29110" totalsRowDxfId="29109"/>
    <tableColumn id="2065" xr3:uid="{1ED0194F-AE2C-4CE6-A9D6-BBEDED2162A1}" name="Column2051" dataDxfId="29108" totalsRowDxfId="29107"/>
    <tableColumn id="2066" xr3:uid="{9D1920D2-1D10-4CF6-B110-EA2DA4D93149}" name="Column2052" dataDxfId="29106" totalsRowDxfId="29105"/>
    <tableColumn id="2067" xr3:uid="{44B350B0-41CF-41E6-B33D-07A0F35C8190}" name="Column2053" dataDxfId="29104" totalsRowDxfId="29103"/>
    <tableColumn id="2068" xr3:uid="{2AF58A37-E7D0-4B98-AF2D-A5F4259F5A55}" name="Column2054" dataDxfId="29102" totalsRowDxfId="29101"/>
    <tableColumn id="2069" xr3:uid="{9D14402F-553C-4798-BAEB-88191E6052E8}" name="Column2055" dataDxfId="29100" totalsRowDxfId="29099"/>
    <tableColumn id="2070" xr3:uid="{5107446F-E732-428A-BD3C-6BDFE88F14B9}" name="Column2056" dataDxfId="29098" totalsRowDxfId="29097"/>
    <tableColumn id="2071" xr3:uid="{19878E0B-EB0F-476E-85BE-28D7E96E0CA5}" name="Column2057" dataDxfId="29096" totalsRowDxfId="29095"/>
    <tableColumn id="2072" xr3:uid="{09B6A910-12E5-4647-90B2-D19FFC2D07B6}" name="Column2058" dataDxfId="29094" totalsRowDxfId="29093"/>
    <tableColumn id="2073" xr3:uid="{C1898F18-618B-4F6D-A586-254D74395753}" name="Column2059" dataDxfId="29092" totalsRowDxfId="29091"/>
    <tableColumn id="2074" xr3:uid="{F7FEDEA0-C796-4163-A19B-5AB30D558649}" name="Column2060" dataDxfId="29090" totalsRowDxfId="29089"/>
    <tableColumn id="2075" xr3:uid="{BD48813C-8F74-46F7-809B-3E200C69F09D}" name="Column2061" dataDxfId="29088" totalsRowDxfId="29087"/>
    <tableColumn id="2076" xr3:uid="{2709FB86-CEDC-4905-8021-31EFF9463DC1}" name="Column2062" dataDxfId="29086" totalsRowDxfId="29085"/>
    <tableColumn id="2077" xr3:uid="{E3F15837-BAA5-4DCB-AD78-693A68BAB4D0}" name="Column2063" dataDxfId="29084" totalsRowDxfId="29083"/>
    <tableColumn id="2078" xr3:uid="{F814A5D7-986E-43B7-9F97-9600912E5785}" name="Column2064" dataDxfId="29082" totalsRowDxfId="29081"/>
    <tableColumn id="2079" xr3:uid="{F2125581-682B-4B3D-994D-C4A38DEF2F86}" name="Column2065" dataDxfId="29080" totalsRowDxfId="29079"/>
    <tableColumn id="2080" xr3:uid="{ADF890FB-5EB1-468B-A529-62EE6ACC86FF}" name="Column2066" dataDxfId="29078" totalsRowDxfId="29077"/>
    <tableColumn id="2081" xr3:uid="{BE57130B-A7FE-41D2-9789-F25731EB3D82}" name="Column2067" dataDxfId="29076" totalsRowDxfId="29075"/>
    <tableColumn id="2082" xr3:uid="{0CB0B57F-C17F-424F-8C25-0B7589E343F1}" name="Column2068" dataDxfId="29074" totalsRowDxfId="29073"/>
    <tableColumn id="2083" xr3:uid="{0152FDDF-94BA-4C8A-AA1B-C092DC42C187}" name="Column2069" dataDxfId="29072" totalsRowDxfId="29071"/>
    <tableColumn id="2084" xr3:uid="{8C438664-3ABE-4841-8092-38F88046EDA9}" name="Column2070" dataDxfId="29070" totalsRowDxfId="29069"/>
    <tableColumn id="2085" xr3:uid="{C6F0CE07-0524-4A82-B75D-EF475D3160CA}" name="Column2071" dataDxfId="29068" totalsRowDxfId="29067"/>
    <tableColumn id="2086" xr3:uid="{89D319C4-AC9C-4A09-8472-C0FA6F5F419D}" name="Column2072" dataDxfId="29066" totalsRowDxfId="29065"/>
    <tableColumn id="2087" xr3:uid="{F264FA50-230A-42CB-A9F8-B70F9B2E3A70}" name="Column2073" dataDxfId="29064" totalsRowDxfId="29063"/>
    <tableColumn id="2088" xr3:uid="{BE7B9A1F-6161-4941-9B01-1F14CE1854CB}" name="Column2074" dataDxfId="29062" totalsRowDxfId="29061"/>
    <tableColumn id="2089" xr3:uid="{E4F3A7F3-D76D-47C0-AE89-B1C4AF08D377}" name="Column2075" dataDxfId="29060" totalsRowDxfId="29059"/>
    <tableColumn id="2090" xr3:uid="{8F79AEF3-7D61-4A9A-8883-DE2FD8A3EE70}" name="Column2076" dataDxfId="29058" totalsRowDxfId="29057"/>
    <tableColumn id="2091" xr3:uid="{C6BD15EA-2A75-41F5-BFB8-708E07973402}" name="Column2077" dataDxfId="29056" totalsRowDxfId="29055"/>
    <tableColumn id="2092" xr3:uid="{7B145017-F706-4889-88BD-37BCFDE07560}" name="Column2078" dataDxfId="29054" totalsRowDxfId="29053"/>
    <tableColumn id="2093" xr3:uid="{18B9FD4B-B4A6-4719-A3A7-BD42E70EEE10}" name="Column2079" dataDxfId="29052" totalsRowDxfId="29051"/>
    <tableColumn id="2094" xr3:uid="{BB4E40AA-95D0-4411-9C10-5ED7501773FC}" name="Column2080" dataDxfId="29050" totalsRowDxfId="29049"/>
    <tableColumn id="2095" xr3:uid="{EB6EDEF3-FC0D-4AF5-B823-B6BD1F012798}" name="Column2081" dataDxfId="29048" totalsRowDxfId="29047"/>
    <tableColumn id="2096" xr3:uid="{9D6EE0C1-811F-4C37-8B13-9214175AD7CA}" name="Column2082" dataDxfId="29046" totalsRowDxfId="29045"/>
    <tableColumn id="2097" xr3:uid="{8829562D-F685-4D86-99FB-FAD269D442F6}" name="Column2083" dataDxfId="29044" totalsRowDxfId="29043"/>
    <tableColumn id="2098" xr3:uid="{AB24E62F-BC27-48C0-B172-1553331EC928}" name="Column2084" dataDxfId="29042" totalsRowDxfId="29041"/>
    <tableColumn id="2099" xr3:uid="{82DA0CA9-8897-497E-A748-7BE847BC607A}" name="Column2085" dataDxfId="29040" totalsRowDxfId="29039"/>
    <tableColumn id="2100" xr3:uid="{F8760C01-03AE-488A-B522-55D44F7EF881}" name="Column2086" dataDxfId="29038" totalsRowDxfId="29037"/>
    <tableColumn id="2101" xr3:uid="{DC9F44F4-72E1-4AF4-9A96-F3DDC9B5E8DD}" name="Column2087" dataDxfId="29036" totalsRowDxfId="29035"/>
    <tableColumn id="2102" xr3:uid="{1224744E-2D88-4D20-B3C8-B287DDD939B0}" name="Column2088" dataDxfId="29034" totalsRowDxfId="29033"/>
    <tableColumn id="2103" xr3:uid="{BF844B6E-FD56-476C-B6DD-B61981A8D5A0}" name="Column2089" dataDxfId="29032" totalsRowDxfId="29031"/>
    <tableColumn id="2104" xr3:uid="{74D848A0-0FC6-4784-828B-01EB40A70E3B}" name="Column2090" dataDxfId="29030" totalsRowDxfId="29029"/>
    <tableColumn id="2105" xr3:uid="{7DD863EB-C275-47DB-A43D-A8F4AD13FD14}" name="Column2091" dataDxfId="29028" totalsRowDxfId="29027"/>
    <tableColumn id="2106" xr3:uid="{B8EA1EE9-FFE6-4943-9C1C-E7BEA3EC1322}" name="Column2092" dataDxfId="29026" totalsRowDxfId="29025"/>
    <tableColumn id="2107" xr3:uid="{E96AADCB-F177-4267-A1E2-618CA76E63CB}" name="Column2093" dataDxfId="29024" totalsRowDxfId="29023"/>
    <tableColumn id="2108" xr3:uid="{DB49A139-817D-48E8-B14A-A60F60F62E2E}" name="Column2094" dataDxfId="29022" totalsRowDxfId="29021"/>
    <tableColumn id="2109" xr3:uid="{AF31C225-2B1A-40A8-93A7-92E94CF20814}" name="Column2095" dataDxfId="29020" totalsRowDxfId="29019"/>
    <tableColumn id="2110" xr3:uid="{86C992B1-F15B-4348-A098-F44F2371BD79}" name="Column2096" dataDxfId="29018" totalsRowDxfId="29017"/>
    <tableColumn id="2111" xr3:uid="{DB473135-05D3-4C4D-A930-25A3849FCE77}" name="Column2097" dataDxfId="29016" totalsRowDxfId="29015"/>
    <tableColumn id="2112" xr3:uid="{A7611402-0596-44AF-BA1E-00B4EF96683C}" name="Column2098" dataDxfId="29014" totalsRowDxfId="29013"/>
    <tableColumn id="2113" xr3:uid="{2BAA1CB0-B120-4097-B8C4-E8C55AF522DC}" name="Column2099" dataDxfId="29012" totalsRowDxfId="29011"/>
    <tableColumn id="2114" xr3:uid="{60275F3B-995E-4E02-99F2-BB0A41C5D707}" name="Column2100" dataDxfId="29010" totalsRowDxfId="29009"/>
    <tableColumn id="2115" xr3:uid="{B815A6C8-4CE2-45ED-83A4-53750E07FA09}" name="Column2101" dataDxfId="29008" totalsRowDxfId="29007"/>
    <tableColumn id="2116" xr3:uid="{1CDE4240-6A2D-42C3-9FBB-2D3ACB2A0128}" name="Column2102" dataDxfId="29006" totalsRowDxfId="29005"/>
    <tableColumn id="2117" xr3:uid="{688B15D7-251F-411C-BD89-E9F9E42BBEFC}" name="Column2103" dataDxfId="29004" totalsRowDxfId="29003"/>
    <tableColumn id="2118" xr3:uid="{4BC15B8B-D1D5-4918-A881-F616F809A3B0}" name="Column2104" dataDxfId="29002" totalsRowDxfId="29001"/>
    <tableColumn id="2119" xr3:uid="{9EBB78BD-27F5-41F4-9E7F-9F9647E3A500}" name="Column2105" dataDxfId="29000" totalsRowDxfId="28999"/>
    <tableColumn id="2120" xr3:uid="{6F56A624-C976-49B7-AD90-B2D83856F155}" name="Column2106" dataDxfId="28998" totalsRowDxfId="28997"/>
    <tableColumn id="2121" xr3:uid="{9218ABBF-33AD-47F4-980B-64243B939610}" name="Column2107" dataDxfId="28996" totalsRowDxfId="28995"/>
    <tableColumn id="2122" xr3:uid="{29373425-B768-4178-9A23-28DD0F0D1C63}" name="Column2108" dataDxfId="28994" totalsRowDxfId="28993"/>
    <tableColumn id="2123" xr3:uid="{14D4688A-DC2F-46F9-9872-7F6125C3CB25}" name="Column2109" dataDxfId="28992" totalsRowDxfId="28991"/>
    <tableColumn id="2124" xr3:uid="{272C1E7F-BCA7-4F78-91F0-9FBE5607F556}" name="Column2110" dataDxfId="28990" totalsRowDxfId="28989"/>
    <tableColumn id="2125" xr3:uid="{8EC87052-3161-47B1-821B-9776ABDA7D2D}" name="Column2111" dataDxfId="28988" totalsRowDxfId="28987"/>
    <tableColumn id="2126" xr3:uid="{C895A26B-1145-43DC-9541-70BC185403FC}" name="Column2112" dataDxfId="28986" totalsRowDxfId="28985"/>
    <tableColumn id="2127" xr3:uid="{B86309D9-3DB0-48BA-972A-B687CEF309BE}" name="Column2113" dataDxfId="28984" totalsRowDxfId="28983"/>
    <tableColumn id="2128" xr3:uid="{449D45D2-19C1-4C5B-B086-6027E56A6D8B}" name="Column2114" dataDxfId="28982" totalsRowDxfId="28981"/>
    <tableColumn id="2129" xr3:uid="{7C2759DE-67BD-4CBC-A278-BDC7659A4D7B}" name="Column2115" dataDxfId="28980" totalsRowDxfId="28979"/>
    <tableColumn id="2130" xr3:uid="{451843E3-478E-48C2-A771-0BB25CE9A7AF}" name="Column2116" dataDxfId="28978" totalsRowDxfId="28977"/>
    <tableColumn id="2131" xr3:uid="{DC7DA97E-CB15-4B65-893E-236DA5B8F0EC}" name="Column2117" dataDxfId="28976" totalsRowDxfId="28975"/>
    <tableColumn id="2132" xr3:uid="{8717F5F0-70D2-43DA-ADF4-94588F5FBA05}" name="Column2118" dataDxfId="28974" totalsRowDxfId="28973"/>
    <tableColumn id="2133" xr3:uid="{D30565D9-B43C-44E2-AA6C-47613041C570}" name="Column2119" dataDxfId="28972" totalsRowDxfId="28971"/>
    <tableColumn id="2134" xr3:uid="{A65C6281-BFAF-4EE8-8E39-8BE5C35F3333}" name="Column2120" dataDxfId="28970" totalsRowDxfId="28969"/>
    <tableColumn id="2135" xr3:uid="{EC0E42A3-E8F3-4E5C-9AF7-28436C960BAC}" name="Column2121" dataDxfId="28968" totalsRowDxfId="28967"/>
    <tableColumn id="2136" xr3:uid="{75A218BB-84B9-4454-85EF-A4390077D776}" name="Column2122" dataDxfId="28966" totalsRowDxfId="28965"/>
    <tableColumn id="2137" xr3:uid="{E8E225F5-8BE4-497F-832C-FCA3FD22049F}" name="Column2123" dataDxfId="28964" totalsRowDxfId="28963"/>
    <tableColumn id="2138" xr3:uid="{AA57EAA9-4C3B-4BED-9930-CF6EAE9FB34D}" name="Column2124" dataDxfId="28962" totalsRowDxfId="28961"/>
    <tableColumn id="2139" xr3:uid="{2900DCFC-87C9-4512-B46B-E60446B2203C}" name="Column2125" dataDxfId="28960" totalsRowDxfId="28959"/>
    <tableColumn id="2140" xr3:uid="{3BD091AA-E1ED-4925-886F-1C70F7A1731E}" name="Column2126" dataDxfId="28958" totalsRowDxfId="28957"/>
    <tableColumn id="2141" xr3:uid="{A82D243B-F9E6-4FD0-AF43-BCE213C1DF65}" name="Column2127" dataDxfId="28956" totalsRowDxfId="28955"/>
    <tableColumn id="2142" xr3:uid="{3479CC3C-09D2-44B9-B62E-7C24934D1686}" name="Column2128" dataDxfId="28954" totalsRowDxfId="28953"/>
    <tableColumn id="2143" xr3:uid="{76E4FBD3-C062-4957-977B-4FE9CCEA8154}" name="Column2129" dataDxfId="28952" totalsRowDxfId="28951"/>
    <tableColumn id="2144" xr3:uid="{F7BAD3AA-E656-4E73-A73B-66E7B7BABDC3}" name="Column2130" dataDxfId="28950" totalsRowDxfId="28949"/>
    <tableColumn id="2145" xr3:uid="{90A2D7D2-1961-4112-9E5D-BC4FCF550E50}" name="Column2131" dataDxfId="28948" totalsRowDxfId="28947"/>
    <tableColumn id="2146" xr3:uid="{E14282B4-8B78-474B-9730-2505288C1AF1}" name="Column2132" dataDxfId="28946" totalsRowDxfId="28945"/>
    <tableColumn id="2147" xr3:uid="{249E1B94-B2C5-4955-B57B-CAD30CA410E7}" name="Column2133" dataDxfId="28944" totalsRowDxfId="28943"/>
    <tableColumn id="2148" xr3:uid="{310F21FB-8B91-4CE7-98E5-E254FFD24D4F}" name="Column2134" dataDxfId="28942" totalsRowDxfId="28941"/>
    <tableColumn id="2149" xr3:uid="{820F1727-7110-4AFF-B6A5-F319C1630677}" name="Column2135" dataDxfId="28940" totalsRowDxfId="28939"/>
    <tableColumn id="2150" xr3:uid="{34ABF645-C876-410E-8B7C-2CF94AECBAFC}" name="Column2136" dataDxfId="28938" totalsRowDxfId="28937"/>
    <tableColumn id="2151" xr3:uid="{4BD3831A-8B1C-4000-BBD3-F1D8D7114C18}" name="Column2137" dataDxfId="28936" totalsRowDxfId="28935"/>
    <tableColumn id="2152" xr3:uid="{717562FA-205A-4E8C-AE39-2FE5D3A21EF3}" name="Column2138" dataDxfId="28934" totalsRowDxfId="28933"/>
    <tableColumn id="2153" xr3:uid="{53C60D31-9D45-43B1-927F-EB4E1DDA3605}" name="Column2139" dataDxfId="28932" totalsRowDxfId="28931"/>
    <tableColumn id="2154" xr3:uid="{BD71673E-2177-409D-B192-70ABB00D013D}" name="Column2140" dataDxfId="28930" totalsRowDxfId="28929"/>
    <tableColumn id="2155" xr3:uid="{5584FBB9-1E82-4908-B562-B874DEA42E1A}" name="Column2141" dataDxfId="28928" totalsRowDxfId="28927"/>
    <tableColumn id="2156" xr3:uid="{24DB5A7B-32E7-47E7-9870-5279A7404E9E}" name="Column2142" dataDxfId="28926" totalsRowDxfId="28925"/>
    <tableColumn id="2157" xr3:uid="{A8D23299-A576-49FC-B5CA-C33BEF35AFB9}" name="Column2143" dataDxfId="28924" totalsRowDxfId="28923"/>
    <tableColumn id="2158" xr3:uid="{BCFF8016-1B81-4C3E-804C-F4D354F98B72}" name="Column2144" dataDxfId="28922" totalsRowDxfId="28921"/>
    <tableColumn id="2159" xr3:uid="{EB051EFA-4D97-449B-A755-2BA9913717B4}" name="Column2145" dataDxfId="28920" totalsRowDxfId="28919"/>
    <tableColumn id="2160" xr3:uid="{ECFE63C6-6D1B-4F15-AD6E-57B9D4901FFA}" name="Column2146" dataDxfId="28918" totalsRowDxfId="28917"/>
    <tableColumn id="2161" xr3:uid="{7190DF79-479D-432E-B406-6C26615F3E7A}" name="Column2147" dataDxfId="28916" totalsRowDxfId="28915"/>
    <tableColumn id="2162" xr3:uid="{75592B8D-8247-421F-BC92-2A0431750466}" name="Column2148" dataDxfId="28914" totalsRowDxfId="28913"/>
    <tableColumn id="2163" xr3:uid="{6D5CC51E-3F25-4969-B2E1-DBBC911104F8}" name="Column2149" dataDxfId="28912" totalsRowDxfId="28911"/>
    <tableColumn id="2164" xr3:uid="{1D268605-12C4-4CC0-B8D9-6AEB040A4451}" name="Column2150" dataDxfId="28910" totalsRowDxfId="28909"/>
    <tableColumn id="2165" xr3:uid="{71E76EDD-AEBE-4DA6-9408-4D814D865946}" name="Column2151" dataDxfId="28908" totalsRowDxfId="28907"/>
    <tableColumn id="2166" xr3:uid="{CC570875-24BE-497C-BA5A-D0F55C7F46E3}" name="Column2152" dataDxfId="28906" totalsRowDxfId="28905"/>
    <tableColumn id="2167" xr3:uid="{537279A5-A1FB-44A1-A047-22287CAC470E}" name="Column2153" dataDxfId="28904" totalsRowDxfId="28903"/>
    <tableColumn id="2168" xr3:uid="{0FBDD55D-2B2A-4689-BBBF-6761925CED1C}" name="Column2154" dataDxfId="28902" totalsRowDxfId="28901"/>
    <tableColumn id="2169" xr3:uid="{9AD01CE6-0A10-4C94-8248-4999934C6BFC}" name="Column2155" dataDxfId="28900" totalsRowDxfId="28899"/>
    <tableColumn id="2170" xr3:uid="{27470DAF-02AB-4E16-8B4F-D6583ED4EA9E}" name="Column2156" dataDxfId="28898" totalsRowDxfId="28897"/>
    <tableColumn id="2171" xr3:uid="{0A8221EC-323D-4547-BCC4-F091BE2A2B3C}" name="Column2157" dataDxfId="28896" totalsRowDxfId="28895"/>
    <tableColumn id="2172" xr3:uid="{C3DC5CFA-9253-4E6E-97B9-05B24AE9422E}" name="Column2158" dataDxfId="28894" totalsRowDxfId="28893"/>
    <tableColumn id="2173" xr3:uid="{BACE4FD1-5EE9-4C5D-B5F9-D837C2159A70}" name="Column2159" dataDxfId="28892" totalsRowDxfId="28891"/>
    <tableColumn id="2174" xr3:uid="{D6D8B160-4133-42CD-A15A-A9831088CDAE}" name="Column2160" dataDxfId="28890" totalsRowDxfId="28889"/>
    <tableColumn id="2175" xr3:uid="{5E2D05AA-FFBB-4082-BF1A-786EB3696486}" name="Column2161" dataDxfId="28888" totalsRowDxfId="28887"/>
    <tableColumn id="2176" xr3:uid="{461AE8F6-A2F6-47AF-B21F-8A5717969768}" name="Column2162" dataDxfId="28886" totalsRowDxfId="28885"/>
    <tableColumn id="2177" xr3:uid="{9029430E-A07C-40BA-955F-B898D3AF1ABC}" name="Column2163" dataDxfId="28884" totalsRowDxfId="28883"/>
    <tableColumn id="2178" xr3:uid="{4FE21D63-8BC9-41AA-A765-DB6C57FC11F4}" name="Column2164" dataDxfId="28882" totalsRowDxfId="28881"/>
    <tableColumn id="2179" xr3:uid="{72A0E8F1-EBD3-4A20-AF57-CAA69E1E0464}" name="Column2165" dataDxfId="28880" totalsRowDxfId="28879"/>
    <tableColumn id="2180" xr3:uid="{18C58706-4E6C-40F0-8BCA-7952A767BB5D}" name="Column2166" dataDxfId="28878" totalsRowDxfId="28877"/>
    <tableColumn id="2181" xr3:uid="{23D756B3-C2C3-40D8-B34D-3CEAEAF01B26}" name="Column2167" dataDxfId="28876" totalsRowDxfId="28875"/>
    <tableColumn id="2182" xr3:uid="{907D692E-BC84-4574-AFA3-73C2EB63A969}" name="Column2168" dataDxfId="28874" totalsRowDxfId="28873"/>
    <tableColumn id="2183" xr3:uid="{46ECA633-5873-422E-847D-90EA6CA97F9B}" name="Column2169" dataDxfId="28872" totalsRowDxfId="28871"/>
    <tableColumn id="2184" xr3:uid="{A8788E2F-8412-401A-BCD2-836D4EE045AC}" name="Column2170" dataDxfId="28870" totalsRowDxfId="28869"/>
    <tableColumn id="2185" xr3:uid="{F1AD9F59-3569-4314-9CF4-ECEE0F6778AA}" name="Column2171" dataDxfId="28868" totalsRowDxfId="28867"/>
    <tableColumn id="2186" xr3:uid="{B8C9916F-D0BD-4CD7-BE55-5D4CBF272C81}" name="Column2172" dataDxfId="28866" totalsRowDxfId="28865"/>
    <tableColumn id="2187" xr3:uid="{6029CA2B-CC91-4C39-AF54-1920AB26B1F2}" name="Column2173" dataDxfId="28864" totalsRowDxfId="28863"/>
    <tableColumn id="2188" xr3:uid="{B26CAD12-2688-4794-B689-ACD286316062}" name="Column2174" dataDxfId="28862" totalsRowDxfId="28861"/>
    <tableColumn id="2189" xr3:uid="{83705873-7FA0-44CE-B464-2BACBB6F6671}" name="Column2175" dataDxfId="28860" totalsRowDxfId="28859"/>
    <tableColumn id="2190" xr3:uid="{D2F5264C-D527-400D-94F4-933B98D19497}" name="Column2176" dataDxfId="28858" totalsRowDxfId="28857"/>
    <tableColumn id="2191" xr3:uid="{B6FEB54B-CA6A-4EFB-87EF-FB4E1157F0F9}" name="Column2177" dataDxfId="28856" totalsRowDxfId="28855"/>
    <tableColumn id="2192" xr3:uid="{F61C587D-EE5D-4E70-828C-05B4F795FFA8}" name="Column2178" dataDxfId="28854" totalsRowDxfId="28853"/>
    <tableColumn id="2193" xr3:uid="{C6A58008-E8AD-4C76-9DB7-ADCE0F87BEF1}" name="Column2179" dataDxfId="28852" totalsRowDxfId="28851"/>
    <tableColumn id="2194" xr3:uid="{3885E117-DFAC-47B9-BF35-04164A546463}" name="Column2180" dataDxfId="28850" totalsRowDxfId="28849"/>
    <tableColumn id="2195" xr3:uid="{988BAB70-2F63-4FFE-966B-22DB972C535A}" name="Column2181" dataDxfId="28848" totalsRowDxfId="28847"/>
    <tableColumn id="2196" xr3:uid="{00AEA34D-0F1E-49C8-A090-18336503C87A}" name="Column2182" dataDxfId="28846" totalsRowDxfId="28845"/>
    <tableColumn id="2197" xr3:uid="{60A6CDC8-1406-4C94-A14E-E6295D3D7B37}" name="Column2183" dataDxfId="28844" totalsRowDxfId="28843"/>
    <tableColumn id="2198" xr3:uid="{A0C16C76-4CE5-441A-85EA-3A49BCE5B564}" name="Column2184" dataDxfId="28842" totalsRowDxfId="28841"/>
    <tableColumn id="2199" xr3:uid="{BBFE80A8-00BA-48DD-AB07-C8F022D5B07C}" name="Column2185" dataDxfId="28840" totalsRowDxfId="28839"/>
    <tableColumn id="2200" xr3:uid="{D8E34C32-EF39-4EA9-9DF3-3B1873181601}" name="Column2186" dataDxfId="28838" totalsRowDxfId="28837"/>
    <tableColumn id="2201" xr3:uid="{8270176C-3B4E-4686-88ED-96FEDDAE13D1}" name="Column2187" dataDxfId="28836" totalsRowDxfId="28835"/>
    <tableColumn id="2202" xr3:uid="{B7699E64-C4FD-4B8D-A36F-B2CC44C17950}" name="Column2188" dataDxfId="28834" totalsRowDxfId="28833"/>
    <tableColumn id="2203" xr3:uid="{53580C84-BEDB-4046-A920-23DA1E8E510A}" name="Column2189" dataDxfId="28832" totalsRowDxfId="28831"/>
    <tableColumn id="2204" xr3:uid="{A492EE87-B398-4D89-9B39-ABCC065CFD50}" name="Column2190" dataDxfId="28830" totalsRowDxfId="28829"/>
    <tableColumn id="2205" xr3:uid="{F14205B3-6B21-4629-999B-03FE116B25D2}" name="Column2191" dataDxfId="28828" totalsRowDxfId="28827"/>
    <tableColumn id="2206" xr3:uid="{AAC8E27E-D16A-49AF-ADF7-7C6870BE25EA}" name="Column2192" dataDxfId="28826" totalsRowDxfId="28825"/>
    <tableColumn id="2207" xr3:uid="{3760C6CC-E569-4B02-8A44-10F56232DC62}" name="Column2193" dataDxfId="28824" totalsRowDxfId="28823"/>
    <tableColumn id="2208" xr3:uid="{0E550433-220E-4487-89D1-447A52048B03}" name="Column2194" dataDxfId="28822" totalsRowDxfId="28821"/>
    <tableColumn id="2209" xr3:uid="{09B967EE-13D3-4A1B-8719-4FFC304AEF19}" name="Column2195" dataDxfId="28820" totalsRowDxfId="28819"/>
    <tableColumn id="2210" xr3:uid="{851EC56F-0958-437A-9A74-1A032F10080E}" name="Column2196" dataDxfId="28818" totalsRowDxfId="28817"/>
    <tableColumn id="2211" xr3:uid="{B3F09DE0-2D1F-472B-8FB6-4A8935DA409D}" name="Column2197" dataDxfId="28816" totalsRowDxfId="28815"/>
    <tableColumn id="2212" xr3:uid="{BEC6B8A5-E8A5-43DC-BE9C-9DC66D1BCCA7}" name="Column2198" dataDxfId="28814" totalsRowDxfId="28813"/>
    <tableColumn id="2213" xr3:uid="{F33CF720-3ADB-461C-A29D-35BF9D08F7E0}" name="Column2199" dataDxfId="28812" totalsRowDxfId="28811"/>
    <tableColumn id="2214" xr3:uid="{2D733AB3-9B3C-4CF0-9C27-35B2AD26612E}" name="Column2200" dataDxfId="28810" totalsRowDxfId="28809"/>
    <tableColumn id="2215" xr3:uid="{E6C882C1-AF8B-4250-8A54-FA1ED4B238F7}" name="Column2201" dataDxfId="28808" totalsRowDxfId="28807"/>
    <tableColumn id="2216" xr3:uid="{34F270B7-AFEE-45C3-B7FB-C61F832FFDD6}" name="Column2202" dataDxfId="28806" totalsRowDxfId="28805"/>
    <tableColumn id="2217" xr3:uid="{83942AE0-764E-4D10-80E5-D9433D7E657D}" name="Column2203" dataDxfId="28804" totalsRowDxfId="28803"/>
    <tableColumn id="2218" xr3:uid="{A813F874-37B4-4ABB-9019-8F7D7A50CC22}" name="Column2204" dataDxfId="28802" totalsRowDxfId="28801"/>
    <tableColumn id="2219" xr3:uid="{232E3B2C-2CEE-4550-AA88-7EA93C223EB7}" name="Column2205" dataDxfId="28800" totalsRowDxfId="28799"/>
    <tableColumn id="2220" xr3:uid="{A168C274-01D4-4B67-85BC-CCA52F89E83A}" name="Column2206" dataDxfId="28798" totalsRowDxfId="28797"/>
    <tableColumn id="2221" xr3:uid="{B440117E-7364-4699-8C24-DE82A7F47B01}" name="Column2207" dataDxfId="28796" totalsRowDxfId="28795"/>
    <tableColumn id="2222" xr3:uid="{98AE1742-5E20-4F92-8A26-232E51E9F056}" name="Column2208" dataDxfId="28794" totalsRowDxfId="28793"/>
    <tableColumn id="2223" xr3:uid="{4273C07B-F6E0-4B8E-A392-7D4B36B96CE8}" name="Column2209" dataDxfId="28792" totalsRowDxfId="28791"/>
    <tableColumn id="2224" xr3:uid="{D27285C2-931B-4019-85A2-7FA5793B41C8}" name="Column2210" dataDxfId="28790" totalsRowDxfId="28789"/>
    <tableColumn id="2225" xr3:uid="{73454DB4-0AA4-469C-8A4F-EC461F3C17A0}" name="Column2211" dataDxfId="28788" totalsRowDxfId="28787"/>
    <tableColumn id="2226" xr3:uid="{2D0A1E6C-83C5-4220-8E14-4F9A7B843636}" name="Column2212" dataDxfId="28786" totalsRowDxfId="28785"/>
    <tableColumn id="2227" xr3:uid="{9403133A-9000-4BDC-8B2F-3C241B1446A3}" name="Column2213" dataDxfId="28784" totalsRowDxfId="28783"/>
    <tableColumn id="2228" xr3:uid="{E0A6FCC5-8665-45D7-B7B7-5A7E86A9C84F}" name="Column2214" dataDxfId="28782" totalsRowDxfId="28781"/>
    <tableColumn id="2229" xr3:uid="{191D01A2-E182-4EE7-8C9F-1BB736102501}" name="Column2215" dataDxfId="28780" totalsRowDxfId="28779"/>
    <tableColumn id="2230" xr3:uid="{C71C07F8-395D-475E-96B2-F1E607DDACB4}" name="Column2216" dataDxfId="28778" totalsRowDxfId="28777"/>
    <tableColumn id="2231" xr3:uid="{1AFDAC92-4423-46F0-A154-C3D444DEABAD}" name="Column2217" dataDxfId="28776" totalsRowDxfId="28775"/>
    <tableColumn id="2232" xr3:uid="{99A6F7F3-F369-467D-8F14-B104324FCC4E}" name="Column2218" dataDxfId="28774" totalsRowDxfId="28773"/>
    <tableColumn id="2233" xr3:uid="{2D2183F8-0974-46C5-9BCF-68204B0BF9ED}" name="Column2219" dataDxfId="28772" totalsRowDxfId="28771"/>
    <tableColumn id="2234" xr3:uid="{4D62B641-459B-4AE7-8BCB-492CF32D9069}" name="Column2220" dataDxfId="28770" totalsRowDxfId="28769"/>
    <tableColumn id="2235" xr3:uid="{CAB40596-FB9A-4AEE-88CB-0E62CC879F60}" name="Column2221" dataDxfId="28768" totalsRowDxfId="28767"/>
    <tableColumn id="2236" xr3:uid="{B3A9E2FD-CF45-4943-B94E-2B6EED9C5E58}" name="Column2222" dataDxfId="28766" totalsRowDxfId="28765"/>
    <tableColumn id="2237" xr3:uid="{E3FE6EFD-10E1-49C2-A1A7-E3A57156B327}" name="Column2223" dataDxfId="28764" totalsRowDxfId="28763"/>
    <tableColumn id="2238" xr3:uid="{B485D090-0FE1-4ADB-9E25-91414EB933DA}" name="Column2224" dataDxfId="28762" totalsRowDxfId="28761"/>
    <tableColumn id="2239" xr3:uid="{D17323F8-3457-4A71-B0AA-567F9EF07821}" name="Column2225" dataDxfId="28760" totalsRowDxfId="28759"/>
    <tableColumn id="2240" xr3:uid="{38FDE7A1-9D26-42CD-916F-ED3B0CA8CA63}" name="Column2226" dataDxfId="28758" totalsRowDxfId="28757"/>
    <tableColumn id="2241" xr3:uid="{3EC4440F-A38F-4662-AE8A-9DB3DE8654FD}" name="Column2227" dataDxfId="28756" totalsRowDxfId="28755"/>
    <tableColumn id="2242" xr3:uid="{DBF0C8AE-5C27-4A5C-8CC4-0C4720286AA9}" name="Column2228" dataDxfId="28754" totalsRowDxfId="28753"/>
    <tableColumn id="2243" xr3:uid="{5E1B4310-840A-4AF0-8148-68AE4D184AD0}" name="Column2229" dataDxfId="28752" totalsRowDxfId="28751"/>
    <tableColumn id="2244" xr3:uid="{49C06237-9492-45BC-A7E4-DBF178677DE4}" name="Column2230" dataDxfId="28750" totalsRowDxfId="28749"/>
    <tableColumn id="2245" xr3:uid="{59204236-9D16-41EF-96A8-C87E197E60EC}" name="Column2231" dataDxfId="28748" totalsRowDxfId="28747"/>
    <tableColumn id="2246" xr3:uid="{1BB13AB8-71CB-401F-AAF3-27A612F1FB57}" name="Column2232" dataDxfId="28746" totalsRowDxfId="28745"/>
    <tableColumn id="2247" xr3:uid="{5B0A40CB-5E5A-4ABC-AD92-E502246B6DE8}" name="Column2233" dataDxfId="28744" totalsRowDxfId="28743"/>
    <tableColumn id="2248" xr3:uid="{935AFF36-9CAB-4186-9A77-886DECA10E60}" name="Column2234" dataDxfId="28742" totalsRowDxfId="28741"/>
    <tableColumn id="2249" xr3:uid="{219AB82D-7349-41A9-BDFD-A36D134AE0CA}" name="Column2235" dataDxfId="28740" totalsRowDxfId="28739"/>
    <tableColumn id="2250" xr3:uid="{12210EEE-FBE7-4A34-B77D-E456A6F3FA5D}" name="Column2236" dataDxfId="28738" totalsRowDxfId="28737"/>
    <tableColumn id="2251" xr3:uid="{DC62E99F-5C78-414B-8CDC-FA8C9304C535}" name="Column2237" dataDxfId="28736" totalsRowDxfId="28735"/>
    <tableColumn id="2252" xr3:uid="{7640A774-BE97-4194-8C2A-29A3B59350BA}" name="Column2238" dataDxfId="28734" totalsRowDxfId="28733"/>
    <tableColumn id="2253" xr3:uid="{D72532F8-1CE7-4BD5-A584-10F78EF581DC}" name="Column2239" dataDxfId="28732" totalsRowDxfId="28731"/>
    <tableColumn id="2254" xr3:uid="{F81550BE-9E13-46BE-AC3B-53535F765CEF}" name="Column2240" dataDxfId="28730" totalsRowDxfId="28729"/>
    <tableColumn id="2255" xr3:uid="{EF175242-E75B-464F-B7CC-EBDD9A74C9CA}" name="Column2241" dataDxfId="28728" totalsRowDxfId="28727"/>
    <tableColumn id="2256" xr3:uid="{E6FCF5E4-3236-440D-8B62-88C18D577578}" name="Column2242" dataDxfId="28726" totalsRowDxfId="28725"/>
    <tableColumn id="2257" xr3:uid="{59D867AE-DC05-4975-9073-6AD96ED56A38}" name="Column2243" dataDxfId="28724" totalsRowDxfId="28723"/>
    <tableColumn id="2258" xr3:uid="{029A399B-1787-408F-8284-8F1FAEF16C02}" name="Column2244" dataDxfId="28722" totalsRowDxfId="28721"/>
    <tableColumn id="2259" xr3:uid="{D7F8A4BC-7FF8-4073-BA8B-C2087332D43B}" name="Column2245" dataDxfId="28720" totalsRowDxfId="28719"/>
    <tableColumn id="2260" xr3:uid="{13D837FD-6534-4343-8E61-B6BF457A30BE}" name="Column2246" dataDxfId="28718" totalsRowDxfId="28717"/>
    <tableColumn id="2261" xr3:uid="{9ABAE646-4B0F-4AFE-AFAE-040A0FAABB76}" name="Column2247" dataDxfId="28716" totalsRowDxfId="28715"/>
    <tableColumn id="2262" xr3:uid="{9F30FE58-DCA3-4F74-B435-BFAD4783DF9E}" name="Column2248" dataDxfId="28714" totalsRowDxfId="28713"/>
    <tableColumn id="2263" xr3:uid="{333880D1-A088-4A1A-BB5D-B20136D85919}" name="Column2249" dataDxfId="28712" totalsRowDxfId="28711"/>
    <tableColumn id="2264" xr3:uid="{B0133563-C5B7-4438-9F57-FB8AEC6FA884}" name="Column2250" dataDxfId="28710" totalsRowDxfId="28709"/>
    <tableColumn id="2265" xr3:uid="{AA9AB9C5-68A8-4110-8C57-632C718BF691}" name="Column2251" dataDxfId="28708" totalsRowDxfId="28707"/>
    <tableColumn id="2266" xr3:uid="{4782BC50-BFAE-4B78-B9B7-022535D6842F}" name="Column2252" dataDxfId="28706" totalsRowDxfId="28705"/>
    <tableColumn id="2267" xr3:uid="{4EFFD641-9AF5-4B43-B58F-B843C7206B5B}" name="Column2253" dataDxfId="28704" totalsRowDxfId="28703"/>
    <tableColumn id="2268" xr3:uid="{88CA3B5E-C8FD-451B-8AC0-83F43B6A9576}" name="Column2254" dataDxfId="28702" totalsRowDxfId="28701"/>
    <tableColumn id="2269" xr3:uid="{ED36C842-011E-4D52-AB2B-BFD34F1E6616}" name="Column2255" dataDxfId="28700" totalsRowDxfId="28699"/>
    <tableColumn id="2270" xr3:uid="{8B6D1F85-EB96-4F4B-9D0E-1DA40185BAB1}" name="Column2256" dataDxfId="28698" totalsRowDxfId="28697"/>
    <tableColumn id="2271" xr3:uid="{C612F73F-C89B-4948-80C2-A99532C46F89}" name="Column2257" dataDxfId="28696" totalsRowDxfId="28695"/>
    <tableColumn id="2272" xr3:uid="{90026B10-C37F-4BBE-B411-001B5649ECBA}" name="Column2258" dataDxfId="28694" totalsRowDxfId="28693"/>
    <tableColumn id="2273" xr3:uid="{29814022-4A4F-439F-9A4C-04FC0FCA1048}" name="Column2259" dataDxfId="28692" totalsRowDxfId="28691"/>
    <tableColumn id="2274" xr3:uid="{410C1452-5B20-404C-9CC4-335AF16AB095}" name="Column2260" dataDxfId="28690" totalsRowDxfId="28689"/>
    <tableColumn id="2275" xr3:uid="{7D93B87F-E713-4B0A-8CD4-5CA84954F154}" name="Column2261" dataDxfId="28688" totalsRowDxfId="28687"/>
    <tableColumn id="2276" xr3:uid="{DAAEE925-E6ED-4064-B3B3-761C24083D88}" name="Column2262" dataDxfId="28686" totalsRowDxfId="28685"/>
    <tableColumn id="2277" xr3:uid="{FF840C4A-DD81-4831-BEE0-E8B18A0E293D}" name="Column2263" dataDxfId="28684" totalsRowDxfId="28683"/>
    <tableColumn id="2278" xr3:uid="{FBB58E8F-067B-4D57-95CE-537FC1C0BC37}" name="Column2264" dataDxfId="28682" totalsRowDxfId="28681"/>
    <tableColumn id="2279" xr3:uid="{9FEAA032-6CAC-4491-B94E-0512042903EE}" name="Column2265" dataDxfId="28680" totalsRowDxfId="28679"/>
    <tableColumn id="2280" xr3:uid="{BF09EE93-34CE-4D8F-B295-8C16ABE02687}" name="Column2266" dataDxfId="28678" totalsRowDxfId="28677"/>
    <tableColumn id="2281" xr3:uid="{3457D700-DD7A-415C-81AD-AAE530773639}" name="Column2267" dataDxfId="28676" totalsRowDxfId="28675"/>
    <tableColumn id="2282" xr3:uid="{9CE86E92-C4B9-4B78-87D4-9ADFAC56030C}" name="Column2268" dataDxfId="28674" totalsRowDxfId="28673"/>
    <tableColumn id="2283" xr3:uid="{1613A10F-8335-4890-8A48-E6507730ACA2}" name="Column2269" dataDxfId="28672" totalsRowDxfId="28671"/>
    <tableColumn id="2284" xr3:uid="{7E888058-2678-49F3-978F-BE5065475E85}" name="Column2270" dataDxfId="28670" totalsRowDxfId="28669"/>
    <tableColumn id="2285" xr3:uid="{73F5462A-2BAB-4C73-AAC6-18E75D2E0BEA}" name="Column2271" dataDxfId="28668" totalsRowDxfId="28667"/>
    <tableColumn id="2286" xr3:uid="{414442E2-53AF-4155-82C2-0EF70364AE1D}" name="Column2272" dataDxfId="28666" totalsRowDxfId="28665"/>
    <tableColumn id="2287" xr3:uid="{37FA3D15-EC79-4F84-9BB5-99E3CAF75EA9}" name="Column2273" dataDxfId="28664" totalsRowDxfId="28663"/>
    <tableColumn id="2288" xr3:uid="{3693DE4D-E9DB-4261-9A60-2A1FD4CCD780}" name="Column2274" dataDxfId="28662" totalsRowDxfId="28661"/>
    <tableColumn id="2289" xr3:uid="{91392337-B7DB-4074-8577-712FCDE6AE8B}" name="Column2275" dataDxfId="28660" totalsRowDxfId="28659"/>
    <tableColumn id="2290" xr3:uid="{C907EAF3-7321-490F-AFA3-EDAB592684E3}" name="Column2276" dataDxfId="28658" totalsRowDxfId="28657"/>
    <tableColumn id="2291" xr3:uid="{CE2675E2-4B70-4838-91F9-5A37CEDC610C}" name="Column2277" dataDxfId="28656" totalsRowDxfId="28655"/>
    <tableColumn id="2292" xr3:uid="{EEE5A7E0-6AE2-473E-85CD-1C01BD28FD74}" name="Column2278" dataDxfId="28654" totalsRowDxfId="28653"/>
    <tableColumn id="2293" xr3:uid="{C3C0E952-94DF-48C9-908C-1606058B0847}" name="Column2279" dataDxfId="28652" totalsRowDxfId="28651"/>
    <tableColumn id="2294" xr3:uid="{471F2653-28B7-42C4-A51E-33AEEFCEB9F6}" name="Column2280" dataDxfId="28650" totalsRowDxfId="28649"/>
    <tableColumn id="2295" xr3:uid="{EADF7DFA-4DB7-4E01-A887-3F6B7D90087C}" name="Column2281" dataDxfId="28648" totalsRowDxfId="28647"/>
    <tableColumn id="2296" xr3:uid="{BC904D3F-5033-4FF7-8E9A-A690FDAF9A4C}" name="Column2282" dataDxfId="28646" totalsRowDxfId="28645"/>
    <tableColumn id="2297" xr3:uid="{4A9EF0CE-A365-4431-A014-697FF0C39B3F}" name="Column2283" dataDxfId="28644" totalsRowDxfId="28643"/>
    <tableColumn id="2298" xr3:uid="{AFBCB293-0436-4325-B230-87596E5A6F32}" name="Column2284" dataDxfId="28642" totalsRowDxfId="28641"/>
    <tableColumn id="2299" xr3:uid="{C465DFED-7AB8-446B-985E-584F129088E4}" name="Column2285" dataDxfId="28640" totalsRowDxfId="28639"/>
    <tableColumn id="2300" xr3:uid="{B635252D-4DFC-4883-8575-81553BF4F373}" name="Column2286" dataDxfId="28638" totalsRowDxfId="28637"/>
    <tableColumn id="2301" xr3:uid="{708F933D-4DE6-4251-93C8-DE6613B25306}" name="Column2287" dataDxfId="28636" totalsRowDxfId="28635"/>
    <tableColumn id="2302" xr3:uid="{51BA5ABF-531D-4132-B170-4C4F6D66FE39}" name="Column2288" dataDxfId="28634" totalsRowDxfId="28633"/>
    <tableColumn id="2303" xr3:uid="{62F7D0F0-80A4-4458-9F13-6E26AB8E2348}" name="Column2289" dataDxfId="28632" totalsRowDxfId="28631"/>
    <tableColumn id="2304" xr3:uid="{8F7C1389-4DDA-415C-837E-7CFC4019E2C0}" name="Column2290" dataDxfId="28630" totalsRowDxfId="28629"/>
    <tableColumn id="2305" xr3:uid="{4F82B498-32CD-45C3-8698-6520069C78A4}" name="Column2291" dataDxfId="28628" totalsRowDxfId="28627"/>
    <tableColumn id="2306" xr3:uid="{C6C81F5C-AFED-4910-82C2-81C59D81B7DD}" name="Column2292" dataDxfId="28626" totalsRowDxfId="28625"/>
    <tableColumn id="2307" xr3:uid="{7723A70E-8791-4DE5-B27D-F56D8353B0C1}" name="Column2293" dataDxfId="28624" totalsRowDxfId="28623"/>
    <tableColumn id="2308" xr3:uid="{E800A795-C692-454A-B8CC-FF2475B0F48A}" name="Column2294" dataDxfId="28622" totalsRowDxfId="28621"/>
    <tableColumn id="2309" xr3:uid="{03483053-785D-42B5-8953-DCAF628B4C13}" name="Column2295" dataDxfId="28620" totalsRowDxfId="28619"/>
    <tableColumn id="2310" xr3:uid="{8128E116-4D58-415C-A88C-65C91560C6AE}" name="Column2296" dataDxfId="28618" totalsRowDxfId="28617"/>
    <tableColumn id="2311" xr3:uid="{8B40741D-5BAB-48B0-926D-C1DF4F41B770}" name="Column2297" dataDxfId="28616" totalsRowDxfId="28615"/>
    <tableColumn id="2312" xr3:uid="{E54864FF-EECE-44B8-B1F7-E52A7EAB000A}" name="Column2298" dataDxfId="28614" totalsRowDxfId="28613"/>
    <tableColumn id="2313" xr3:uid="{2CDB459F-CA59-4461-B9F7-0A095F256D27}" name="Column2299" dataDxfId="28612" totalsRowDxfId="28611"/>
    <tableColumn id="2314" xr3:uid="{2744E849-FEBB-4A4B-97F5-825F351DF95D}" name="Column2300" dataDxfId="28610" totalsRowDxfId="28609"/>
    <tableColumn id="2315" xr3:uid="{807D2A04-F69D-4B00-B4AB-FD93B975FBBA}" name="Column2301" dataDxfId="28608" totalsRowDxfId="28607"/>
    <tableColumn id="2316" xr3:uid="{9A83E4A9-A27A-4C74-B217-1F4D4E6AAD96}" name="Column2302" dataDxfId="28606" totalsRowDxfId="28605"/>
    <tableColumn id="2317" xr3:uid="{10520E5E-0D31-493D-93B7-27F523DCB21F}" name="Column2303" dataDxfId="28604" totalsRowDxfId="28603"/>
    <tableColumn id="2318" xr3:uid="{3119886C-E7D2-4A97-AE41-BE0A9C9823FA}" name="Column2304" dataDxfId="28602" totalsRowDxfId="28601"/>
    <tableColumn id="2319" xr3:uid="{7B0BCC48-32D2-484C-8EE4-31A4436ADD13}" name="Column2305" dataDxfId="28600" totalsRowDxfId="28599"/>
    <tableColumn id="2320" xr3:uid="{521D6506-A2DD-4370-8F7B-2335ACAF3BC3}" name="Column2306" dataDxfId="28598" totalsRowDxfId="28597"/>
    <tableColumn id="2321" xr3:uid="{3D0E4917-8C1A-43B8-A05A-76244A5B4FD7}" name="Column2307" dataDxfId="28596" totalsRowDxfId="28595"/>
    <tableColumn id="2322" xr3:uid="{F7A75770-7F2E-47A1-92B0-E074E6310DB4}" name="Column2308" dataDxfId="28594" totalsRowDxfId="28593"/>
    <tableColumn id="2323" xr3:uid="{081A4D15-FD6E-4075-AF4F-9098619E84EB}" name="Column2309" dataDxfId="28592" totalsRowDxfId="28591"/>
    <tableColumn id="2324" xr3:uid="{8044C056-ED13-4B8F-9A8B-BA2742EF89BD}" name="Column2310" dataDxfId="28590" totalsRowDxfId="28589"/>
    <tableColumn id="2325" xr3:uid="{56084113-B6C0-4F61-929C-B12C78CB7517}" name="Column2311" dataDxfId="28588" totalsRowDxfId="28587"/>
    <tableColumn id="2326" xr3:uid="{B8F04B50-9317-4E45-B5A4-6A79DB2260BC}" name="Column2312" dataDxfId="28586" totalsRowDxfId="28585"/>
    <tableColumn id="2327" xr3:uid="{DC9E2BCE-C852-49BE-8831-81B38C6A08E3}" name="Column2313" dataDxfId="28584" totalsRowDxfId="28583"/>
    <tableColumn id="2328" xr3:uid="{1517C504-AB4C-4AE6-9FC2-E179D8E11674}" name="Column2314" dataDxfId="28582" totalsRowDxfId="28581"/>
    <tableColumn id="2329" xr3:uid="{CB5536DD-ED78-4213-B52F-B03CE4A0D943}" name="Column2315" dataDxfId="28580" totalsRowDxfId="28579"/>
    <tableColumn id="2330" xr3:uid="{18E5FB39-0DBD-4526-AA42-FAE00BAB12CB}" name="Column2316" dataDxfId="28578" totalsRowDxfId="28577"/>
    <tableColumn id="2331" xr3:uid="{51AD6ECB-491E-46F3-9013-123CAE717A4F}" name="Column2317" dataDxfId="28576" totalsRowDxfId="28575"/>
    <tableColumn id="2332" xr3:uid="{0D2C2E12-947B-43E7-986D-D22E3DF9C5C8}" name="Column2318" dataDxfId="28574" totalsRowDxfId="28573"/>
    <tableColumn id="2333" xr3:uid="{D67F6D4F-8A11-4E7F-9E3E-BBDF0567CB2B}" name="Column2319" dataDxfId="28572" totalsRowDxfId="28571"/>
    <tableColumn id="2334" xr3:uid="{4DD5F129-E36A-4575-8840-EF6F4AA5457F}" name="Column2320" dataDxfId="28570" totalsRowDxfId="28569"/>
    <tableColumn id="2335" xr3:uid="{6E99EC22-DF19-4DA2-B5CE-71215B0BF9F2}" name="Column2321" dataDxfId="28568" totalsRowDxfId="28567"/>
    <tableColumn id="2336" xr3:uid="{E7FAFD88-07E2-4174-ADD1-724FD2BA19FF}" name="Column2322" dataDxfId="28566" totalsRowDxfId="28565"/>
    <tableColumn id="2337" xr3:uid="{A4241086-873D-4D16-9DFF-EF296A55977F}" name="Column2323" dataDxfId="28564" totalsRowDxfId="28563"/>
    <tableColumn id="2338" xr3:uid="{89B9FDA0-CC5D-4BE7-B082-6C5678E21F16}" name="Column2324" dataDxfId="28562" totalsRowDxfId="28561"/>
    <tableColumn id="2339" xr3:uid="{2F374F58-7D75-485F-82D1-C8C126CCD7F7}" name="Column2325" dataDxfId="28560" totalsRowDxfId="28559"/>
    <tableColumn id="2340" xr3:uid="{4FC24DC0-6F3A-4055-AC97-1FA5E3271F09}" name="Column2326" dataDxfId="28558" totalsRowDxfId="28557"/>
    <tableColumn id="2341" xr3:uid="{285A54CF-3719-4C7E-AC52-81BA578C34CB}" name="Column2327" dataDxfId="28556" totalsRowDxfId="28555"/>
    <tableColumn id="2342" xr3:uid="{0693F83F-100F-4982-9CBB-077E6D6A8ABF}" name="Column2328" dataDxfId="28554" totalsRowDxfId="28553"/>
    <tableColumn id="2343" xr3:uid="{111CCA1C-46A4-4F2D-BCA7-D7EC2D290DC1}" name="Column2329" dataDxfId="28552" totalsRowDxfId="28551"/>
    <tableColumn id="2344" xr3:uid="{FDC4DBCA-B6B2-4A47-81DA-995EC4F11109}" name="Column2330" dataDxfId="28550" totalsRowDxfId="28549"/>
    <tableColumn id="2345" xr3:uid="{A225BF05-A57B-4989-8132-E28357D8AB81}" name="Column2331" dataDxfId="28548" totalsRowDxfId="28547"/>
    <tableColumn id="2346" xr3:uid="{02A886F1-D028-4CA4-91C5-370C951BDA49}" name="Column2332" dataDxfId="28546" totalsRowDxfId="28545"/>
    <tableColumn id="2347" xr3:uid="{C9F9489B-7FE9-416C-99B8-378459BD9380}" name="Column2333" dataDxfId="28544" totalsRowDxfId="28543"/>
    <tableColumn id="2348" xr3:uid="{543FE650-9849-454A-AB60-A71885AD4047}" name="Column2334" dataDxfId="28542" totalsRowDxfId="28541"/>
    <tableColumn id="2349" xr3:uid="{031F29CC-46D3-4824-83BB-51DFA6A8FD38}" name="Column2335" dataDxfId="28540" totalsRowDxfId="28539"/>
    <tableColumn id="2350" xr3:uid="{A6FD76A2-50A8-496A-9B04-DCDF47B0918E}" name="Column2336" dataDxfId="28538" totalsRowDxfId="28537"/>
    <tableColumn id="2351" xr3:uid="{CCCB0C51-8EE8-4B42-8F03-3A2F822F2CB7}" name="Column2337" dataDxfId="28536" totalsRowDxfId="28535"/>
    <tableColumn id="2352" xr3:uid="{EF210406-9AB6-4019-8009-5C99E46C8A4D}" name="Column2338" dataDxfId="28534" totalsRowDxfId="28533"/>
    <tableColumn id="2353" xr3:uid="{8674C246-148D-4AA8-B405-93D3BB64349E}" name="Column2339" dataDxfId="28532" totalsRowDxfId="28531"/>
    <tableColumn id="2354" xr3:uid="{44CB0D1A-748E-4A1B-9DAD-1C3309DD0B2A}" name="Column2340" dataDxfId="28530" totalsRowDxfId="28529"/>
    <tableColumn id="2355" xr3:uid="{978C45A9-FFCF-4C40-B3A3-11D159B2210E}" name="Column2341" dataDxfId="28528" totalsRowDxfId="28527"/>
    <tableColumn id="2356" xr3:uid="{91D2EF6F-3A02-45C5-A206-11663C980317}" name="Column2342" dataDxfId="28526" totalsRowDxfId="28525"/>
    <tableColumn id="2357" xr3:uid="{11321A4F-3D4F-43BB-A989-E52269D0CC1C}" name="Column2343" dataDxfId="28524" totalsRowDxfId="28523"/>
    <tableColumn id="2358" xr3:uid="{1B71051A-A0B6-4A96-8FFB-DE274A79F5AE}" name="Column2344" dataDxfId="28522" totalsRowDxfId="28521"/>
    <tableColumn id="2359" xr3:uid="{2DDF66E2-0CF2-4844-B935-8D575FF439FA}" name="Column2345" dataDxfId="28520" totalsRowDxfId="28519"/>
    <tableColumn id="2360" xr3:uid="{B14B4F6B-DEB6-4C9B-9C5B-A02BA242EA10}" name="Column2346" dataDxfId="28518" totalsRowDxfId="28517"/>
    <tableColumn id="2361" xr3:uid="{F624FD5D-25E9-4830-8D24-262F8B0612CD}" name="Column2347" dataDxfId="28516" totalsRowDxfId="28515"/>
    <tableColumn id="2362" xr3:uid="{74CE6141-06C6-47C4-B2F2-F63E18ABEF0A}" name="Column2348" dataDxfId="28514" totalsRowDxfId="28513"/>
    <tableColumn id="2363" xr3:uid="{679C9D50-D4B0-40A3-B338-452CD3B63EA1}" name="Column2349" dataDxfId="28512" totalsRowDxfId="28511"/>
    <tableColumn id="2364" xr3:uid="{4B12708C-798F-4036-8841-CEE7EFFCBB71}" name="Column2350" dataDxfId="28510" totalsRowDxfId="28509"/>
    <tableColumn id="2365" xr3:uid="{ED72D015-60F5-4C5D-B4F7-47C0E5AB0572}" name="Column2351" dataDxfId="28508" totalsRowDxfId="28507"/>
    <tableColumn id="2366" xr3:uid="{C9635D68-6646-4F52-AF18-BB9E20E1F92D}" name="Column2352" dataDxfId="28506" totalsRowDxfId="28505"/>
    <tableColumn id="2367" xr3:uid="{9B3F68C8-D90F-4CDC-ADB1-93FFFBCAB77F}" name="Column2353" dataDxfId="28504" totalsRowDxfId="28503"/>
    <tableColumn id="2368" xr3:uid="{967311EA-00B8-4842-AED6-0C7BE75021FD}" name="Column2354" dataDxfId="28502" totalsRowDxfId="28501"/>
    <tableColumn id="2369" xr3:uid="{C4AEF8AB-44DB-47A9-ADF3-F0EF723E4263}" name="Column2355" dataDxfId="28500" totalsRowDxfId="28499"/>
    <tableColumn id="2370" xr3:uid="{FE8EAF1D-605D-4F58-8CBA-82CC8D94B78D}" name="Column2356" dataDxfId="28498" totalsRowDxfId="28497"/>
    <tableColumn id="2371" xr3:uid="{AA4E965A-EBC8-4CCB-8357-0D0864A126FC}" name="Column2357" dataDxfId="28496" totalsRowDxfId="28495"/>
    <tableColumn id="2372" xr3:uid="{249E3CEA-0884-4831-89DE-92485CFCDDB9}" name="Column2358" dataDxfId="28494" totalsRowDxfId="28493"/>
    <tableColumn id="2373" xr3:uid="{DB0404D5-45A1-45B0-B9B5-46EAF2BD8E59}" name="Column2359" dataDxfId="28492" totalsRowDxfId="28491"/>
    <tableColumn id="2374" xr3:uid="{759E5131-C31E-4DA2-8134-2B2C04A0FBDF}" name="Column2360" dataDxfId="28490" totalsRowDxfId="28489"/>
    <tableColumn id="2375" xr3:uid="{9384DF1A-DAB0-44C7-9C78-4D8259B14A22}" name="Column2361" dataDxfId="28488" totalsRowDxfId="28487"/>
    <tableColumn id="2376" xr3:uid="{DCD637E4-4532-44A0-A1F3-3AD0D3E45D74}" name="Column2362" dataDxfId="28486" totalsRowDxfId="28485"/>
    <tableColumn id="2377" xr3:uid="{C28D61D7-941C-425D-9DC6-F72332326A94}" name="Column2363" dataDxfId="28484" totalsRowDxfId="28483"/>
    <tableColumn id="2378" xr3:uid="{4878D266-D38F-406A-86E8-9B73F696D244}" name="Column2364" dataDxfId="28482" totalsRowDxfId="28481"/>
    <tableColumn id="2379" xr3:uid="{386FD675-510B-4BCC-AD88-314DFE56C3F9}" name="Column2365" dataDxfId="28480" totalsRowDxfId="28479"/>
    <tableColumn id="2380" xr3:uid="{DBA78BC6-3345-4605-9CB3-3679064D81AD}" name="Column2366" dataDxfId="28478" totalsRowDxfId="28477"/>
    <tableColumn id="2381" xr3:uid="{59D96197-4315-4506-8F05-9C35CAF12373}" name="Column2367" dataDxfId="28476" totalsRowDxfId="28475"/>
    <tableColumn id="2382" xr3:uid="{A2E2D47A-BD38-4973-809B-7A9216C4A353}" name="Column2368" dataDxfId="28474" totalsRowDxfId="28473"/>
    <tableColumn id="2383" xr3:uid="{1A6CAC63-5AD3-48FC-866D-433F33BA8039}" name="Column2369" dataDxfId="28472" totalsRowDxfId="28471"/>
    <tableColumn id="2384" xr3:uid="{4B0BCCE6-C197-467A-A691-D7F7522A0837}" name="Column2370" dataDxfId="28470" totalsRowDxfId="28469"/>
    <tableColumn id="2385" xr3:uid="{A8CB7389-881B-4C7A-8C51-C219350A1F44}" name="Column2371" dataDxfId="28468" totalsRowDxfId="28467"/>
    <tableColumn id="2386" xr3:uid="{A29A1F20-AC34-49CF-885F-74B738E52351}" name="Column2372" dataDxfId="28466" totalsRowDxfId="28465"/>
    <tableColumn id="2387" xr3:uid="{D0F057AF-A3FD-4C57-899B-CC6477186F98}" name="Column2373" dataDxfId="28464" totalsRowDxfId="28463"/>
    <tableColumn id="2388" xr3:uid="{2CFD2177-C628-4FB5-B03A-6F221F8FD93B}" name="Column2374" dataDxfId="28462" totalsRowDxfId="28461"/>
    <tableColumn id="2389" xr3:uid="{834B28F9-56E5-414A-80B5-5D27A9B05D98}" name="Column2375" dataDxfId="28460" totalsRowDxfId="28459"/>
    <tableColumn id="2390" xr3:uid="{0BB8840B-FC55-4D8A-BBBB-6563E1D11CA6}" name="Column2376" dataDxfId="28458" totalsRowDxfId="28457"/>
    <tableColumn id="2391" xr3:uid="{04A00516-05FB-463E-98EB-664553869011}" name="Column2377" dataDxfId="28456" totalsRowDxfId="28455"/>
    <tableColumn id="2392" xr3:uid="{0AD5F738-97CD-445C-9780-4492E183E50E}" name="Column2378" dataDxfId="28454" totalsRowDxfId="28453"/>
    <tableColumn id="2393" xr3:uid="{AE21BA64-6A52-4F82-80D7-58758299BC44}" name="Column2379" dataDxfId="28452" totalsRowDxfId="28451"/>
    <tableColumn id="2394" xr3:uid="{5D0ECF24-0F78-4DDF-A4B5-4599A5903B33}" name="Column2380" dataDxfId="28450" totalsRowDxfId="28449"/>
    <tableColumn id="2395" xr3:uid="{E4D3859C-EFFA-4E52-A278-CA9334160C44}" name="Column2381" dataDxfId="28448" totalsRowDxfId="28447"/>
    <tableColumn id="2396" xr3:uid="{5AB355D2-379F-4717-89A6-E7D5B4733F72}" name="Column2382" dataDxfId="28446" totalsRowDxfId="28445"/>
    <tableColumn id="2397" xr3:uid="{7089C216-F597-49D8-8183-30DE28C03EFC}" name="Column2383" dataDxfId="28444" totalsRowDxfId="28443"/>
    <tableColumn id="2398" xr3:uid="{F0C38A24-C558-43FD-AB60-AB210A43B5C8}" name="Column2384" dataDxfId="28442" totalsRowDxfId="28441"/>
    <tableColumn id="2399" xr3:uid="{DECC2C55-2B5C-4284-98C4-5103BD3FB819}" name="Column2385" dataDxfId="28440" totalsRowDxfId="28439"/>
    <tableColumn id="2400" xr3:uid="{E4E8A4B3-2FEE-43EE-8ACC-CEA0998A63A0}" name="Column2386" dataDxfId="28438" totalsRowDxfId="28437"/>
    <tableColumn id="2401" xr3:uid="{7B80AE2B-4A76-4198-9A94-B44851D0384A}" name="Column2387" dataDxfId="28436" totalsRowDxfId="28435"/>
    <tableColumn id="2402" xr3:uid="{13CD4C14-EC8F-4782-A7AC-2CE42F89C0C2}" name="Column2388" dataDxfId="28434" totalsRowDxfId="28433"/>
    <tableColumn id="2403" xr3:uid="{103AF543-BD7F-463D-9BE8-A04AF725E7AB}" name="Column2389" dataDxfId="28432" totalsRowDxfId="28431"/>
    <tableColumn id="2404" xr3:uid="{0BD0E0EC-F92A-4144-A6D6-1B9D515B0F07}" name="Column2390" dataDxfId="28430" totalsRowDxfId="28429"/>
    <tableColumn id="2405" xr3:uid="{3828E29A-0069-4626-A128-545ECEF82C02}" name="Column2391" dataDxfId="28428" totalsRowDxfId="28427"/>
    <tableColumn id="2406" xr3:uid="{C3BE6E6A-1F90-4279-8E74-9B2D2D4CA97D}" name="Column2392" dataDxfId="28426" totalsRowDxfId="28425"/>
    <tableColumn id="2407" xr3:uid="{89DA7F48-97D4-4D20-AEF4-52FFBF0CF537}" name="Column2393" dataDxfId="28424" totalsRowDxfId="28423"/>
    <tableColumn id="2408" xr3:uid="{671B38A6-6942-45F6-A1F2-6B5755660C80}" name="Column2394" dataDxfId="28422" totalsRowDxfId="28421"/>
    <tableColumn id="2409" xr3:uid="{46033D46-C79B-48E7-A8C7-AD84D94B4CAF}" name="Column2395" dataDxfId="28420" totalsRowDxfId="28419"/>
    <tableColumn id="2410" xr3:uid="{FA0B5151-5758-4B6E-899D-9E9CFC95F5FA}" name="Column2396" dataDxfId="28418" totalsRowDxfId="28417"/>
    <tableColumn id="2411" xr3:uid="{6A1A9018-EF49-438D-87C0-051883FA565C}" name="Column2397" dataDxfId="28416" totalsRowDxfId="28415"/>
    <tableColumn id="2412" xr3:uid="{EE31BD49-578B-4BFC-9CCB-FBB17A4C1FE4}" name="Column2398" dataDxfId="28414" totalsRowDxfId="28413"/>
    <tableColumn id="2413" xr3:uid="{DA0A64C1-6D80-4FD3-BA3A-AC273518CA7B}" name="Column2399" dataDxfId="28412" totalsRowDxfId="28411"/>
    <tableColumn id="2414" xr3:uid="{FB2CABE8-538B-4360-B9C7-70D356163BD1}" name="Column2400" dataDxfId="28410" totalsRowDxfId="28409"/>
    <tableColumn id="2415" xr3:uid="{70B6A0B9-0919-45E4-B5ED-EB99A0060378}" name="Column2401" dataDxfId="28408" totalsRowDxfId="28407"/>
    <tableColumn id="2416" xr3:uid="{7380485F-AF60-4687-B12C-74E346132CAB}" name="Column2402" dataDxfId="28406" totalsRowDxfId="28405"/>
    <tableColumn id="2417" xr3:uid="{1804BD17-E928-493C-9198-407A908FF7D0}" name="Column2403" dataDxfId="28404" totalsRowDxfId="28403"/>
    <tableColumn id="2418" xr3:uid="{BC3D99EE-C033-480D-8F6E-C60DFD7F4B60}" name="Column2404" dataDxfId="28402" totalsRowDxfId="28401"/>
    <tableColumn id="2419" xr3:uid="{6EF47A48-C85E-4025-80D9-1396CEAC629B}" name="Column2405" dataDxfId="28400" totalsRowDxfId="28399"/>
    <tableColumn id="2420" xr3:uid="{63FCF21C-AC15-40E4-872F-4223988898A7}" name="Column2406" dataDxfId="28398" totalsRowDxfId="28397"/>
    <tableColumn id="2421" xr3:uid="{9AB99BEC-13D6-4CF7-AC0B-105940042B9A}" name="Column2407" dataDxfId="28396" totalsRowDxfId="28395"/>
    <tableColumn id="2422" xr3:uid="{40983B0F-AF01-46CD-A0B9-D8CD75117B5F}" name="Column2408" dataDxfId="28394" totalsRowDxfId="28393"/>
    <tableColumn id="2423" xr3:uid="{6F828DDA-A0DE-4FDC-9E3F-670BB2602D10}" name="Column2409" dataDxfId="28392" totalsRowDxfId="28391"/>
    <tableColumn id="2424" xr3:uid="{9C9D9EEB-323F-45E8-94AB-B1B417C24E33}" name="Column2410" dataDxfId="28390" totalsRowDxfId="28389"/>
    <tableColumn id="2425" xr3:uid="{DB841E3F-BCBB-4999-A71E-EDBBAF996848}" name="Column2411" dataDxfId="28388" totalsRowDxfId="28387"/>
    <tableColumn id="2426" xr3:uid="{16E60DF0-E027-4D41-8C15-20E55E0B77E8}" name="Column2412" dataDxfId="28386" totalsRowDxfId="28385"/>
    <tableColumn id="2427" xr3:uid="{9FA9B739-7FE1-4AA9-94CB-5974793AD986}" name="Column2413" dataDxfId="28384" totalsRowDxfId="28383"/>
    <tableColumn id="2428" xr3:uid="{FBA97D15-EDA3-47D1-B3F2-777B190F081D}" name="Column2414" dataDxfId="28382" totalsRowDxfId="28381"/>
    <tableColumn id="2429" xr3:uid="{1404FF79-12D5-4830-AE39-077C7C0FE612}" name="Column2415" dataDxfId="28380" totalsRowDxfId="28379"/>
    <tableColumn id="2430" xr3:uid="{339FEC16-A019-41E1-991C-01A363F88BB4}" name="Column2416" dataDxfId="28378" totalsRowDxfId="28377"/>
    <tableColumn id="2431" xr3:uid="{014BDD80-9BE3-460A-B106-A4A4624E6391}" name="Column2417" dataDxfId="28376" totalsRowDxfId="28375"/>
    <tableColumn id="2432" xr3:uid="{A00C268C-8B8B-4D12-BF55-9EA21C148608}" name="Column2418" dataDxfId="28374" totalsRowDxfId="28373"/>
    <tableColumn id="2433" xr3:uid="{C309636F-503A-4AC8-99BA-853862FAE607}" name="Column2419" dataDxfId="28372" totalsRowDxfId="28371"/>
    <tableColumn id="2434" xr3:uid="{24150DFD-59E6-4E3A-953B-C29DE1331897}" name="Column2420" dataDxfId="28370" totalsRowDxfId="28369"/>
    <tableColumn id="2435" xr3:uid="{0B3810A7-5022-4F34-B9D7-8441A26678C1}" name="Column2421" dataDxfId="28368" totalsRowDxfId="28367"/>
    <tableColumn id="2436" xr3:uid="{A9FA536E-A799-4A37-BEFD-0DA14A682FF5}" name="Column2422" dataDxfId="28366" totalsRowDxfId="28365"/>
    <tableColumn id="2437" xr3:uid="{3149D7D8-8ED5-4A39-B7AF-BDF28E3B5B64}" name="Column2423" dataDxfId="28364" totalsRowDxfId="28363"/>
    <tableColumn id="2438" xr3:uid="{C3A0668E-1CFB-4785-9AFE-41D13276F0BB}" name="Column2424" dataDxfId="28362" totalsRowDxfId="28361"/>
    <tableColumn id="2439" xr3:uid="{8C7313C3-B85D-452A-861A-CFDA2719B480}" name="Column2425" dataDxfId="28360" totalsRowDxfId="28359"/>
    <tableColumn id="2440" xr3:uid="{AAB11F2E-A99E-40DE-A4F7-F59F3E75E12D}" name="Column2426" dataDxfId="28358" totalsRowDxfId="28357"/>
    <tableColumn id="2441" xr3:uid="{8A2C1704-7A42-4830-8B51-6650C9FCA61F}" name="Column2427" dataDxfId="28356" totalsRowDxfId="28355"/>
    <tableColumn id="2442" xr3:uid="{C0768829-6085-44D3-861F-F0AC3D4D255E}" name="Column2428" dataDxfId="28354" totalsRowDxfId="28353"/>
    <tableColumn id="2443" xr3:uid="{2CFE4FA9-62EE-4314-A45D-BFE226D4BA9C}" name="Column2429" dataDxfId="28352" totalsRowDxfId="28351"/>
    <tableColumn id="2444" xr3:uid="{0DB6C46A-7D61-4349-9744-C91F7A73382B}" name="Column2430" dataDxfId="28350" totalsRowDxfId="28349"/>
    <tableColumn id="2445" xr3:uid="{9E0A1FD7-2D4F-48DE-8F36-0A14C5976A58}" name="Column2431" dataDxfId="28348" totalsRowDxfId="28347"/>
    <tableColumn id="2446" xr3:uid="{2EEFD48E-ADA5-4FC3-86A5-3B762BDA4DA4}" name="Column2432" dataDxfId="28346" totalsRowDxfId="28345"/>
    <tableColumn id="2447" xr3:uid="{C1C5DF57-AF17-4E02-93A8-B78B8C8236D6}" name="Column2433" dataDxfId="28344" totalsRowDxfId="28343"/>
    <tableColumn id="2448" xr3:uid="{427E5298-09E1-4C29-8882-D10D39D9EACB}" name="Column2434" dataDxfId="28342" totalsRowDxfId="28341"/>
    <tableColumn id="2449" xr3:uid="{EACD03C9-26A9-4124-BE8E-40EB2362EFDD}" name="Column2435" dataDxfId="28340" totalsRowDxfId="28339"/>
    <tableColumn id="2450" xr3:uid="{912921E8-954A-4B25-815A-89F1D223B6B9}" name="Column2436" dataDxfId="28338" totalsRowDxfId="28337"/>
    <tableColumn id="2451" xr3:uid="{DC809177-8F2F-4ED0-B475-D19D540F0C6E}" name="Column2437" dataDxfId="28336" totalsRowDxfId="28335"/>
    <tableColumn id="2452" xr3:uid="{983C08B9-9275-481D-8F1B-CDB256245598}" name="Column2438" dataDxfId="28334" totalsRowDxfId="28333"/>
    <tableColumn id="2453" xr3:uid="{D69247FE-F311-42D6-BD7F-1C11EB03C7C9}" name="Column2439" dataDxfId="28332" totalsRowDxfId="28331"/>
    <tableColumn id="2454" xr3:uid="{54DB9311-F739-4401-86D1-AF733A308AF0}" name="Column2440" dataDxfId="28330" totalsRowDxfId="28329"/>
    <tableColumn id="2455" xr3:uid="{B984E0A9-8F57-47C0-B09F-2E6CBA069E6A}" name="Column2441" dataDxfId="28328" totalsRowDxfId="28327"/>
    <tableColumn id="2456" xr3:uid="{6EABDF50-4817-4F1A-8613-6A5F5D8907FD}" name="Column2442" dataDxfId="28326" totalsRowDxfId="28325"/>
    <tableColumn id="2457" xr3:uid="{9CDF7D0C-AD8C-4967-BA1C-2E9F12A72976}" name="Column2443" dataDxfId="28324" totalsRowDxfId="28323"/>
    <tableColumn id="2458" xr3:uid="{BD49AB9C-4EBB-4BEE-874E-2BF2CDACE24F}" name="Column2444" dataDxfId="28322" totalsRowDxfId="28321"/>
    <tableColumn id="2459" xr3:uid="{F5203862-31F1-4132-B60E-11CBB7C6A1EA}" name="Column2445" dataDxfId="28320" totalsRowDxfId="28319"/>
    <tableColumn id="2460" xr3:uid="{0A4E8927-8FF2-4455-B91B-772753527C2A}" name="Column2446" dataDxfId="28318" totalsRowDxfId="28317"/>
    <tableColumn id="2461" xr3:uid="{41BDCA56-6CF5-455B-8527-542EB75349A6}" name="Column2447" dataDxfId="28316" totalsRowDxfId="28315"/>
    <tableColumn id="2462" xr3:uid="{0F4651A0-9EBD-499F-B456-59A883C3D0CB}" name="Column2448" dataDxfId="28314" totalsRowDxfId="28313"/>
    <tableColumn id="2463" xr3:uid="{AE6BBB06-020D-4046-97B1-BDCE207B1140}" name="Column2449" dataDxfId="28312" totalsRowDxfId="28311"/>
    <tableColumn id="2464" xr3:uid="{D229415C-7376-42F2-A15A-4F9E5C521D25}" name="Column2450" dataDxfId="28310" totalsRowDxfId="28309"/>
    <tableColumn id="2465" xr3:uid="{82EEC6D9-AF90-4B8E-8B19-1362CB2FA9FD}" name="Column2451" dataDxfId="28308" totalsRowDxfId="28307"/>
    <tableColumn id="2466" xr3:uid="{D505C9D7-6AEF-41B7-B8DB-2E2E84F6C567}" name="Column2452" dataDxfId="28306" totalsRowDxfId="28305"/>
    <tableColumn id="2467" xr3:uid="{FBE1485C-6322-47FF-9DF2-8D546FD06EBA}" name="Column2453" dataDxfId="28304" totalsRowDxfId="28303"/>
    <tableColumn id="2468" xr3:uid="{FDA895FC-9E26-47C0-823A-CC4C6BB42679}" name="Column2454" dataDxfId="28302" totalsRowDxfId="28301"/>
    <tableColumn id="2469" xr3:uid="{5CC123D3-BE4D-4AA8-A587-C091D90683DE}" name="Column2455" dataDxfId="28300" totalsRowDxfId="28299"/>
    <tableColumn id="2470" xr3:uid="{B24C9612-3EC6-4707-AF41-1329F3BF8255}" name="Column2456" dataDxfId="28298" totalsRowDxfId="28297"/>
    <tableColumn id="2471" xr3:uid="{E42540A7-C8FB-4627-93B9-13D476A340F8}" name="Column2457" dataDxfId="28296" totalsRowDxfId="28295"/>
    <tableColumn id="2472" xr3:uid="{A2EB5867-1CC4-4D1E-BA28-C488C869D1F6}" name="Column2458" dataDxfId="28294" totalsRowDxfId="28293"/>
    <tableColumn id="2473" xr3:uid="{B1A06D71-1B7C-4D2B-809E-CEFC0CF315E7}" name="Column2459" dataDxfId="28292" totalsRowDxfId="28291"/>
    <tableColumn id="2474" xr3:uid="{55C00F58-8062-4638-91EC-1C0C2D182E48}" name="Column2460" dataDxfId="28290" totalsRowDxfId="28289"/>
    <tableColumn id="2475" xr3:uid="{9AD0AF28-3E0E-4259-B693-0F5E3C777169}" name="Column2461" dataDxfId="28288" totalsRowDxfId="28287"/>
    <tableColumn id="2476" xr3:uid="{38848F12-87DA-493A-8B36-C48E7A9A1672}" name="Column2462" dataDxfId="28286" totalsRowDxfId="28285"/>
    <tableColumn id="2477" xr3:uid="{7EEF3AE4-80D5-4FA4-8588-570E327C2BE5}" name="Column2463" dataDxfId="28284" totalsRowDxfId="28283"/>
    <tableColumn id="2478" xr3:uid="{0B5674D0-0B9C-4F8A-99F5-792B6E8F9593}" name="Column2464" dataDxfId="28282" totalsRowDxfId="28281"/>
    <tableColumn id="2479" xr3:uid="{3D1D3CCF-0077-4842-A2A8-429418661484}" name="Column2465" dataDxfId="28280" totalsRowDxfId="28279"/>
    <tableColumn id="2480" xr3:uid="{622262DE-4FD4-4F7F-88B6-60852D3AC7DE}" name="Column2466" dataDxfId="28278" totalsRowDxfId="28277"/>
    <tableColumn id="2481" xr3:uid="{67A5EFDA-EAE3-41C6-B09B-5EDC313722AB}" name="Column2467" dataDxfId="28276" totalsRowDxfId="28275"/>
    <tableColumn id="2482" xr3:uid="{105A3DF6-7A2A-4480-9F8A-6DA416122E70}" name="Column2468" dataDxfId="28274" totalsRowDxfId="28273"/>
    <tableColumn id="2483" xr3:uid="{11C1E0B2-2F9A-4018-8ECD-E27FA9DDF128}" name="Column2469" dataDxfId="28272" totalsRowDxfId="28271"/>
    <tableColumn id="2484" xr3:uid="{EA1BE12C-071D-4ED6-8F41-570EB597522E}" name="Column2470" dataDxfId="28270" totalsRowDxfId="28269"/>
    <tableColumn id="2485" xr3:uid="{1BFA31F3-E7F8-4FAC-B559-E1769762F67E}" name="Column2471" dataDxfId="28268" totalsRowDxfId="28267"/>
    <tableColumn id="2486" xr3:uid="{46E8A0FF-4ED5-442D-8AC1-CA5364C41A4C}" name="Column2472" dataDxfId="28266" totalsRowDxfId="28265"/>
    <tableColumn id="2487" xr3:uid="{67B13608-A68A-4E55-9759-504B7DB31636}" name="Column2473" dataDxfId="28264" totalsRowDxfId="28263"/>
    <tableColumn id="2488" xr3:uid="{AB9EA7BF-DA29-4C07-8269-FF69732BE95B}" name="Column2474" dataDxfId="28262" totalsRowDxfId="28261"/>
    <tableColumn id="2489" xr3:uid="{17AE953C-B5B4-45A4-81FE-DC99913F4345}" name="Column2475" dataDxfId="28260" totalsRowDxfId="28259"/>
    <tableColumn id="2490" xr3:uid="{21817ABC-A532-4CEC-88DB-2AFE5160AD26}" name="Column2476" dataDxfId="28258" totalsRowDxfId="28257"/>
    <tableColumn id="2491" xr3:uid="{5C3A9215-79F3-471B-A76B-3ECD8A06844B}" name="Column2477" dataDxfId="28256" totalsRowDxfId="28255"/>
    <tableColumn id="2492" xr3:uid="{064814FC-F010-4916-805D-366AC809E9F9}" name="Column2478" dataDxfId="28254" totalsRowDxfId="28253"/>
    <tableColumn id="2493" xr3:uid="{67318BCE-9FF4-4B9E-9B68-74500F20B23D}" name="Column2479" dataDxfId="28252" totalsRowDxfId="28251"/>
    <tableColumn id="2494" xr3:uid="{17B595BF-F790-4961-BF8C-E6CC25D65DB5}" name="Column2480" dataDxfId="28250" totalsRowDxfId="28249"/>
    <tableColumn id="2495" xr3:uid="{8329AE3C-4E7B-4E74-A8E8-220625DAC448}" name="Column2481" dataDxfId="28248" totalsRowDxfId="28247"/>
    <tableColumn id="2496" xr3:uid="{A5A18A1E-0C33-48E9-AD29-8C710C7E297B}" name="Column2482" dataDxfId="28246" totalsRowDxfId="28245"/>
    <tableColumn id="2497" xr3:uid="{0FEE3D3F-4FC3-4C53-87A4-3FBE257184F3}" name="Column2483" dataDxfId="28244" totalsRowDxfId="28243"/>
    <tableColumn id="2498" xr3:uid="{D05A0AF8-F0D8-4A1C-B4EE-788A76A5EE82}" name="Column2484" dataDxfId="28242" totalsRowDxfId="28241"/>
    <tableColumn id="2499" xr3:uid="{09ADD866-E3D8-4AA2-8A54-EC5E6E449BFE}" name="Column2485" dataDxfId="28240" totalsRowDxfId="28239"/>
    <tableColumn id="2500" xr3:uid="{83D7760B-930D-49FD-9036-94944A664F86}" name="Column2486" dataDxfId="28238" totalsRowDxfId="28237"/>
    <tableColumn id="2501" xr3:uid="{4E2A5314-B133-486A-82D2-D274919668D8}" name="Column2487" dataDxfId="28236" totalsRowDxfId="28235"/>
    <tableColumn id="2502" xr3:uid="{06B8C6F3-64D1-467E-9E3F-6F8F1C81313D}" name="Column2488" dataDxfId="28234" totalsRowDxfId="28233"/>
    <tableColumn id="2503" xr3:uid="{02BEFB0D-0858-4693-A387-B8D000DA8BF4}" name="Column2489" dataDxfId="28232" totalsRowDxfId="28231"/>
    <tableColumn id="2504" xr3:uid="{2197BC02-6055-4B52-B6CE-428ED6E4AE47}" name="Column2490" dataDxfId="28230" totalsRowDxfId="28229"/>
    <tableColumn id="2505" xr3:uid="{97EC514A-2ADD-4B0B-B68E-FE09AA985252}" name="Column2491" dataDxfId="28228" totalsRowDxfId="28227"/>
    <tableColumn id="2506" xr3:uid="{F2894D19-0948-442A-9E53-6419195DC62F}" name="Column2492" dataDxfId="28226" totalsRowDxfId="28225"/>
    <tableColumn id="2507" xr3:uid="{BB58890E-4C25-47E9-9AF5-331C8E86CDF2}" name="Column2493" dataDxfId="28224" totalsRowDxfId="28223"/>
    <tableColumn id="2508" xr3:uid="{AB54977B-7B31-4C68-B220-C545E8743130}" name="Column2494" dataDxfId="28222" totalsRowDxfId="28221"/>
    <tableColumn id="2509" xr3:uid="{F1E4F121-3D3B-49C0-9501-272F0D7925ED}" name="Column2495" dataDxfId="28220" totalsRowDxfId="28219"/>
    <tableColumn id="2510" xr3:uid="{EA2B1AD4-1220-4BB5-87E8-E0BC4C60BC7F}" name="Column2496" dataDxfId="28218" totalsRowDxfId="28217"/>
    <tableColumn id="2511" xr3:uid="{F2CB4E9E-BD43-46E0-9D36-0B6855D370D2}" name="Column2497" dataDxfId="28216" totalsRowDxfId="28215"/>
    <tableColumn id="2512" xr3:uid="{FC2936C2-FF7A-4EA2-B706-90BF18B03278}" name="Column2498" dataDxfId="28214" totalsRowDxfId="28213"/>
    <tableColumn id="2513" xr3:uid="{2601D32B-7F72-451C-AE9E-7C865A53D442}" name="Column2499" dataDxfId="28212" totalsRowDxfId="28211"/>
    <tableColumn id="2514" xr3:uid="{B215E20C-A603-43BB-A58F-D16021BEC33A}" name="Column2500" dataDxfId="28210" totalsRowDxfId="28209"/>
    <tableColumn id="2515" xr3:uid="{C2BC324C-EE54-454F-AC8D-A51B44FF482C}" name="Column2501" dataDxfId="28208" totalsRowDxfId="28207"/>
    <tableColumn id="2516" xr3:uid="{C40215E6-DCCB-4D8A-BFA5-A7B8FFCE3407}" name="Column2502" dataDxfId="28206" totalsRowDxfId="28205"/>
    <tableColumn id="2517" xr3:uid="{BCE0ADF3-317D-4659-AED2-D0D060D0A259}" name="Column2503" dataDxfId="28204" totalsRowDxfId="28203"/>
    <tableColumn id="2518" xr3:uid="{FD57174A-22C3-4917-AC20-0C6256D0FDF5}" name="Column2504" dataDxfId="28202" totalsRowDxfId="28201"/>
    <tableColumn id="2519" xr3:uid="{C6FC6CD9-B6E6-496F-BF66-878C11D128F5}" name="Column2505" dataDxfId="28200" totalsRowDxfId="28199"/>
    <tableColumn id="2520" xr3:uid="{2C4FA23F-9442-4FD6-8CFF-CEA8D1FA1484}" name="Column2506" dataDxfId="28198" totalsRowDxfId="28197"/>
    <tableColumn id="2521" xr3:uid="{EEADA207-75EB-4B34-9A98-01E99CDC6321}" name="Column2507" dataDxfId="28196" totalsRowDxfId="28195"/>
    <tableColumn id="2522" xr3:uid="{181B6516-F15A-42B3-9AF1-3EF02E66682F}" name="Column2508" dataDxfId="28194" totalsRowDxfId="28193"/>
    <tableColumn id="2523" xr3:uid="{10404032-955E-4044-8047-25BB96598679}" name="Column2509" dataDxfId="28192" totalsRowDxfId="28191"/>
    <tableColumn id="2524" xr3:uid="{015632A2-03AD-4FB2-9B7B-58D253A455DE}" name="Column2510" dataDxfId="28190" totalsRowDxfId="28189"/>
    <tableColumn id="2525" xr3:uid="{5D2A73AD-60F1-45DD-80C9-AA79A6B7F1AB}" name="Column2511" dataDxfId="28188" totalsRowDxfId="28187"/>
    <tableColumn id="2526" xr3:uid="{26BDE44E-9A9B-4BEF-9B5A-07C41B4E02B5}" name="Column2512" dataDxfId="28186" totalsRowDxfId="28185"/>
    <tableColumn id="2527" xr3:uid="{7C541E82-1C1B-4ADE-8732-BF529B9708A4}" name="Column2513" dataDxfId="28184" totalsRowDxfId="28183"/>
    <tableColumn id="2528" xr3:uid="{202C2019-E730-486A-A3F2-EC0617542377}" name="Column2514" dataDxfId="28182" totalsRowDxfId="28181"/>
    <tableColumn id="2529" xr3:uid="{1CC6AAB8-5E4D-4B57-B701-7D94BB93D192}" name="Column2515" dataDxfId="28180" totalsRowDxfId="28179"/>
    <tableColumn id="2530" xr3:uid="{2B830279-E21A-46B0-BC3C-9D03DACCDB99}" name="Column2516" dataDxfId="28178" totalsRowDxfId="28177"/>
    <tableColumn id="2531" xr3:uid="{E12B6CFA-85BE-4F92-A256-1523724548BF}" name="Column2517" dataDxfId="28176" totalsRowDxfId="28175"/>
    <tableColumn id="2532" xr3:uid="{A3E23E6F-AF3E-46EC-B2C6-5AA78A61202B}" name="Column2518" dataDxfId="28174" totalsRowDxfId="28173"/>
    <tableColumn id="2533" xr3:uid="{807E566B-CC15-4F44-B723-4D2BD7810FC8}" name="Column2519" dataDxfId="28172" totalsRowDxfId="28171"/>
    <tableColumn id="2534" xr3:uid="{0E0E17A0-1652-4C9C-87F5-572E2026B927}" name="Column2520" dataDxfId="28170" totalsRowDxfId="28169"/>
    <tableColumn id="2535" xr3:uid="{99483920-F91D-4A75-ACC8-29A0D2985C01}" name="Column2521" dataDxfId="28168" totalsRowDxfId="28167"/>
    <tableColumn id="2536" xr3:uid="{43C97321-1533-4961-ACDA-D5A8F9F1FDC1}" name="Column2522" dataDxfId="28166" totalsRowDxfId="28165"/>
    <tableColumn id="2537" xr3:uid="{A9AE0975-9261-4527-8D38-6AA073E593D4}" name="Column2523" dataDxfId="28164" totalsRowDxfId="28163"/>
    <tableColumn id="2538" xr3:uid="{17BB885C-4E59-4C4E-BC18-2BF29EAF1E0B}" name="Column2524" dataDxfId="28162" totalsRowDxfId="28161"/>
    <tableColumn id="2539" xr3:uid="{395F08EB-27D8-489E-BE86-B4D4DD9D2BD0}" name="Column2525" dataDxfId="28160" totalsRowDxfId="28159"/>
    <tableColumn id="2540" xr3:uid="{D5F4A856-1B92-49B8-B0AC-272BF280B5C3}" name="Column2526" dataDxfId="28158" totalsRowDxfId="28157"/>
    <tableColumn id="2541" xr3:uid="{AD0F46B5-E792-427F-A57B-CD24FE227C86}" name="Column2527" dataDxfId="28156" totalsRowDxfId="28155"/>
    <tableColumn id="2542" xr3:uid="{7A602245-0A39-43B4-AAE7-515810C92CB6}" name="Column2528" dataDxfId="28154" totalsRowDxfId="28153"/>
    <tableColumn id="2543" xr3:uid="{1C865D89-7CD0-4E25-B936-649CA3FA0450}" name="Column2529" dataDxfId="28152" totalsRowDxfId="28151"/>
    <tableColumn id="2544" xr3:uid="{D58A7A2A-C9D2-4ACB-9591-1F453305F831}" name="Column2530" dataDxfId="28150" totalsRowDxfId="28149"/>
    <tableColumn id="2545" xr3:uid="{807B3AA7-2A7B-45EA-B128-9AB12836A47C}" name="Column2531" dataDxfId="28148" totalsRowDxfId="28147"/>
    <tableColumn id="2546" xr3:uid="{A6DAE46C-B32C-4026-8814-2F689224BB93}" name="Column2532" dataDxfId="28146" totalsRowDxfId="28145"/>
    <tableColumn id="2547" xr3:uid="{D8D95707-B24C-49F8-BABD-05771EE3200F}" name="Column2533" dataDxfId="28144" totalsRowDxfId="28143"/>
    <tableColumn id="2548" xr3:uid="{9C7E7DD7-8655-4AAC-9544-5F0F34E661A9}" name="Column2534" dataDxfId="28142" totalsRowDxfId="28141"/>
    <tableColumn id="2549" xr3:uid="{DD81DFFF-2043-4880-8073-51B876EA57FF}" name="Column2535" dataDxfId="28140" totalsRowDxfId="28139"/>
    <tableColumn id="2550" xr3:uid="{C34B2A5A-87C1-4D3E-A290-609D486C2CA5}" name="Column2536" dataDxfId="28138" totalsRowDxfId="28137"/>
    <tableColumn id="2551" xr3:uid="{5BA65569-CCA2-4419-A35B-E7A309FB5136}" name="Column2537" dataDxfId="28136" totalsRowDxfId="28135"/>
    <tableColumn id="2552" xr3:uid="{8FB13C33-A4B4-43D4-BB6D-8324447FEC11}" name="Column2538" dataDxfId="28134" totalsRowDxfId="28133"/>
    <tableColumn id="2553" xr3:uid="{65A6480F-3C94-4DA6-B4EB-87533B3DE1AD}" name="Column2539" dataDxfId="28132" totalsRowDxfId="28131"/>
    <tableColumn id="2554" xr3:uid="{F93EAB88-0614-4712-801D-76B37F9DA83B}" name="Column2540" dataDxfId="28130" totalsRowDxfId="28129"/>
    <tableColumn id="2555" xr3:uid="{81C1D60A-EAD4-4B41-8F7D-E538F8131E30}" name="Column2541" dataDxfId="28128" totalsRowDxfId="28127"/>
    <tableColumn id="2556" xr3:uid="{CC2B11E6-2212-4368-ACC9-DDE2FD1F13BE}" name="Column2542" dataDxfId="28126" totalsRowDxfId="28125"/>
    <tableColumn id="2557" xr3:uid="{16EB21C1-0143-4F38-B284-5E8C210DC878}" name="Column2543" dataDxfId="28124" totalsRowDxfId="28123"/>
    <tableColumn id="2558" xr3:uid="{3361833D-5906-4F41-9D8E-46B2AD1B0FAA}" name="Column2544" dataDxfId="28122" totalsRowDxfId="28121"/>
    <tableColumn id="2559" xr3:uid="{D7EAC811-5D6D-4550-B86E-039850CFCC11}" name="Column2545" dataDxfId="28120" totalsRowDxfId="28119"/>
    <tableColumn id="2560" xr3:uid="{EE16E1CC-4A5D-4163-82FB-EEDDB66316F4}" name="Column2546" dataDxfId="28118" totalsRowDxfId="28117"/>
    <tableColumn id="2561" xr3:uid="{E71BD2D8-1C29-4A30-A04C-0F6F7A35AE3B}" name="Column2547" dataDxfId="28116" totalsRowDxfId="28115"/>
    <tableColumn id="2562" xr3:uid="{D0E85E4F-EBF6-4166-B495-0610898E7D33}" name="Column2548" dataDxfId="28114" totalsRowDxfId="28113"/>
    <tableColumn id="2563" xr3:uid="{FE411C45-90C3-415B-BD08-F7A7E041E96F}" name="Column2549" dataDxfId="28112" totalsRowDxfId="28111"/>
    <tableColumn id="2564" xr3:uid="{2457067C-1ADB-46E6-A781-DA9811FEFC3B}" name="Column2550" dataDxfId="28110" totalsRowDxfId="28109"/>
    <tableColumn id="2565" xr3:uid="{FFC5601D-3CEF-431E-B760-C6FF02E24C72}" name="Column2551" dataDxfId="28108" totalsRowDxfId="28107"/>
    <tableColumn id="2566" xr3:uid="{FC67F080-8D8D-4F12-8BCC-15DBFF1ECA2E}" name="Column2552" dataDxfId="28106" totalsRowDxfId="28105"/>
    <tableColumn id="2567" xr3:uid="{AA38D4F9-30C1-43B5-951B-63AA79D7573A}" name="Column2553" dataDxfId="28104" totalsRowDxfId="28103"/>
    <tableColumn id="2568" xr3:uid="{92383901-B6F5-46D6-ADB3-169CCD0B718C}" name="Column2554" dataDxfId="28102" totalsRowDxfId="28101"/>
    <tableColumn id="2569" xr3:uid="{A9EED86D-AD77-4257-90BD-0DDF2B93F615}" name="Column2555" dataDxfId="28100" totalsRowDxfId="28099"/>
    <tableColumn id="2570" xr3:uid="{97E84FB0-F57A-484A-BB11-B7CF10434A80}" name="Column2556" dataDxfId="28098" totalsRowDxfId="28097"/>
    <tableColumn id="2571" xr3:uid="{FC727882-D27A-4995-8C8E-0B9ED815F2A9}" name="Column2557" dataDxfId="28096" totalsRowDxfId="28095"/>
    <tableColumn id="2572" xr3:uid="{CA1F7A52-BEB7-41BC-BC22-61901E15E44D}" name="Column2558" dataDxfId="28094" totalsRowDxfId="28093"/>
    <tableColumn id="2573" xr3:uid="{740AAD97-8D95-4AC1-A2C6-D952D997EBC2}" name="Column2559" dataDxfId="28092" totalsRowDxfId="28091"/>
    <tableColumn id="2574" xr3:uid="{DE58460B-5D9A-42E1-8A82-C460D38E3DFD}" name="Column2560" dataDxfId="28090" totalsRowDxfId="28089"/>
    <tableColumn id="2575" xr3:uid="{454B7DB8-81AB-457E-B628-46B8C6FC2DD0}" name="Column2561" dataDxfId="28088" totalsRowDxfId="28087"/>
    <tableColumn id="2576" xr3:uid="{193E1AD1-0478-4CAD-B405-BBC10066CF7F}" name="Column2562" dataDxfId="28086" totalsRowDxfId="28085"/>
    <tableColumn id="2577" xr3:uid="{E8D00A78-98E6-4D22-BFB2-158D2AB73E78}" name="Column2563" dataDxfId="28084" totalsRowDxfId="28083"/>
    <tableColumn id="2578" xr3:uid="{6E7A435C-68D3-4BFD-AA20-E00C88A99825}" name="Column2564" dataDxfId="28082" totalsRowDxfId="28081"/>
    <tableColumn id="2579" xr3:uid="{05CF5C0A-EF2F-4984-82C5-82FA3F2E50A3}" name="Column2565" dataDxfId="28080" totalsRowDxfId="28079"/>
    <tableColumn id="2580" xr3:uid="{B415DD02-BAC5-4C10-A5ED-27C507327E04}" name="Column2566" dataDxfId="28078" totalsRowDxfId="28077"/>
    <tableColumn id="2581" xr3:uid="{4B1BCE37-1049-45C5-8595-1FFE9820EEBF}" name="Column2567" dataDxfId="28076" totalsRowDxfId="28075"/>
    <tableColumn id="2582" xr3:uid="{B9275EB4-D447-4462-BDBE-6A2D56D94DEB}" name="Column2568" dataDxfId="28074" totalsRowDxfId="28073"/>
    <tableColumn id="2583" xr3:uid="{DD4EDFA0-A5E1-4329-9772-9E5A4139924E}" name="Column2569" dataDxfId="28072" totalsRowDxfId="28071"/>
    <tableColumn id="2584" xr3:uid="{3B0536C0-C57F-4F1B-BF84-A24046A0170F}" name="Column2570" dataDxfId="28070" totalsRowDxfId="28069"/>
    <tableColumn id="2585" xr3:uid="{D00E4CFF-E7CD-4F05-93BF-140390242BE4}" name="Column2571" dataDxfId="28068" totalsRowDxfId="28067"/>
    <tableColumn id="2586" xr3:uid="{E0048B06-3768-43B3-A5D5-7BDCC873A593}" name="Column2572" dataDxfId="28066" totalsRowDxfId="28065"/>
    <tableColumn id="2587" xr3:uid="{AB14DC77-B8C6-4D5B-8EE3-CE75EAED96A2}" name="Column2573" dataDxfId="28064" totalsRowDxfId="28063"/>
    <tableColumn id="2588" xr3:uid="{F8679CCA-4DA5-4933-91A8-D7872EDB9304}" name="Column2574" dataDxfId="28062" totalsRowDxfId="28061"/>
    <tableColumn id="2589" xr3:uid="{1E12B66C-A07D-409A-AE64-91FFA3EEE577}" name="Column2575" dataDxfId="28060" totalsRowDxfId="28059"/>
    <tableColumn id="2590" xr3:uid="{0F5AE353-33DC-426F-B06F-F515FC82B450}" name="Column2576" dataDxfId="28058" totalsRowDxfId="28057"/>
    <tableColumn id="2591" xr3:uid="{B72AA08F-11AF-4340-88D2-96B5C15858B3}" name="Column2577" dataDxfId="28056" totalsRowDxfId="28055"/>
    <tableColumn id="2592" xr3:uid="{D151BF3A-5E58-4BD8-BD92-0E0CAFEBE3AC}" name="Column2578" dataDxfId="28054" totalsRowDxfId="28053"/>
    <tableColumn id="2593" xr3:uid="{54512551-E0D4-44FD-AAE4-AC1EDF0AF95A}" name="Column2579" dataDxfId="28052" totalsRowDxfId="28051"/>
    <tableColumn id="2594" xr3:uid="{CFAC24CD-7CEC-4DBD-9DA5-3C9485314A8F}" name="Column2580" dataDxfId="28050" totalsRowDxfId="28049"/>
    <tableColumn id="2595" xr3:uid="{9BAA1572-325D-4984-8B7F-B06F631FFCD1}" name="Column2581" dataDxfId="28048" totalsRowDxfId="28047"/>
    <tableColumn id="2596" xr3:uid="{983A1150-0AE1-40A9-8E27-2C2C40D85F1B}" name="Column2582" dataDxfId="28046" totalsRowDxfId="28045"/>
    <tableColumn id="2597" xr3:uid="{2687E99D-BA2D-444B-AF34-776C2EBF060B}" name="Column2583" dataDxfId="28044" totalsRowDxfId="28043"/>
    <tableColumn id="2598" xr3:uid="{88FCD58F-916F-4FA7-8641-83FAD95EE1DF}" name="Column2584" dataDxfId="28042" totalsRowDxfId="28041"/>
    <tableColumn id="2599" xr3:uid="{6087F91D-F13D-4FEE-AD62-4C9CD262D3C9}" name="Column2585" dataDxfId="28040" totalsRowDxfId="28039"/>
    <tableColumn id="2600" xr3:uid="{0C9A6872-66BA-4CD4-ABEE-685FCF30E107}" name="Column2586" dataDxfId="28038" totalsRowDxfId="28037"/>
    <tableColumn id="2601" xr3:uid="{F692E1F9-7B8A-46D6-9C95-1C3FAA28783C}" name="Column2587" dataDxfId="28036" totalsRowDxfId="28035"/>
    <tableColumn id="2602" xr3:uid="{73226BB7-FE08-4965-85E0-A12F937B9B53}" name="Column2588" dataDxfId="28034" totalsRowDxfId="28033"/>
    <tableColumn id="2603" xr3:uid="{609A78CB-47BC-4E3D-8EB4-EB0198DFD0EA}" name="Column2589" dataDxfId="28032" totalsRowDxfId="28031"/>
    <tableColumn id="2604" xr3:uid="{5F791ABC-B0A7-4759-BCB0-B1CC9EC8C1F2}" name="Column2590" dataDxfId="28030" totalsRowDxfId="28029"/>
    <tableColumn id="2605" xr3:uid="{A3B10E49-86FC-46BE-93E0-77055F555F25}" name="Column2591" dataDxfId="28028" totalsRowDxfId="28027"/>
    <tableColumn id="2606" xr3:uid="{39D956EE-50A1-4C22-A321-73DE792F1178}" name="Column2592" dataDxfId="28026" totalsRowDxfId="28025"/>
    <tableColumn id="2607" xr3:uid="{FB0C0638-71F0-4C94-88B5-D2521ECBE46B}" name="Column2593" dataDxfId="28024" totalsRowDxfId="28023"/>
    <tableColumn id="2608" xr3:uid="{060A4011-3528-46D8-B6CE-4F8DB571E917}" name="Column2594" dataDxfId="28022" totalsRowDxfId="28021"/>
    <tableColumn id="2609" xr3:uid="{4BD19921-CB87-498F-9DBA-7F0F9B61A11A}" name="Column2595" dataDxfId="28020" totalsRowDxfId="28019"/>
    <tableColumn id="2610" xr3:uid="{AD8691CC-3B4E-49E8-998D-E8A3CB81B9F1}" name="Column2596" dataDxfId="28018" totalsRowDxfId="28017"/>
    <tableColumn id="2611" xr3:uid="{BA14495B-F22C-41AE-8A08-B2132523D66B}" name="Column2597" dataDxfId="28016" totalsRowDxfId="28015"/>
    <tableColumn id="2612" xr3:uid="{5929E073-B004-4941-ACCB-C6AAB7A7FAD3}" name="Column2598" dataDxfId="28014" totalsRowDxfId="28013"/>
    <tableColumn id="2613" xr3:uid="{93B348BC-F046-4F06-BC3C-53023E07D181}" name="Column2599" dataDxfId="28012" totalsRowDxfId="28011"/>
    <tableColumn id="2614" xr3:uid="{F65F03F9-60AB-485F-9F98-ED8299B15606}" name="Column2600" dataDxfId="28010" totalsRowDxfId="28009"/>
    <tableColumn id="2615" xr3:uid="{3FC8689F-8DC2-4C00-B58D-5B66B7334716}" name="Column2601" dataDxfId="28008" totalsRowDxfId="28007"/>
    <tableColumn id="2616" xr3:uid="{DB4474D7-D2F8-4264-91D2-620004D4286D}" name="Column2602" dataDxfId="28006" totalsRowDxfId="28005"/>
    <tableColumn id="2617" xr3:uid="{15AECA08-0E7A-43AA-9160-7BD2E9CD6E68}" name="Column2603" dataDxfId="28004" totalsRowDxfId="28003"/>
    <tableColumn id="2618" xr3:uid="{A5E1C368-34ED-4FC2-8EAB-1524362AE41F}" name="Column2604" dataDxfId="28002" totalsRowDxfId="28001"/>
    <tableColumn id="2619" xr3:uid="{9F398B24-881E-42D0-9143-37436B01FEDF}" name="Column2605" dataDxfId="28000" totalsRowDxfId="27999"/>
    <tableColumn id="2620" xr3:uid="{9E5722EF-5129-4E9F-9C86-7A7A032BEAF1}" name="Column2606" dataDxfId="27998" totalsRowDxfId="27997"/>
    <tableColumn id="2621" xr3:uid="{3224A088-3B0D-4F81-9E1E-71D83328F04E}" name="Column2607" dataDxfId="27996" totalsRowDxfId="27995"/>
    <tableColumn id="2622" xr3:uid="{DE514BE8-CED0-48ED-8153-A7A8DF4C313B}" name="Column2608" dataDxfId="27994" totalsRowDxfId="27993"/>
    <tableColumn id="2623" xr3:uid="{2A84F16A-2BD5-4A9C-A671-DA3851E0CD1C}" name="Column2609" dataDxfId="27992" totalsRowDxfId="27991"/>
    <tableColumn id="2624" xr3:uid="{270B0FCD-1906-49BA-B46F-E9E698B1942B}" name="Column2610" dataDxfId="27990" totalsRowDxfId="27989"/>
    <tableColumn id="2625" xr3:uid="{886F0CB4-2434-458D-9410-DA7F8194F3EE}" name="Column2611" dataDxfId="27988" totalsRowDxfId="27987"/>
    <tableColumn id="2626" xr3:uid="{25D0EF87-676D-4D88-8BA4-CA6D96597A03}" name="Column2612" dataDxfId="27986" totalsRowDxfId="27985"/>
    <tableColumn id="2627" xr3:uid="{0E062B41-3B2D-42D5-AA19-44C873AB328A}" name="Column2613" dataDxfId="27984" totalsRowDxfId="27983"/>
    <tableColumn id="2628" xr3:uid="{97CA24E3-FCA6-4500-8883-F59AC9094864}" name="Column2614" dataDxfId="27982" totalsRowDxfId="27981"/>
    <tableColumn id="2629" xr3:uid="{16FAE856-4DF0-418D-84F5-8A78AB40969D}" name="Column2615" dataDxfId="27980" totalsRowDxfId="27979"/>
    <tableColumn id="2630" xr3:uid="{DF7D8C1B-588E-4EBB-8B68-181D6F7F22F8}" name="Column2616" dataDxfId="27978" totalsRowDxfId="27977"/>
    <tableColumn id="2631" xr3:uid="{74C96C1E-BED0-4810-9E2D-08F053DB22C5}" name="Column2617" dataDxfId="27976" totalsRowDxfId="27975"/>
    <tableColumn id="2632" xr3:uid="{CF3020A5-A113-4B58-803A-F53C366BC247}" name="Column2618" dataDxfId="27974" totalsRowDxfId="27973"/>
    <tableColumn id="2633" xr3:uid="{A7B14C79-4F9A-495A-B5C4-013D099D026D}" name="Column2619" dataDxfId="27972" totalsRowDxfId="27971"/>
    <tableColumn id="2634" xr3:uid="{77C6F032-82D4-4033-AB18-34ACB8F93182}" name="Column2620" dataDxfId="27970" totalsRowDxfId="27969"/>
    <tableColumn id="2635" xr3:uid="{5499A5FA-4B74-4D99-86D2-F20515D26638}" name="Column2621" dataDxfId="27968" totalsRowDxfId="27967"/>
    <tableColumn id="2636" xr3:uid="{6E991394-F18F-466A-85D6-7AAF037F185E}" name="Column2622" dataDxfId="27966" totalsRowDxfId="27965"/>
    <tableColumn id="2637" xr3:uid="{0F60C5CA-685F-421D-982A-FC96F0937B88}" name="Column2623" dataDxfId="27964" totalsRowDxfId="27963"/>
    <tableColumn id="2638" xr3:uid="{5C213453-AC85-4538-AF90-7BFC7624E72D}" name="Column2624" dataDxfId="27962" totalsRowDxfId="27961"/>
    <tableColumn id="2639" xr3:uid="{852BFD22-02C3-4D86-A9B5-4BC2EC34021F}" name="Column2625" dataDxfId="27960" totalsRowDxfId="27959"/>
    <tableColumn id="2640" xr3:uid="{B8F28028-7523-4C9C-85B1-74EA548AFF6A}" name="Column2626" dataDxfId="27958" totalsRowDxfId="27957"/>
    <tableColumn id="2641" xr3:uid="{42EDE14B-3FC8-4F36-8205-937521A42176}" name="Column2627" dataDxfId="27956" totalsRowDxfId="27955"/>
    <tableColumn id="2642" xr3:uid="{F786FF2B-A26D-4481-9E00-811BC39C4C13}" name="Column2628" dataDxfId="27954" totalsRowDxfId="27953"/>
    <tableColumn id="2643" xr3:uid="{79E5BD06-0EA7-4BDA-91BB-6CB96AE1D4DF}" name="Column2629" dataDxfId="27952" totalsRowDxfId="27951"/>
    <tableColumn id="2644" xr3:uid="{DF2F5DCE-3863-476D-8D8E-11BA13BED264}" name="Column2630" dataDxfId="27950" totalsRowDxfId="27949"/>
    <tableColumn id="2645" xr3:uid="{B8179067-6B91-4B7F-ADF7-E54299F650FF}" name="Column2631" dataDxfId="27948" totalsRowDxfId="27947"/>
    <tableColumn id="2646" xr3:uid="{EC5AE743-5AC6-4BF9-AA6E-86B66399BEA0}" name="Column2632" dataDxfId="27946" totalsRowDxfId="27945"/>
    <tableColumn id="2647" xr3:uid="{B991B578-C397-4380-9CD3-8A4C55B67E29}" name="Column2633" dataDxfId="27944" totalsRowDxfId="27943"/>
    <tableColumn id="2648" xr3:uid="{C5433369-9BD0-46B4-804A-44A7DAAA2EF2}" name="Column2634" dataDxfId="27942" totalsRowDxfId="27941"/>
    <tableColumn id="2649" xr3:uid="{C0F457B6-15C4-44DB-B7B7-DB585894408E}" name="Column2635" dataDxfId="27940" totalsRowDxfId="27939"/>
    <tableColumn id="2650" xr3:uid="{1C20922D-BF7C-439D-9AE6-A4A1B4B84B8D}" name="Column2636" dataDxfId="27938" totalsRowDxfId="27937"/>
    <tableColumn id="2651" xr3:uid="{904BE5BD-69DB-42DC-B8C4-E6B87B05DFDB}" name="Column2637" dataDxfId="27936" totalsRowDxfId="27935"/>
    <tableColumn id="2652" xr3:uid="{0FB0D889-BF5C-463F-B651-FCF8C7BA94AE}" name="Column2638" dataDxfId="27934" totalsRowDxfId="27933"/>
    <tableColumn id="2653" xr3:uid="{D1BD54FA-6843-4B72-9928-9F2A60A09407}" name="Column2639" dataDxfId="27932" totalsRowDxfId="27931"/>
    <tableColumn id="2654" xr3:uid="{E1FFB6F2-8876-4D77-ADC5-9D8ED30AB0A7}" name="Column2640" dataDxfId="27930" totalsRowDxfId="27929"/>
    <tableColumn id="2655" xr3:uid="{2B6A6016-179E-4562-97E9-3F2D886C7AE9}" name="Column2641" dataDxfId="27928" totalsRowDxfId="27927"/>
    <tableColumn id="2656" xr3:uid="{A3D0466D-41DE-484C-90AA-3ED9A5A39FF9}" name="Column2642" dataDxfId="27926" totalsRowDxfId="27925"/>
    <tableColumn id="2657" xr3:uid="{F91FC16F-BBE1-437A-8102-FA40E60D739C}" name="Column2643" dataDxfId="27924" totalsRowDxfId="27923"/>
    <tableColumn id="2658" xr3:uid="{D11E65EB-CB92-47EC-BF28-8BA73221F056}" name="Column2644" dataDxfId="27922" totalsRowDxfId="27921"/>
    <tableColumn id="2659" xr3:uid="{3737388E-4EBB-4E96-B629-C2F4D443CAB8}" name="Column2645" dataDxfId="27920" totalsRowDxfId="27919"/>
    <tableColumn id="2660" xr3:uid="{FA6245C0-C6DC-48E5-8DFD-AC89B993D065}" name="Column2646" dataDxfId="27918" totalsRowDxfId="27917"/>
    <tableColumn id="2661" xr3:uid="{28EB0CAE-807E-4C58-A167-C489FC65CB93}" name="Column2647" dataDxfId="27916" totalsRowDxfId="27915"/>
    <tableColumn id="2662" xr3:uid="{D45C582B-80E4-439D-86BC-4870AAFB3AA0}" name="Column2648" dataDxfId="27914" totalsRowDxfId="27913"/>
    <tableColumn id="2663" xr3:uid="{AAA8AF93-4BC8-40E5-9782-B482095AF7F1}" name="Column2649" dataDxfId="27912" totalsRowDxfId="27911"/>
    <tableColumn id="2664" xr3:uid="{55039AE2-DB52-4FFC-85CF-AD830E4876DC}" name="Column2650" dataDxfId="27910" totalsRowDxfId="27909"/>
    <tableColumn id="2665" xr3:uid="{0F91AE93-7076-4730-8E1A-E29E5A23129A}" name="Column2651" dataDxfId="27908" totalsRowDxfId="27907"/>
    <tableColumn id="2666" xr3:uid="{07CE5EFF-F3E6-4BCA-B197-60FA2B2F272A}" name="Column2652" dataDxfId="27906" totalsRowDxfId="27905"/>
    <tableColumn id="2667" xr3:uid="{FE121386-2B48-4B23-BCE1-DA9657566386}" name="Column2653" dataDxfId="27904" totalsRowDxfId="27903"/>
    <tableColumn id="2668" xr3:uid="{D762E756-5B04-4AD6-9EDB-449ED2A0B185}" name="Column2654" dataDxfId="27902" totalsRowDxfId="27901"/>
    <tableColumn id="2669" xr3:uid="{0431BFF9-AC0F-43BA-9135-91100F0B4EFA}" name="Column2655" dataDxfId="27900" totalsRowDxfId="27899"/>
    <tableColumn id="2670" xr3:uid="{2C2EC4E9-F7A2-49B1-9F30-379836463EBB}" name="Column2656" dataDxfId="27898" totalsRowDxfId="27897"/>
    <tableColumn id="2671" xr3:uid="{6D6FCD26-4129-4804-B730-7B4D3471BFF1}" name="Column2657" dataDxfId="27896" totalsRowDxfId="27895"/>
    <tableColumn id="2672" xr3:uid="{FA019399-5820-4A57-8739-9671577FF127}" name="Column2658" dataDxfId="27894" totalsRowDxfId="27893"/>
    <tableColumn id="2673" xr3:uid="{49604FD9-7977-4A72-99AA-A9876FD40673}" name="Column2659" dataDxfId="27892" totalsRowDxfId="27891"/>
    <tableColumn id="2674" xr3:uid="{0E7AE977-7BA8-4B20-A0C9-4765E4B6D5BE}" name="Column2660" dataDxfId="27890" totalsRowDxfId="27889"/>
    <tableColumn id="2675" xr3:uid="{27D72DD9-C77A-4B21-B8D1-A7BAE1CA78D4}" name="Column2661" dataDxfId="27888" totalsRowDxfId="27887"/>
    <tableColumn id="2676" xr3:uid="{00B6C9C4-AC95-4B44-99CF-88CCDACA5788}" name="Column2662" dataDxfId="27886" totalsRowDxfId="27885"/>
    <tableColumn id="2677" xr3:uid="{907DD777-2144-446D-A924-2F2CA4A75854}" name="Column2663" dataDxfId="27884" totalsRowDxfId="27883"/>
    <tableColumn id="2678" xr3:uid="{B9A1D2F5-7601-48F0-A9E4-F1C729E53A6C}" name="Column2664" dataDxfId="27882" totalsRowDxfId="27881"/>
    <tableColumn id="2679" xr3:uid="{A2F07E05-D01F-42AB-932D-62DBB5CA8835}" name="Column2665" dataDxfId="27880" totalsRowDxfId="27879"/>
    <tableColumn id="2680" xr3:uid="{9763C663-BC5B-45B0-BA39-CAB9A105641C}" name="Column2666" dataDxfId="27878" totalsRowDxfId="27877"/>
    <tableColumn id="2681" xr3:uid="{5654A06B-32CB-4446-8D52-732D455373BD}" name="Column2667" dataDxfId="27876" totalsRowDxfId="27875"/>
    <tableColumn id="2682" xr3:uid="{AE6B00E5-69D6-41E4-9278-C54FC77EBD52}" name="Column2668" dataDxfId="27874" totalsRowDxfId="27873"/>
    <tableColumn id="2683" xr3:uid="{28475D12-DB72-4BA8-992C-C7D9F50855EF}" name="Column2669" dataDxfId="27872" totalsRowDxfId="27871"/>
    <tableColumn id="2684" xr3:uid="{12C542CD-D601-4D38-A4D6-88F5F995D666}" name="Column2670" dataDxfId="27870" totalsRowDxfId="27869"/>
    <tableColumn id="2685" xr3:uid="{C8AF0BA3-CF39-4DC6-9E9F-B97005666EAA}" name="Column2671" dataDxfId="27868" totalsRowDxfId="27867"/>
    <tableColumn id="2686" xr3:uid="{63A805D4-E0D5-47AB-84EB-50736F95EC1A}" name="Column2672" dataDxfId="27866" totalsRowDxfId="27865"/>
    <tableColumn id="2687" xr3:uid="{087C5150-466A-4B19-A928-101C867568DB}" name="Column2673" dataDxfId="27864" totalsRowDxfId="27863"/>
    <tableColumn id="2688" xr3:uid="{F43C7511-DE15-4347-AF33-B39F48CA6B78}" name="Column2674" dataDxfId="27862" totalsRowDxfId="27861"/>
    <tableColumn id="2689" xr3:uid="{EC33736A-0AC7-46A0-8A17-54121D227654}" name="Column2675" dataDxfId="27860" totalsRowDxfId="27859"/>
    <tableColumn id="2690" xr3:uid="{6B494300-3BF5-4976-B6CF-35ADC05B42DC}" name="Column2676" dataDxfId="27858" totalsRowDxfId="27857"/>
    <tableColumn id="2691" xr3:uid="{125D9752-1D58-48D9-8587-8B13E54F0BB0}" name="Column2677" dataDxfId="27856" totalsRowDxfId="27855"/>
    <tableColumn id="2692" xr3:uid="{80053914-4D81-4EA3-8F3F-A2669E2F37AC}" name="Column2678" dataDxfId="27854" totalsRowDxfId="27853"/>
    <tableColumn id="2693" xr3:uid="{63E3CE2F-F266-4E74-B670-96736BA03F65}" name="Column2679" dataDxfId="27852" totalsRowDxfId="27851"/>
    <tableColumn id="2694" xr3:uid="{5B0E9079-675C-4357-B0DA-39F526DF659E}" name="Column2680" dataDxfId="27850" totalsRowDxfId="27849"/>
    <tableColumn id="2695" xr3:uid="{9D2B709E-6536-45D1-924B-77A7284ABF73}" name="Column2681" dataDxfId="27848" totalsRowDxfId="27847"/>
    <tableColumn id="2696" xr3:uid="{192310BD-5132-456A-8919-7CC6B2C4EFE7}" name="Column2682" dataDxfId="27846" totalsRowDxfId="27845"/>
    <tableColumn id="2697" xr3:uid="{5892B1CD-8FC0-4DE6-ACDD-A7BBEBB8896A}" name="Column2683" dataDxfId="27844" totalsRowDxfId="27843"/>
    <tableColumn id="2698" xr3:uid="{CC540B6B-35F9-47DA-825B-A597701348B3}" name="Column2684" dataDxfId="27842" totalsRowDxfId="27841"/>
    <tableColumn id="2699" xr3:uid="{35185BA1-4A93-4E11-A384-A7354B3CD499}" name="Column2685" dataDxfId="27840" totalsRowDxfId="27839"/>
    <tableColumn id="2700" xr3:uid="{E759B631-0A51-4487-A9C7-E44F78EA1E9E}" name="Column2686" dataDxfId="27838" totalsRowDxfId="27837"/>
    <tableColumn id="2701" xr3:uid="{31B0EDAF-99F4-45A1-B2DB-CFC0A4814BD4}" name="Column2687" dataDxfId="27836" totalsRowDxfId="27835"/>
    <tableColumn id="2702" xr3:uid="{985B1A08-290E-439D-B9E7-7062DB7E6C92}" name="Column2688" dataDxfId="27834" totalsRowDxfId="27833"/>
    <tableColumn id="2703" xr3:uid="{6110B9C2-9676-4DA1-837B-232721007DD0}" name="Column2689" dataDxfId="27832" totalsRowDxfId="27831"/>
    <tableColumn id="2704" xr3:uid="{B025772E-D9C9-4FB7-ACE1-8C99FFA63439}" name="Column2690" dataDxfId="27830" totalsRowDxfId="27829"/>
    <tableColumn id="2705" xr3:uid="{B3E16408-04CB-4AD3-BB77-CBAC09FF3609}" name="Column2691" dataDxfId="27828" totalsRowDxfId="27827"/>
    <tableColumn id="2706" xr3:uid="{44A48FF9-A5F1-4036-B76C-055155D92B52}" name="Column2692" dataDxfId="27826" totalsRowDxfId="27825"/>
    <tableColumn id="2707" xr3:uid="{537FC19B-65A9-4815-BF9D-00C4E5320EB3}" name="Column2693" dataDxfId="27824" totalsRowDxfId="27823"/>
    <tableColumn id="2708" xr3:uid="{9D9CCE98-7985-41CC-B3F7-1A4647A1D07D}" name="Column2694" dataDxfId="27822" totalsRowDxfId="27821"/>
    <tableColumn id="2709" xr3:uid="{977F5CC7-5114-4C90-9623-5D2F6E2DF8DC}" name="Column2695" dataDxfId="27820" totalsRowDxfId="27819"/>
    <tableColumn id="2710" xr3:uid="{152A16E1-2E04-46A2-B0E3-EAA85C4812DE}" name="Column2696" dataDxfId="27818" totalsRowDxfId="27817"/>
    <tableColumn id="2711" xr3:uid="{EAE19209-0215-49F2-9A1D-EE47E35915E1}" name="Column2697" dataDxfId="27816" totalsRowDxfId="27815"/>
    <tableColumn id="2712" xr3:uid="{7D19BCDE-1FEC-4299-A3F7-BB26983DA7FD}" name="Column2698" dataDxfId="27814" totalsRowDxfId="27813"/>
    <tableColumn id="2713" xr3:uid="{694511F8-1179-42EB-8CF7-053FD629E4AF}" name="Column2699" dataDxfId="27812" totalsRowDxfId="27811"/>
    <tableColumn id="2714" xr3:uid="{CDC28DEF-6779-4328-8604-6EA77041C518}" name="Column2700" dataDxfId="27810" totalsRowDxfId="27809"/>
    <tableColumn id="2715" xr3:uid="{089E30ED-8A34-4006-94F5-F1F40110D542}" name="Column2701" dataDxfId="27808" totalsRowDxfId="27807"/>
    <tableColumn id="2716" xr3:uid="{4EA8E227-A6D7-41DF-90D7-C1ACA272372B}" name="Column2702" dataDxfId="27806" totalsRowDxfId="27805"/>
    <tableColumn id="2717" xr3:uid="{90B21810-1570-4050-BEBC-CB1C92DDB9A8}" name="Column2703" dataDxfId="27804" totalsRowDxfId="27803"/>
    <tableColumn id="2718" xr3:uid="{38C6283A-FCFF-4962-8316-4C3821F1A59D}" name="Column2704" dataDxfId="27802" totalsRowDxfId="27801"/>
    <tableColumn id="2719" xr3:uid="{643163A2-FFB4-471E-923E-B551648F18AD}" name="Column2705" dataDxfId="27800" totalsRowDxfId="27799"/>
    <tableColumn id="2720" xr3:uid="{B2DA4E11-69C7-4B0E-A88B-04C12E501329}" name="Column2706" dataDxfId="27798" totalsRowDxfId="27797"/>
    <tableColumn id="2721" xr3:uid="{572B24AE-4630-48DB-AE93-794351A0DB35}" name="Column2707" dataDxfId="27796" totalsRowDxfId="27795"/>
    <tableColumn id="2722" xr3:uid="{0B9D3D71-96F5-48DB-B550-4A9C3D97A80E}" name="Column2708" dataDxfId="27794" totalsRowDxfId="27793"/>
    <tableColumn id="2723" xr3:uid="{DAC71FDA-B3A3-41B9-99AD-0D00913FF210}" name="Column2709" dataDxfId="27792" totalsRowDxfId="27791"/>
    <tableColumn id="2724" xr3:uid="{72D92297-958D-4E76-A517-A62BA668749A}" name="Column2710" dataDxfId="27790" totalsRowDxfId="27789"/>
    <tableColumn id="2725" xr3:uid="{3ED3F1B3-CB59-4F23-BB7C-FE9273401ED4}" name="Column2711" dataDxfId="27788" totalsRowDxfId="27787"/>
    <tableColumn id="2726" xr3:uid="{17484EA5-191F-4D05-894E-E9F0CC6447CF}" name="Column2712" dataDxfId="27786" totalsRowDxfId="27785"/>
    <tableColumn id="2727" xr3:uid="{5A911A63-8235-4223-ACAB-32E6F559C364}" name="Column2713" dataDxfId="27784" totalsRowDxfId="27783"/>
    <tableColumn id="2728" xr3:uid="{9C0942C3-5395-4B74-8833-923A44F70DE9}" name="Column2714" dataDxfId="27782" totalsRowDxfId="27781"/>
    <tableColumn id="2729" xr3:uid="{ED0E826D-89D0-4415-8ADC-41F12937CB08}" name="Column2715" dataDxfId="27780" totalsRowDxfId="27779"/>
    <tableColumn id="2730" xr3:uid="{EB01FDAA-AF7E-4F39-87A6-E95A170728FB}" name="Column2716" dataDxfId="27778" totalsRowDxfId="27777"/>
    <tableColumn id="2731" xr3:uid="{FC4C086F-33C3-484F-9EE8-425F14B755C1}" name="Column2717" dataDxfId="27776" totalsRowDxfId="27775"/>
    <tableColumn id="2732" xr3:uid="{47F7BFF1-31F3-41BB-B111-CEF35D5D78AE}" name="Column2718" dataDxfId="27774" totalsRowDxfId="27773"/>
    <tableColumn id="2733" xr3:uid="{CB742E7C-CCE2-43BE-844E-5A41514D29F0}" name="Column2719" dataDxfId="27772" totalsRowDxfId="27771"/>
    <tableColumn id="2734" xr3:uid="{6092E717-CB94-406E-B6F2-F1E09EE8DE07}" name="Column2720" dataDxfId="27770" totalsRowDxfId="27769"/>
    <tableColumn id="2735" xr3:uid="{70BC00EF-7951-4810-9D4E-C038478B3D72}" name="Column2721" dataDxfId="27768" totalsRowDxfId="27767"/>
    <tableColumn id="2736" xr3:uid="{D14172D9-93A6-4920-9BA1-A087850627DB}" name="Column2722" dataDxfId="27766" totalsRowDxfId="27765"/>
    <tableColumn id="2737" xr3:uid="{4EDDA0F8-B626-4EE2-BDBD-034D6AA6E3D4}" name="Column2723" dataDxfId="27764" totalsRowDxfId="27763"/>
    <tableColumn id="2738" xr3:uid="{02F730C2-89BB-4F16-B2DB-D1630CE8064E}" name="Column2724" dataDxfId="27762" totalsRowDxfId="27761"/>
    <tableColumn id="2739" xr3:uid="{7A621336-612C-429B-99D1-EBE0A88F6C5E}" name="Column2725" dataDxfId="27760" totalsRowDxfId="27759"/>
    <tableColumn id="2740" xr3:uid="{36884BFC-1ABC-4B1F-A419-45DF87939977}" name="Column2726" dataDxfId="27758" totalsRowDxfId="27757"/>
    <tableColumn id="2741" xr3:uid="{2415AC95-890F-4F0C-B00F-1EE1252106FF}" name="Column2727" dataDxfId="27756" totalsRowDxfId="27755"/>
    <tableColumn id="2742" xr3:uid="{1CC8EB48-BFDA-41BF-A6EF-D469DC7C58CC}" name="Column2728" dataDxfId="27754" totalsRowDxfId="27753"/>
    <tableColumn id="2743" xr3:uid="{24C586B8-0BE4-4660-97BB-1320D3A29C34}" name="Column2729" dataDxfId="27752" totalsRowDxfId="27751"/>
    <tableColumn id="2744" xr3:uid="{F843F026-64D5-4F82-A54E-A90781E5BA29}" name="Column2730" dataDxfId="27750" totalsRowDxfId="27749"/>
    <tableColumn id="2745" xr3:uid="{FF69AAD1-0D62-4F0F-BB43-06A31406DB22}" name="Column2731" dataDxfId="27748" totalsRowDxfId="27747"/>
    <tableColumn id="2746" xr3:uid="{B4E3AA6E-23DE-4467-BC9A-CC774E323EB1}" name="Column2732" dataDxfId="27746" totalsRowDxfId="27745"/>
    <tableColumn id="2747" xr3:uid="{42D71707-605A-41AD-BD08-CFEF8FD98FE0}" name="Column2733" dataDxfId="27744" totalsRowDxfId="27743"/>
    <tableColumn id="2748" xr3:uid="{C249C7D2-86AD-48E1-9514-654875AD131B}" name="Column2734" dataDxfId="27742" totalsRowDxfId="27741"/>
    <tableColumn id="2749" xr3:uid="{60A3C27A-AFB8-4ECC-AA95-D930EA52CAAC}" name="Column2735" dataDxfId="27740" totalsRowDxfId="27739"/>
    <tableColumn id="2750" xr3:uid="{80EA23DE-66BD-4530-A62C-0697A58F25CE}" name="Column2736" dataDxfId="27738" totalsRowDxfId="27737"/>
    <tableColumn id="2751" xr3:uid="{8ADEB149-2BD5-4ADB-9F68-30F84577CFC9}" name="Column2737" dataDxfId="27736" totalsRowDxfId="27735"/>
    <tableColumn id="2752" xr3:uid="{BBF73719-5BAC-48C7-BD0D-3825F6C6A8D0}" name="Column2738" dataDxfId="27734" totalsRowDxfId="27733"/>
    <tableColumn id="2753" xr3:uid="{BBC49957-4D1E-4B97-ABD1-3D24B9151077}" name="Column2739" dataDxfId="27732" totalsRowDxfId="27731"/>
    <tableColumn id="2754" xr3:uid="{E0141309-CD8F-4852-BA9E-46FBCD38BCA4}" name="Column2740" dataDxfId="27730" totalsRowDxfId="27729"/>
    <tableColumn id="2755" xr3:uid="{337EEB0F-3C90-4D19-89E2-BDA810EC4DBE}" name="Column2741" dataDxfId="27728" totalsRowDxfId="27727"/>
    <tableColumn id="2756" xr3:uid="{5D1F28D4-5CA7-4522-9FD9-C104A216F3E4}" name="Column2742" dataDxfId="27726" totalsRowDxfId="27725"/>
    <tableColumn id="2757" xr3:uid="{05E8C7FA-B94F-42E4-8BB0-EB91760F3854}" name="Column2743" dataDxfId="27724" totalsRowDxfId="27723"/>
    <tableColumn id="2758" xr3:uid="{C241EF23-1130-49EB-B76A-316213345A10}" name="Column2744" dataDxfId="27722" totalsRowDxfId="27721"/>
    <tableColumn id="2759" xr3:uid="{AB59057E-4905-43BC-B80C-256557E17B9D}" name="Column2745" dataDxfId="27720" totalsRowDxfId="27719"/>
    <tableColumn id="2760" xr3:uid="{A6F91F24-63CF-4257-BFAD-2A0F68088B26}" name="Column2746" dataDxfId="27718" totalsRowDxfId="27717"/>
    <tableColumn id="2761" xr3:uid="{B4ACCA69-D0B1-4636-BD0A-4410DA13F3C5}" name="Column2747" dataDxfId="27716" totalsRowDxfId="27715"/>
    <tableColumn id="2762" xr3:uid="{291DA28A-E25C-4CEA-BDD8-A1DD0FD78FA8}" name="Column2748" dataDxfId="27714" totalsRowDxfId="27713"/>
    <tableColumn id="2763" xr3:uid="{8AC0E16F-3792-4B42-8774-187F9ADBCDCA}" name="Column2749" dataDxfId="27712" totalsRowDxfId="27711"/>
    <tableColumn id="2764" xr3:uid="{517598E0-42CE-4252-ADC0-C708AF381B1B}" name="Column2750" dataDxfId="27710" totalsRowDxfId="27709"/>
    <tableColumn id="2765" xr3:uid="{4C0503C6-9F3F-4212-A3A5-228A4F8640A4}" name="Column2751" dataDxfId="27708" totalsRowDxfId="27707"/>
    <tableColumn id="2766" xr3:uid="{C7781F78-3035-4AAE-95AD-30F6D6AD75C8}" name="Column2752" dataDxfId="27706" totalsRowDxfId="27705"/>
    <tableColumn id="2767" xr3:uid="{318A7C80-3A0C-4281-B139-A9219C7AAF51}" name="Column2753" dataDxfId="27704" totalsRowDxfId="27703"/>
    <tableColumn id="2768" xr3:uid="{6C8E0911-6B05-44B8-9FB0-81A45A9F0F13}" name="Column2754" dataDxfId="27702" totalsRowDxfId="27701"/>
    <tableColumn id="2769" xr3:uid="{F3E3C7F8-E65B-4F9A-9508-BA13E5DCBE17}" name="Column2755" dataDxfId="27700" totalsRowDxfId="27699"/>
    <tableColumn id="2770" xr3:uid="{A651B8B7-B2D2-404A-81AF-AAE3CE481E66}" name="Column2756" dataDxfId="27698" totalsRowDxfId="27697"/>
    <tableColumn id="2771" xr3:uid="{0D3FD908-F0C5-48ED-AA94-F99A6F1C8A47}" name="Column2757" dataDxfId="27696" totalsRowDxfId="27695"/>
    <tableColumn id="2772" xr3:uid="{6162F7A2-29C7-47DF-ABBE-74724F545E2F}" name="Column2758" dataDxfId="27694" totalsRowDxfId="27693"/>
    <tableColumn id="2773" xr3:uid="{EA73F88A-7092-4921-AD9B-56F8F7CC8202}" name="Column2759" dataDxfId="27692" totalsRowDxfId="27691"/>
    <tableColumn id="2774" xr3:uid="{222E4D89-1C8E-4CF0-91A8-07B1ADDCCF84}" name="Column2760" dataDxfId="27690" totalsRowDxfId="27689"/>
    <tableColumn id="2775" xr3:uid="{BF4F4308-925B-442A-B987-6472607596FB}" name="Column2761" dataDxfId="27688" totalsRowDxfId="27687"/>
    <tableColumn id="2776" xr3:uid="{D404A099-7C6C-4A2C-87F2-476E9E14E4D4}" name="Column2762" dataDxfId="27686" totalsRowDxfId="27685"/>
    <tableColumn id="2777" xr3:uid="{2498DDF9-9AEA-43BB-B203-7ADBC8776178}" name="Column2763" dataDxfId="27684" totalsRowDxfId="27683"/>
    <tableColumn id="2778" xr3:uid="{3F057271-A65A-49B7-B419-2E0450F2F51B}" name="Column2764" dataDxfId="27682" totalsRowDxfId="27681"/>
    <tableColumn id="2779" xr3:uid="{AF4D3D0D-94F0-4057-B5E7-6E5AF7BBBBA2}" name="Column2765" dataDxfId="27680" totalsRowDxfId="27679"/>
    <tableColumn id="2780" xr3:uid="{76C48573-E5A0-46DF-8D4A-4CADCC7DFEEB}" name="Column2766" dataDxfId="27678" totalsRowDxfId="27677"/>
    <tableColumn id="2781" xr3:uid="{7C4DD684-8B26-4E25-A650-D235D709B985}" name="Column2767" dataDxfId="27676" totalsRowDxfId="27675"/>
    <tableColumn id="2782" xr3:uid="{05AC948F-4A9C-412E-843C-6F78A6899ACD}" name="Column2768" dataDxfId="27674" totalsRowDxfId="27673"/>
    <tableColumn id="2783" xr3:uid="{75032A32-C943-41BB-ACD5-13C592489100}" name="Column2769" dataDxfId="27672" totalsRowDxfId="27671"/>
    <tableColumn id="2784" xr3:uid="{7CA3FF78-E369-4F3B-AE9A-8073A782E70F}" name="Column2770" dataDxfId="27670" totalsRowDxfId="27669"/>
    <tableColumn id="2785" xr3:uid="{AB6E5A5B-D38D-49EB-943D-47252E7D93B8}" name="Column2771" dataDxfId="27668" totalsRowDxfId="27667"/>
    <tableColumn id="2786" xr3:uid="{E97F2B29-5162-4AB6-B3EE-EEC2FFCFB0AC}" name="Column2772" dataDxfId="27666" totalsRowDxfId="27665"/>
    <tableColumn id="2787" xr3:uid="{6C9A0316-93A1-42AD-8F69-D6F6FAAC9A72}" name="Column2773" dataDxfId="27664" totalsRowDxfId="27663"/>
    <tableColumn id="2788" xr3:uid="{246A70C5-ADB1-412A-81C8-A921C7A43B5A}" name="Column2774" dataDxfId="27662" totalsRowDxfId="27661"/>
    <tableColumn id="2789" xr3:uid="{F08EE39A-7438-445A-A8D8-68064C7C09B6}" name="Column2775" dataDxfId="27660" totalsRowDxfId="27659"/>
    <tableColumn id="2790" xr3:uid="{AD941DF3-AFAA-486B-A6A0-00D1A9C14771}" name="Column2776" dataDxfId="27658" totalsRowDxfId="27657"/>
    <tableColumn id="2791" xr3:uid="{6A946842-108E-4D0F-AC12-B13AFF92B9CC}" name="Column2777" dataDxfId="27656" totalsRowDxfId="27655"/>
    <tableColumn id="2792" xr3:uid="{49842258-2329-4895-9AC5-EDF2E1988C3E}" name="Column2778" dataDxfId="27654" totalsRowDxfId="27653"/>
    <tableColumn id="2793" xr3:uid="{5F12ED90-57D2-4D13-B59A-93F2BC08B320}" name="Column2779" dataDxfId="27652" totalsRowDxfId="27651"/>
    <tableColumn id="2794" xr3:uid="{DAF6745F-E0B5-45DC-8882-8F84DA68BC05}" name="Column2780" dataDxfId="27650" totalsRowDxfId="27649"/>
    <tableColumn id="2795" xr3:uid="{4C8764CA-6F20-4FAC-88AE-1CD1964256F1}" name="Column2781" dataDxfId="27648" totalsRowDxfId="27647"/>
    <tableColumn id="2796" xr3:uid="{DB7B1EE9-7C41-43B8-8EB5-E77A20F9DE2C}" name="Column2782" dataDxfId="27646" totalsRowDxfId="27645"/>
    <tableColumn id="2797" xr3:uid="{9ECF90AF-DCA9-46DA-BC7B-7D2C3BB557A8}" name="Column2783" dataDxfId="27644" totalsRowDxfId="27643"/>
    <tableColumn id="2798" xr3:uid="{DF595870-C582-4A75-89A7-62FB0B0920FE}" name="Column2784" dataDxfId="27642" totalsRowDxfId="27641"/>
    <tableColumn id="2799" xr3:uid="{88261127-DBF6-43AC-9E64-AD65BB2A4FEF}" name="Column2785" dataDxfId="27640" totalsRowDxfId="27639"/>
    <tableColumn id="2800" xr3:uid="{968D56B0-1822-4BA5-A5FB-F8B95BF23C2F}" name="Column2786" dataDxfId="27638" totalsRowDxfId="27637"/>
    <tableColumn id="2801" xr3:uid="{BE018C4E-43A9-421E-AFBF-0BAF032C3208}" name="Column2787" dataDxfId="27636" totalsRowDxfId="27635"/>
    <tableColumn id="2802" xr3:uid="{9A1C036E-00B8-414E-B8C9-CFA16368F2B4}" name="Column2788" dataDxfId="27634" totalsRowDxfId="27633"/>
    <tableColumn id="2803" xr3:uid="{C0C83FB1-F0BF-4B6A-933D-23D08230DC77}" name="Column2789" dataDxfId="27632" totalsRowDxfId="27631"/>
    <tableColumn id="2804" xr3:uid="{1DD2501C-5F73-448E-AB98-7BF9B4F72B4C}" name="Column2790" dataDxfId="27630" totalsRowDxfId="27629"/>
    <tableColumn id="2805" xr3:uid="{03C062EB-DD18-4A76-874C-9A535F7462EA}" name="Column2791" dataDxfId="27628" totalsRowDxfId="27627"/>
    <tableColumn id="2806" xr3:uid="{9911B3E8-46DB-46C1-97E0-CFBA180A3DEE}" name="Column2792" dataDxfId="27626" totalsRowDxfId="27625"/>
    <tableColumn id="2807" xr3:uid="{56E86C53-B64A-4C3C-A6D0-DB7223015C40}" name="Column2793" dataDxfId="27624" totalsRowDxfId="27623"/>
    <tableColumn id="2808" xr3:uid="{50357D73-8BB7-4281-81CD-D4B04A653694}" name="Column2794" dataDxfId="27622" totalsRowDxfId="27621"/>
    <tableColumn id="2809" xr3:uid="{5BBEC2CD-C8AA-4AE0-B21C-5FBA895C4DFC}" name="Column2795" dataDxfId="27620" totalsRowDxfId="27619"/>
    <tableColumn id="2810" xr3:uid="{9A306736-4EAF-43D2-B406-82C408FD5991}" name="Column2796" dataDxfId="27618" totalsRowDxfId="27617"/>
    <tableColumn id="2811" xr3:uid="{7C32D9E1-371A-4161-832B-CD3E3FAD382E}" name="Column2797" dataDxfId="27616" totalsRowDxfId="27615"/>
    <tableColumn id="2812" xr3:uid="{20BDE909-B7F1-4EF8-8243-4B1BCCD335F5}" name="Column2798" dataDxfId="27614" totalsRowDxfId="27613"/>
    <tableColumn id="2813" xr3:uid="{BE2E305A-3AAD-4225-B5E1-0F36F098770F}" name="Column2799" dataDxfId="27612" totalsRowDxfId="27611"/>
    <tableColumn id="2814" xr3:uid="{40F3B0B4-C07E-4155-8E35-385B9A19FAD4}" name="Column2800" dataDxfId="27610" totalsRowDxfId="27609"/>
    <tableColumn id="2815" xr3:uid="{61D8CD76-7771-4147-B156-4C2F8A6D7723}" name="Column2801" dataDxfId="27608" totalsRowDxfId="27607"/>
    <tableColumn id="2816" xr3:uid="{5CA1CB4C-4859-41E8-907D-1D97EEA25AE8}" name="Column2802" dataDxfId="27606" totalsRowDxfId="27605"/>
    <tableColumn id="2817" xr3:uid="{F20EA86C-36A2-4AC1-9759-E8804BD77E90}" name="Column2803" dataDxfId="27604" totalsRowDxfId="27603"/>
    <tableColumn id="2818" xr3:uid="{1A9195F6-0421-4321-845E-AEA713F91803}" name="Column2804" dataDxfId="27602" totalsRowDxfId="27601"/>
    <tableColumn id="2819" xr3:uid="{572A20F6-1CA4-4E00-8247-2A9087877DF2}" name="Column2805" dataDxfId="27600" totalsRowDxfId="27599"/>
    <tableColumn id="2820" xr3:uid="{F34EB834-C3DC-4125-9B5F-A8AB9926D3FF}" name="Column2806" dataDxfId="27598" totalsRowDxfId="27597"/>
    <tableColumn id="2821" xr3:uid="{B3A9471B-C9A4-4412-A3A4-CD33BF1E0C80}" name="Column2807" dataDxfId="27596" totalsRowDxfId="27595"/>
    <tableColumn id="2822" xr3:uid="{7DD4B955-60CA-46C0-9C9C-BF0CCD3C6B54}" name="Column2808" dataDxfId="27594" totalsRowDxfId="27593"/>
    <tableColumn id="2823" xr3:uid="{889709CA-E6FA-4123-8139-F1EAF00BF711}" name="Column2809" dataDxfId="27592" totalsRowDxfId="27591"/>
    <tableColumn id="2824" xr3:uid="{1E275C1F-D355-4A9F-926F-D92E840B39CE}" name="Column2810" dataDxfId="27590" totalsRowDxfId="27589"/>
    <tableColumn id="2825" xr3:uid="{5C91FA28-727C-400A-B9BF-51D9951E3FC9}" name="Column2811" dataDxfId="27588" totalsRowDxfId="27587"/>
    <tableColumn id="2826" xr3:uid="{D89DBD13-9208-4A58-AB1C-EEAB0F779BB2}" name="Column2812" dataDxfId="27586" totalsRowDxfId="27585"/>
    <tableColumn id="2827" xr3:uid="{6B9FFE6B-0D3E-4FD8-B2C7-1A4ABBE5AAEA}" name="Column2813" dataDxfId="27584" totalsRowDxfId="27583"/>
    <tableColumn id="2828" xr3:uid="{A314B56C-23E1-4FEB-A9F9-873F2D6A0141}" name="Column2814" dataDxfId="27582" totalsRowDxfId="27581"/>
    <tableColumn id="2829" xr3:uid="{732B9596-0082-4AFC-A98B-065D8D56E118}" name="Column2815" dataDxfId="27580" totalsRowDxfId="27579"/>
    <tableColumn id="2830" xr3:uid="{007BF30F-7576-4802-9273-5A331865D963}" name="Column2816" dataDxfId="27578" totalsRowDxfId="27577"/>
    <tableColumn id="2831" xr3:uid="{A35B22F4-F70E-4B05-B8BE-D47E88EAB4D3}" name="Column2817" dataDxfId="27576" totalsRowDxfId="27575"/>
    <tableColumn id="2832" xr3:uid="{38AB7649-4570-47C5-B03F-897DE6AC335D}" name="Column2818" dataDxfId="27574" totalsRowDxfId="27573"/>
    <tableColumn id="2833" xr3:uid="{9B2FBE9E-1B1C-47B3-BBB8-676213D3F505}" name="Column2819" dataDxfId="27572" totalsRowDxfId="27571"/>
    <tableColumn id="2834" xr3:uid="{6E6CCB78-81EE-4AB1-A069-7673314DEC25}" name="Column2820" dataDxfId="27570" totalsRowDxfId="27569"/>
    <tableColumn id="2835" xr3:uid="{D241777E-CF9C-48BA-9C44-E72E1EBFA2A0}" name="Column2821" dataDxfId="27568" totalsRowDxfId="27567"/>
    <tableColumn id="2836" xr3:uid="{B0E2C208-B5DF-480B-BA29-A05640BFAA80}" name="Column2822" dataDxfId="27566" totalsRowDxfId="27565"/>
    <tableColumn id="2837" xr3:uid="{F02B8281-4609-4B69-90AF-1E621278D963}" name="Column2823" dataDxfId="27564" totalsRowDxfId="27563"/>
    <tableColumn id="2838" xr3:uid="{F724DDAC-CBC6-46F4-8ED4-6BEF0AB010AC}" name="Column2824" dataDxfId="27562" totalsRowDxfId="27561"/>
    <tableColumn id="2839" xr3:uid="{ECC7E6F4-9926-44E3-BA9C-18B4A5DE2A12}" name="Column2825" dataDxfId="27560" totalsRowDxfId="27559"/>
    <tableColumn id="2840" xr3:uid="{CC444F58-BDF4-48B1-B5F4-275801D2C0B8}" name="Column2826" dataDxfId="27558" totalsRowDxfId="27557"/>
    <tableColumn id="2841" xr3:uid="{1EAD7B46-2C60-42AB-A62E-401C4F40552F}" name="Column2827" dataDxfId="27556" totalsRowDxfId="27555"/>
    <tableColumn id="2842" xr3:uid="{F1CA41BB-5AA2-47F0-8894-8AEE2EF8A0B0}" name="Column2828" dataDxfId="27554" totalsRowDxfId="27553"/>
    <tableColumn id="2843" xr3:uid="{4424DBE0-D2B4-4834-87EF-E923A5D3FA2B}" name="Column2829" dataDxfId="27552" totalsRowDxfId="27551"/>
    <tableColumn id="2844" xr3:uid="{C8512ACD-ACC9-4325-9D72-F6E370FB909C}" name="Column2830" dataDxfId="27550" totalsRowDxfId="27549"/>
    <tableColumn id="2845" xr3:uid="{6ADA7663-D2EE-4653-80A9-28BEA07A0206}" name="Column2831" dataDxfId="27548" totalsRowDxfId="27547"/>
    <tableColumn id="2846" xr3:uid="{1024BBEE-0C91-4F9A-AB8D-62F82F6B87D0}" name="Column2832" dataDxfId="27546" totalsRowDxfId="27545"/>
    <tableColumn id="2847" xr3:uid="{6A741465-8C16-4441-8C9D-6A2700079D26}" name="Column2833" dataDxfId="27544" totalsRowDxfId="27543"/>
    <tableColumn id="2848" xr3:uid="{CF04971E-5562-4A21-811E-770BFD8E3858}" name="Column2834" dataDxfId="27542" totalsRowDxfId="27541"/>
    <tableColumn id="2849" xr3:uid="{CC6AC136-C3C2-4D9F-9E6B-31856BFE8824}" name="Column2835" dataDxfId="27540" totalsRowDxfId="27539"/>
    <tableColumn id="2850" xr3:uid="{9D621D9B-93BD-4493-BA5A-2FB3D46FE734}" name="Column2836" dataDxfId="27538" totalsRowDxfId="27537"/>
    <tableColumn id="2851" xr3:uid="{7C22069E-6674-4944-AB09-5E1763DF50AE}" name="Column2837" dataDxfId="27536" totalsRowDxfId="27535"/>
    <tableColumn id="2852" xr3:uid="{DE2A6B95-5BD1-4BF1-A7A5-490E5D93AE55}" name="Column2838" dataDxfId="27534" totalsRowDxfId="27533"/>
    <tableColumn id="2853" xr3:uid="{A5CB99E2-B49F-4613-B95D-E112B3960049}" name="Column2839" dataDxfId="27532" totalsRowDxfId="27531"/>
    <tableColumn id="2854" xr3:uid="{9DAFD726-A53F-4A0F-8D40-C1176752EE7A}" name="Column2840" dataDxfId="27530" totalsRowDxfId="27529"/>
    <tableColumn id="2855" xr3:uid="{0D2BBC04-3E08-4C35-A128-409FB230D989}" name="Column2841" dataDxfId="27528" totalsRowDxfId="27527"/>
    <tableColumn id="2856" xr3:uid="{E4671D1D-1CD7-4F46-A0AB-E62B4F573F53}" name="Column2842" dataDxfId="27526" totalsRowDxfId="27525"/>
    <tableColumn id="2857" xr3:uid="{9B0184A4-FBAF-4BC3-8CD7-9BDCCB77F6B5}" name="Column2843" dataDxfId="27524" totalsRowDxfId="27523"/>
    <tableColumn id="2858" xr3:uid="{0E41E2AE-09AF-44F7-A26A-7F293B2ABE65}" name="Column2844" dataDxfId="27522" totalsRowDxfId="27521"/>
    <tableColumn id="2859" xr3:uid="{7D976F0F-F80E-4D73-B628-7B7540896013}" name="Column2845" dataDxfId="27520" totalsRowDxfId="27519"/>
    <tableColumn id="2860" xr3:uid="{116C7A0C-41EF-4958-A4BF-F91FE932BD0B}" name="Column2846" dataDxfId="27518" totalsRowDxfId="27517"/>
    <tableColumn id="2861" xr3:uid="{BF9D9A16-5A54-4B8F-9584-71057B383A18}" name="Column2847" dataDxfId="27516" totalsRowDxfId="27515"/>
    <tableColumn id="2862" xr3:uid="{AB1A4CBA-48CF-444C-94EF-F218A10E3FA0}" name="Column2848" dataDxfId="27514" totalsRowDxfId="27513"/>
    <tableColumn id="2863" xr3:uid="{84F2443B-D463-4419-8828-3AA94F9F4DB1}" name="Column2849" dataDxfId="27512" totalsRowDxfId="27511"/>
    <tableColumn id="2864" xr3:uid="{E8F17A80-E089-4D15-A86E-B0152FC33BDF}" name="Column2850" dataDxfId="27510" totalsRowDxfId="27509"/>
    <tableColumn id="2865" xr3:uid="{388C88E5-C1BC-4535-94B8-CECA1F26A413}" name="Column2851" dataDxfId="27508" totalsRowDxfId="27507"/>
    <tableColumn id="2866" xr3:uid="{C00E2420-E62A-4536-820F-1C8A91989585}" name="Column2852" dataDxfId="27506" totalsRowDxfId="27505"/>
    <tableColumn id="2867" xr3:uid="{46D54DF9-9F7C-4156-90CF-F55FB4ED31C7}" name="Column2853" dataDxfId="27504" totalsRowDxfId="27503"/>
    <tableColumn id="2868" xr3:uid="{08115CFA-BC57-48C4-9783-24396B2EAD7D}" name="Column2854" dataDxfId="27502" totalsRowDxfId="27501"/>
    <tableColumn id="2869" xr3:uid="{A49A269A-446E-4CFA-96D0-9A0B23FCF054}" name="Column2855" dataDxfId="27500" totalsRowDxfId="27499"/>
    <tableColumn id="2870" xr3:uid="{E7525516-346D-4FF3-9CE6-9EC419E58E48}" name="Column2856" dataDxfId="27498" totalsRowDxfId="27497"/>
    <tableColumn id="2871" xr3:uid="{85E3D409-539C-40AA-94DE-45563D711C42}" name="Column2857" dataDxfId="27496" totalsRowDxfId="27495"/>
    <tableColumn id="2872" xr3:uid="{59977911-5B13-48D6-9CA4-CC03AA185CDD}" name="Column2858" dataDxfId="27494" totalsRowDxfId="27493"/>
    <tableColumn id="2873" xr3:uid="{A378A8B7-0624-427E-AEDD-A1E2988FEEF9}" name="Column2859" dataDxfId="27492" totalsRowDxfId="27491"/>
    <tableColumn id="2874" xr3:uid="{E299AACE-671A-4D47-A9D9-194CC4A361A5}" name="Column2860" dataDxfId="27490" totalsRowDxfId="27489"/>
    <tableColumn id="2875" xr3:uid="{C9DF827B-D601-4B5A-8A73-04B7C7478160}" name="Column2861" dataDxfId="27488" totalsRowDxfId="27487"/>
    <tableColumn id="2876" xr3:uid="{D5001964-AF0B-4851-AE51-529D17AA117F}" name="Column2862" dataDxfId="27486" totalsRowDxfId="27485"/>
    <tableColumn id="2877" xr3:uid="{6B11963E-5A9D-4B02-B0B2-3A4749631B3F}" name="Column2863" dataDxfId="27484" totalsRowDxfId="27483"/>
    <tableColumn id="2878" xr3:uid="{815A66E4-4846-4CA8-8C62-71744CCDB02B}" name="Column2864" dataDxfId="27482" totalsRowDxfId="27481"/>
    <tableColumn id="2879" xr3:uid="{E6297EB9-3926-4544-97FF-7252138D3484}" name="Column2865" dataDxfId="27480" totalsRowDxfId="27479"/>
    <tableColumn id="2880" xr3:uid="{3B65723D-3A0B-45DC-AEF4-DC023700D676}" name="Column2866" dataDxfId="27478" totalsRowDxfId="27477"/>
    <tableColumn id="2881" xr3:uid="{DC117E84-C47B-41D7-8409-D64E87C9CE0C}" name="Column2867" dataDxfId="27476" totalsRowDxfId="27475"/>
    <tableColumn id="2882" xr3:uid="{A221442C-8DA3-47EC-8CCE-52C92E414F0C}" name="Column2868" dataDxfId="27474" totalsRowDxfId="27473"/>
    <tableColumn id="2883" xr3:uid="{97CD0A8C-B15D-4EC9-99B2-C359FC870030}" name="Column2869" dataDxfId="27472" totalsRowDxfId="27471"/>
    <tableColumn id="2884" xr3:uid="{E5D0C902-C0F2-4091-9036-76BE9811D1FA}" name="Column2870" dataDxfId="27470" totalsRowDxfId="27469"/>
    <tableColumn id="2885" xr3:uid="{352319BF-65A6-4AA6-B9EB-C0E8D5256294}" name="Column2871" dataDxfId="27468" totalsRowDxfId="27467"/>
    <tableColumn id="2886" xr3:uid="{605F8A23-9E5F-4E9E-8E76-2D6D6940FE6E}" name="Column2872" dataDxfId="27466" totalsRowDxfId="27465"/>
    <tableColumn id="2887" xr3:uid="{3F64B29D-84D5-4065-B171-82F2154217F6}" name="Column2873" dataDxfId="27464" totalsRowDxfId="27463"/>
    <tableColumn id="2888" xr3:uid="{7D44BB18-8756-449E-BA6D-889EA94EF721}" name="Column2874" dataDxfId="27462" totalsRowDxfId="27461"/>
    <tableColumn id="2889" xr3:uid="{AA6CE89C-EA55-4884-AEBB-1CE6340723FE}" name="Column2875" dataDxfId="27460" totalsRowDxfId="27459"/>
    <tableColumn id="2890" xr3:uid="{6860A4CE-7084-431A-858D-E4B3AC0CD4AD}" name="Column2876" dataDxfId="27458" totalsRowDxfId="27457"/>
    <tableColumn id="2891" xr3:uid="{175263E0-0CFC-46CD-88CF-C92929D447C2}" name="Column2877" dataDxfId="27456" totalsRowDxfId="27455"/>
    <tableColumn id="2892" xr3:uid="{94D33945-9E98-4386-9CC6-D67802D06E47}" name="Column2878" dataDxfId="27454" totalsRowDxfId="27453"/>
    <tableColumn id="2893" xr3:uid="{45422C8E-0702-4CB5-9E47-D7EB592FE9AD}" name="Column2879" dataDxfId="27452" totalsRowDxfId="27451"/>
    <tableColumn id="2894" xr3:uid="{1A2BD050-9FFA-4070-A29B-AD8ABB06ACC6}" name="Column2880" dataDxfId="27450" totalsRowDxfId="27449"/>
    <tableColumn id="2895" xr3:uid="{278B3DE3-C5CA-434B-A638-72F5EF196EE2}" name="Column2881" dataDxfId="27448" totalsRowDxfId="27447"/>
    <tableColumn id="2896" xr3:uid="{707F8122-BDF7-4DB6-B3EF-06040B81D0C2}" name="Column2882" dataDxfId="27446" totalsRowDxfId="27445"/>
    <tableColumn id="2897" xr3:uid="{473B2784-944D-4B11-A237-4ED74CC256BF}" name="Column2883" dataDxfId="27444" totalsRowDxfId="27443"/>
    <tableColumn id="2898" xr3:uid="{18109669-7CCE-4832-9C87-5FE46F9A0FE2}" name="Column2884" dataDxfId="27442" totalsRowDxfId="27441"/>
    <tableColumn id="2899" xr3:uid="{81AC84C7-D0D6-4E53-8D66-AC2F6A767A97}" name="Column2885" dataDxfId="27440" totalsRowDxfId="27439"/>
    <tableColumn id="2900" xr3:uid="{CB50020B-3355-4D20-8F7D-94B8729400D7}" name="Column2886" dataDxfId="27438" totalsRowDxfId="27437"/>
    <tableColumn id="2901" xr3:uid="{805D693E-CE55-430F-83C5-E1B731873469}" name="Column2887" dataDxfId="27436" totalsRowDxfId="27435"/>
    <tableColumn id="2902" xr3:uid="{97866692-8B9F-4CF4-8C82-118B9C044219}" name="Column2888" dataDxfId="27434" totalsRowDxfId="27433"/>
    <tableColumn id="2903" xr3:uid="{050E3A80-57EA-4A3E-B6FE-6F80A6DDD333}" name="Column2889" dataDxfId="27432" totalsRowDxfId="27431"/>
    <tableColumn id="2904" xr3:uid="{9B29A1FB-2C6E-407C-BCAC-7165AD8E677B}" name="Column2890" dataDxfId="27430" totalsRowDxfId="27429"/>
    <tableColumn id="2905" xr3:uid="{F2FBE892-7525-4894-990D-5168CA73460F}" name="Column2891" dataDxfId="27428" totalsRowDxfId="27427"/>
    <tableColumn id="2906" xr3:uid="{25A761C7-9FB7-4C3A-A375-0D45976E18AF}" name="Column2892" dataDxfId="27426" totalsRowDxfId="27425"/>
    <tableColumn id="2907" xr3:uid="{39A204DF-BF5E-4895-BCFA-BBDB11850E79}" name="Column2893" dataDxfId="27424" totalsRowDxfId="27423"/>
    <tableColumn id="2908" xr3:uid="{CF1177FC-91B5-4BE7-9E48-AA99D6ECBBD7}" name="Column2894" dataDxfId="27422" totalsRowDxfId="27421"/>
    <tableColumn id="2909" xr3:uid="{637BFD39-2E95-44B6-923F-B6549B317C92}" name="Column2895" dataDxfId="27420" totalsRowDxfId="27419"/>
    <tableColumn id="2910" xr3:uid="{AB18CC9C-D85A-4DFD-BFF8-20858B5F1D7A}" name="Column2896" dataDxfId="27418" totalsRowDxfId="27417"/>
    <tableColumn id="2911" xr3:uid="{1401599E-900D-45F3-BADE-305D83B39E5C}" name="Column2897" dataDxfId="27416" totalsRowDxfId="27415"/>
    <tableColumn id="2912" xr3:uid="{FF6971B4-1D4F-4330-8777-521A23E46BFA}" name="Column2898" dataDxfId="27414" totalsRowDxfId="27413"/>
    <tableColumn id="2913" xr3:uid="{E181806B-BDA0-4464-A145-CEA1A7ABDCC1}" name="Column2899" dataDxfId="27412" totalsRowDxfId="27411"/>
    <tableColumn id="2914" xr3:uid="{D65FF9C5-B1B0-4F21-A77B-54F7877F1834}" name="Column2900" dataDxfId="27410" totalsRowDxfId="27409"/>
    <tableColumn id="2915" xr3:uid="{137FE720-ECC8-486B-ACCE-D4AF81BB5627}" name="Column2901" dataDxfId="27408" totalsRowDxfId="27407"/>
    <tableColumn id="2916" xr3:uid="{AF708924-3F9A-450C-B5F4-F775C690DE89}" name="Column2902" dataDxfId="27406" totalsRowDxfId="27405"/>
    <tableColumn id="2917" xr3:uid="{59911520-3363-482B-B3A7-FDFDC600F978}" name="Column2903" dataDxfId="27404" totalsRowDxfId="27403"/>
    <tableColumn id="2918" xr3:uid="{A9358504-0251-4E49-A00E-12FF326C4CA0}" name="Column2904" dataDxfId="27402" totalsRowDxfId="27401"/>
    <tableColumn id="2919" xr3:uid="{6BD5C049-8A2B-49C3-9E76-42B3A4019D86}" name="Column2905" dataDxfId="27400" totalsRowDxfId="27399"/>
    <tableColumn id="2920" xr3:uid="{2FE66511-B8A2-476F-BAF0-4186BF6958F7}" name="Column2906" dataDxfId="27398" totalsRowDxfId="27397"/>
    <tableColumn id="2921" xr3:uid="{0BD49D70-2867-4F86-9B21-957EEB45C5C0}" name="Column2907" dataDxfId="27396" totalsRowDxfId="27395"/>
    <tableColumn id="2922" xr3:uid="{CF09D533-847B-4EE8-AF79-26736CD7785A}" name="Column2908" dataDxfId="27394" totalsRowDxfId="27393"/>
    <tableColumn id="2923" xr3:uid="{8D4431AC-0DCE-4828-98C5-2F56535D6927}" name="Column2909" dataDxfId="27392" totalsRowDxfId="27391"/>
    <tableColumn id="2924" xr3:uid="{6973CB6D-C63D-4550-9E60-1A783FE2C712}" name="Column2910" dataDxfId="27390" totalsRowDxfId="27389"/>
    <tableColumn id="2925" xr3:uid="{2AED3F7D-0B91-460F-A9A8-D7C427140FCA}" name="Column2911" dataDxfId="27388" totalsRowDxfId="27387"/>
    <tableColumn id="2926" xr3:uid="{BB3000C0-F3C3-4F64-957F-E0A0E5600525}" name="Column2912" dataDxfId="27386" totalsRowDxfId="27385"/>
    <tableColumn id="2927" xr3:uid="{5978DFA7-B905-4E1B-A866-35AF42899395}" name="Column2913" dataDxfId="27384" totalsRowDxfId="27383"/>
    <tableColumn id="2928" xr3:uid="{1DB66BAC-2D5E-4107-80D3-B1289519A577}" name="Column2914" dataDxfId="27382" totalsRowDxfId="27381"/>
    <tableColumn id="2929" xr3:uid="{E118E39B-FD66-421B-B6A1-9266FDDEE94F}" name="Column2915" dataDxfId="27380" totalsRowDxfId="27379"/>
    <tableColumn id="2930" xr3:uid="{AE31F9B0-CA56-43DE-8324-94992BE04B2B}" name="Column2916" dataDxfId="27378" totalsRowDxfId="27377"/>
    <tableColumn id="2931" xr3:uid="{2F893404-4685-4554-AD18-BFFD2EDA9724}" name="Column2917" dataDxfId="27376" totalsRowDxfId="27375"/>
    <tableColumn id="2932" xr3:uid="{D8E8014F-1D9B-4931-9C75-9CA4A5916CA7}" name="Column2918" dataDxfId="27374" totalsRowDxfId="27373"/>
    <tableColumn id="2933" xr3:uid="{205B4E0D-8827-4162-9A7F-5543E089709F}" name="Column2919" dataDxfId="27372" totalsRowDxfId="27371"/>
    <tableColumn id="2934" xr3:uid="{D36F3EA7-92EE-4300-8F5D-8E442487078D}" name="Column2920" dataDxfId="27370" totalsRowDxfId="27369"/>
    <tableColumn id="2935" xr3:uid="{D867F995-963D-4116-81CE-F3A804F65C0F}" name="Column2921" dataDxfId="27368" totalsRowDxfId="27367"/>
    <tableColumn id="2936" xr3:uid="{94DF1205-258E-439A-AB79-1BC2F43F0552}" name="Column2922" dataDxfId="27366" totalsRowDxfId="27365"/>
    <tableColumn id="2937" xr3:uid="{F1074CF9-6B12-41BA-B818-DE956B224E1F}" name="Column2923" dataDxfId="27364" totalsRowDxfId="27363"/>
    <tableColumn id="2938" xr3:uid="{3D1A5ED1-9DE1-447B-BAA7-49157B313050}" name="Column2924" dataDxfId="27362" totalsRowDxfId="27361"/>
    <tableColumn id="2939" xr3:uid="{DD890A54-6E1D-4FF4-8914-2BDEAC35ACF5}" name="Column2925" dataDxfId="27360" totalsRowDxfId="27359"/>
    <tableColumn id="2940" xr3:uid="{19AA6D69-AC1A-4C7F-8A8B-96DCDF42959E}" name="Column2926" dataDxfId="27358" totalsRowDxfId="27357"/>
    <tableColumn id="2941" xr3:uid="{B829876B-FDF1-448D-BFF2-A9CA1C70AA40}" name="Column2927" dataDxfId="27356" totalsRowDxfId="27355"/>
    <tableColumn id="2942" xr3:uid="{7F502E59-0367-4C9B-AFCF-76A51E6B2E89}" name="Column2928" dataDxfId="27354" totalsRowDxfId="27353"/>
    <tableColumn id="2943" xr3:uid="{D05B2E1C-F267-4334-8DEF-2E2527C11E9B}" name="Column2929" dataDxfId="27352" totalsRowDxfId="27351"/>
    <tableColumn id="2944" xr3:uid="{D22039DE-A5E4-41CC-A9B5-6D18641446B5}" name="Column2930" dataDxfId="27350" totalsRowDxfId="27349"/>
    <tableColumn id="2945" xr3:uid="{5255D8B5-830F-4E6B-B373-3F918E24E242}" name="Column2931" dataDxfId="27348" totalsRowDxfId="27347"/>
    <tableColumn id="2946" xr3:uid="{CE5CD4DB-E6C5-4127-A883-2541F1E0D4EF}" name="Column2932" dataDxfId="27346" totalsRowDxfId="27345"/>
    <tableColumn id="2947" xr3:uid="{51A346BB-11E8-4D2F-AD4D-43F9951D9E46}" name="Column2933" dataDxfId="27344" totalsRowDxfId="27343"/>
    <tableColumn id="2948" xr3:uid="{37C7F989-ED0E-41A2-B84B-2711F24E99C1}" name="Column2934" dataDxfId="27342" totalsRowDxfId="27341"/>
    <tableColumn id="2949" xr3:uid="{4B57909C-1741-41C4-8EAD-CBED9645EECB}" name="Column2935" dataDxfId="27340" totalsRowDxfId="27339"/>
    <tableColumn id="2950" xr3:uid="{C71BDA90-FA17-4EB9-A734-D7FAAEE18FD4}" name="Column2936" dataDxfId="27338" totalsRowDxfId="27337"/>
    <tableColumn id="2951" xr3:uid="{3EC3AF73-86E0-4397-8C17-3E7EC51F26F2}" name="Column2937" dataDxfId="27336" totalsRowDxfId="27335"/>
    <tableColumn id="2952" xr3:uid="{35A584A8-E24A-4D0A-969C-91570433FB39}" name="Column2938" dataDxfId="27334" totalsRowDxfId="27333"/>
    <tableColumn id="2953" xr3:uid="{A3E427A1-B951-4CA3-9B8F-76D02E049FFA}" name="Column2939" dataDxfId="27332" totalsRowDxfId="27331"/>
    <tableColumn id="2954" xr3:uid="{CF05C80F-A4AC-41DF-A2C4-EE893D266183}" name="Column2940" dataDxfId="27330" totalsRowDxfId="27329"/>
    <tableColumn id="2955" xr3:uid="{AAE41549-3D73-4E72-9E90-265A99BE048C}" name="Column2941" dataDxfId="27328" totalsRowDxfId="27327"/>
    <tableColumn id="2956" xr3:uid="{30FF025F-0244-4C6C-A6A4-BE0D4F02003A}" name="Column2942" dataDxfId="27326" totalsRowDxfId="27325"/>
    <tableColumn id="2957" xr3:uid="{736C5C13-1101-49E0-BC73-27D5060750A6}" name="Column2943" dataDxfId="27324" totalsRowDxfId="27323"/>
    <tableColumn id="2958" xr3:uid="{ED4621DD-333C-42B9-A0DF-98B227C88F64}" name="Column2944" dataDxfId="27322" totalsRowDxfId="27321"/>
    <tableColumn id="2959" xr3:uid="{B311D649-0DDB-4D1D-82AC-535A19B40509}" name="Column2945" dataDxfId="27320" totalsRowDxfId="27319"/>
    <tableColumn id="2960" xr3:uid="{3F45031F-6D14-4910-9DE2-0B32CF1BA429}" name="Column2946" dataDxfId="27318" totalsRowDxfId="27317"/>
    <tableColumn id="2961" xr3:uid="{8C2EC239-C183-4382-A266-7F76DE3DCE03}" name="Column2947" dataDxfId="27316" totalsRowDxfId="27315"/>
    <tableColumn id="2962" xr3:uid="{41AC6850-FD0A-49BE-8517-297788C11158}" name="Column2948" dataDxfId="27314" totalsRowDxfId="27313"/>
    <tableColumn id="2963" xr3:uid="{C8A8F12D-0AE3-4386-8DA7-CDB0695CEAE6}" name="Column2949" dataDxfId="27312" totalsRowDxfId="27311"/>
    <tableColumn id="2964" xr3:uid="{B241F42D-B5E7-4AB6-8A9F-4DE4329DB5C3}" name="Column2950" dataDxfId="27310" totalsRowDxfId="27309"/>
    <tableColumn id="2965" xr3:uid="{4F345175-B8C9-4615-9AF7-22801E3F651E}" name="Column2951" dataDxfId="27308" totalsRowDxfId="27307"/>
    <tableColumn id="2966" xr3:uid="{F6910D44-F6B9-4CDF-ADCA-BCDFA0FE6EB1}" name="Column2952" dataDxfId="27306" totalsRowDxfId="27305"/>
    <tableColumn id="2967" xr3:uid="{6639EE45-B368-43CE-8A03-85CA7F5F7779}" name="Column2953" dataDxfId="27304" totalsRowDxfId="27303"/>
    <tableColumn id="2968" xr3:uid="{D3429AD5-F64A-49D2-8978-A98FDBF3A5FE}" name="Column2954" dataDxfId="27302" totalsRowDxfId="27301"/>
    <tableColumn id="2969" xr3:uid="{11C3CD9E-6CD4-4023-ACD5-6FD4F4EED9EB}" name="Column2955" dataDxfId="27300" totalsRowDxfId="27299"/>
    <tableColumn id="2970" xr3:uid="{2E2D2467-12BD-487A-9198-8276A301FDF0}" name="Column2956" dataDxfId="27298" totalsRowDxfId="27297"/>
    <tableColumn id="2971" xr3:uid="{16C9D061-A816-4175-AC2D-6349080BCB74}" name="Column2957" dataDxfId="27296" totalsRowDxfId="27295"/>
    <tableColumn id="2972" xr3:uid="{EC74F17D-B931-47E3-900C-BDC9D08E6A81}" name="Column2958" dataDxfId="27294" totalsRowDxfId="27293"/>
    <tableColumn id="2973" xr3:uid="{DFC414BD-FE7F-471C-8B7C-0C6D8F3B802B}" name="Column2959" dataDxfId="27292" totalsRowDxfId="27291"/>
    <tableColumn id="2974" xr3:uid="{051071F8-CA8A-4833-B348-E55D519F0A90}" name="Column2960" dataDxfId="27290" totalsRowDxfId="27289"/>
    <tableColumn id="2975" xr3:uid="{6A14C6D9-B7F5-4EE4-9D51-C4548D91EC52}" name="Column2961" dataDxfId="27288" totalsRowDxfId="27287"/>
    <tableColumn id="2976" xr3:uid="{B2908306-F5D0-47AA-9E71-A5B6E167A374}" name="Column2962" dataDxfId="27286" totalsRowDxfId="27285"/>
    <tableColumn id="2977" xr3:uid="{A9C37C9E-4CB1-4940-B0C5-98E1587120F7}" name="Column2963" dataDxfId="27284" totalsRowDxfId="27283"/>
    <tableColumn id="2978" xr3:uid="{8A01EE90-F2C8-4C00-AB4C-FACC354A9AC1}" name="Column2964" dataDxfId="27282" totalsRowDxfId="27281"/>
    <tableColumn id="2979" xr3:uid="{FB0A3A9F-C2A0-46E8-B5AA-A70F580C082A}" name="Column2965" dataDxfId="27280" totalsRowDxfId="27279"/>
    <tableColumn id="2980" xr3:uid="{4AAD7F10-9FA4-4626-B1BE-5DD81DC345E0}" name="Column2966" dataDxfId="27278" totalsRowDxfId="27277"/>
    <tableColumn id="2981" xr3:uid="{A9687AEB-F763-4D18-A819-F094D3355102}" name="Column2967" dataDxfId="27276" totalsRowDxfId="27275"/>
    <tableColumn id="2982" xr3:uid="{239EDE0C-4CBC-4CBB-B669-61A16CE1FBEC}" name="Column2968" dataDxfId="27274" totalsRowDxfId="27273"/>
    <tableColumn id="2983" xr3:uid="{B34C8319-9CD9-433D-8402-18E1FF3194BB}" name="Column2969" dataDxfId="27272" totalsRowDxfId="27271"/>
    <tableColumn id="2984" xr3:uid="{A4EA36C6-3348-4FB6-BC32-90EFA7EB440F}" name="Column2970" dataDxfId="27270" totalsRowDxfId="27269"/>
    <tableColumn id="2985" xr3:uid="{9DEFBC5C-2AF5-417E-B1FA-E4B0A4E230F7}" name="Column2971" dataDxfId="27268" totalsRowDxfId="27267"/>
    <tableColumn id="2986" xr3:uid="{B586D1CA-5D86-4971-B129-14D08B3649ED}" name="Column2972" dataDxfId="27266" totalsRowDxfId="27265"/>
    <tableColumn id="2987" xr3:uid="{0BA087E8-9BFF-4F54-B940-06BD191C0438}" name="Column2973" dataDxfId="27264" totalsRowDxfId="27263"/>
    <tableColumn id="2988" xr3:uid="{663DAC2B-FA8C-42C2-85E6-99313E2DE782}" name="Column2974" dataDxfId="27262" totalsRowDxfId="27261"/>
    <tableColumn id="2989" xr3:uid="{DC4B3238-FA18-4126-8C88-43EE65E493EF}" name="Column2975" dataDxfId="27260" totalsRowDxfId="27259"/>
    <tableColumn id="2990" xr3:uid="{70A90384-DF33-4352-AFCA-7AF84CCE9B30}" name="Column2976" dataDxfId="27258" totalsRowDxfId="27257"/>
    <tableColumn id="2991" xr3:uid="{6B6E2B03-0A82-40FF-8DB1-D0D38A528118}" name="Column2977" dataDxfId="27256" totalsRowDxfId="27255"/>
    <tableColumn id="2992" xr3:uid="{C1EAAB0A-80DF-4B4A-B6C2-D2C209D52385}" name="Column2978" dataDxfId="27254" totalsRowDxfId="27253"/>
    <tableColumn id="2993" xr3:uid="{251CCE90-1B47-415F-88B3-D704830518B2}" name="Column2979" dataDxfId="27252" totalsRowDxfId="27251"/>
    <tableColumn id="2994" xr3:uid="{64802123-67B4-460E-B8B5-D7263E2ACF0F}" name="Column2980" dataDxfId="27250" totalsRowDxfId="27249"/>
    <tableColumn id="2995" xr3:uid="{7762FB75-BF6B-49EC-902E-DDFBC312297D}" name="Column2981" dataDxfId="27248" totalsRowDxfId="27247"/>
    <tableColumn id="2996" xr3:uid="{201BEAB2-B9F5-43A5-9390-DC78BBD1B1FC}" name="Column2982" dataDxfId="27246" totalsRowDxfId="27245"/>
    <tableColumn id="2997" xr3:uid="{3839B602-9784-46E8-8AB0-33D27CE2FE05}" name="Column2983" dataDxfId="27244" totalsRowDxfId="27243"/>
    <tableColumn id="2998" xr3:uid="{6D65DD1E-95F9-4709-8082-D9A94EF849B4}" name="Column2984" dataDxfId="27242" totalsRowDxfId="27241"/>
    <tableColumn id="2999" xr3:uid="{35E72DD7-5EC0-4C27-A3C6-8A818E71E9CE}" name="Column2985" dataDxfId="27240" totalsRowDxfId="27239"/>
    <tableColumn id="3000" xr3:uid="{813C8BB0-5B90-459B-A4A3-285245295A69}" name="Column2986" dataDxfId="27238" totalsRowDxfId="27237"/>
    <tableColumn id="3001" xr3:uid="{4516CC39-9AD5-4815-AB76-9060FA379329}" name="Column2987" dataDxfId="27236" totalsRowDxfId="27235"/>
    <tableColumn id="3002" xr3:uid="{72D4F73F-9671-4213-8847-DC8AA8829A91}" name="Column2988" dataDxfId="27234" totalsRowDxfId="27233"/>
    <tableColumn id="3003" xr3:uid="{B232C88F-6A8E-424B-B87E-17F20DCDA140}" name="Column2989" dataDxfId="27232" totalsRowDxfId="27231"/>
    <tableColumn id="3004" xr3:uid="{FC9F5DE6-9DDC-48B5-AC46-5322DF85DCAF}" name="Column2990" dataDxfId="27230" totalsRowDxfId="27229"/>
    <tableColumn id="3005" xr3:uid="{F39D196A-CCF5-4444-8294-B3017944FD38}" name="Column2991" dataDxfId="27228" totalsRowDxfId="27227"/>
    <tableColumn id="3006" xr3:uid="{9476EDC1-E988-4019-80BC-6D365603EE91}" name="Column2992" dataDxfId="27226" totalsRowDxfId="27225"/>
    <tableColumn id="3007" xr3:uid="{0AFDE1E2-6190-41A8-92E1-191AB603DAF7}" name="Column2993" dataDxfId="27224" totalsRowDxfId="27223"/>
    <tableColumn id="3008" xr3:uid="{4EE290F6-321E-45AB-8E8D-776E034E455E}" name="Column2994" dataDxfId="27222" totalsRowDxfId="27221"/>
    <tableColumn id="3009" xr3:uid="{1438F9E5-D685-4085-8116-7CC145C0A1EE}" name="Column2995" dataDxfId="27220" totalsRowDxfId="27219"/>
    <tableColumn id="3010" xr3:uid="{84A95983-978D-487C-9D01-CB2BCFBD49D3}" name="Column2996" dataDxfId="27218" totalsRowDxfId="27217"/>
    <tableColumn id="3011" xr3:uid="{447143F4-7307-405C-8AB6-53571400B5B0}" name="Column2997" dataDxfId="27216" totalsRowDxfId="27215"/>
    <tableColumn id="3012" xr3:uid="{BDFA40E9-5D23-43A4-A4EE-E848D0EB6D87}" name="Column2998" dataDxfId="27214" totalsRowDxfId="27213"/>
    <tableColumn id="3013" xr3:uid="{97280AAB-F45D-4F75-9F85-43939BC29208}" name="Column2999" dataDxfId="27212" totalsRowDxfId="27211"/>
    <tableColumn id="3014" xr3:uid="{BBA6891B-37B0-4B2C-8073-963B19262F03}" name="Column3000" dataDxfId="27210" totalsRowDxfId="27209"/>
    <tableColumn id="3015" xr3:uid="{9A4A12BC-6D7E-4BEB-BD25-81AE36BA8157}" name="Column3001" dataDxfId="27208" totalsRowDxfId="27207"/>
    <tableColumn id="3016" xr3:uid="{99797935-8E8D-44E0-B970-25073E193F84}" name="Column3002" dataDxfId="27206" totalsRowDxfId="27205"/>
    <tableColumn id="3017" xr3:uid="{313F34DC-F794-4E1D-B139-10BBDECA8A9D}" name="Column3003" dataDxfId="27204" totalsRowDxfId="27203"/>
    <tableColumn id="3018" xr3:uid="{D0DD4158-C83E-4F13-9C8C-BF8E8FAB01FC}" name="Column3004" dataDxfId="27202" totalsRowDxfId="27201"/>
    <tableColumn id="3019" xr3:uid="{2E646AB4-84B9-46A6-AB84-04F2C302E050}" name="Column3005" dataDxfId="27200" totalsRowDxfId="27199"/>
    <tableColumn id="3020" xr3:uid="{2B77052D-582B-4C4C-878B-98A38C8DB0F0}" name="Column3006" dataDxfId="27198" totalsRowDxfId="27197"/>
    <tableColumn id="3021" xr3:uid="{2C7E2DDB-F4AD-4283-BA4C-AB58CB158746}" name="Column3007" dataDxfId="27196" totalsRowDxfId="27195"/>
    <tableColumn id="3022" xr3:uid="{C95C70E5-E137-4EB5-BC2F-209310A678B2}" name="Column3008" dataDxfId="27194" totalsRowDxfId="27193"/>
    <tableColumn id="3023" xr3:uid="{478A9654-DC2C-4E5A-AA07-371DF2849946}" name="Column3009" dataDxfId="27192" totalsRowDxfId="27191"/>
    <tableColumn id="3024" xr3:uid="{153C0147-413A-4944-AC24-3113B26A3C51}" name="Column3010" dataDxfId="27190" totalsRowDxfId="27189"/>
    <tableColumn id="3025" xr3:uid="{796BA802-350D-4B29-B228-11FD63B53456}" name="Column3011" dataDxfId="27188" totalsRowDxfId="27187"/>
    <tableColumn id="3026" xr3:uid="{0D0D8FAB-F2D2-44E8-B7F8-12CC0E06F8B7}" name="Column3012" dataDxfId="27186" totalsRowDxfId="27185"/>
    <tableColumn id="3027" xr3:uid="{7F1896E4-CB3E-478A-8E9D-A22C9108C256}" name="Column3013" dataDxfId="27184" totalsRowDxfId="27183"/>
    <tableColumn id="3028" xr3:uid="{EB1F42EA-5B93-47F9-A0B0-D1553DE533EE}" name="Column3014" dataDxfId="27182" totalsRowDxfId="27181"/>
    <tableColumn id="3029" xr3:uid="{CE7B7E15-9F10-43C1-BE92-EFAB4D4BE2E6}" name="Column3015" dataDxfId="27180" totalsRowDxfId="27179"/>
    <tableColumn id="3030" xr3:uid="{DCC18F31-5D01-49A5-B0FB-A69B963226BC}" name="Column3016" dataDxfId="27178" totalsRowDxfId="27177"/>
    <tableColumn id="3031" xr3:uid="{CB0D59E0-7A73-448C-A75F-1077509C9639}" name="Column3017" dataDxfId="27176" totalsRowDxfId="27175"/>
    <tableColumn id="3032" xr3:uid="{402BFC0F-E031-41BE-BFBA-9B256B130B33}" name="Column3018" dataDxfId="27174" totalsRowDxfId="27173"/>
    <tableColumn id="3033" xr3:uid="{75FF7FF9-B843-4C54-9436-258C4E1B4728}" name="Column3019" dataDxfId="27172" totalsRowDxfId="27171"/>
    <tableColumn id="3034" xr3:uid="{FF4ABA82-69B5-4525-B37C-1E725292D986}" name="Column3020" dataDxfId="27170" totalsRowDxfId="27169"/>
    <tableColumn id="3035" xr3:uid="{75B2E294-4328-40CD-BD83-437A133DFA75}" name="Column3021" dataDxfId="27168" totalsRowDxfId="27167"/>
    <tableColumn id="3036" xr3:uid="{2BE90A1D-6DD7-4272-96F8-6A12F59FD6FD}" name="Column3022" dataDxfId="27166" totalsRowDxfId="27165"/>
    <tableColumn id="3037" xr3:uid="{42DC99FF-1684-4C18-A9A8-2E299BA737C0}" name="Column3023" dataDxfId="27164" totalsRowDxfId="27163"/>
    <tableColumn id="3038" xr3:uid="{779D05A0-0473-42CD-A8E4-9E9439FF23F7}" name="Column3024" dataDxfId="27162" totalsRowDxfId="27161"/>
    <tableColumn id="3039" xr3:uid="{9C706DF4-C374-4499-B2DB-DF9197C5BAE9}" name="Column3025" dataDxfId="27160" totalsRowDxfId="27159"/>
    <tableColumn id="3040" xr3:uid="{903ED22A-AC61-4D21-B2EE-BCA6402E3E9D}" name="Column3026" dataDxfId="27158" totalsRowDxfId="27157"/>
    <tableColumn id="3041" xr3:uid="{A4959EC7-1C3D-4941-A83E-A137E0BDEC1B}" name="Column3027" dataDxfId="27156" totalsRowDxfId="27155"/>
    <tableColumn id="3042" xr3:uid="{1C016376-6443-497F-ACB8-741F5231004F}" name="Column3028" dataDxfId="27154" totalsRowDxfId="27153"/>
    <tableColumn id="3043" xr3:uid="{60ECA69E-8B1D-47E3-A25C-5294043677EB}" name="Column3029" dataDxfId="27152" totalsRowDxfId="27151"/>
    <tableColumn id="3044" xr3:uid="{C81BAC9C-E6CA-4C0F-8515-E9B15239489E}" name="Column3030" dataDxfId="27150" totalsRowDxfId="27149"/>
    <tableColumn id="3045" xr3:uid="{846B2BAA-A3DA-46E5-B99D-07A7B506BC16}" name="Column3031" dataDxfId="27148" totalsRowDxfId="27147"/>
    <tableColumn id="3046" xr3:uid="{2E6DA5C4-A0BB-4849-B264-0FD4C38DD591}" name="Column3032" dataDxfId="27146" totalsRowDxfId="27145"/>
    <tableColumn id="3047" xr3:uid="{3A8DA216-7830-407D-BFEC-E5B4F75DFFE3}" name="Column3033" dataDxfId="27144" totalsRowDxfId="27143"/>
    <tableColumn id="3048" xr3:uid="{84C23E41-4CBA-4280-A476-BB6180E41F10}" name="Column3034" dataDxfId="27142" totalsRowDxfId="27141"/>
    <tableColumn id="3049" xr3:uid="{59863CDA-7B81-470C-A639-2CC1C6B67D75}" name="Column3035" dataDxfId="27140" totalsRowDxfId="27139"/>
    <tableColumn id="3050" xr3:uid="{C0C92236-C6ED-4F65-8109-5830608BF91C}" name="Column3036" dataDxfId="27138" totalsRowDxfId="27137"/>
    <tableColumn id="3051" xr3:uid="{C9A9B6A3-4EE0-42C6-B0BB-19E428CC27A8}" name="Column3037" dataDxfId="27136" totalsRowDxfId="27135"/>
    <tableColumn id="3052" xr3:uid="{BF75EACF-2255-46BF-897E-7843EEA30D3C}" name="Column3038" dataDxfId="27134" totalsRowDxfId="27133"/>
    <tableColumn id="3053" xr3:uid="{708C6DB9-8DA4-4516-ADA3-013FCB6F0740}" name="Column3039" dataDxfId="27132" totalsRowDxfId="27131"/>
    <tableColumn id="3054" xr3:uid="{981101EF-6481-4C3B-B254-4B33ADA3F7EC}" name="Column3040" dataDxfId="27130" totalsRowDxfId="27129"/>
    <tableColumn id="3055" xr3:uid="{A29BD788-653B-4313-9060-991AF1424A84}" name="Column3041" dataDxfId="27128" totalsRowDxfId="27127"/>
    <tableColumn id="3056" xr3:uid="{EA73D210-C40B-48C8-A56C-6ACCDB1366BE}" name="Column3042" dataDxfId="27126" totalsRowDxfId="27125"/>
    <tableColumn id="3057" xr3:uid="{F532383C-635D-4CA4-98C8-B17FF99801FF}" name="Column3043" dataDxfId="27124" totalsRowDxfId="27123"/>
    <tableColumn id="3058" xr3:uid="{6A5444FB-24E1-47F1-A030-4934AB21CBC8}" name="Column3044" dataDxfId="27122" totalsRowDxfId="27121"/>
    <tableColumn id="3059" xr3:uid="{9DF5D516-0BB0-44FA-9CA5-5FBA1C0D4387}" name="Column3045" dataDxfId="27120" totalsRowDxfId="27119"/>
    <tableColumn id="3060" xr3:uid="{3235629C-A57B-48B5-8F37-FEA8FC49F81A}" name="Column3046" dataDxfId="27118" totalsRowDxfId="27117"/>
    <tableColumn id="3061" xr3:uid="{47DA6A2B-30D6-41E7-88E9-8DEAD74A2126}" name="Column3047" dataDxfId="27116" totalsRowDxfId="27115"/>
    <tableColumn id="3062" xr3:uid="{EFE12A76-E942-46E5-83DE-EA5B692BA513}" name="Column3048" dataDxfId="27114" totalsRowDxfId="27113"/>
    <tableColumn id="3063" xr3:uid="{E4994F32-FE55-49C8-BDC8-B97197CE7237}" name="Column3049" dataDxfId="27112" totalsRowDxfId="27111"/>
    <tableColumn id="3064" xr3:uid="{654C09AF-FF22-4CD4-B94A-9C6E6002DDE7}" name="Column3050" dataDxfId="27110" totalsRowDxfId="27109"/>
    <tableColumn id="3065" xr3:uid="{9D2BA2EC-7C6F-4F61-88D3-3C3AFDE2575A}" name="Column3051" dataDxfId="27108" totalsRowDxfId="27107"/>
    <tableColumn id="3066" xr3:uid="{2C1D8253-6A2B-412C-8444-CCCE8DF372AD}" name="Column3052" dataDxfId="27106" totalsRowDxfId="27105"/>
    <tableColumn id="3067" xr3:uid="{A6BF3F83-9522-4B4E-A223-16C8D31C400D}" name="Column3053" dataDxfId="27104" totalsRowDxfId="27103"/>
    <tableColumn id="3068" xr3:uid="{4510A4F7-25BA-4A75-B270-C4752745E78F}" name="Column3054" dataDxfId="27102" totalsRowDxfId="27101"/>
    <tableColumn id="3069" xr3:uid="{EBC62615-FF8D-4229-98B3-568E61B8EC22}" name="Column3055" dataDxfId="27100" totalsRowDxfId="27099"/>
    <tableColumn id="3070" xr3:uid="{C8A8318D-1D93-4B26-9E4A-0099AF2E4CF4}" name="Column3056" dataDxfId="27098" totalsRowDxfId="27097"/>
    <tableColumn id="3071" xr3:uid="{9DC30E7B-FE67-4D02-8382-27920C205BB6}" name="Column3057" dataDxfId="27096" totalsRowDxfId="27095"/>
    <tableColumn id="3072" xr3:uid="{A3808B09-DA88-437A-8379-E4AD585C341E}" name="Column3058" dataDxfId="27094" totalsRowDxfId="27093"/>
    <tableColumn id="3073" xr3:uid="{17D8A297-926C-455B-9CD5-EC16C3CD9EA9}" name="Column3059" dataDxfId="27092" totalsRowDxfId="27091"/>
    <tableColumn id="3074" xr3:uid="{29FB9C95-FDAA-44CC-9BFB-C2013A2FF99D}" name="Column3060" dataDxfId="27090" totalsRowDxfId="27089"/>
    <tableColumn id="3075" xr3:uid="{27DEA638-75E6-4011-88E2-7376933A18E8}" name="Column3061" dataDxfId="27088" totalsRowDxfId="27087"/>
    <tableColumn id="3076" xr3:uid="{2AFBC89C-C8BC-42C7-9AD9-0F1F37A78E19}" name="Column3062" dataDxfId="27086" totalsRowDxfId="27085"/>
    <tableColumn id="3077" xr3:uid="{8E1DB7A5-681B-4CFB-9792-31FFF1007D22}" name="Column3063" dataDxfId="27084" totalsRowDxfId="27083"/>
    <tableColumn id="3078" xr3:uid="{83903D00-3FFF-4824-941F-4A1FB2A8B361}" name="Column3064" dataDxfId="27082" totalsRowDxfId="27081"/>
    <tableColumn id="3079" xr3:uid="{59C53C05-3460-4E30-8E6B-4CA3506416DC}" name="Column3065" dataDxfId="27080" totalsRowDxfId="27079"/>
    <tableColumn id="3080" xr3:uid="{45CA1F21-9946-4AE7-BEFF-34D72A6275DF}" name="Column3066" dataDxfId="27078" totalsRowDxfId="27077"/>
    <tableColumn id="3081" xr3:uid="{99A314F1-FEB2-4FEB-93F0-B77736E7D7B4}" name="Column3067" dataDxfId="27076" totalsRowDxfId="27075"/>
    <tableColumn id="3082" xr3:uid="{F2E493A1-7338-47F8-9FD4-21AF8B41865D}" name="Column3068" dataDxfId="27074" totalsRowDxfId="27073"/>
    <tableColumn id="3083" xr3:uid="{E48EF46B-C5A1-4C8B-BE33-BAEF04C47849}" name="Column3069" dataDxfId="27072" totalsRowDxfId="27071"/>
    <tableColumn id="3084" xr3:uid="{DF67956E-0CC8-4085-BD25-4A701AC5216E}" name="Column3070" dataDxfId="27070" totalsRowDxfId="27069"/>
    <tableColumn id="3085" xr3:uid="{7AFDCD51-F924-4E3F-8B8B-90A8C7C72081}" name="Column3071" dataDxfId="27068" totalsRowDxfId="27067"/>
    <tableColumn id="3086" xr3:uid="{E4F9FEBC-DDB4-4437-B31C-CD4FABA3CBA8}" name="Column3072" dataDxfId="27066" totalsRowDxfId="27065"/>
    <tableColumn id="3087" xr3:uid="{10605FB4-2335-4FDA-BD9C-EF74879C5D75}" name="Column3073" dataDxfId="27064" totalsRowDxfId="27063"/>
    <tableColumn id="3088" xr3:uid="{0DEECE9C-D623-41DB-A30C-BFB469231E48}" name="Column3074" dataDxfId="27062" totalsRowDxfId="27061"/>
    <tableColumn id="3089" xr3:uid="{D880B4CF-7483-48E3-9A56-9EC417DEB13D}" name="Column3075" dataDxfId="27060" totalsRowDxfId="27059"/>
    <tableColumn id="3090" xr3:uid="{8A98E244-841A-45FE-9BF4-E8FFC10BDD06}" name="Column3076" dataDxfId="27058" totalsRowDxfId="27057"/>
    <tableColumn id="3091" xr3:uid="{17C920DB-ECF1-4862-A43C-760703551A16}" name="Column3077" dataDxfId="27056" totalsRowDxfId="27055"/>
    <tableColumn id="3092" xr3:uid="{728EC4E3-D2BF-4104-92EC-B6CCBD03750A}" name="Column3078" dataDxfId="27054" totalsRowDxfId="27053"/>
    <tableColumn id="3093" xr3:uid="{D236D6DF-A966-40A6-A0B0-7E8DAF02DB75}" name="Column3079" dataDxfId="27052" totalsRowDxfId="27051"/>
    <tableColumn id="3094" xr3:uid="{03057BEC-085E-497C-AAF4-C83E1D7945F3}" name="Column3080" dataDxfId="27050" totalsRowDxfId="27049"/>
    <tableColumn id="3095" xr3:uid="{9970FB6F-19D0-4E31-9AF9-070617A9BBF7}" name="Column3081" dataDxfId="27048" totalsRowDxfId="27047"/>
    <tableColumn id="3096" xr3:uid="{132A21FD-1470-47C7-B8F9-82B5E1F05B26}" name="Column3082" dataDxfId="27046" totalsRowDxfId="27045"/>
    <tableColumn id="3097" xr3:uid="{8A607924-A9DD-40DA-90C5-CA0FE1FC2581}" name="Column3083" dataDxfId="27044" totalsRowDxfId="27043"/>
    <tableColumn id="3098" xr3:uid="{19E36005-7090-42B4-BEDF-1C516CE1DE16}" name="Column3084" dataDxfId="27042" totalsRowDxfId="27041"/>
    <tableColumn id="3099" xr3:uid="{343943EE-78AD-4B5B-A4B6-C3F5C8257DCA}" name="Column3085" dataDxfId="27040" totalsRowDxfId="27039"/>
    <tableColumn id="3100" xr3:uid="{BD662A9B-8F56-4065-BCB1-DDEB561A9295}" name="Column3086" dataDxfId="27038" totalsRowDxfId="27037"/>
    <tableColumn id="3101" xr3:uid="{DB294ABF-D8F4-4F54-9F83-C25899DFD62B}" name="Column3087" dataDxfId="27036" totalsRowDxfId="27035"/>
    <tableColumn id="3102" xr3:uid="{8C783343-ECBC-4467-9881-37DB317CBD71}" name="Column3088" dataDxfId="27034" totalsRowDxfId="27033"/>
    <tableColumn id="3103" xr3:uid="{F1033885-A0BF-4F61-A0AA-F6EC5A8AD5EF}" name="Column3089" dataDxfId="27032" totalsRowDxfId="27031"/>
    <tableColumn id="3104" xr3:uid="{BF10D66C-766D-43DC-BC81-A8222FA6F9A7}" name="Column3090" dataDxfId="27030" totalsRowDxfId="27029"/>
    <tableColumn id="3105" xr3:uid="{2484D04A-8799-435E-9E70-A6281C91111A}" name="Column3091" dataDxfId="27028" totalsRowDxfId="27027"/>
    <tableColumn id="3106" xr3:uid="{15ACD597-F9DF-47E3-886E-C4037F33ED26}" name="Column3092" dataDxfId="27026" totalsRowDxfId="27025"/>
    <tableColumn id="3107" xr3:uid="{BABCEDFD-1E8C-4525-85E9-78B46E686E1A}" name="Column3093" dataDxfId="27024" totalsRowDxfId="27023"/>
    <tableColumn id="3108" xr3:uid="{0FD630AB-B42F-4F51-B50F-97A1912202ED}" name="Column3094" dataDxfId="27022" totalsRowDxfId="27021"/>
    <tableColumn id="3109" xr3:uid="{A789D4E9-818C-486B-8F0F-F55C30090249}" name="Column3095" dataDxfId="27020" totalsRowDxfId="27019"/>
    <tableColumn id="3110" xr3:uid="{0FD5ACC9-8BAF-412B-8794-E6E03D3AB558}" name="Column3096" dataDxfId="27018" totalsRowDxfId="27017"/>
    <tableColumn id="3111" xr3:uid="{515717D9-72C1-49AE-9E3F-F5619C4F0CA0}" name="Column3097" dataDxfId="27016" totalsRowDxfId="27015"/>
    <tableColumn id="3112" xr3:uid="{3C2263C9-4297-4729-B91D-3929FB01D18B}" name="Column3098" dataDxfId="27014" totalsRowDxfId="27013"/>
    <tableColumn id="3113" xr3:uid="{EA8D20FB-7B17-43C4-A08D-C0B7F11ECC3B}" name="Column3099" dataDxfId="27012" totalsRowDxfId="27011"/>
    <tableColumn id="3114" xr3:uid="{4F90B224-90B4-4E0C-ABD4-1879D703BED7}" name="Column3100" dataDxfId="27010" totalsRowDxfId="27009"/>
    <tableColumn id="3115" xr3:uid="{5C7D23B5-8268-4F9B-B6EC-42EBDFFA1E7B}" name="Column3101" dataDxfId="27008" totalsRowDxfId="27007"/>
    <tableColumn id="3116" xr3:uid="{F072CEDE-1A2D-4764-8FB8-8CABEF1E8CAD}" name="Column3102" dataDxfId="27006" totalsRowDxfId="27005"/>
    <tableColumn id="3117" xr3:uid="{40709528-71EF-4542-A357-9E68F28B1C55}" name="Column3103" dataDxfId="27004" totalsRowDxfId="27003"/>
    <tableColumn id="3118" xr3:uid="{F15E41A9-E9D2-46FB-B3A8-6072DF05DA70}" name="Column3104" dataDxfId="27002" totalsRowDxfId="27001"/>
    <tableColumn id="3119" xr3:uid="{66873ADF-B264-4094-AEE8-2BF7370EC727}" name="Column3105" dataDxfId="27000" totalsRowDxfId="26999"/>
    <tableColumn id="3120" xr3:uid="{82B36210-6800-4C98-AF54-E8972A118508}" name="Column3106" dataDxfId="26998" totalsRowDxfId="26997"/>
    <tableColumn id="3121" xr3:uid="{2101D55C-37E5-4B77-8FA7-3A2526201006}" name="Column3107" dataDxfId="26996" totalsRowDxfId="26995"/>
    <tableColumn id="3122" xr3:uid="{C31C5577-DB37-40BE-A13C-12887DD5FB51}" name="Column3108" dataDxfId="26994" totalsRowDxfId="26993"/>
    <tableColumn id="3123" xr3:uid="{2F392831-4279-4DBB-9119-D58765ED4EBB}" name="Column3109" dataDxfId="26992" totalsRowDxfId="26991"/>
    <tableColumn id="3124" xr3:uid="{C629A0BA-3972-45A6-9FF9-F3E15F04014B}" name="Column3110" dataDxfId="26990" totalsRowDxfId="26989"/>
    <tableColumn id="3125" xr3:uid="{8691AEC2-50D9-4F35-A441-45EF9B5DDCEF}" name="Column3111" dataDxfId="26988" totalsRowDxfId="26987"/>
    <tableColumn id="3126" xr3:uid="{A16D3DDB-E1C2-405C-8EAE-5B95A3018277}" name="Column3112" dataDxfId="26986" totalsRowDxfId="26985"/>
    <tableColumn id="3127" xr3:uid="{92648502-0A52-47F3-87E1-B8A72057A886}" name="Column3113" dataDxfId="26984" totalsRowDxfId="26983"/>
    <tableColumn id="3128" xr3:uid="{ED2B9580-81C9-4ACE-92C1-6384310BE8B3}" name="Column3114" dataDxfId="26982" totalsRowDxfId="26981"/>
    <tableColumn id="3129" xr3:uid="{D6B774CD-ACFB-41B5-88AA-6EFB310229C2}" name="Column3115" dataDxfId="26980" totalsRowDxfId="26979"/>
    <tableColumn id="3130" xr3:uid="{1A519853-97F9-4C4F-A388-660C0F9AFAA5}" name="Column3116" dataDxfId="26978" totalsRowDxfId="26977"/>
    <tableColumn id="3131" xr3:uid="{5B96F100-7E6E-4892-B2A5-CB07CB9DDCB9}" name="Column3117" dataDxfId="26976" totalsRowDxfId="26975"/>
    <tableColumn id="3132" xr3:uid="{BEB12EF6-5847-4A72-8C9D-3C56D2C3DFA2}" name="Column3118" dataDxfId="26974" totalsRowDxfId="26973"/>
    <tableColumn id="3133" xr3:uid="{104DF3F6-848B-4056-88F8-113B1C95D2BB}" name="Column3119" dataDxfId="26972" totalsRowDxfId="26971"/>
    <tableColumn id="3134" xr3:uid="{F6A4585D-3728-490B-B248-94BB3585D8DA}" name="Column3120" dataDxfId="26970" totalsRowDxfId="26969"/>
    <tableColumn id="3135" xr3:uid="{7256201B-05C0-4C94-96FB-D4260DD4A481}" name="Column3121" dataDxfId="26968" totalsRowDxfId="26967"/>
    <tableColumn id="3136" xr3:uid="{DBBBEF67-91E9-41C1-BCC5-D0C0FD1F69BC}" name="Column3122" dataDxfId="26966" totalsRowDxfId="26965"/>
    <tableColumn id="3137" xr3:uid="{A80E2A06-008A-4E3B-B3E6-E9BA209428D7}" name="Column3123" dataDxfId="26964" totalsRowDxfId="26963"/>
    <tableColumn id="3138" xr3:uid="{BBF00256-D777-49CD-95DE-D6EC1F59A04A}" name="Column3124" dataDxfId="26962" totalsRowDxfId="26961"/>
    <tableColumn id="3139" xr3:uid="{417BA7C1-C316-4BAE-80F5-5CD615BBB35E}" name="Column3125" dataDxfId="26960" totalsRowDxfId="26959"/>
    <tableColumn id="3140" xr3:uid="{2F9BE8AC-BA5F-42F6-98A2-1C95C831FB71}" name="Column3126" dataDxfId="26958" totalsRowDxfId="26957"/>
    <tableColumn id="3141" xr3:uid="{27D43C89-4494-4CB2-8930-7419BDC8B197}" name="Column3127" dataDxfId="26956" totalsRowDxfId="26955"/>
    <tableColumn id="3142" xr3:uid="{A39635D5-C237-4C94-A930-2D0BA3E46925}" name="Column3128" dataDxfId="26954" totalsRowDxfId="26953"/>
    <tableColumn id="3143" xr3:uid="{E167F7CA-2477-426C-8501-E1B675318223}" name="Column3129" dataDxfId="26952" totalsRowDxfId="26951"/>
    <tableColumn id="3144" xr3:uid="{13DC9EBC-AB45-46C9-ABF6-2D0BB57FFD94}" name="Column3130" dataDxfId="26950" totalsRowDxfId="26949"/>
    <tableColumn id="3145" xr3:uid="{5E09BA6B-933A-40B8-9F84-66C02C496955}" name="Column3131" dataDxfId="26948" totalsRowDxfId="26947"/>
    <tableColumn id="3146" xr3:uid="{4126C03F-BC3C-4918-B324-61EFE57DF3C3}" name="Column3132" dataDxfId="26946" totalsRowDxfId="26945"/>
    <tableColumn id="3147" xr3:uid="{B8D0D5FD-6752-4280-8D29-6FC50B6617EE}" name="Column3133" dataDxfId="26944" totalsRowDxfId="26943"/>
    <tableColumn id="3148" xr3:uid="{4DF2D449-54A2-4CFA-B646-EBC2264FE8C1}" name="Column3134" dataDxfId="26942" totalsRowDxfId="26941"/>
    <tableColumn id="3149" xr3:uid="{BD823031-43EA-4782-B4CF-6F7D02C5D2C4}" name="Column3135" dataDxfId="26940" totalsRowDxfId="26939"/>
    <tableColumn id="3150" xr3:uid="{6D3C19FD-FDDE-490A-83EE-58CDA2AB4848}" name="Column3136" dataDxfId="26938" totalsRowDxfId="26937"/>
    <tableColumn id="3151" xr3:uid="{A76C11D2-18A5-4B2D-B36D-00C5B418FF76}" name="Column3137" dataDxfId="26936" totalsRowDxfId="26935"/>
    <tableColumn id="3152" xr3:uid="{F83F6426-15EE-4A88-B0C8-ACE8A874762E}" name="Column3138" dataDxfId="26934" totalsRowDxfId="26933"/>
    <tableColumn id="3153" xr3:uid="{6D399055-201F-4812-AEA3-C4C45F893317}" name="Column3139" dataDxfId="26932" totalsRowDxfId="26931"/>
    <tableColumn id="3154" xr3:uid="{3C9A95C0-B853-4F2A-A99D-A29116282B79}" name="Column3140" dataDxfId="26930" totalsRowDxfId="26929"/>
    <tableColumn id="3155" xr3:uid="{4648653C-79B6-47FE-800F-E5246012D282}" name="Column3141" dataDxfId="26928" totalsRowDxfId="26927"/>
    <tableColumn id="3156" xr3:uid="{F07DE6FA-6366-47C9-A6A1-029240BF5D5C}" name="Column3142" dataDxfId="26926" totalsRowDxfId="26925"/>
    <tableColumn id="3157" xr3:uid="{598C0A57-AD73-4AB5-B9C7-7DC2B0A99AD5}" name="Column3143" dataDxfId="26924" totalsRowDxfId="26923"/>
    <tableColumn id="3158" xr3:uid="{8F8C7241-34FD-467A-BC94-8ABB45FF44D5}" name="Column3144" dataDxfId="26922" totalsRowDxfId="26921"/>
    <tableColumn id="3159" xr3:uid="{C65FCD30-2916-48A3-AA59-EC90DAD9CFB8}" name="Column3145" dataDxfId="26920" totalsRowDxfId="26919"/>
    <tableColumn id="3160" xr3:uid="{CF7FD66F-2F40-4926-B680-02570DF0B43E}" name="Column3146" dataDxfId="26918" totalsRowDxfId="26917"/>
    <tableColumn id="3161" xr3:uid="{74F29DD5-7058-467D-AA4F-3A74FD84D6A3}" name="Column3147" dataDxfId="26916" totalsRowDxfId="26915"/>
    <tableColumn id="3162" xr3:uid="{B0CDADEA-4DF5-4D4F-88AF-F385E259D0F9}" name="Column3148" dataDxfId="26914" totalsRowDxfId="26913"/>
    <tableColumn id="3163" xr3:uid="{EDEC2757-5CB1-453B-B88C-331E8C686303}" name="Column3149" dataDxfId="26912" totalsRowDxfId="26911"/>
    <tableColumn id="3164" xr3:uid="{142585F4-90FE-4AD4-A9CF-9A74654013E6}" name="Column3150" dataDxfId="26910" totalsRowDxfId="26909"/>
    <tableColumn id="3165" xr3:uid="{BBD8F2F4-B1B7-4513-883D-84B28F0A12EE}" name="Column3151" dataDxfId="26908" totalsRowDxfId="26907"/>
    <tableColumn id="3166" xr3:uid="{B428D7DC-1624-44D5-AF1D-924B1CBD739C}" name="Column3152" dataDxfId="26906" totalsRowDxfId="26905"/>
    <tableColumn id="3167" xr3:uid="{BC2442A8-EDDA-48A4-B487-3DF08E90CFAF}" name="Column3153" dataDxfId="26904" totalsRowDxfId="26903"/>
    <tableColumn id="3168" xr3:uid="{7E732006-C555-4204-95C8-3F38C293A35B}" name="Column3154" dataDxfId="26902" totalsRowDxfId="26901"/>
    <tableColumn id="3169" xr3:uid="{826930A6-C4FA-46F6-AF3E-634167A2C99E}" name="Column3155" dataDxfId="26900" totalsRowDxfId="26899"/>
    <tableColumn id="3170" xr3:uid="{DDBF5DFF-520F-4816-A1F7-8D9D42CFC92E}" name="Column3156" dataDxfId="26898" totalsRowDxfId="26897"/>
    <tableColumn id="3171" xr3:uid="{A5D9E229-1B1A-419E-857C-08C27761D03E}" name="Column3157" dataDxfId="26896" totalsRowDxfId="26895"/>
    <tableColumn id="3172" xr3:uid="{8FB654FF-8362-485B-B400-6AAB9C61F121}" name="Column3158" dataDxfId="26894" totalsRowDxfId="26893"/>
    <tableColumn id="3173" xr3:uid="{BD65E49A-B3CD-4D70-81CE-257B876765F8}" name="Column3159" dataDxfId="26892" totalsRowDxfId="26891"/>
    <tableColumn id="3174" xr3:uid="{FB7C166D-FF0B-4852-9E70-580B328D8C90}" name="Column3160" dataDxfId="26890" totalsRowDxfId="26889"/>
    <tableColumn id="3175" xr3:uid="{723536AE-D120-423C-8E35-556EFD3394FD}" name="Column3161" dataDxfId="26888" totalsRowDxfId="26887"/>
    <tableColumn id="3176" xr3:uid="{69B4A6DB-56AE-4B6A-9A43-451768D2EBCE}" name="Column3162" dataDxfId="26886" totalsRowDxfId="26885"/>
    <tableColumn id="3177" xr3:uid="{FF564A28-2102-47E6-81CD-7D6CFF551FE6}" name="Column3163" dataDxfId="26884" totalsRowDxfId="26883"/>
    <tableColumn id="3178" xr3:uid="{5A57BC9D-33EE-42F8-B83F-F64648CFC62D}" name="Column3164" dataDxfId="26882" totalsRowDxfId="26881"/>
    <tableColumn id="3179" xr3:uid="{83D11A92-BC4F-4204-B01D-BA40DF7E6EDC}" name="Column3165" dataDxfId="26880" totalsRowDxfId="26879"/>
    <tableColumn id="3180" xr3:uid="{A6922E52-C8B0-4BE8-8C36-ABB19B2A38FC}" name="Column3166" dataDxfId="26878" totalsRowDxfId="26877"/>
    <tableColumn id="3181" xr3:uid="{B9798E73-BC8B-4A40-888B-5CB33A25F3A8}" name="Column3167" dataDxfId="26876" totalsRowDxfId="26875"/>
    <tableColumn id="3182" xr3:uid="{A19A2D69-D829-4EE6-BA13-ED4981B4B4CB}" name="Column3168" dataDxfId="26874" totalsRowDxfId="26873"/>
    <tableColumn id="3183" xr3:uid="{14DC0D6A-D76E-40E1-B6A4-3219ECCAF58A}" name="Column3169" dataDxfId="26872" totalsRowDxfId="26871"/>
    <tableColumn id="3184" xr3:uid="{4861A1C1-D75F-4310-9573-E7F758A09089}" name="Column3170" dataDxfId="26870" totalsRowDxfId="26869"/>
    <tableColumn id="3185" xr3:uid="{96058ADD-1940-450A-A49F-8EC8E417C96D}" name="Column3171" dataDxfId="26868" totalsRowDxfId="26867"/>
    <tableColumn id="3186" xr3:uid="{0709F788-F392-4974-977A-61C236512613}" name="Column3172" dataDxfId="26866" totalsRowDxfId="26865"/>
    <tableColumn id="3187" xr3:uid="{809EF6B5-B7C0-4DBD-A296-6663161C1795}" name="Column3173" dataDxfId="26864" totalsRowDxfId="26863"/>
    <tableColumn id="3188" xr3:uid="{984DC2FC-E6B0-4493-874B-9C874F388C88}" name="Column3174" dataDxfId="26862" totalsRowDxfId="26861"/>
    <tableColumn id="3189" xr3:uid="{30DB5813-2644-49AD-AF89-9BE9239DEBAB}" name="Column3175" dataDxfId="26860" totalsRowDxfId="26859"/>
    <tableColumn id="3190" xr3:uid="{F37FFCCD-0EE5-4A78-BA4F-3FEA467D5BD2}" name="Column3176" dataDxfId="26858" totalsRowDxfId="26857"/>
    <tableColumn id="3191" xr3:uid="{864B05BD-DEC5-41E5-800C-6F2BFF73A6EF}" name="Column3177" dataDxfId="26856" totalsRowDxfId="26855"/>
    <tableColumn id="3192" xr3:uid="{886FF11C-52CE-4176-A970-A4F8B2FD90E8}" name="Column3178" dataDxfId="26854" totalsRowDxfId="26853"/>
    <tableColumn id="3193" xr3:uid="{CC138906-470F-44E9-9A86-57149CE3AFF0}" name="Column3179" dataDxfId="26852" totalsRowDxfId="26851"/>
    <tableColumn id="3194" xr3:uid="{D0A8C66E-A568-40A7-8BBD-FB3D4F2335E9}" name="Column3180" dataDxfId="26850" totalsRowDxfId="26849"/>
    <tableColumn id="3195" xr3:uid="{8B62391C-0E38-40F2-895C-FCF579501B27}" name="Column3181" dataDxfId="26848" totalsRowDxfId="26847"/>
    <tableColumn id="3196" xr3:uid="{19A8F6BD-7C89-4673-A808-89D8DAFF8D11}" name="Column3182" dataDxfId="26846" totalsRowDxfId="26845"/>
    <tableColumn id="3197" xr3:uid="{C3F8ABED-2BF1-45EC-8A81-A8D22B733F47}" name="Column3183" dataDxfId="26844" totalsRowDxfId="26843"/>
    <tableColumn id="3198" xr3:uid="{CDAAC934-C365-4994-AC82-8883E945C431}" name="Column3184" dataDxfId="26842" totalsRowDxfId="26841"/>
    <tableColumn id="3199" xr3:uid="{05BA0638-6900-49E5-B0E9-4709D6B143D0}" name="Column3185" dataDxfId="26840" totalsRowDxfId="26839"/>
    <tableColumn id="3200" xr3:uid="{FA71021D-476D-4E7C-B661-5AD91295F961}" name="Column3186" dataDxfId="26838" totalsRowDxfId="26837"/>
    <tableColumn id="3201" xr3:uid="{B0A6D537-2ECC-4230-8C2C-1A48D127C616}" name="Column3187" dataDxfId="26836" totalsRowDxfId="26835"/>
    <tableColumn id="3202" xr3:uid="{D1FC8D56-C573-4E77-89CC-35C5AEE10B15}" name="Column3188" dataDxfId="26834" totalsRowDxfId="26833"/>
    <tableColumn id="3203" xr3:uid="{0F3ADDD9-DFCB-4E83-B546-0CCF33671F33}" name="Column3189" dataDxfId="26832" totalsRowDxfId="26831"/>
    <tableColumn id="3204" xr3:uid="{DA858E73-915D-4FBA-96A0-7A85F3CB3BC8}" name="Column3190" dataDxfId="26830" totalsRowDxfId="26829"/>
    <tableColumn id="3205" xr3:uid="{59809AB9-F36B-4393-A493-200677F106F4}" name="Column3191" dataDxfId="26828" totalsRowDxfId="26827"/>
    <tableColumn id="3206" xr3:uid="{9BA21E6D-64E6-4AC0-8749-0910056114FA}" name="Column3192" dataDxfId="26826" totalsRowDxfId="26825"/>
    <tableColumn id="3207" xr3:uid="{06E9312F-0DBC-4F93-B1D8-68428929F4D1}" name="Column3193" dataDxfId="26824" totalsRowDxfId="26823"/>
    <tableColumn id="3208" xr3:uid="{ECD3AEA5-586F-4261-8C63-2DC854992A3D}" name="Column3194" dataDxfId="26822" totalsRowDxfId="26821"/>
    <tableColumn id="3209" xr3:uid="{D8FA7DF3-F8F0-4943-9FBD-5265175EA05A}" name="Column3195" dataDxfId="26820" totalsRowDxfId="26819"/>
    <tableColumn id="3210" xr3:uid="{E3DB4071-8205-431A-A60E-2F6582C3CDA6}" name="Column3196" dataDxfId="26818" totalsRowDxfId="26817"/>
    <tableColumn id="3211" xr3:uid="{4F197631-9BC6-41D1-937D-358488A9FC1C}" name="Column3197" dataDxfId="26816" totalsRowDxfId="26815"/>
    <tableColumn id="3212" xr3:uid="{D9266292-55EE-440C-95C6-7A2E0B7939B4}" name="Column3198" dataDxfId="26814" totalsRowDxfId="26813"/>
    <tableColumn id="3213" xr3:uid="{E2E3800D-EA43-465C-A70C-72A7FCFBB08B}" name="Column3199" dataDxfId="26812" totalsRowDxfId="26811"/>
    <tableColumn id="3214" xr3:uid="{155F6C44-FFCE-4CB2-976A-CC3EFCD2E5F7}" name="Column3200" dataDxfId="26810" totalsRowDxfId="26809"/>
    <tableColumn id="3215" xr3:uid="{66C9DDF5-D7A4-4A4B-BA79-B2815E4EDDE2}" name="Column3201" dataDxfId="26808" totalsRowDxfId="26807"/>
    <tableColumn id="3216" xr3:uid="{3BA0B658-7B4B-42C5-942E-7E4F643D0060}" name="Column3202" dataDxfId="26806" totalsRowDxfId="26805"/>
    <tableColumn id="3217" xr3:uid="{C40362E9-F0EF-4545-B174-AF9C59432422}" name="Column3203" dataDxfId="26804" totalsRowDxfId="26803"/>
    <tableColumn id="3218" xr3:uid="{C9CC9500-0169-408E-83E0-37FBE931757C}" name="Column3204" dataDxfId="26802" totalsRowDxfId="26801"/>
    <tableColumn id="3219" xr3:uid="{B873EDA4-8131-4800-91DD-79CFB8815331}" name="Column3205" dataDxfId="26800" totalsRowDxfId="26799"/>
    <tableColumn id="3220" xr3:uid="{FF4F3186-693C-4A7F-877F-70EC8B8905B9}" name="Column3206" dataDxfId="26798" totalsRowDxfId="26797"/>
    <tableColumn id="3221" xr3:uid="{2778A278-68E4-42A8-AFA2-46B149DF7672}" name="Column3207" dataDxfId="26796" totalsRowDxfId="26795"/>
    <tableColumn id="3222" xr3:uid="{1B369641-687D-4433-8CF2-60954CA85B3F}" name="Column3208" dataDxfId="26794" totalsRowDxfId="26793"/>
    <tableColumn id="3223" xr3:uid="{EEFFF674-FADD-4E08-A05E-3E982EC777EB}" name="Column3209" dataDxfId="26792" totalsRowDxfId="26791"/>
    <tableColumn id="3224" xr3:uid="{C148C296-F4B6-4456-AC5D-94BE2DCDEDA2}" name="Column3210" dataDxfId="26790" totalsRowDxfId="26789"/>
    <tableColumn id="3225" xr3:uid="{14D4014C-FB5B-493C-981C-27FBE84E6D94}" name="Column3211" dataDxfId="26788" totalsRowDxfId="26787"/>
    <tableColumn id="3226" xr3:uid="{EA6E1EA5-F1DE-41CC-B92C-40F2D2D9674D}" name="Column3212" dataDxfId="26786" totalsRowDxfId="26785"/>
    <tableColumn id="3227" xr3:uid="{B9663F90-496D-4FEB-AB50-52E801456CF3}" name="Column3213" dataDxfId="26784" totalsRowDxfId="26783"/>
    <tableColumn id="3228" xr3:uid="{C5FDEE49-888D-4933-AE28-429BB163C768}" name="Column3214" dataDxfId="26782" totalsRowDxfId="26781"/>
    <tableColumn id="3229" xr3:uid="{B7CF68FE-A82B-4679-9957-5BA467249E7E}" name="Column3215" dataDxfId="26780" totalsRowDxfId="26779"/>
    <tableColumn id="3230" xr3:uid="{5C4D0D9E-2BC7-437D-9737-EDC0A1F940CF}" name="Column3216" dataDxfId="26778" totalsRowDxfId="26777"/>
    <tableColumn id="3231" xr3:uid="{E60802FA-9419-4F8F-A95B-27A65E23CAFF}" name="Column3217" dataDxfId="26776" totalsRowDxfId="26775"/>
    <tableColumn id="3232" xr3:uid="{A69D4044-3FE4-40CE-A37E-40586CDF4CD1}" name="Column3218" dataDxfId="26774" totalsRowDxfId="26773"/>
    <tableColumn id="3233" xr3:uid="{596D56F6-900C-442E-83F7-D079DB00829E}" name="Column3219" dataDxfId="26772" totalsRowDxfId="26771"/>
    <tableColumn id="3234" xr3:uid="{258BB5D3-6063-4343-B6D2-C402E33E2175}" name="Column3220" dataDxfId="26770" totalsRowDxfId="26769"/>
    <tableColumn id="3235" xr3:uid="{5D1B0C9B-2533-45A3-BD34-7084400C36E6}" name="Column3221" dataDxfId="26768" totalsRowDxfId="26767"/>
    <tableColumn id="3236" xr3:uid="{1DE98CDE-6917-4467-AA6E-8470B5374AF5}" name="Column3222" dataDxfId="26766" totalsRowDxfId="26765"/>
    <tableColumn id="3237" xr3:uid="{42C742A8-4766-4327-BA6E-D79C25EC1089}" name="Column3223" dataDxfId="26764" totalsRowDxfId="26763"/>
    <tableColumn id="3238" xr3:uid="{C7DAB212-97FB-44E6-8E1F-A54C56258CC5}" name="Column3224" dataDxfId="26762" totalsRowDxfId="26761"/>
    <tableColumn id="3239" xr3:uid="{B786E2EF-AEB8-4712-A94A-6B08953056E0}" name="Column3225" dataDxfId="26760" totalsRowDxfId="26759"/>
    <tableColumn id="3240" xr3:uid="{E48F2E50-D245-4457-84DE-02BAE0BB62CE}" name="Column3226" dataDxfId="26758" totalsRowDxfId="26757"/>
    <tableColumn id="3241" xr3:uid="{1CC47A16-1626-446D-941B-76C625E279E1}" name="Column3227" dataDxfId="26756" totalsRowDxfId="26755"/>
    <tableColumn id="3242" xr3:uid="{F53AA01F-46B9-40BC-B8E2-7E7E7F4ACD0B}" name="Column3228" dataDxfId="26754" totalsRowDxfId="26753"/>
    <tableColumn id="3243" xr3:uid="{DC7C3BCC-52BC-4623-8FCD-080C1C0DEE68}" name="Column3229" dataDxfId="26752" totalsRowDxfId="26751"/>
    <tableColumn id="3244" xr3:uid="{BD7A469D-4384-452B-9A1F-BAF8505AA44D}" name="Column3230" dataDxfId="26750" totalsRowDxfId="26749"/>
    <tableColumn id="3245" xr3:uid="{752F7754-1CB7-40A2-91BA-73953A1D8C96}" name="Column3231" dataDxfId="26748" totalsRowDxfId="26747"/>
    <tableColumn id="3246" xr3:uid="{DBA43AFA-9332-4FE4-AF90-1D3B29059078}" name="Column3232" dataDxfId="26746" totalsRowDxfId="26745"/>
    <tableColumn id="3247" xr3:uid="{2CD2288E-DDE2-4ABB-8DDB-9D3EC8D78D11}" name="Column3233" dataDxfId="26744" totalsRowDxfId="26743"/>
    <tableColumn id="3248" xr3:uid="{9B76FA8D-7C6C-4963-AFFE-7D65181063D0}" name="Column3234" dataDxfId="26742" totalsRowDxfId="26741"/>
    <tableColumn id="3249" xr3:uid="{B552612B-82E9-4DA9-957F-1BDECAB27708}" name="Column3235" dataDxfId="26740" totalsRowDxfId="26739"/>
    <tableColumn id="3250" xr3:uid="{E1565EA7-3DA8-4169-9A46-005155A5CD84}" name="Column3236" dataDxfId="26738" totalsRowDxfId="26737"/>
    <tableColumn id="3251" xr3:uid="{B126EC85-0133-4060-8A00-2996438230C9}" name="Column3237" dataDxfId="26736" totalsRowDxfId="26735"/>
    <tableColumn id="3252" xr3:uid="{D8D74033-795D-4900-ABE8-827107B9DD50}" name="Column3238" dataDxfId="26734" totalsRowDxfId="26733"/>
    <tableColumn id="3253" xr3:uid="{9AEC9CEB-0D55-4C66-9855-86957395F016}" name="Column3239" dataDxfId="26732" totalsRowDxfId="26731"/>
    <tableColumn id="3254" xr3:uid="{78836B7D-CF7C-462E-95DA-D4FBC3C010A4}" name="Column3240" dataDxfId="26730" totalsRowDxfId="26729"/>
    <tableColumn id="3255" xr3:uid="{100E9347-3559-408E-B6B5-E2A4B43B1892}" name="Column3241" dataDxfId="26728" totalsRowDxfId="26727"/>
    <tableColumn id="3256" xr3:uid="{A6ED2E66-46CB-47C8-98AB-F25F656DA5FD}" name="Column3242" dataDxfId="26726" totalsRowDxfId="26725"/>
    <tableColumn id="3257" xr3:uid="{E17FDA5B-F8D1-4F33-896C-F16007F1073E}" name="Column3243" dataDxfId="26724" totalsRowDxfId="26723"/>
    <tableColumn id="3258" xr3:uid="{FC338E3D-48D1-41FC-BB99-AA3888FF41B5}" name="Column3244" dataDxfId="26722" totalsRowDxfId="26721"/>
    <tableColumn id="3259" xr3:uid="{03965B3C-9D2B-457F-9070-6ECEDD8339AE}" name="Column3245" dataDxfId="26720" totalsRowDxfId="26719"/>
    <tableColumn id="3260" xr3:uid="{5B9839C5-6D15-455A-9ADC-40B6C970F12E}" name="Column3246" dataDxfId="26718" totalsRowDxfId="26717"/>
    <tableColumn id="3261" xr3:uid="{60CAA4DE-348A-4F32-A485-44C863B9E25B}" name="Column3247" dataDxfId="26716" totalsRowDxfId="26715"/>
    <tableColumn id="3262" xr3:uid="{FD6F9A29-4FBE-4751-A9A6-7B847C397C33}" name="Column3248" dataDxfId="26714" totalsRowDxfId="26713"/>
    <tableColumn id="3263" xr3:uid="{378BCF43-CCF7-415C-BEEF-471B194802A6}" name="Column3249" dataDxfId="26712" totalsRowDxfId="26711"/>
    <tableColumn id="3264" xr3:uid="{733B047C-F36B-42C5-86EE-3EB0B4145B34}" name="Column3250" dataDxfId="26710" totalsRowDxfId="26709"/>
    <tableColumn id="3265" xr3:uid="{B255183F-5AD9-4C1E-8C22-A9BA29770490}" name="Column3251" dataDxfId="26708" totalsRowDxfId="26707"/>
    <tableColumn id="3266" xr3:uid="{CBB4B153-3694-4E47-AD84-D6B4CC0F23B6}" name="Column3252" dataDxfId="26706" totalsRowDxfId="26705"/>
    <tableColumn id="3267" xr3:uid="{9EF01636-97BE-4F95-AEDB-A01D9BA96722}" name="Column3253" dataDxfId="26704" totalsRowDxfId="26703"/>
    <tableColumn id="3268" xr3:uid="{CABF6876-A39E-4BCF-8207-F0CDBF3D9F1E}" name="Column3254" dataDxfId="26702" totalsRowDxfId="26701"/>
    <tableColumn id="3269" xr3:uid="{30495FD9-2D84-4B7F-AB61-165336C16592}" name="Column3255" dataDxfId="26700" totalsRowDxfId="26699"/>
    <tableColumn id="3270" xr3:uid="{7FB5C04F-60D6-46AF-925E-C838A5C1E45C}" name="Column3256" dataDxfId="26698" totalsRowDxfId="26697"/>
    <tableColumn id="3271" xr3:uid="{2A58238D-0208-4215-938B-364BF22AA07B}" name="Column3257" dataDxfId="26696" totalsRowDxfId="26695"/>
    <tableColumn id="3272" xr3:uid="{E7A341DD-5D35-4559-8364-90AD18734690}" name="Column3258" dataDxfId="26694" totalsRowDxfId="26693"/>
    <tableColumn id="3273" xr3:uid="{D203130C-3925-4C8C-868F-F548DCFCD8F6}" name="Column3259" dataDxfId="26692" totalsRowDxfId="26691"/>
    <tableColumn id="3274" xr3:uid="{FDAE9560-7FBE-4358-9CCD-4CA4C2517B96}" name="Column3260" dataDxfId="26690" totalsRowDxfId="26689"/>
    <tableColumn id="3275" xr3:uid="{EFDDC4B3-A7F9-48D4-AFFE-7DF73F4A7458}" name="Column3261" dataDxfId="26688" totalsRowDxfId="26687"/>
    <tableColumn id="3276" xr3:uid="{08107A8D-D333-4046-900A-525D315A8CE5}" name="Column3262" dataDxfId="26686" totalsRowDxfId="26685"/>
    <tableColumn id="3277" xr3:uid="{9C9CABBB-A023-4B99-97DC-01C9CC4456F8}" name="Column3263" dataDxfId="26684" totalsRowDxfId="26683"/>
    <tableColumn id="3278" xr3:uid="{F699CA3C-5328-4DB0-B93A-82BC5282594C}" name="Column3264" dataDxfId="26682" totalsRowDxfId="26681"/>
    <tableColumn id="3279" xr3:uid="{11ACE9C3-D84C-4A76-B1E4-BD1C6B90E907}" name="Column3265" dataDxfId="26680" totalsRowDxfId="26679"/>
    <tableColumn id="3280" xr3:uid="{EC73DE2E-1555-46AD-8FBB-9C9B145AFEC8}" name="Column3266" dataDxfId="26678" totalsRowDxfId="26677"/>
    <tableColumn id="3281" xr3:uid="{A0B91B1C-DD17-43D0-9643-22AD06AB0D64}" name="Column3267" dataDxfId="26676" totalsRowDxfId="26675"/>
    <tableColumn id="3282" xr3:uid="{EFDF5740-8CEE-4DDD-9FE2-DBF7251AAD44}" name="Column3268" dataDxfId="26674" totalsRowDxfId="26673"/>
    <tableColumn id="3283" xr3:uid="{E270CA7A-6D2F-4E1D-AC65-3CD298DE2B96}" name="Column3269" dataDxfId="26672" totalsRowDxfId="26671"/>
    <tableColumn id="3284" xr3:uid="{F8F80C4B-1398-4FAE-AB74-6440F06E514E}" name="Column3270" dataDxfId="26670" totalsRowDxfId="26669"/>
    <tableColumn id="3285" xr3:uid="{B9A487CA-883C-4447-800E-DEE894963EAF}" name="Column3271" dataDxfId="26668" totalsRowDxfId="26667"/>
    <tableColumn id="3286" xr3:uid="{F8ACACC0-AC02-4517-980F-4068D23D3DC2}" name="Column3272" dataDxfId="26666" totalsRowDxfId="26665"/>
    <tableColumn id="3287" xr3:uid="{5255ABFE-4743-40C0-81F1-74D403622A87}" name="Column3273" dataDxfId="26664" totalsRowDxfId="26663"/>
    <tableColumn id="3288" xr3:uid="{433B039A-961D-47DB-A4DC-732E64B97848}" name="Column3274" dataDxfId="26662" totalsRowDxfId="26661"/>
    <tableColumn id="3289" xr3:uid="{8D22CC65-E1BC-4107-A6E8-ACFBE47174D1}" name="Column3275" dataDxfId="26660" totalsRowDxfId="26659"/>
    <tableColumn id="3290" xr3:uid="{930B09BF-EBB2-4148-9C2B-7FB61EE9E40D}" name="Column3276" dataDxfId="26658" totalsRowDxfId="26657"/>
    <tableColumn id="3291" xr3:uid="{C48BF331-B7E8-4E30-A039-325711070FE0}" name="Column3277" dataDxfId="26656" totalsRowDxfId="26655"/>
    <tableColumn id="3292" xr3:uid="{F12822E2-FF71-455C-990C-E3EB0E58F47D}" name="Column3278" dataDxfId="26654" totalsRowDxfId="26653"/>
    <tableColumn id="3293" xr3:uid="{7D108385-6072-441C-BF1F-F0C13DC88D4B}" name="Column3279" dataDxfId="26652" totalsRowDxfId="26651"/>
    <tableColumn id="3294" xr3:uid="{3129EEEE-8CB4-4437-BC94-07F9FD812155}" name="Column3280" dataDxfId="26650" totalsRowDxfId="26649"/>
    <tableColumn id="3295" xr3:uid="{A0DE349F-7460-4E5B-AA12-747A29CA1B0C}" name="Column3281" dataDxfId="26648" totalsRowDxfId="26647"/>
    <tableColumn id="3296" xr3:uid="{F4A036B6-A34F-42FF-9C06-340FA27876D5}" name="Column3282" dataDxfId="26646" totalsRowDxfId="26645"/>
    <tableColumn id="3297" xr3:uid="{AFA14C5F-2A4C-495B-8592-726E7E481883}" name="Column3283" dataDxfId="26644" totalsRowDxfId="26643"/>
    <tableColumn id="3298" xr3:uid="{AC08C205-9C9D-4B4D-A5EE-68B03AD993DD}" name="Column3284" dataDxfId="26642" totalsRowDxfId="26641"/>
    <tableColumn id="3299" xr3:uid="{5E484078-C242-4B24-BEF9-A55444C2CC32}" name="Column3285" dataDxfId="26640" totalsRowDxfId="26639"/>
    <tableColumn id="3300" xr3:uid="{58602802-CF64-4BDD-B635-3829F906038A}" name="Column3286" dataDxfId="26638" totalsRowDxfId="26637"/>
    <tableColumn id="3301" xr3:uid="{D99637E4-A856-4294-ADE8-0B84A01872BA}" name="Column3287" dataDxfId="26636" totalsRowDxfId="26635"/>
    <tableColumn id="3302" xr3:uid="{5E00DFDD-7D88-4C0C-BE5D-532903F3196F}" name="Column3288" dataDxfId="26634" totalsRowDxfId="26633"/>
    <tableColumn id="3303" xr3:uid="{74DF4E89-382A-44EA-98EF-26705BECBD24}" name="Column3289" dataDxfId="26632" totalsRowDxfId="26631"/>
    <tableColumn id="3304" xr3:uid="{97D63892-9A9D-43CC-A375-F702903DEFAD}" name="Column3290" dataDxfId="26630" totalsRowDxfId="26629"/>
    <tableColumn id="3305" xr3:uid="{B1316F06-F950-400E-9AD5-E1348630C0F0}" name="Column3291" dataDxfId="26628" totalsRowDxfId="26627"/>
    <tableColumn id="3306" xr3:uid="{28712648-97FB-419F-92A9-464C71F48E14}" name="Column3292" dataDxfId="26626" totalsRowDxfId="26625"/>
    <tableColumn id="3307" xr3:uid="{1E3D9E8E-6AD9-4BCA-8DA1-688D40A36EE5}" name="Column3293" dataDxfId="26624" totalsRowDxfId="26623"/>
    <tableColumn id="3308" xr3:uid="{B470B3B8-770C-4A5C-ADA6-D11E31062D8E}" name="Column3294" dataDxfId="26622" totalsRowDxfId="26621"/>
    <tableColumn id="3309" xr3:uid="{4EC5E445-86F3-4013-8356-DA9A58179637}" name="Column3295" dataDxfId="26620" totalsRowDxfId="26619"/>
    <tableColumn id="3310" xr3:uid="{6E72228C-5AD9-42A6-8DAA-E8D14F2B9BFC}" name="Column3296" dataDxfId="26618" totalsRowDxfId="26617"/>
    <tableColumn id="3311" xr3:uid="{B911D4BB-0D9B-466E-8743-03E0471BFE89}" name="Column3297" dataDxfId="26616" totalsRowDxfId="26615"/>
    <tableColumn id="3312" xr3:uid="{A7285988-15BC-4875-A86D-E5BA3072CF24}" name="Column3298" dataDxfId="26614" totalsRowDxfId="26613"/>
    <tableColumn id="3313" xr3:uid="{B827691F-89E0-4AC6-9A8E-1627FC9422C6}" name="Column3299" dataDxfId="26612" totalsRowDxfId="26611"/>
    <tableColumn id="3314" xr3:uid="{C46AA05D-A257-4054-9508-8D490551676B}" name="Column3300" dataDxfId="26610" totalsRowDxfId="26609"/>
    <tableColumn id="3315" xr3:uid="{B23A4324-9D61-4CE4-B882-AB9955CF0A85}" name="Column3301" dataDxfId="26608" totalsRowDxfId="26607"/>
    <tableColumn id="3316" xr3:uid="{563F0F5C-1F48-41E0-A2AF-8863001D84BC}" name="Column3302" dataDxfId="26606" totalsRowDxfId="26605"/>
    <tableColumn id="3317" xr3:uid="{A339D77C-4B38-4A35-AD27-7114DD77EEFB}" name="Column3303" dataDxfId="26604" totalsRowDxfId="26603"/>
    <tableColumn id="3318" xr3:uid="{1DF74067-454F-4CFD-8926-C5431F4C8CD4}" name="Column3304" dataDxfId="26602" totalsRowDxfId="26601"/>
    <tableColumn id="3319" xr3:uid="{1ABFA41D-56DA-4EEC-AAB9-7FB7B3974C99}" name="Column3305" dataDxfId="26600" totalsRowDxfId="26599"/>
    <tableColumn id="3320" xr3:uid="{6175072C-0E2B-4875-A94F-8391C6566591}" name="Column3306" dataDxfId="26598" totalsRowDxfId="26597"/>
    <tableColumn id="3321" xr3:uid="{806734BF-D5D4-463E-92A7-0B4B775F5BDA}" name="Column3307" dataDxfId="26596" totalsRowDxfId="26595"/>
    <tableColumn id="3322" xr3:uid="{4E7795E2-F504-4910-A983-24B1CE802936}" name="Column3308" dataDxfId="26594" totalsRowDxfId="26593"/>
    <tableColumn id="3323" xr3:uid="{04A04474-C807-4DB6-A4B3-4ECA4B6EEADC}" name="Column3309" dataDxfId="26592" totalsRowDxfId="26591"/>
    <tableColumn id="3324" xr3:uid="{1E8B96F8-ED21-4940-85B5-C3718BB44D8F}" name="Column3310" dataDxfId="26590" totalsRowDxfId="26589"/>
    <tableColumn id="3325" xr3:uid="{1E15EE21-B8EF-40E7-9EF1-55E20F8FC980}" name="Column3311" dataDxfId="26588" totalsRowDxfId="26587"/>
    <tableColumn id="3326" xr3:uid="{83B12E70-3301-40E2-8483-FD3FB9C18D80}" name="Column3312" dataDxfId="26586" totalsRowDxfId="26585"/>
    <tableColumn id="3327" xr3:uid="{ADF8F55F-84E0-4B03-B714-81CB5E09DFA0}" name="Column3313" dataDxfId="26584" totalsRowDxfId="26583"/>
    <tableColumn id="3328" xr3:uid="{27F9DBA1-9B69-40B9-A5FB-3B30D7A425EC}" name="Column3314" dataDxfId="26582" totalsRowDxfId="26581"/>
    <tableColumn id="3329" xr3:uid="{C08BC9F1-1240-42BD-8151-A990A6704476}" name="Column3315" dataDxfId="26580" totalsRowDxfId="26579"/>
    <tableColumn id="3330" xr3:uid="{CBAF6C0F-9C8A-4A6C-AC30-B2D7A2C0AE5A}" name="Column3316" dataDxfId="26578" totalsRowDxfId="26577"/>
    <tableColumn id="3331" xr3:uid="{6A5A517A-4CFF-4050-9694-37CB6C59EF37}" name="Column3317" dataDxfId="26576" totalsRowDxfId="26575"/>
    <tableColumn id="3332" xr3:uid="{3F4A1921-8034-442D-8D56-4DDCBD68E5D8}" name="Column3318" dataDxfId="26574" totalsRowDxfId="26573"/>
    <tableColumn id="3333" xr3:uid="{EF7E48E3-3649-454A-937A-0BD925AFDB8D}" name="Column3319" dataDxfId="26572" totalsRowDxfId="26571"/>
    <tableColumn id="3334" xr3:uid="{F2CAD72E-31FA-4A23-AE75-A37E9AB8D3B6}" name="Column3320" dataDxfId="26570" totalsRowDxfId="26569"/>
    <tableColumn id="3335" xr3:uid="{BA5BD571-B2A8-456C-810A-EF7094AF317B}" name="Column3321" dataDxfId="26568" totalsRowDxfId="26567"/>
    <tableColumn id="3336" xr3:uid="{6A848698-DDEF-4B67-82CF-363526F3B4F2}" name="Column3322" dataDxfId="26566" totalsRowDxfId="26565"/>
    <tableColumn id="3337" xr3:uid="{6FB38490-4C0B-42D4-9BBB-B4B41B2D51E0}" name="Column3323" dataDxfId="26564" totalsRowDxfId="26563"/>
    <tableColumn id="3338" xr3:uid="{7A8A63F2-94B0-45A9-B506-E1442782A258}" name="Column3324" dataDxfId="26562" totalsRowDxfId="26561"/>
    <tableColumn id="3339" xr3:uid="{7D10717B-EF75-4B4E-835E-B3D86BE3D399}" name="Column3325" dataDxfId="26560" totalsRowDxfId="26559"/>
    <tableColumn id="3340" xr3:uid="{DDE9E3A4-5FE7-4B1F-B761-5EA7D8A1E85A}" name="Column3326" dataDxfId="26558" totalsRowDxfId="26557"/>
    <tableColumn id="3341" xr3:uid="{A0538F2E-768E-4976-BB4E-7E6C27FF5C7E}" name="Column3327" dataDxfId="26556" totalsRowDxfId="26555"/>
    <tableColumn id="3342" xr3:uid="{76E1EF3D-D04B-4C65-9D69-00874FE0C6EB}" name="Column3328" dataDxfId="26554" totalsRowDxfId="26553"/>
    <tableColumn id="3343" xr3:uid="{0B616E89-F03E-49C3-834F-94A07723412A}" name="Column3329" dataDxfId="26552" totalsRowDxfId="26551"/>
    <tableColumn id="3344" xr3:uid="{73AA54B6-7811-4C22-AC45-EFCAF393BCB9}" name="Column3330" dataDxfId="26550" totalsRowDxfId="26549"/>
    <tableColumn id="3345" xr3:uid="{FEA1651F-3AAC-4073-B30F-502411E48905}" name="Column3331" dataDxfId="26548" totalsRowDxfId="26547"/>
    <tableColumn id="3346" xr3:uid="{9BEFECA1-BDAC-4C5D-8D88-D00710563D5C}" name="Column3332" dataDxfId="26546" totalsRowDxfId="26545"/>
    <tableColumn id="3347" xr3:uid="{DFE03D5F-D786-4600-8731-31AE9AF50040}" name="Column3333" dataDxfId="26544" totalsRowDxfId="26543"/>
    <tableColumn id="3348" xr3:uid="{34E9FF42-5683-43D7-9C27-3EE12C4A3CDD}" name="Column3334" dataDxfId="26542" totalsRowDxfId="26541"/>
    <tableColumn id="3349" xr3:uid="{94785075-DF06-4755-9480-97CF3482F442}" name="Column3335" dataDxfId="26540" totalsRowDxfId="26539"/>
    <tableColumn id="3350" xr3:uid="{55EF3958-6408-4FF0-B467-57F621EF0AF8}" name="Column3336" dataDxfId="26538" totalsRowDxfId="26537"/>
    <tableColumn id="3351" xr3:uid="{F7BAD43E-F28C-4EE8-AF3C-888952FCDE39}" name="Column3337" dataDxfId="26536" totalsRowDxfId="26535"/>
    <tableColumn id="3352" xr3:uid="{C069F49E-4C2D-42D3-BA8A-E97516D845DC}" name="Column3338" dataDxfId="26534" totalsRowDxfId="26533"/>
    <tableColumn id="3353" xr3:uid="{143E7503-1A00-45C8-A866-F31897E1130D}" name="Column3339" dataDxfId="26532" totalsRowDxfId="26531"/>
    <tableColumn id="3354" xr3:uid="{FB41B17F-BB03-4906-9D92-E9A07CEAAC5C}" name="Column3340" dataDxfId="26530" totalsRowDxfId="26529"/>
    <tableColumn id="3355" xr3:uid="{5F20C6F2-27AA-425D-A7AF-6D04D0BF3A51}" name="Column3341" dataDxfId="26528" totalsRowDxfId="26527"/>
    <tableColumn id="3356" xr3:uid="{9E32587A-22DA-4AE4-8DFC-BBD7E28A127E}" name="Column3342" dataDxfId="26526" totalsRowDxfId="26525"/>
    <tableColumn id="3357" xr3:uid="{378336F7-6314-454F-9978-B6386883A18A}" name="Column3343" dataDxfId="26524" totalsRowDxfId="26523"/>
    <tableColumn id="3358" xr3:uid="{CB720C4B-2065-4388-94C0-62043B836734}" name="Column3344" dataDxfId="26522" totalsRowDxfId="26521"/>
    <tableColumn id="3359" xr3:uid="{1091316E-DC26-4632-A810-DCCA5FCD9325}" name="Column3345" dataDxfId="26520" totalsRowDxfId="26519"/>
    <tableColumn id="3360" xr3:uid="{FD3DDAFA-FA91-4520-888E-1B35BA173D5D}" name="Column3346" dataDxfId="26518" totalsRowDxfId="26517"/>
    <tableColumn id="3361" xr3:uid="{7A678189-626C-484D-A421-D789902B407E}" name="Column3347" dataDxfId="26516" totalsRowDxfId="26515"/>
    <tableColumn id="3362" xr3:uid="{1AF2F68E-DC2C-42DC-88B7-C1B13D49635B}" name="Column3348" dataDxfId="26514" totalsRowDxfId="26513"/>
    <tableColumn id="3363" xr3:uid="{F59622BF-F2A7-4FFF-82D8-CF30836D5C45}" name="Column3349" dataDxfId="26512" totalsRowDxfId="26511"/>
    <tableColumn id="3364" xr3:uid="{EB4B9B8C-D776-4E46-972B-2E04DBED2BD2}" name="Column3350" dataDxfId="26510" totalsRowDxfId="26509"/>
    <tableColumn id="3365" xr3:uid="{200281C8-EB50-41AA-8046-436A543173B5}" name="Column3351" dataDxfId="26508" totalsRowDxfId="26507"/>
    <tableColumn id="3366" xr3:uid="{8E9C0E63-49F1-4294-937F-DCEE37DD28D0}" name="Column3352" dataDxfId="26506" totalsRowDxfId="26505"/>
    <tableColumn id="3367" xr3:uid="{5E34D69A-A446-4026-B3A2-733B724F0706}" name="Column3353" dataDxfId="26504" totalsRowDxfId="26503"/>
    <tableColumn id="3368" xr3:uid="{4E8F6CA7-84E5-4CEF-9799-3E54775E440B}" name="Column3354" dataDxfId="26502" totalsRowDxfId="26501"/>
    <tableColumn id="3369" xr3:uid="{C3FB6527-C8CD-4972-9D2C-FB354E5BD2A8}" name="Column3355" dataDxfId="26500" totalsRowDxfId="26499"/>
    <tableColumn id="3370" xr3:uid="{A6E95970-129F-49C0-9167-8B4901401915}" name="Column3356" dataDxfId="26498" totalsRowDxfId="26497"/>
    <tableColumn id="3371" xr3:uid="{4ACAE958-64EC-4788-9F7E-DBA8E1A99558}" name="Column3357" dataDxfId="26496" totalsRowDxfId="26495"/>
    <tableColumn id="3372" xr3:uid="{1178689C-1FF6-4120-BD83-51A4CE7B0B6F}" name="Column3358" dataDxfId="26494" totalsRowDxfId="26493"/>
    <tableColumn id="3373" xr3:uid="{D60F0204-AE8F-4449-AF7B-978FF7DB3A95}" name="Column3359" dataDxfId="26492" totalsRowDxfId="26491"/>
    <tableColumn id="3374" xr3:uid="{0B1018FC-98D1-4948-A843-D0E36558BB37}" name="Column3360" dataDxfId="26490" totalsRowDxfId="26489"/>
    <tableColumn id="3375" xr3:uid="{AF885FF8-C64C-4580-BA89-32E034996E12}" name="Column3361" dataDxfId="26488" totalsRowDxfId="26487"/>
    <tableColumn id="3376" xr3:uid="{75633431-37D2-4F7B-B6F8-86365EFA90B8}" name="Column3362" dataDxfId="26486" totalsRowDxfId="26485"/>
    <tableColumn id="3377" xr3:uid="{1012852F-1F47-4BF9-AD39-6B73D16D3C7C}" name="Column3363" dataDxfId="26484" totalsRowDxfId="26483"/>
    <tableColumn id="3378" xr3:uid="{D1D6581C-872A-48E6-B670-43AD0B996CD4}" name="Column3364" dataDxfId="26482" totalsRowDxfId="26481"/>
    <tableColumn id="3379" xr3:uid="{84326AA9-812B-475B-B34A-569690FD7565}" name="Column3365" dataDxfId="26480" totalsRowDxfId="26479"/>
    <tableColumn id="3380" xr3:uid="{52945F7D-E68F-47FD-B551-FCC434C8418E}" name="Column3366" dataDxfId="26478" totalsRowDxfId="26477"/>
    <tableColumn id="3381" xr3:uid="{37910472-68AC-4157-BEA1-A2C6ED020609}" name="Column3367" dataDxfId="26476" totalsRowDxfId="26475"/>
    <tableColumn id="3382" xr3:uid="{20D6DD1B-5710-41AB-B3FF-0E27A3BCE38F}" name="Column3368" dataDxfId="26474" totalsRowDxfId="26473"/>
    <tableColumn id="3383" xr3:uid="{887D3D07-AD29-411D-A026-B2599A32F74F}" name="Column3369" dataDxfId="26472" totalsRowDxfId="26471"/>
    <tableColumn id="3384" xr3:uid="{A5A14818-FF09-4550-9C91-2C300A662601}" name="Column3370" dataDxfId="26470" totalsRowDxfId="26469"/>
    <tableColumn id="3385" xr3:uid="{9FC2D399-8095-4B51-9A8B-AA70E043F9DB}" name="Column3371" dataDxfId="26468" totalsRowDxfId="26467"/>
    <tableColumn id="3386" xr3:uid="{43246C06-A8E3-43BE-B1AC-57BA378C1DA4}" name="Column3372" dataDxfId="26466" totalsRowDxfId="26465"/>
    <tableColumn id="3387" xr3:uid="{B28F5071-6429-4FE3-9CB1-7355D386D555}" name="Column3373" dataDxfId="26464" totalsRowDxfId="26463"/>
    <tableColumn id="3388" xr3:uid="{804EF7A7-AE17-40DB-9D79-3E2758EA0540}" name="Column3374" dataDxfId="26462" totalsRowDxfId="26461"/>
    <tableColumn id="3389" xr3:uid="{1AE3F8A9-A798-4A05-AEBD-79A600FDB6B2}" name="Column3375" dataDxfId="26460" totalsRowDxfId="26459"/>
    <tableColumn id="3390" xr3:uid="{D7D151A4-A860-44B6-B0FE-2359924DF770}" name="Column3376" dataDxfId="26458" totalsRowDxfId="26457"/>
    <tableColumn id="3391" xr3:uid="{062CA956-4F1D-40BF-B898-2B92C0E8080E}" name="Column3377" dataDxfId="26456" totalsRowDxfId="26455"/>
    <tableColumn id="3392" xr3:uid="{9345E242-FC87-45B4-A1A3-7119E4955F52}" name="Column3378" dataDxfId="26454" totalsRowDxfId="26453"/>
    <tableColumn id="3393" xr3:uid="{BC35EBB8-4E02-4410-8370-64C01708454D}" name="Column3379" dataDxfId="26452" totalsRowDxfId="26451"/>
    <tableColumn id="3394" xr3:uid="{36DC22CF-B9F4-4703-A5A4-A5F941943F95}" name="Column3380" dataDxfId="26450" totalsRowDxfId="26449"/>
    <tableColumn id="3395" xr3:uid="{408A5109-DEB3-42B7-91FE-D4B1F360062D}" name="Column3381" dataDxfId="26448" totalsRowDxfId="26447"/>
    <tableColumn id="3396" xr3:uid="{A8EF6542-97F2-4382-8696-071F0F10D7C8}" name="Column3382" dataDxfId="26446" totalsRowDxfId="26445"/>
    <tableColumn id="3397" xr3:uid="{B4BF982C-778C-414A-A2F2-06526E1D9FCE}" name="Column3383" dataDxfId="26444" totalsRowDxfId="26443"/>
    <tableColumn id="3398" xr3:uid="{7B9F9F6B-AF5D-41CA-B256-3E261B9CDDFF}" name="Column3384" dataDxfId="26442" totalsRowDxfId="26441"/>
    <tableColumn id="3399" xr3:uid="{527464E4-D4EF-4B7B-84E3-8917B72D2640}" name="Column3385" dataDxfId="26440" totalsRowDxfId="26439"/>
    <tableColumn id="3400" xr3:uid="{DC3901B4-53AD-410E-B3F7-6AB5B732C2AD}" name="Column3386" dataDxfId="26438" totalsRowDxfId="26437"/>
    <tableColumn id="3401" xr3:uid="{AD63EF67-33AA-4E26-9577-4B79FECF3939}" name="Column3387" dataDxfId="26436" totalsRowDxfId="26435"/>
    <tableColumn id="3402" xr3:uid="{91EB5EA0-FE9D-44CF-8965-43FCF09A8808}" name="Column3388" dataDxfId="26434" totalsRowDxfId="26433"/>
    <tableColumn id="3403" xr3:uid="{82B67C59-71F5-40F2-8B24-94E85341238E}" name="Column3389" dataDxfId="26432" totalsRowDxfId="26431"/>
    <tableColumn id="3404" xr3:uid="{B32EA1A2-D6AD-4FB9-83B5-E1FFF537D7EB}" name="Column3390" dataDxfId="26430" totalsRowDxfId="26429"/>
    <tableColumn id="3405" xr3:uid="{AC54B6C4-9EE4-4C13-8965-26B8CD521410}" name="Column3391" dataDxfId="26428" totalsRowDxfId="26427"/>
    <tableColumn id="3406" xr3:uid="{6C1E1DF4-42C7-447F-88B0-1DBA3723A998}" name="Column3392" dataDxfId="26426" totalsRowDxfId="26425"/>
    <tableColumn id="3407" xr3:uid="{782449DA-B54E-410B-B182-37FD99247DCC}" name="Column3393" dataDxfId="26424" totalsRowDxfId="26423"/>
    <tableColumn id="3408" xr3:uid="{B598D823-E0F1-42EA-98AA-D22629049D0B}" name="Column3394" dataDxfId="26422" totalsRowDxfId="26421"/>
    <tableColumn id="3409" xr3:uid="{072ED488-4937-49C6-9453-32DA2D3977FC}" name="Column3395" dataDxfId="26420" totalsRowDxfId="26419"/>
    <tableColumn id="3410" xr3:uid="{FE3D4203-D077-40F9-B4C0-0CAD98DF0673}" name="Column3396" dataDxfId="26418" totalsRowDxfId="26417"/>
    <tableColumn id="3411" xr3:uid="{E3C689F6-D8E7-45C0-9583-54DC5FCC8272}" name="Column3397" dataDxfId="26416" totalsRowDxfId="26415"/>
    <tableColumn id="3412" xr3:uid="{C02E7D7F-1255-4EDE-BD9B-7597957BD731}" name="Column3398" dataDxfId="26414" totalsRowDxfId="26413"/>
    <tableColumn id="3413" xr3:uid="{9AE3E3F0-96C9-4255-BE19-6A5C776F820D}" name="Column3399" dataDxfId="26412" totalsRowDxfId="26411"/>
    <tableColumn id="3414" xr3:uid="{6CF00AB7-9B07-4879-B6E0-19939E9F7090}" name="Column3400" dataDxfId="26410" totalsRowDxfId="26409"/>
    <tableColumn id="3415" xr3:uid="{5D28B0D6-2D4B-454C-9EF2-3FFE727AEAB3}" name="Column3401" dataDxfId="26408" totalsRowDxfId="26407"/>
    <tableColumn id="3416" xr3:uid="{F9A75CF9-3A81-480A-98C2-D798A3BC8598}" name="Column3402" dataDxfId="26406" totalsRowDxfId="26405"/>
    <tableColumn id="3417" xr3:uid="{131463BC-33AB-4929-84C6-B8E1D95805FA}" name="Column3403" dataDxfId="26404" totalsRowDxfId="26403"/>
    <tableColumn id="3418" xr3:uid="{533326F8-FCC3-4724-AAD4-AE82843FDCAC}" name="Column3404" dataDxfId="26402" totalsRowDxfId="26401"/>
    <tableColumn id="3419" xr3:uid="{E75E2235-0270-42AB-BCF1-87DDE2EAA7A0}" name="Column3405" dataDxfId="26400" totalsRowDxfId="26399"/>
    <tableColumn id="3420" xr3:uid="{BA64C5EC-571C-4012-8967-E32EF64235E1}" name="Column3406" dataDxfId="26398" totalsRowDxfId="26397"/>
    <tableColumn id="3421" xr3:uid="{D21E37E7-25EE-425C-AD5E-96CA317F67E3}" name="Column3407" dataDxfId="26396" totalsRowDxfId="26395"/>
    <tableColumn id="3422" xr3:uid="{0FB00473-5065-4EB9-8FC3-F33C72F28F42}" name="Column3408" dataDxfId="26394" totalsRowDxfId="26393"/>
    <tableColumn id="3423" xr3:uid="{C6C80065-75A1-4A90-9E63-A3B580E30BD6}" name="Column3409" dataDxfId="26392" totalsRowDxfId="26391"/>
    <tableColumn id="3424" xr3:uid="{3B8DB86D-AF98-4814-971A-B70995ACA1E0}" name="Column3410" dataDxfId="26390" totalsRowDxfId="26389"/>
    <tableColumn id="3425" xr3:uid="{EDD75FA9-07E7-4B98-B927-264A3FCD6D81}" name="Column3411" dataDxfId="26388" totalsRowDxfId="26387"/>
    <tableColumn id="3426" xr3:uid="{60FB457B-F2E4-440A-A239-E0CEE8A7121D}" name="Column3412" dataDxfId="26386" totalsRowDxfId="26385"/>
    <tableColumn id="3427" xr3:uid="{7E244387-8B61-4744-A015-B68A3AC42F78}" name="Column3413" dataDxfId="26384" totalsRowDxfId="26383"/>
    <tableColumn id="3428" xr3:uid="{FB827204-0576-4F52-B298-72E4813BFDFA}" name="Column3414" dataDxfId="26382" totalsRowDxfId="26381"/>
    <tableColumn id="3429" xr3:uid="{7736AA9C-139F-4748-9014-E3F1802D8EB3}" name="Column3415" dataDxfId="26380" totalsRowDxfId="26379"/>
    <tableColumn id="3430" xr3:uid="{E8C9AC62-BD79-45A1-9F02-2174724E4377}" name="Column3416" dataDxfId="26378" totalsRowDxfId="26377"/>
    <tableColumn id="3431" xr3:uid="{0655F146-400E-4062-AB8B-46951DB49E92}" name="Column3417" dataDxfId="26376" totalsRowDxfId="26375"/>
    <tableColumn id="3432" xr3:uid="{4CC0864A-CB7A-4387-8372-0724796891B1}" name="Column3418" dataDxfId="26374" totalsRowDxfId="26373"/>
    <tableColumn id="3433" xr3:uid="{93E5C38B-D243-427B-B16E-376503E3E52D}" name="Column3419" dataDxfId="26372" totalsRowDxfId="26371"/>
    <tableColumn id="3434" xr3:uid="{4123E95B-460F-4938-A67F-8C4F2C7EBA32}" name="Column3420" dataDxfId="26370" totalsRowDxfId="26369"/>
    <tableColumn id="3435" xr3:uid="{5623461E-C2E6-459F-AFA5-E8696A1B9F0E}" name="Column3421" dataDxfId="26368" totalsRowDxfId="26367"/>
    <tableColumn id="3436" xr3:uid="{B0D22A88-C594-403F-AA0B-B4C3E49D18F4}" name="Column3422" dataDxfId="26366" totalsRowDxfId="26365"/>
    <tableColumn id="3437" xr3:uid="{AE1D5AFA-F806-47EE-9590-E151CF9C8CC4}" name="Column3423" dataDxfId="26364" totalsRowDxfId="26363"/>
    <tableColumn id="3438" xr3:uid="{63160B6E-2704-4DF5-A6A4-D68C38835F23}" name="Column3424" dataDxfId="26362" totalsRowDxfId="26361"/>
    <tableColumn id="3439" xr3:uid="{E684E6E1-8493-4EC6-A450-734081C8BFBB}" name="Column3425" dataDxfId="26360" totalsRowDxfId="26359"/>
    <tableColumn id="3440" xr3:uid="{0E7E5603-841F-421A-A526-6235FACD0EF1}" name="Column3426" dataDxfId="26358" totalsRowDxfId="26357"/>
    <tableColumn id="3441" xr3:uid="{93EBDC19-E475-4EFD-931D-895DC42EC479}" name="Column3427" dataDxfId="26356" totalsRowDxfId="26355"/>
    <tableColumn id="3442" xr3:uid="{08883D3F-71E4-4C98-B82D-C2810E05FBAE}" name="Column3428" dataDxfId="26354" totalsRowDxfId="26353"/>
    <tableColumn id="3443" xr3:uid="{ADC054B3-0558-433F-AD16-F6EBFCEB8430}" name="Column3429" dataDxfId="26352" totalsRowDxfId="26351"/>
    <tableColumn id="3444" xr3:uid="{37EF67D3-3146-47EA-B84E-C88D162B58F5}" name="Column3430" dataDxfId="26350" totalsRowDxfId="26349"/>
    <tableColumn id="3445" xr3:uid="{6DC9A1ED-083C-4275-A5A2-1874FC3729A8}" name="Column3431" dataDxfId="26348" totalsRowDxfId="26347"/>
    <tableColumn id="3446" xr3:uid="{E17E8B1A-CF72-469C-9391-85B5F002497D}" name="Column3432" dataDxfId="26346" totalsRowDxfId="26345"/>
    <tableColumn id="3447" xr3:uid="{8E405690-3DF7-4931-8592-24C71F222E62}" name="Column3433" dataDxfId="26344" totalsRowDxfId="26343"/>
    <tableColumn id="3448" xr3:uid="{5088DA8A-989B-44C5-A953-B70687768D76}" name="Column3434" dataDxfId="26342" totalsRowDxfId="26341"/>
    <tableColumn id="3449" xr3:uid="{F222BF45-37CB-4253-AB63-7CB014E722BC}" name="Column3435" dataDxfId="26340" totalsRowDxfId="26339"/>
    <tableColumn id="3450" xr3:uid="{D78459A1-C633-4DE0-ACF3-13D681851C7E}" name="Column3436" dataDxfId="26338" totalsRowDxfId="26337"/>
    <tableColumn id="3451" xr3:uid="{E32CF3FA-05E1-475B-B5F3-ADE8D666199F}" name="Column3437" dataDxfId="26336" totalsRowDxfId="26335"/>
    <tableColumn id="3452" xr3:uid="{5729A217-8DF7-4D5B-A008-E42394FCBEF5}" name="Column3438" dataDxfId="26334" totalsRowDxfId="26333"/>
    <tableColumn id="3453" xr3:uid="{303CACF1-B386-46BA-85B3-ADEB78ABEF58}" name="Column3439" dataDxfId="26332" totalsRowDxfId="26331"/>
    <tableColumn id="3454" xr3:uid="{D2431283-8574-4B81-9F32-64E10BB750D0}" name="Column3440" dataDxfId="26330" totalsRowDxfId="26329"/>
    <tableColumn id="3455" xr3:uid="{2FFA758E-EBA6-4EDA-9384-9B459622035C}" name="Column3441" dataDxfId="26328" totalsRowDxfId="26327"/>
    <tableColumn id="3456" xr3:uid="{BA41300E-367E-4D81-9F7F-EF31764EB551}" name="Column3442" dataDxfId="26326" totalsRowDxfId="26325"/>
    <tableColumn id="3457" xr3:uid="{AB9C7895-D120-4CE6-9963-FF1CC4F07C23}" name="Column3443" dataDxfId="26324" totalsRowDxfId="26323"/>
    <tableColumn id="3458" xr3:uid="{1C0416F5-C39D-4EBA-94C7-2627ECF394C0}" name="Column3444" dataDxfId="26322" totalsRowDxfId="26321"/>
    <tableColumn id="3459" xr3:uid="{205A45F5-FEE7-4EA6-A162-9E0A42245383}" name="Column3445" dataDxfId="26320" totalsRowDxfId="26319"/>
    <tableColumn id="3460" xr3:uid="{5692CE28-8866-4E6B-BF36-0E9FE2251EC3}" name="Column3446" dataDxfId="26318" totalsRowDxfId="26317"/>
    <tableColumn id="3461" xr3:uid="{634AA25E-F305-408B-B601-A91A60386A8F}" name="Column3447" dataDxfId="26316" totalsRowDxfId="26315"/>
    <tableColumn id="3462" xr3:uid="{98A8C7B6-095D-49FF-93FE-5F2FA6799F74}" name="Column3448" dataDxfId="26314" totalsRowDxfId="26313"/>
    <tableColumn id="3463" xr3:uid="{6AAE8EB0-DF9C-42C0-9E3B-F09CF99E51DF}" name="Column3449" dataDxfId="26312" totalsRowDxfId="26311"/>
    <tableColumn id="3464" xr3:uid="{D27440AE-EBFB-4249-BF7A-FF7AC7CE4874}" name="Column3450" dataDxfId="26310" totalsRowDxfId="26309"/>
    <tableColumn id="3465" xr3:uid="{16E959A6-E7B4-4A8C-BDCB-61FA1FA89D73}" name="Column3451" dataDxfId="26308" totalsRowDxfId="26307"/>
    <tableColumn id="3466" xr3:uid="{7B4DDC8C-1F04-4046-B61E-82099DE1C936}" name="Column3452" dataDxfId="26306" totalsRowDxfId="26305"/>
    <tableColumn id="3467" xr3:uid="{A72BBC65-9E46-408A-B2B7-2FF5D50E70D5}" name="Column3453" dataDxfId="26304" totalsRowDxfId="26303"/>
    <tableColumn id="3468" xr3:uid="{A763E09F-1CC1-4448-81E9-62BE7909D484}" name="Column3454" dataDxfId="26302" totalsRowDxfId="26301"/>
    <tableColumn id="3469" xr3:uid="{CC2D5FBD-242F-45C2-B29D-84CDB9FCA0EE}" name="Column3455" dataDxfId="26300" totalsRowDxfId="26299"/>
    <tableColumn id="3470" xr3:uid="{984F40B5-BFF4-4506-ACBB-64AE68C50475}" name="Column3456" dataDxfId="26298" totalsRowDxfId="26297"/>
    <tableColumn id="3471" xr3:uid="{DD3C244C-0C0B-47F0-9717-370F454C9189}" name="Column3457" dataDxfId="26296" totalsRowDxfId="26295"/>
    <tableColumn id="3472" xr3:uid="{422D668D-1667-4F7C-A68B-C0FD9AFCCF8A}" name="Column3458" dataDxfId="26294" totalsRowDxfId="26293"/>
    <tableColumn id="3473" xr3:uid="{5D745190-3486-486C-A252-E16B2099FD79}" name="Column3459" dataDxfId="26292" totalsRowDxfId="26291"/>
    <tableColumn id="3474" xr3:uid="{7D92358E-D5E8-4C48-958A-470DB9254006}" name="Column3460" dataDxfId="26290" totalsRowDxfId="26289"/>
    <tableColumn id="3475" xr3:uid="{6CFB3ED7-C348-4CFE-95BF-133855D60840}" name="Column3461" dataDxfId="26288" totalsRowDxfId="26287"/>
    <tableColumn id="3476" xr3:uid="{48DA41CB-CD34-410A-A610-F5D67942CA4E}" name="Column3462" dataDxfId="26286" totalsRowDxfId="26285"/>
    <tableColumn id="3477" xr3:uid="{B6CCFA73-0E6D-4F97-9AB5-E0C0517AF134}" name="Column3463" dataDxfId="26284" totalsRowDxfId="26283"/>
    <tableColumn id="3478" xr3:uid="{9E146B37-589F-4F48-9BF0-E98953CDF80F}" name="Column3464" dataDxfId="26282" totalsRowDxfId="26281"/>
    <tableColumn id="3479" xr3:uid="{1CA919BB-FDB0-4F73-8EB8-A142E1471DBC}" name="Column3465" dataDxfId="26280" totalsRowDxfId="26279"/>
    <tableColumn id="3480" xr3:uid="{B0BD7C9A-BFBE-47A1-BC1B-99AA87565A87}" name="Column3466" dataDxfId="26278" totalsRowDxfId="26277"/>
    <tableColumn id="3481" xr3:uid="{18E10BF2-C4A2-4861-A8C5-EBA4FFC32BDE}" name="Column3467" dataDxfId="26276" totalsRowDxfId="26275"/>
    <tableColumn id="3482" xr3:uid="{E9CBE011-98EE-4468-96A9-E9C0074E6A97}" name="Column3468" dataDxfId="26274" totalsRowDxfId="26273"/>
    <tableColumn id="3483" xr3:uid="{1256C775-2F21-45BB-9B21-3CFE939FD190}" name="Column3469" dataDxfId="26272" totalsRowDxfId="26271"/>
    <tableColumn id="3484" xr3:uid="{369E914B-2CFA-4D1D-A351-25C7F371CB06}" name="Column3470" dataDxfId="26270" totalsRowDxfId="26269"/>
    <tableColumn id="3485" xr3:uid="{C07129D0-51E8-47EA-BCDB-5A9AE8457722}" name="Column3471" dataDxfId="26268" totalsRowDxfId="26267"/>
    <tableColumn id="3486" xr3:uid="{D233098E-E5A8-4205-95FC-4BD758297A57}" name="Column3472" dataDxfId="26266" totalsRowDxfId="26265"/>
    <tableColumn id="3487" xr3:uid="{9082BB96-735A-42D8-92B6-85BFC6BDCBA1}" name="Column3473" dataDxfId="26264" totalsRowDxfId="26263"/>
    <tableColumn id="3488" xr3:uid="{F9D3C7C8-81DA-4AB0-96D9-592BF10116D2}" name="Column3474" dataDxfId="26262" totalsRowDxfId="26261"/>
    <tableColumn id="3489" xr3:uid="{FDA5F69A-E84D-480B-8F17-4676471FF770}" name="Column3475" dataDxfId="26260" totalsRowDxfId="26259"/>
    <tableColumn id="3490" xr3:uid="{1B1B3FA1-9BC9-4247-B84B-8CB4C7E7C92E}" name="Column3476" dataDxfId="26258" totalsRowDxfId="26257"/>
    <tableColumn id="3491" xr3:uid="{E58E83BA-BCCA-40B5-B154-48C8137884E7}" name="Column3477" dataDxfId="26256" totalsRowDxfId="26255"/>
    <tableColumn id="3492" xr3:uid="{77F6D4CB-0D65-4492-A984-CC7CFDEA51E1}" name="Column3478" dataDxfId="26254" totalsRowDxfId="26253"/>
    <tableColumn id="3493" xr3:uid="{F4DF2355-A9D4-40C3-8383-42A56D5A34E0}" name="Column3479" dataDxfId="26252" totalsRowDxfId="26251"/>
    <tableColumn id="3494" xr3:uid="{D2E4BC22-CC22-4694-8834-21FE23C94755}" name="Column3480" dataDxfId="26250" totalsRowDxfId="26249"/>
    <tableColumn id="3495" xr3:uid="{D51316C9-A03F-46F6-A580-F17D14A62FEF}" name="Column3481" dataDxfId="26248" totalsRowDxfId="26247"/>
    <tableColumn id="3496" xr3:uid="{3C4B80CD-7EF4-4980-9F3B-A7D1FE38C04B}" name="Column3482" dataDxfId="26246" totalsRowDxfId="26245"/>
    <tableColumn id="3497" xr3:uid="{F9F68BF5-EC51-427F-A211-6DC99D59D730}" name="Column3483" dataDxfId="26244" totalsRowDxfId="26243"/>
    <tableColumn id="3498" xr3:uid="{640F8FF9-C2A0-4B92-9EFD-BAB50E3857DA}" name="Column3484" dataDxfId="26242" totalsRowDxfId="26241"/>
    <tableColumn id="3499" xr3:uid="{A584C0BD-9F20-4537-8E1A-4D76175EFA06}" name="Column3485" dataDxfId="26240" totalsRowDxfId="26239"/>
    <tableColumn id="3500" xr3:uid="{CFB5DBD8-7851-4FDE-87B9-7EC2F4138FBB}" name="Column3486" dataDxfId="26238" totalsRowDxfId="26237"/>
    <tableColumn id="3501" xr3:uid="{1D5CA40B-DD55-40AD-AF07-B439802D3989}" name="Column3487" dataDxfId="26236" totalsRowDxfId="26235"/>
    <tableColumn id="3502" xr3:uid="{DCA266DA-2C0A-40C0-8288-1F1467013528}" name="Column3488" dataDxfId="26234" totalsRowDxfId="26233"/>
    <tableColumn id="3503" xr3:uid="{A646D350-0599-47FD-BD22-731050A93627}" name="Column3489" dataDxfId="26232" totalsRowDxfId="26231"/>
    <tableColumn id="3504" xr3:uid="{BA9889E6-7567-4528-B891-77648A9F4702}" name="Column3490" dataDxfId="26230" totalsRowDxfId="26229"/>
    <tableColumn id="3505" xr3:uid="{12B4379C-DCC6-43BE-A9A0-F50D5B9E5C9A}" name="Column3491" dataDxfId="26228" totalsRowDxfId="26227"/>
    <tableColumn id="3506" xr3:uid="{665AC8E4-1CD6-4F16-B744-01CEF61E3D9A}" name="Column3492" dataDxfId="26226" totalsRowDxfId="26225"/>
    <tableColumn id="3507" xr3:uid="{2B88F938-6A11-40BE-8E93-1FC582370E92}" name="Column3493" dataDxfId="26224" totalsRowDxfId="26223"/>
    <tableColumn id="3508" xr3:uid="{14A4A772-5DD8-438A-9FEB-E4F1C1E702EA}" name="Column3494" dataDxfId="26222" totalsRowDxfId="26221"/>
    <tableColumn id="3509" xr3:uid="{F8456A9E-ED37-4583-B5EA-9A879EB71714}" name="Column3495" dataDxfId="26220" totalsRowDxfId="26219"/>
    <tableColumn id="3510" xr3:uid="{14C007B5-696E-46E6-94D5-25173F97FD59}" name="Column3496" dataDxfId="26218" totalsRowDxfId="26217"/>
    <tableColumn id="3511" xr3:uid="{21CC6EBC-E092-4AE4-B1C1-815D4FEF47FE}" name="Column3497" dataDxfId="26216" totalsRowDxfId="26215"/>
    <tableColumn id="3512" xr3:uid="{6B819EAB-CD9F-42D0-9937-675795EA4190}" name="Column3498" dataDxfId="26214" totalsRowDxfId="26213"/>
    <tableColumn id="3513" xr3:uid="{44B2A653-CD9A-4855-85C7-4EFD9247FD4B}" name="Column3499" dataDxfId="26212" totalsRowDxfId="26211"/>
    <tableColumn id="3514" xr3:uid="{2C6DA481-354A-40D2-83D1-1A5D306099F6}" name="Column3500" dataDxfId="26210" totalsRowDxfId="26209"/>
    <tableColumn id="3515" xr3:uid="{130762C8-6CCA-4FD1-A9BF-07D2687A9783}" name="Column3501" dataDxfId="26208" totalsRowDxfId="26207"/>
    <tableColumn id="3516" xr3:uid="{1B712E81-015F-42B4-A8F5-5B9B19E2456A}" name="Column3502" dataDxfId="26206" totalsRowDxfId="26205"/>
    <tableColumn id="3517" xr3:uid="{1D1E95EA-49F9-4A73-818A-F0EDDD5A62FE}" name="Column3503" dataDxfId="26204" totalsRowDxfId="26203"/>
    <tableColumn id="3518" xr3:uid="{2D27594A-9E7E-49C8-80ED-AD9A3ED3DD58}" name="Column3504" dataDxfId="26202" totalsRowDxfId="26201"/>
    <tableColumn id="3519" xr3:uid="{E1C1A263-E28E-40AC-A5D9-69663430D150}" name="Column3505" dataDxfId="26200" totalsRowDxfId="26199"/>
    <tableColumn id="3520" xr3:uid="{E337C940-D647-443B-B869-CED68FC9AC0A}" name="Column3506" dataDxfId="26198" totalsRowDxfId="26197"/>
    <tableColumn id="3521" xr3:uid="{BAE984C8-D603-40EC-932E-50EA62DB78C3}" name="Column3507" dataDxfId="26196" totalsRowDxfId="26195"/>
    <tableColumn id="3522" xr3:uid="{4CA9EAE3-67EF-412A-9C05-61C134817B9D}" name="Column3508" dataDxfId="26194" totalsRowDxfId="26193"/>
    <tableColumn id="3523" xr3:uid="{8D3393A1-FA21-430A-A778-331A167D37CC}" name="Column3509" dataDxfId="26192" totalsRowDxfId="26191"/>
    <tableColumn id="3524" xr3:uid="{878AFC14-6257-47EF-BFC0-3F476645C80D}" name="Column3510" dataDxfId="26190" totalsRowDxfId="26189"/>
    <tableColumn id="3525" xr3:uid="{C57B97EC-27DF-44E5-B2E0-9A88D02C3729}" name="Column3511" dataDxfId="26188" totalsRowDxfId="26187"/>
    <tableColumn id="3526" xr3:uid="{383408E7-0793-4D69-88AE-A0D1C086C5AF}" name="Column3512" dataDxfId="26186" totalsRowDxfId="26185"/>
    <tableColumn id="3527" xr3:uid="{839B4E55-0FFF-4C5F-AC60-0EA12452CCBC}" name="Column3513" dataDxfId="26184" totalsRowDxfId="26183"/>
    <tableColumn id="3528" xr3:uid="{25C49545-999B-442E-9FAB-B57E6464AC90}" name="Column3514" dataDxfId="26182" totalsRowDxfId="26181"/>
    <tableColumn id="3529" xr3:uid="{30369136-2EA2-4CC9-8F96-149141D42A59}" name="Column3515" dataDxfId="26180" totalsRowDxfId="26179"/>
    <tableColumn id="3530" xr3:uid="{6F322954-8F59-4895-BA07-08B251B73134}" name="Column3516" dataDxfId="26178" totalsRowDxfId="26177"/>
    <tableColumn id="3531" xr3:uid="{80431B41-2EE6-42A6-AADF-86D52E113214}" name="Column3517" dataDxfId="26176" totalsRowDxfId="26175"/>
    <tableColumn id="3532" xr3:uid="{7E7DB95D-E05D-4613-B846-8D4E78DCF8A9}" name="Column3518" dataDxfId="26174" totalsRowDxfId="26173"/>
    <tableColumn id="3533" xr3:uid="{07126784-D7FD-4118-B6F9-195DCE525948}" name="Column3519" dataDxfId="26172" totalsRowDxfId="26171"/>
    <tableColumn id="3534" xr3:uid="{F811ABAF-53D6-48E8-B031-54DD37D604CE}" name="Column3520" dataDxfId="26170" totalsRowDxfId="26169"/>
    <tableColumn id="3535" xr3:uid="{C102DC28-BD7F-4A16-B010-1F1688E2B7A9}" name="Column3521" dataDxfId="26168" totalsRowDxfId="26167"/>
    <tableColumn id="3536" xr3:uid="{FAC5437A-0400-4045-8B3E-1B963D654EA7}" name="Column3522" dataDxfId="26166" totalsRowDxfId="26165"/>
    <tableColumn id="3537" xr3:uid="{ED56023A-8FBF-4000-A170-90E54C788CC0}" name="Column3523" dataDxfId="26164" totalsRowDxfId="26163"/>
    <tableColumn id="3538" xr3:uid="{5025CB3C-54A5-49E4-9A0B-5DA840116A1F}" name="Column3524" dataDxfId="26162" totalsRowDxfId="26161"/>
    <tableColumn id="3539" xr3:uid="{91F51ECE-B40D-44A5-8F85-3B6554EBAE29}" name="Column3525" dataDxfId="26160" totalsRowDxfId="26159"/>
    <tableColumn id="3540" xr3:uid="{72816C97-98E2-416D-8D6E-90E742C89D79}" name="Column3526" dataDxfId="26158" totalsRowDxfId="26157"/>
    <tableColumn id="3541" xr3:uid="{6782AD6D-9AE3-44C2-8BD8-87101F71C020}" name="Column3527" dataDxfId="26156" totalsRowDxfId="26155"/>
    <tableColumn id="3542" xr3:uid="{C4BDA42C-392E-4D58-8003-8C4E59BBB955}" name="Column3528" dataDxfId="26154" totalsRowDxfId="26153"/>
    <tableColumn id="3543" xr3:uid="{560D1FE1-D82F-4E83-9A59-D6F0EABFDBC2}" name="Column3529" dataDxfId="26152" totalsRowDxfId="26151"/>
    <tableColumn id="3544" xr3:uid="{33D01375-7723-4BFD-9D1A-7AC85D66E53B}" name="Column3530" dataDxfId="26150" totalsRowDxfId="26149"/>
    <tableColumn id="3545" xr3:uid="{649177C9-8791-4929-9F97-8D80B885E58C}" name="Column3531" dataDxfId="26148" totalsRowDxfId="26147"/>
    <tableColumn id="3546" xr3:uid="{96D52F5F-D460-4904-AE90-CCA967E4584E}" name="Column3532" dataDxfId="26146" totalsRowDxfId="26145"/>
    <tableColumn id="3547" xr3:uid="{007AB1E4-841C-4F57-B750-D07A7877482D}" name="Column3533" dataDxfId="26144" totalsRowDxfId="26143"/>
    <tableColumn id="3548" xr3:uid="{CE4F3CBC-4882-4F5E-A649-B2A5B79A1CA2}" name="Column3534" dataDxfId="26142" totalsRowDxfId="26141"/>
    <tableColumn id="3549" xr3:uid="{A763FF8B-0BD9-40D2-A392-4A2793404AA8}" name="Column3535" dataDxfId="26140" totalsRowDxfId="26139"/>
    <tableColumn id="3550" xr3:uid="{5206AEE7-CD96-402B-AA1F-4269A149B668}" name="Column3536" dataDxfId="26138" totalsRowDxfId="26137"/>
    <tableColumn id="3551" xr3:uid="{196FAFC6-6604-49C2-81A0-90ED88D9EE6C}" name="Column3537" dataDxfId="26136" totalsRowDxfId="26135"/>
    <tableColumn id="3552" xr3:uid="{C5D3234A-A096-4DA9-B0AE-0DBBB499362C}" name="Column3538" dataDxfId="26134" totalsRowDxfId="26133"/>
    <tableColumn id="3553" xr3:uid="{D3756895-30BB-4D2F-B81F-A454EAFE8B25}" name="Column3539" dataDxfId="26132" totalsRowDxfId="26131"/>
    <tableColumn id="3554" xr3:uid="{39A3E2C3-7C42-4337-A2D7-8B841EC18962}" name="Column3540" dataDxfId="26130" totalsRowDxfId="26129"/>
    <tableColumn id="3555" xr3:uid="{3A8DF134-242B-4CD8-A8AA-0EEF862D2736}" name="Column3541" dataDxfId="26128" totalsRowDxfId="26127"/>
    <tableColumn id="3556" xr3:uid="{762E4F38-E59D-4232-9078-A2A2D24CEC02}" name="Column3542" dataDxfId="26126" totalsRowDxfId="26125"/>
    <tableColumn id="3557" xr3:uid="{9D88F198-8E01-464C-8D3D-1DFA6B1CC91C}" name="Column3543" dataDxfId="26124" totalsRowDxfId="26123"/>
    <tableColumn id="3558" xr3:uid="{B75D5611-C684-427B-B520-81D1CC2C8BB4}" name="Column3544" dataDxfId="26122" totalsRowDxfId="26121"/>
    <tableColumn id="3559" xr3:uid="{71F3FF23-86A2-4D09-BE44-FEC3F12D9949}" name="Column3545" dataDxfId="26120" totalsRowDxfId="26119"/>
    <tableColumn id="3560" xr3:uid="{AA252543-514F-44A8-8CFD-C2D7C61DFCCE}" name="Column3546" dataDxfId="26118" totalsRowDxfId="26117"/>
    <tableColumn id="3561" xr3:uid="{34B4F7CE-4B8C-4CA5-9DD4-C0F19104B652}" name="Column3547" dataDxfId="26116" totalsRowDxfId="26115"/>
    <tableColumn id="3562" xr3:uid="{69E39044-2A57-40D8-8927-88CE9297FA82}" name="Column3548" dataDxfId="26114" totalsRowDxfId="26113"/>
    <tableColumn id="3563" xr3:uid="{3F358B20-5895-44A0-AFF5-3D0FEB3C8E58}" name="Column3549" dataDxfId="26112" totalsRowDxfId="26111"/>
    <tableColumn id="3564" xr3:uid="{6ED2A777-A574-4EC5-9855-86B342E185A4}" name="Column3550" dataDxfId="26110" totalsRowDxfId="26109"/>
    <tableColumn id="3565" xr3:uid="{1107A3B9-19AF-4660-BF2A-AA729DD75700}" name="Column3551" dataDxfId="26108" totalsRowDxfId="26107"/>
    <tableColumn id="3566" xr3:uid="{14CBB59D-A187-412B-B440-183487CAE389}" name="Column3552" dataDxfId="26106" totalsRowDxfId="26105"/>
    <tableColumn id="3567" xr3:uid="{41B44E52-DA48-44E9-8552-55ED6CBAC881}" name="Column3553" dataDxfId="26104" totalsRowDxfId="26103"/>
    <tableColumn id="3568" xr3:uid="{B9FFA9D4-3A9C-44E4-ACC0-EEA7181CD245}" name="Column3554" dataDxfId="26102" totalsRowDxfId="26101"/>
    <tableColumn id="3569" xr3:uid="{D8A78412-C471-40A3-BE69-68D12F8BC0F3}" name="Column3555" dataDxfId="26100" totalsRowDxfId="26099"/>
    <tableColumn id="3570" xr3:uid="{551316C4-6124-429E-A13F-59ED26C9FC15}" name="Column3556" dataDxfId="26098" totalsRowDxfId="26097"/>
    <tableColumn id="3571" xr3:uid="{B3A24ED6-195F-4F21-967F-3AE30DA0B9F6}" name="Column3557" dataDxfId="26096" totalsRowDxfId="26095"/>
    <tableColumn id="3572" xr3:uid="{4A404723-2368-4CE6-90A1-F4DC5F63464A}" name="Column3558" dataDxfId="26094" totalsRowDxfId="26093"/>
    <tableColumn id="3573" xr3:uid="{3309FFB5-10C0-48A5-B7F9-3A696CD720DF}" name="Column3559" dataDxfId="26092" totalsRowDxfId="26091"/>
    <tableColumn id="3574" xr3:uid="{E1A9C922-A324-4141-AB99-5434D617E86B}" name="Column3560" dataDxfId="26090" totalsRowDxfId="26089"/>
    <tableColumn id="3575" xr3:uid="{FDCDCB7C-D868-4181-A28B-FB071AF18156}" name="Column3561" dataDxfId="26088" totalsRowDxfId="26087"/>
    <tableColumn id="3576" xr3:uid="{476C69CA-CDDB-4941-A71B-2C6D5AC0BD81}" name="Column3562" dataDxfId="26086" totalsRowDxfId="26085"/>
    <tableColumn id="3577" xr3:uid="{B222221D-D97B-492B-A241-E73CF8104988}" name="Column3563" dataDxfId="26084" totalsRowDxfId="26083"/>
    <tableColumn id="3578" xr3:uid="{C3AE107B-027A-44CF-B795-494D5818806D}" name="Column3564" dataDxfId="26082" totalsRowDxfId="26081"/>
    <tableColumn id="3579" xr3:uid="{DD12728D-1F0F-4B27-AC52-2D30D9163F4D}" name="Column3565" dataDxfId="26080" totalsRowDxfId="26079"/>
    <tableColumn id="3580" xr3:uid="{E6397A00-A810-4DCE-B06E-26D509A26CCF}" name="Column3566" dataDxfId="26078" totalsRowDxfId="26077"/>
    <tableColumn id="3581" xr3:uid="{30A8083E-F64D-48B6-8F64-FE7C90829C4B}" name="Column3567" dataDxfId="26076" totalsRowDxfId="26075"/>
    <tableColumn id="3582" xr3:uid="{9DD9BF24-7024-42E6-B553-177BD25CFC6A}" name="Column3568" dataDxfId="26074" totalsRowDxfId="26073"/>
    <tableColumn id="3583" xr3:uid="{2CB6D411-BCC0-4F08-A039-D4476CE1B120}" name="Column3569" dataDxfId="26072" totalsRowDxfId="26071"/>
    <tableColumn id="3584" xr3:uid="{B694DDEC-6F72-4BC4-9E24-82A7DE6D58AA}" name="Column3570" dataDxfId="26070" totalsRowDxfId="26069"/>
    <tableColumn id="3585" xr3:uid="{EA96D29D-57EE-4759-AFA4-2E28466F8A1F}" name="Column3571" dataDxfId="26068" totalsRowDxfId="26067"/>
    <tableColumn id="3586" xr3:uid="{B2A0490A-8C82-4EA8-934B-40DCE5655192}" name="Column3572" dataDxfId="26066" totalsRowDxfId="26065"/>
    <tableColumn id="3587" xr3:uid="{A66CB955-5A97-4AA5-9790-010976D44D00}" name="Column3573" dataDxfId="26064" totalsRowDxfId="26063"/>
    <tableColumn id="3588" xr3:uid="{450A18D7-5BCE-48AE-972A-F713C894D5C2}" name="Column3574" dataDxfId="26062" totalsRowDxfId="26061"/>
    <tableColumn id="3589" xr3:uid="{13C79DC8-2812-4114-B387-4FAF0945E700}" name="Column3575" dataDxfId="26060" totalsRowDxfId="26059"/>
    <tableColumn id="3590" xr3:uid="{53DA536B-D598-40D7-A7FC-D62DDC0A91AE}" name="Column3576" dataDxfId="26058" totalsRowDxfId="26057"/>
    <tableColumn id="3591" xr3:uid="{8FAA8DD7-0760-4BB5-AD4F-F052BF589F83}" name="Column3577" dataDxfId="26056" totalsRowDxfId="26055"/>
    <tableColumn id="3592" xr3:uid="{F7AC34DA-2BF8-4A1D-8A06-7CCF31F3923D}" name="Column3578" dataDxfId="26054" totalsRowDxfId="26053"/>
    <tableColumn id="3593" xr3:uid="{D039A2D1-E64E-4F78-94FB-B4868080E1BC}" name="Column3579" dataDxfId="26052" totalsRowDxfId="26051"/>
    <tableColumn id="3594" xr3:uid="{EE19FA0F-5658-408F-AC74-CFB9903767BD}" name="Column3580" dataDxfId="26050" totalsRowDxfId="26049"/>
    <tableColumn id="3595" xr3:uid="{82B1FFC0-3D6C-4CA2-B5F7-CDBD346C95BB}" name="Column3581" dataDxfId="26048" totalsRowDxfId="26047"/>
    <tableColumn id="3596" xr3:uid="{ECC6982E-0FDD-4187-871F-700CCEBCEB74}" name="Column3582" dataDxfId="26046" totalsRowDxfId="26045"/>
    <tableColumn id="3597" xr3:uid="{488845E5-C467-4156-A3D6-F6E2F8BFD072}" name="Column3583" dataDxfId="26044" totalsRowDxfId="26043"/>
    <tableColumn id="3598" xr3:uid="{EED0F5FF-C225-407D-A188-518E09518178}" name="Column3584" dataDxfId="26042" totalsRowDxfId="26041"/>
    <tableColumn id="3599" xr3:uid="{339EF68B-8A3D-4530-A26A-C9FAC5DA787F}" name="Column3585" dataDxfId="26040" totalsRowDxfId="26039"/>
    <tableColumn id="3600" xr3:uid="{4FB4363F-B414-423E-A023-DD389DC2D7A5}" name="Column3586" dataDxfId="26038" totalsRowDxfId="26037"/>
    <tableColumn id="3601" xr3:uid="{BDC193D2-CE32-4DDB-A805-7956070607AB}" name="Column3587" dataDxfId="26036" totalsRowDxfId="26035"/>
    <tableColumn id="3602" xr3:uid="{7B6C881D-6522-482B-AC66-80C8ADCFC3BE}" name="Column3588" dataDxfId="26034" totalsRowDxfId="26033"/>
    <tableColumn id="3603" xr3:uid="{74C74320-605C-4BC6-9952-4CEC974C829D}" name="Column3589" dataDxfId="26032" totalsRowDxfId="26031"/>
    <tableColumn id="3604" xr3:uid="{802584F3-5EAA-4C8A-8D0D-DE804EB576D8}" name="Column3590" dataDxfId="26030" totalsRowDxfId="26029"/>
    <tableColumn id="3605" xr3:uid="{AACD976B-469E-4B38-BC3E-38FAB5F5C58E}" name="Column3591" dataDxfId="26028" totalsRowDxfId="26027"/>
    <tableColumn id="3606" xr3:uid="{30C00D2C-9413-480C-8B25-7E86D211A9CF}" name="Column3592" dataDxfId="26026" totalsRowDxfId="26025"/>
    <tableColumn id="3607" xr3:uid="{45ADF7E8-AFCE-45A0-ABB4-260837D42445}" name="Column3593" dataDxfId="26024" totalsRowDxfId="26023"/>
    <tableColumn id="3608" xr3:uid="{62D66B9F-8E89-44C0-952D-6D1A7D9B247D}" name="Column3594" dataDxfId="26022" totalsRowDxfId="26021"/>
    <tableColumn id="3609" xr3:uid="{21DC088E-9B71-4DCF-854E-FF82848D88F4}" name="Column3595" dataDxfId="26020" totalsRowDxfId="26019"/>
    <tableColumn id="3610" xr3:uid="{719CB3FA-E2FA-44FD-87EC-657B18CA7824}" name="Column3596" dataDxfId="26018" totalsRowDxfId="26017"/>
    <tableColumn id="3611" xr3:uid="{62C1BEF3-8909-47E5-92F7-6C7A48974B87}" name="Column3597" dataDxfId="26016" totalsRowDxfId="26015"/>
    <tableColumn id="3612" xr3:uid="{4090D172-A2EE-4D9E-B146-EDDF32DFE154}" name="Column3598" dataDxfId="26014" totalsRowDxfId="26013"/>
    <tableColumn id="3613" xr3:uid="{F629D42B-D0E7-461E-B09B-C0B07541DB1A}" name="Column3599" dataDxfId="26012" totalsRowDxfId="26011"/>
    <tableColumn id="3614" xr3:uid="{C31E902B-42FE-49FE-A452-1ECA2FA8D6AF}" name="Column3600" dataDxfId="26010" totalsRowDxfId="26009"/>
    <tableColumn id="3615" xr3:uid="{A6F2DB83-91BF-4522-A4D4-D423D83387B6}" name="Column3601" dataDxfId="26008" totalsRowDxfId="26007"/>
    <tableColumn id="3616" xr3:uid="{28EDF7D8-D4C5-44DB-A3CE-C2F8141BBF3E}" name="Column3602" dataDxfId="26006" totalsRowDxfId="26005"/>
    <tableColumn id="3617" xr3:uid="{2AB4AC2C-FCCF-4C95-9256-262F2291A60B}" name="Column3603" dataDxfId="26004" totalsRowDxfId="26003"/>
    <tableColumn id="3618" xr3:uid="{545EAC28-6B75-4C66-87C0-D6088DA67A24}" name="Column3604" dataDxfId="26002" totalsRowDxfId="26001"/>
    <tableColumn id="3619" xr3:uid="{3A9D9F6D-CBAB-4765-9976-3C25F9420C00}" name="Column3605" dataDxfId="26000" totalsRowDxfId="25999"/>
    <tableColumn id="3620" xr3:uid="{3F31A30C-21E1-4A81-ADBF-F75DBA466AA2}" name="Column3606" dataDxfId="25998" totalsRowDxfId="25997"/>
    <tableColumn id="3621" xr3:uid="{6F0AA5BD-FAD0-4354-93F3-3ACF10DD2A2A}" name="Column3607" dataDxfId="25996" totalsRowDxfId="25995"/>
    <tableColumn id="3622" xr3:uid="{F7901255-B325-4571-9FA4-C18F93DEEA9B}" name="Column3608" dataDxfId="25994" totalsRowDxfId="25993"/>
    <tableColumn id="3623" xr3:uid="{3AA109EA-B75E-4A74-8680-F1BE797B05B6}" name="Column3609" dataDxfId="25992" totalsRowDxfId="25991"/>
    <tableColumn id="3624" xr3:uid="{8C0F69F3-22B1-4F4D-AC04-1F898100E2B4}" name="Column3610" dataDxfId="25990" totalsRowDxfId="25989"/>
    <tableColumn id="3625" xr3:uid="{67EE6D2A-234D-4DD0-8208-DB071CC96D56}" name="Column3611" dataDxfId="25988" totalsRowDxfId="25987"/>
    <tableColumn id="3626" xr3:uid="{7B8EA74C-9787-4DBA-913B-8807995484C2}" name="Column3612" dataDxfId="25986" totalsRowDxfId="25985"/>
    <tableColumn id="3627" xr3:uid="{2301D083-E3FB-4A0F-BF5F-ED22E25A46D1}" name="Column3613" dataDxfId="25984" totalsRowDxfId="25983"/>
    <tableColumn id="3628" xr3:uid="{D279E7D8-9B97-4B51-B1F4-D9CED14387D5}" name="Column3614" dataDxfId="25982" totalsRowDxfId="25981"/>
    <tableColumn id="3629" xr3:uid="{10C1DF2A-5451-4692-ABD1-B18B0A36AA45}" name="Column3615" dataDxfId="25980" totalsRowDxfId="25979"/>
    <tableColumn id="3630" xr3:uid="{2332D2A1-9061-415F-9893-54A93886413B}" name="Column3616" dataDxfId="25978" totalsRowDxfId="25977"/>
    <tableColumn id="3631" xr3:uid="{B846D472-1AB6-4677-BCCA-770650D35445}" name="Column3617" dataDxfId="25976" totalsRowDxfId="25975"/>
    <tableColumn id="3632" xr3:uid="{72D5A06F-F464-4B08-99ED-94A640496524}" name="Column3618" dataDxfId="25974" totalsRowDxfId="25973"/>
    <tableColumn id="3633" xr3:uid="{3EDDE84D-69D0-4671-B53E-ED456D3BAB25}" name="Column3619" dataDxfId="25972" totalsRowDxfId="25971"/>
    <tableColumn id="3634" xr3:uid="{097FA76E-C6C1-4821-8A18-81D926844C48}" name="Column3620" dataDxfId="25970" totalsRowDxfId="25969"/>
    <tableColumn id="3635" xr3:uid="{11774391-F251-4E37-B71E-6753671D675F}" name="Column3621" dataDxfId="25968" totalsRowDxfId="25967"/>
    <tableColumn id="3636" xr3:uid="{FAAB9900-7DEC-4F19-B68A-30D800102834}" name="Column3622" dataDxfId="25966" totalsRowDxfId="25965"/>
    <tableColumn id="3637" xr3:uid="{E9662D54-7824-4641-95AD-B4C26C344D16}" name="Column3623" dataDxfId="25964" totalsRowDxfId="25963"/>
    <tableColumn id="3638" xr3:uid="{6CDFCEA3-7708-45F3-BF4C-0AA254BC7843}" name="Column3624" dataDxfId="25962" totalsRowDxfId="25961"/>
    <tableColumn id="3639" xr3:uid="{F3906E26-0872-4C77-8B51-03A4626862EC}" name="Column3625" dataDxfId="25960" totalsRowDxfId="25959"/>
    <tableColumn id="3640" xr3:uid="{E6401C4A-E133-466F-956C-FB19A60964B2}" name="Column3626" dataDxfId="25958" totalsRowDxfId="25957"/>
    <tableColumn id="3641" xr3:uid="{12E150BC-68C5-47C7-96D2-136AC8D620B2}" name="Column3627" dataDxfId="25956" totalsRowDxfId="25955"/>
    <tableColumn id="3642" xr3:uid="{71D350A3-C6AE-45F9-9DB7-CEE6ECF73323}" name="Column3628" dataDxfId="25954" totalsRowDxfId="25953"/>
    <tableColumn id="3643" xr3:uid="{4F44208D-A4C4-4EBE-8B47-2CACEC4A515B}" name="Column3629" dataDxfId="25952" totalsRowDxfId="25951"/>
    <tableColumn id="3644" xr3:uid="{9897329C-2696-4BD4-B5CB-13482D31F5E4}" name="Column3630" dataDxfId="25950" totalsRowDxfId="25949"/>
    <tableColumn id="3645" xr3:uid="{7C69A3A5-CE44-42DD-AA9A-8BDC68CB9CB9}" name="Column3631" dataDxfId="25948" totalsRowDxfId="25947"/>
    <tableColumn id="3646" xr3:uid="{7B78898D-85B3-4088-93E5-5E1A1D4146AF}" name="Column3632" dataDxfId="25946" totalsRowDxfId="25945"/>
    <tableColumn id="3647" xr3:uid="{60460F98-9868-4F25-B02B-D116DA9192BB}" name="Column3633" dataDxfId="25944" totalsRowDxfId="25943"/>
    <tableColumn id="3648" xr3:uid="{0BD247AF-055F-46FC-B471-B757DAD8CA07}" name="Column3634" dataDxfId="25942" totalsRowDxfId="25941"/>
    <tableColumn id="3649" xr3:uid="{3969BBFC-481C-4427-809A-017C9A1FF5C9}" name="Column3635" dataDxfId="25940" totalsRowDxfId="25939"/>
    <tableColumn id="3650" xr3:uid="{34DEA221-CC56-4F69-81E4-7261AEE089FC}" name="Column3636" dataDxfId="25938" totalsRowDxfId="25937"/>
    <tableColumn id="3651" xr3:uid="{B2D021A4-EEE6-4335-956D-BC1AB2CD478F}" name="Column3637" dataDxfId="25936" totalsRowDxfId="25935"/>
    <tableColumn id="3652" xr3:uid="{B7A86237-41F2-440B-91D9-4EDAAF484CFF}" name="Column3638" dataDxfId="25934" totalsRowDxfId="25933"/>
    <tableColumn id="3653" xr3:uid="{C2FCDC47-983B-411C-AB4D-73B745B02D12}" name="Column3639" dataDxfId="25932" totalsRowDxfId="25931"/>
    <tableColumn id="3654" xr3:uid="{A9D1DEF7-132B-467F-A633-B224DE2C3287}" name="Column3640" dataDxfId="25930" totalsRowDxfId="25929"/>
    <tableColumn id="3655" xr3:uid="{BE46EE2E-96E3-4FA0-A5AF-FE5DAF962627}" name="Column3641" dataDxfId="25928" totalsRowDxfId="25927"/>
    <tableColumn id="3656" xr3:uid="{A8934D62-DB4E-49E3-8AE2-6C65ADE89568}" name="Column3642" dataDxfId="25926" totalsRowDxfId="25925"/>
    <tableColumn id="3657" xr3:uid="{08D4D589-BF09-4ACA-B0F7-DCB0E3E56231}" name="Column3643" dataDxfId="25924" totalsRowDxfId="25923"/>
    <tableColumn id="3658" xr3:uid="{4C723319-5BBD-49AB-9487-833209A78D09}" name="Column3644" dataDxfId="25922" totalsRowDxfId="25921"/>
    <tableColumn id="3659" xr3:uid="{FDE611C5-146E-47C0-9FF2-016F6A26AC72}" name="Column3645" dataDxfId="25920" totalsRowDxfId="25919"/>
    <tableColumn id="3660" xr3:uid="{C2E784EC-6475-4E7D-BF6C-C80BA9401E56}" name="Column3646" dataDxfId="25918" totalsRowDxfId="25917"/>
    <tableColumn id="3661" xr3:uid="{E5D8C0A4-DA53-4E8A-842F-2C68059059CC}" name="Column3647" dataDxfId="25916" totalsRowDxfId="25915"/>
    <tableColumn id="3662" xr3:uid="{8C48C4EC-99D1-426C-A73A-2F4C91544F4A}" name="Column3648" dataDxfId="25914" totalsRowDxfId="25913"/>
    <tableColumn id="3663" xr3:uid="{60DAC574-AFD2-43C6-90DF-9D117B94E025}" name="Column3649" dataDxfId="25912" totalsRowDxfId="25911"/>
    <tableColumn id="3664" xr3:uid="{9E202D7E-A903-4C0F-8344-1F8D38D64F7A}" name="Column3650" dataDxfId="25910" totalsRowDxfId="25909"/>
    <tableColumn id="3665" xr3:uid="{FF7853B7-FBE9-4F17-A6B1-048ED51C6799}" name="Column3651" dataDxfId="25908" totalsRowDxfId="25907"/>
    <tableColumn id="3666" xr3:uid="{B2959552-0E9D-4B92-B631-99C26891D030}" name="Column3652" dataDxfId="25906" totalsRowDxfId="25905"/>
    <tableColumn id="3667" xr3:uid="{A45B8B7D-B6DE-4431-821B-E71BDAD3ADB4}" name="Column3653" dataDxfId="25904" totalsRowDxfId="25903"/>
    <tableColumn id="3668" xr3:uid="{5671A01B-5CA2-47D0-904E-91335734A3CC}" name="Column3654" dataDxfId="25902" totalsRowDxfId="25901"/>
    <tableColumn id="3669" xr3:uid="{D0154E88-38ED-4FC5-BB3A-233D05901C0C}" name="Column3655" dataDxfId="25900" totalsRowDxfId="25899"/>
    <tableColumn id="3670" xr3:uid="{60CA7D79-8997-4303-8249-617A4508E395}" name="Column3656" dataDxfId="25898" totalsRowDxfId="25897"/>
    <tableColumn id="3671" xr3:uid="{E77C16E0-1C07-47C7-AEFC-890E6AA03E0F}" name="Column3657" dataDxfId="25896" totalsRowDxfId="25895"/>
    <tableColumn id="3672" xr3:uid="{2DC9C985-36B8-4C44-8302-5E0035213516}" name="Column3658" dataDxfId="25894" totalsRowDxfId="25893"/>
    <tableColumn id="3673" xr3:uid="{A9313668-FA23-432E-8944-31A646ABB55C}" name="Column3659" dataDxfId="25892" totalsRowDxfId="25891"/>
    <tableColumn id="3674" xr3:uid="{5D3767F6-0143-4A2F-8A30-6152EB5CE8D7}" name="Column3660" dataDxfId="25890" totalsRowDxfId="25889"/>
    <tableColumn id="3675" xr3:uid="{30CD1735-1867-463C-B75D-9D61F3165880}" name="Column3661" dataDxfId="25888" totalsRowDxfId="25887"/>
    <tableColumn id="3676" xr3:uid="{0FC0BCDC-B5CC-4606-91A7-F5C6D992C2D2}" name="Column3662" dataDxfId="25886" totalsRowDxfId="25885"/>
    <tableColumn id="3677" xr3:uid="{060EBFBF-325C-49B0-9F34-A3398729F135}" name="Column3663" dataDxfId="25884" totalsRowDxfId="25883"/>
    <tableColumn id="3678" xr3:uid="{1BC40032-20A1-476B-8999-9535F189F7C6}" name="Column3664" dataDxfId="25882" totalsRowDxfId="25881"/>
    <tableColumn id="3679" xr3:uid="{F890F17D-FD3A-4109-86A9-648CF63D7FD6}" name="Column3665" dataDxfId="25880" totalsRowDxfId="25879"/>
    <tableColumn id="3680" xr3:uid="{5E6DB0A5-2265-484E-AB01-7ACCC08339A1}" name="Column3666" dataDxfId="25878" totalsRowDxfId="25877"/>
    <tableColumn id="3681" xr3:uid="{9400B404-B440-4F6F-8B77-87FF43F178A0}" name="Column3667" dataDxfId="25876" totalsRowDxfId="25875"/>
    <tableColumn id="3682" xr3:uid="{472CE625-3260-4656-A421-10F67DAD1FEA}" name="Column3668" dataDxfId="25874" totalsRowDxfId="25873"/>
    <tableColumn id="3683" xr3:uid="{78EA6CFA-B395-41CA-87D5-FB9205E4C254}" name="Column3669" dataDxfId="25872" totalsRowDxfId="25871"/>
    <tableColumn id="3684" xr3:uid="{DE11FF31-FE7E-4A23-BA52-790BC44312C1}" name="Column3670" dataDxfId="25870" totalsRowDxfId="25869"/>
    <tableColumn id="3685" xr3:uid="{92951C6E-4B30-43A1-BEE8-95E7429F57CD}" name="Column3671" dataDxfId="25868" totalsRowDxfId="25867"/>
    <tableColumn id="3686" xr3:uid="{DFCBD94C-05F2-4F82-9B30-942F328791C9}" name="Column3672" dataDxfId="25866" totalsRowDxfId="25865"/>
    <tableColumn id="3687" xr3:uid="{46727D1F-F84F-4F48-80FB-59174DC284C3}" name="Column3673" dataDxfId="25864" totalsRowDxfId="25863"/>
    <tableColumn id="3688" xr3:uid="{B7A65FD4-4DFA-4611-B65F-3BEF0BAB3BE7}" name="Column3674" dataDxfId="25862" totalsRowDxfId="25861"/>
    <tableColumn id="3689" xr3:uid="{BF5A6BA4-AC97-4AB0-BF85-968422185B94}" name="Column3675" dataDxfId="25860" totalsRowDxfId="25859"/>
    <tableColumn id="3690" xr3:uid="{3D34C093-9E12-4BF8-8B81-A505E8ECF6A0}" name="Column3676" dataDxfId="25858" totalsRowDxfId="25857"/>
    <tableColumn id="3691" xr3:uid="{B910628C-9027-4139-948F-63361D25E13C}" name="Column3677" dataDxfId="25856" totalsRowDxfId="25855"/>
    <tableColumn id="3692" xr3:uid="{E3FAFC15-940E-48E6-9B9B-462D2D2BE3A0}" name="Column3678" dataDxfId="25854" totalsRowDxfId="25853"/>
    <tableColumn id="3693" xr3:uid="{ABD5C105-2AC3-4EA7-A52D-E7F80717AE94}" name="Column3679" dataDxfId="25852" totalsRowDxfId="25851"/>
    <tableColumn id="3694" xr3:uid="{99A0508F-FB24-4C94-B8CB-194F719AC806}" name="Column3680" dataDxfId="25850" totalsRowDxfId="25849"/>
    <tableColumn id="3695" xr3:uid="{69C5749C-D46F-4B5B-AD11-BF0A52A2CC24}" name="Column3681" dataDxfId="25848" totalsRowDxfId="25847"/>
    <tableColumn id="3696" xr3:uid="{55688464-1C38-4D36-84D5-A466871D1C72}" name="Column3682" dataDxfId="25846" totalsRowDxfId="25845"/>
    <tableColumn id="3697" xr3:uid="{E05FABB5-457A-4407-8EB1-9AA021CA8D37}" name="Column3683" dataDxfId="25844" totalsRowDxfId="25843"/>
    <tableColumn id="3698" xr3:uid="{73CAE8E0-5628-4C55-949C-63036C2FBE18}" name="Column3684" dataDxfId="25842" totalsRowDxfId="25841"/>
    <tableColumn id="3699" xr3:uid="{E7EDAC02-9BF6-4675-B61E-58F624499C0B}" name="Column3685" dataDxfId="25840" totalsRowDxfId="25839"/>
    <tableColumn id="3700" xr3:uid="{523B5FA2-C59B-44A3-B503-982405AACFBD}" name="Column3686" dataDxfId="25838" totalsRowDxfId="25837"/>
    <tableColumn id="3701" xr3:uid="{AA5960A5-B71D-4326-8419-150BFDF44C00}" name="Column3687" dataDxfId="25836" totalsRowDxfId="25835"/>
    <tableColumn id="3702" xr3:uid="{7480D4EC-DB40-4CFA-A026-A4137C1ABA69}" name="Column3688" dataDxfId="25834" totalsRowDxfId="25833"/>
    <tableColumn id="3703" xr3:uid="{8E4AA7F0-F30A-411D-A1AD-25EE84809A2C}" name="Column3689" dataDxfId="25832" totalsRowDxfId="25831"/>
    <tableColumn id="3704" xr3:uid="{3D17AA36-E11F-4A04-8D35-2DD168B3D4AE}" name="Column3690" dataDxfId="25830" totalsRowDxfId="25829"/>
    <tableColumn id="3705" xr3:uid="{FAEA93D8-29E6-46C7-A481-FDB9D33CED04}" name="Column3691" dataDxfId="25828" totalsRowDxfId="25827"/>
    <tableColumn id="3706" xr3:uid="{741AE10E-1D8C-4EC7-A7AA-2DFD906046D4}" name="Column3692" dataDxfId="25826" totalsRowDxfId="25825"/>
    <tableColumn id="3707" xr3:uid="{749815B8-17C8-440E-843F-FCB2C65AEE5C}" name="Column3693" dataDxfId="25824" totalsRowDxfId="25823"/>
    <tableColumn id="3708" xr3:uid="{BD738262-FD6B-4D7E-8E2A-2C10A430862C}" name="Column3694" dataDxfId="25822" totalsRowDxfId="25821"/>
    <tableColumn id="3709" xr3:uid="{CDCCA4F6-0B72-4D9D-97B9-D8F136F9AEAA}" name="Column3695" dataDxfId="25820" totalsRowDxfId="25819"/>
    <tableColumn id="3710" xr3:uid="{977E632D-D13E-4788-B916-473A31F9308D}" name="Column3696" dataDxfId="25818" totalsRowDxfId="25817"/>
    <tableColumn id="3711" xr3:uid="{D42DFD4D-BAEE-4691-8F94-2033488FA83E}" name="Column3697" dataDxfId="25816" totalsRowDxfId="25815"/>
    <tableColumn id="3712" xr3:uid="{DCC3243F-650C-474F-9EAE-608E6DC87E42}" name="Column3698" dataDxfId="25814" totalsRowDxfId="25813"/>
    <tableColumn id="3713" xr3:uid="{B6F1F53E-B02D-4A95-9BC6-242D4BF999E4}" name="Column3699" dataDxfId="25812" totalsRowDxfId="25811"/>
    <tableColumn id="3714" xr3:uid="{8514779D-FFE0-4FD1-A495-03049BF4AB84}" name="Column3700" dataDxfId="25810" totalsRowDxfId="25809"/>
    <tableColumn id="3715" xr3:uid="{CB5B62EF-64EE-4C6F-B862-CB8D55081A7D}" name="Column3701" dataDxfId="25808" totalsRowDxfId="25807"/>
    <tableColumn id="3716" xr3:uid="{45074A90-4E55-40CE-AC99-07B133400FBE}" name="Column3702" dataDxfId="25806" totalsRowDxfId="25805"/>
    <tableColumn id="3717" xr3:uid="{E1E22587-B13E-4322-BF1F-462C35695314}" name="Column3703" dataDxfId="25804" totalsRowDxfId="25803"/>
    <tableColumn id="3718" xr3:uid="{A664C99C-B5F0-4E9A-8D33-C20AEC140D69}" name="Column3704" dataDxfId="25802" totalsRowDxfId="25801"/>
    <tableColumn id="3719" xr3:uid="{87A6C6BA-AF26-47CC-9271-DB96694BBBF7}" name="Column3705" dataDxfId="25800" totalsRowDxfId="25799"/>
    <tableColumn id="3720" xr3:uid="{40F4813B-F8E6-48F7-86D6-7931D041FA56}" name="Column3706" dataDxfId="25798" totalsRowDxfId="25797"/>
    <tableColumn id="3721" xr3:uid="{F11EE4D2-E74F-49C4-9CC5-F10D9DA1C229}" name="Column3707" dataDxfId="25796" totalsRowDxfId="25795"/>
    <tableColumn id="3722" xr3:uid="{3786F752-46A1-4A95-8AB7-6A7B745B6827}" name="Column3708" dataDxfId="25794" totalsRowDxfId="25793"/>
    <tableColumn id="3723" xr3:uid="{11226575-8E34-4DCD-99B6-D8318E3E9A70}" name="Column3709" dataDxfId="25792" totalsRowDxfId="25791"/>
    <tableColumn id="3724" xr3:uid="{D94CE23D-49F2-450C-8B0D-7B1D3D04B463}" name="Column3710" dataDxfId="25790" totalsRowDxfId="25789"/>
    <tableColumn id="3725" xr3:uid="{AF45C18A-D89E-4809-8C7B-80921AD5C234}" name="Column3711" dataDxfId="25788" totalsRowDxfId="25787"/>
    <tableColumn id="3726" xr3:uid="{3CC6AC4A-7F18-48C3-AE15-A214F22DA802}" name="Column3712" dataDxfId="25786" totalsRowDxfId="25785"/>
    <tableColumn id="3727" xr3:uid="{E8C22B55-8333-4E78-8E0F-162B68852FC4}" name="Column3713" dataDxfId="25784" totalsRowDxfId="25783"/>
    <tableColumn id="3728" xr3:uid="{A731B0F3-D592-42E4-99EF-B539C533D205}" name="Column3714" dataDxfId="25782" totalsRowDxfId="25781"/>
    <tableColumn id="3729" xr3:uid="{97785A1C-0A76-48FB-83DF-BBA85527337C}" name="Column3715" dataDxfId="25780" totalsRowDxfId="25779"/>
    <tableColumn id="3730" xr3:uid="{11FAD5CC-9EA1-4F8B-958B-DA79BDE76B19}" name="Column3716" dataDxfId="25778" totalsRowDxfId="25777"/>
    <tableColumn id="3731" xr3:uid="{5FD5C54B-304D-4103-81B8-D807C5C73EFF}" name="Column3717" dataDxfId="25776" totalsRowDxfId="25775"/>
    <tableColumn id="3732" xr3:uid="{CFF131EC-6C29-4BBC-8188-5878D17A2B73}" name="Column3718" dataDxfId="25774" totalsRowDxfId="25773"/>
    <tableColumn id="3733" xr3:uid="{03F5E011-4819-46DB-8115-C9FC84BC6092}" name="Column3719" dataDxfId="25772" totalsRowDxfId="25771"/>
    <tableColumn id="3734" xr3:uid="{F0118A95-3403-419D-A756-A482ACDEC5CB}" name="Column3720" dataDxfId="25770" totalsRowDxfId="25769"/>
    <tableColumn id="3735" xr3:uid="{257A263D-03C0-4945-8701-8AE4EADFBF4B}" name="Column3721" dataDxfId="25768" totalsRowDxfId="25767"/>
    <tableColumn id="3736" xr3:uid="{2785D6DD-7ABC-43CC-AFEE-FAFA193DC1DD}" name="Column3722" dataDxfId="25766" totalsRowDxfId="25765"/>
    <tableColumn id="3737" xr3:uid="{A8330847-CD65-45D2-9BE7-614057A14155}" name="Column3723" dataDxfId="25764" totalsRowDxfId="25763"/>
    <tableColumn id="3738" xr3:uid="{7A1C80EF-D719-4496-B024-56425DFBC580}" name="Column3724" dataDxfId="25762" totalsRowDxfId="25761"/>
    <tableColumn id="3739" xr3:uid="{6238CC65-5747-4782-B619-D280ED5CC3EF}" name="Column3725" dataDxfId="25760" totalsRowDxfId="25759"/>
    <tableColumn id="3740" xr3:uid="{F9DF58D0-3306-4FD0-B541-22A686C69EB7}" name="Column3726" dataDxfId="25758" totalsRowDxfId="25757"/>
    <tableColumn id="3741" xr3:uid="{AD116104-828B-4EDB-ACA3-D201C96C4F9F}" name="Column3727" dataDxfId="25756" totalsRowDxfId="25755"/>
    <tableColumn id="3742" xr3:uid="{DECAC57F-8B67-4ED6-9D92-C18E7B20519D}" name="Column3728" dataDxfId="25754" totalsRowDxfId="25753"/>
    <tableColumn id="3743" xr3:uid="{71B7F621-66CF-448B-897F-A3103188A097}" name="Column3729" dataDxfId="25752" totalsRowDxfId="25751"/>
    <tableColumn id="3744" xr3:uid="{966A8584-1F08-4394-A96E-8BC773F94FF0}" name="Column3730" dataDxfId="25750" totalsRowDxfId="25749"/>
    <tableColumn id="3745" xr3:uid="{431D41D2-CDA9-472D-82A3-C8EF75722D67}" name="Column3731" dataDxfId="25748" totalsRowDxfId="25747"/>
    <tableColumn id="3746" xr3:uid="{BE81B0CE-AE58-411C-BFEE-80BDD001B21D}" name="Column3732" dataDxfId="25746" totalsRowDxfId="25745"/>
    <tableColumn id="3747" xr3:uid="{D214A591-4772-400E-8DC3-FE3BB3E1E5A1}" name="Column3733" dataDxfId="25744" totalsRowDxfId="25743"/>
    <tableColumn id="3748" xr3:uid="{D8CD1704-9719-4D50-A23A-7F84DCAE98AE}" name="Column3734" dataDxfId="25742" totalsRowDxfId="25741"/>
    <tableColumn id="3749" xr3:uid="{4BAE13A0-A2E2-438A-9132-909B8FBB456F}" name="Column3735" dataDxfId="25740" totalsRowDxfId="25739"/>
    <tableColumn id="3750" xr3:uid="{CD04A220-4A04-4ADD-9BE4-0C5E5505FB54}" name="Column3736" dataDxfId="25738" totalsRowDxfId="25737"/>
    <tableColumn id="3751" xr3:uid="{1B487688-52CA-4B90-B409-19070DCE0FBD}" name="Column3737" dataDxfId="25736" totalsRowDxfId="25735"/>
    <tableColumn id="3752" xr3:uid="{A4AC4ADA-A795-44C8-98B9-F848204F66B7}" name="Column3738" dataDxfId="25734" totalsRowDxfId="25733"/>
    <tableColumn id="3753" xr3:uid="{2CE94707-8128-496B-9A30-5B4A5B20751F}" name="Column3739" dataDxfId="25732" totalsRowDxfId="25731"/>
    <tableColumn id="3754" xr3:uid="{B0E0ED1F-739E-4398-A3D2-FBE5465A69B5}" name="Column3740" dataDxfId="25730" totalsRowDxfId="25729"/>
    <tableColumn id="3755" xr3:uid="{8AB67666-0C99-4E62-A8CF-81A071064242}" name="Column3741" dataDxfId="25728" totalsRowDxfId="25727"/>
    <tableColumn id="3756" xr3:uid="{5D1E63CD-82A2-4464-893A-99A4FB908721}" name="Column3742" dataDxfId="25726" totalsRowDxfId="25725"/>
    <tableColumn id="3757" xr3:uid="{B34C23D9-8955-459B-B518-EC403317E821}" name="Column3743" dataDxfId="25724" totalsRowDxfId="25723"/>
    <tableColumn id="3758" xr3:uid="{64C366FB-76B3-4713-88C2-D80F6406B28A}" name="Column3744" dataDxfId="25722" totalsRowDxfId="25721"/>
    <tableColumn id="3759" xr3:uid="{D93719C3-8BCB-4813-ACD7-BFC118E74ACB}" name="Column3745" dataDxfId="25720" totalsRowDxfId="25719"/>
    <tableColumn id="3760" xr3:uid="{A5789150-4913-445F-922D-DE00802A4AB7}" name="Column3746" dataDxfId="25718" totalsRowDxfId="25717"/>
    <tableColumn id="3761" xr3:uid="{30DEDA6D-4BDE-4DDC-87E0-16F2B3CC7022}" name="Column3747" dataDxfId="25716" totalsRowDxfId="25715"/>
    <tableColumn id="3762" xr3:uid="{335AB95F-8571-4394-B9A8-89C4ECDD8759}" name="Column3748" dataDxfId="25714" totalsRowDxfId="25713"/>
    <tableColumn id="3763" xr3:uid="{A19F8A11-C7D7-42C1-8CD2-4AD651258767}" name="Column3749" dataDxfId="25712" totalsRowDxfId="25711"/>
    <tableColumn id="3764" xr3:uid="{A97BB3C6-B83D-45F8-9EC9-DCC8B4A3CE33}" name="Column3750" dataDxfId="25710" totalsRowDxfId="25709"/>
    <tableColumn id="3765" xr3:uid="{0F0DD75B-F9E9-4C76-B5E1-5CD55E1AEE85}" name="Column3751" dataDxfId="25708" totalsRowDxfId="25707"/>
    <tableColumn id="3766" xr3:uid="{276B9EB1-FA6B-4623-8C52-0E27AE4B522C}" name="Column3752" dataDxfId="25706" totalsRowDxfId="25705"/>
    <tableColumn id="3767" xr3:uid="{821F2365-C2A7-4495-B791-BE171844E71F}" name="Column3753" dataDxfId="25704" totalsRowDxfId="25703"/>
    <tableColumn id="3768" xr3:uid="{CEE928A9-C735-4472-83CC-764D8CED4F21}" name="Column3754" dataDxfId="25702" totalsRowDxfId="25701"/>
    <tableColumn id="3769" xr3:uid="{67550D02-A82A-4121-A3CE-5BE850062D94}" name="Column3755" dataDxfId="25700" totalsRowDxfId="25699"/>
    <tableColumn id="3770" xr3:uid="{CE588972-AC6C-4C3F-9F97-3E586441C3D5}" name="Column3756" dataDxfId="25698" totalsRowDxfId="25697"/>
    <tableColumn id="3771" xr3:uid="{354DAEAB-5902-4234-8DBE-2A3DA51EBF6D}" name="Column3757" dataDxfId="25696" totalsRowDxfId="25695"/>
    <tableColumn id="3772" xr3:uid="{573D9F90-9558-43A9-900F-DFF821F7BE1C}" name="Column3758" dataDxfId="25694" totalsRowDxfId="25693"/>
    <tableColumn id="3773" xr3:uid="{83B2C551-44DD-4F34-8563-036D029C4576}" name="Column3759" dataDxfId="25692" totalsRowDxfId="25691"/>
    <tableColumn id="3774" xr3:uid="{945C0439-C0CC-41EB-8B93-BD656E7702CE}" name="Column3760" dataDxfId="25690" totalsRowDxfId="25689"/>
    <tableColumn id="3775" xr3:uid="{AE23511F-75FB-44A2-9374-6C5A0E9D4EE8}" name="Column3761" dataDxfId="25688" totalsRowDxfId="25687"/>
    <tableColumn id="3776" xr3:uid="{F97EBD41-A53D-4DD4-8FD3-DE277D074D5C}" name="Column3762" dataDxfId="25686" totalsRowDxfId="25685"/>
    <tableColumn id="3777" xr3:uid="{EAC3D814-184C-43E1-970C-6C8DFC00F793}" name="Column3763" dataDxfId="25684" totalsRowDxfId="25683"/>
    <tableColumn id="3778" xr3:uid="{186DE98A-E096-41CC-9349-900BCE1AA1E6}" name="Column3764" dataDxfId="25682" totalsRowDxfId="25681"/>
    <tableColumn id="3779" xr3:uid="{6F12784B-560E-4488-A654-7E680B77C3C1}" name="Column3765" dataDxfId="25680" totalsRowDxfId="25679"/>
    <tableColumn id="3780" xr3:uid="{B7F1E41B-BCD7-4292-9CFB-1C589665CCA5}" name="Column3766" dataDxfId="25678" totalsRowDxfId="25677"/>
    <tableColumn id="3781" xr3:uid="{E1314CC8-6079-4FD1-894D-4B338BC4EA04}" name="Column3767" dataDxfId="25676" totalsRowDxfId="25675"/>
    <tableColumn id="3782" xr3:uid="{A774D3CA-E05A-4D63-A8F2-0672366706CF}" name="Column3768" dataDxfId="25674" totalsRowDxfId="25673"/>
    <tableColumn id="3783" xr3:uid="{86910281-4751-4A30-863F-05B9AC1AFEB5}" name="Column3769" dataDxfId="25672" totalsRowDxfId="25671"/>
    <tableColumn id="3784" xr3:uid="{993279AA-C1E6-49CF-9DD9-CB5EE3E7D259}" name="Column3770" dataDxfId="25670" totalsRowDxfId="25669"/>
    <tableColumn id="3785" xr3:uid="{ED4F154F-D37B-465B-B382-AFCC38B944C4}" name="Column3771" dataDxfId="25668" totalsRowDxfId="25667"/>
    <tableColumn id="3786" xr3:uid="{7325E37A-BC5E-47B6-BFED-03B9CA9503F4}" name="Column3772" dataDxfId="25666" totalsRowDxfId="25665"/>
    <tableColumn id="3787" xr3:uid="{D7071D09-178C-45D4-912A-7DC361904AC1}" name="Column3773" dataDxfId="25664" totalsRowDxfId="25663"/>
    <tableColumn id="3788" xr3:uid="{4F2B3EFC-A3E4-49A1-9DE9-99033BB50BA3}" name="Column3774" dataDxfId="25662" totalsRowDxfId="25661"/>
    <tableColumn id="3789" xr3:uid="{B8FCCF3D-BD27-4431-A10F-F95644B2BA30}" name="Column3775" dataDxfId="25660" totalsRowDxfId="25659"/>
    <tableColumn id="3790" xr3:uid="{7232E3B3-9590-4E15-90AE-7A4C15846563}" name="Column3776" dataDxfId="25658" totalsRowDxfId="25657"/>
    <tableColumn id="3791" xr3:uid="{9108B7E5-16F2-432F-BD14-813A4041A445}" name="Column3777" dataDxfId="25656" totalsRowDxfId="25655"/>
    <tableColumn id="3792" xr3:uid="{CDAEFED4-BF70-4C19-A54C-4B4C62ED92E7}" name="Column3778" dataDxfId="25654" totalsRowDxfId="25653"/>
    <tableColumn id="3793" xr3:uid="{C550AF12-AAF7-4C2F-A331-1843CE8AA6CE}" name="Column3779" dataDxfId="25652" totalsRowDxfId="25651"/>
    <tableColumn id="3794" xr3:uid="{DB0BB44D-E07E-4ED9-8711-423768AC6DC6}" name="Column3780" dataDxfId="25650" totalsRowDxfId="25649"/>
    <tableColumn id="3795" xr3:uid="{25E021FD-DF2D-4C40-A399-9EBDD03227EB}" name="Column3781" dataDxfId="25648" totalsRowDxfId="25647"/>
    <tableColumn id="3796" xr3:uid="{8061A05F-53CF-43EB-BA50-BDB0A4CD7840}" name="Column3782" dataDxfId="25646" totalsRowDxfId="25645"/>
    <tableColumn id="3797" xr3:uid="{4BC9F9D0-CD90-4776-9FCF-3E963E2505B9}" name="Column3783" dataDxfId="25644" totalsRowDxfId="25643"/>
    <tableColumn id="3798" xr3:uid="{27956B36-C4D6-4C7B-A666-87C39E85CC04}" name="Column3784" dataDxfId="25642" totalsRowDxfId="25641"/>
    <tableColumn id="3799" xr3:uid="{11CFBA95-406F-4AC2-AF32-DE1398115AC6}" name="Column3785" dataDxfId="25640" totalsRowDxfId="25639"/>
    <tableColumn id="3800" xr3:uid="{3C15CDF0-B4DA-4B67-A4C9-025DF84AE9AB}" name="Column3786" dataDxfId="25638" totalsRowDxfId="25637"/>
    <tableColumn id="3801" xr3:uid="{18877D90-86C3-46AD-BF2D-010C9E3B374E}" name="Column3787" dataDxfId="25636" totalsRowDxfId="25635"/>
    <tableColumn id="3802" xr3:uid="{6828B533-6206-4F0A-A663-4C28748D1B9C}" name="Column3788" dataDxfId="25634" totalsRowDxfId="25633"/>
    <tableColumn id="3803" xr3:uid="{E699D8BB-BE75-4567-B975-CBD75FD7E0ED}" name="Column3789" dataDxfId="25632" totalsRowDxfId="25631"/>
    <tableColumn id="3804" xr3:uid="{2B045178-D41A-4153-8C2F-014793167305}" name="Column3790" dataDxfId="25630" totalsRowDxfId="25629"/>
    <tableColumn id="3805" xr3:uid="{9EAEF927-212C-4B85-9AB9-23A15776848E}" name="Column3791" dataDxfId="25628" totalsRowDxfId="25627"/>
    <tableColumn id="3806" xr3:uid="{91D795BA-A732-4B20-8984-1E156AAA16C1}" name="Column3792" dataDxfId="25626" totalsRowDxfId="25625"/>
    <tableColumn id="3807" xr3:uid="{C68AC0E6-8878-409F-9779-E0BFD91C8F80}" name="Column3793" dataDxfId="25624" totalsRowDxfId="25623"/>
    <tableColumn id="3808" xr3:uid="{DBCA5C3A-1C8E-4E24-92E8-B4E1B6F58C94}" name="Column3794" dataDxfId="25622" totalsRowDxfId="25621"/>
    <tableColumn id="3809" xr3:uid="{9BC02118-E57E-43C3-89A9-DC30084A0491}" name="Column3795" dataDxfId="25620" totalsRowDxfId="25619"/>
    <tableColumn id="3810" xr3:uid="{0C6E9075-54FE-4670-8FE1-1179272F036B}" name="Column3796" dataDxfId="25618" totalsRowDxfId="25617"/>
    <tableColumn id="3811" xr3:uid="{C4452172-E20E-4BF5-B0AF-9B202E70B0D7}" name="Column3797" dataDxfId="25616" totalsRowDxfId="25615"/>
    <tableColumn id="3812" xr3:uid="{63E405E6-923F-41FA-8C59-D8AECDE53CC5}" name="Column3798" dataDxfId="25614" totalsRowDxfId="25613"/>
    <tableColumn id="3813" xr3:uid="{02DD9FE3-F0DD-431C-895A-F4DEEDCCBD0F}" name="Column3799" dataDxfId="25612" totalsRowDxfId="25611"/>
    <tableColumn id="3814" xr3:uid="{9A434613-973F-4FDE-A6BC-0E9D04CF75A6}" name="Column3800" dataDxfId="25610" totalsRowDxfId="25609"/>
    <tableColumn id="3815" xr3:uid="{004E7E76-24D6-418B-BA1D-F9A667A7F5B4}" name="Column3801" dataDxfId="25608" totalsRowDxfId="25607"/>
    <tableColumn id="3816" xr3:uid="{8CE19542-F4A7-4E73-A7DB-2B6F122B8E20}" name="Column3802" dataDxfId="25606" totalsRowDxfId="25605"/>
    <tableColumn id="3817" xr3:uid="{790DBBC4-496E-4DF8-9258-82370150FE9C}" name="Column3803" dataDxfId="25604" totalsRowDxfId="25603"/>
    <tableColumn id="3818" xr3:uid="{A0FA405F-E1D7-4577-B71C-CE6726D232BB}" name="Column3804" dataDxfId="25602" totalsRowDxfId="25601"/>
    <tableColumn id="3819" xr3:uid="{A0E3F1BF-1204-430C-B1B4-D3190D0FA2EB}" name="Column3805" dataDxfId="25600" totalsRowDxfId="25599"/>
    <tableColumn id="3820" xr3:uid="{B1477939-14AB-4B9C-9CEB-7EF055510F07}" name="Column3806" dataDxfId="25598" totalsRowDxfId="25597"/>
    <tableColumn id="3821" xr3:uid="{A8B28321-4934-4C80-A36C-32FFB56D36F0}" name="Column3807" dataDxfId="25596" totalsRowDxfId="25595"/>
    <tableColumn id="3822" xr3:uid="{BEDBBE10-4187-49A0-8CAE-0F5A647B0A23}" name="Column3808" dataDxfId="25594" totalsRowDxfId="25593"/>
    <tableColumn id="3823" xr3:uid="{4FC61558-4EDE-48B9-B048-BCFDE437656A}" name="Column3809" dataDxfId="25592" totalsRowDxfId="25591"/>
    <tableColumn id="3824" xr3:uid="{1F9AB970-7A28-4530-B9C3-21450863C234}" name="Column3810" dataDxfId="25590" totalsRowDxfId="25589"/>
    <tableColumn id="3825" xr3:uid="{56DE0CA7-A581-453C-8A1F-B086C0E80FC5}" name="Column3811" dataDxfId="25588" totalsRowDxfId="25587"/>
    <tableColumn id="3826" xr3:uid="{BA8F4EA9-EDA6-4944-883B-5BB2D4EB3393}" name="Column3812" dataDxfId="25586" totalsRowDxfId="25585"/>
    <tableColumn id="3827" xr3:uid="{A5E91C75-6A8D-4EC8-9F0C-0039F289DF37}" name="Column3813" dataDxfId="25584" totalsRowDxfId="25583"/>
    <tableColumn id="3828" xr3:uid="{23051964-81F5-42B8-9548-6EB742D5DCC0}" name="Column3814" dataDxfId="25582" totalsRowDxfId="25581"/>
    <tableColumn id="3829" xr3:uid="{100DB8EE-0B8B-435C-9C8F-8BAF756479EC}" name="Column3815" dataDxfId="25580" totalsRowDxfId="25579"/>
    <tableColumn id="3830" xr3:uid="{58C20C12-C0D4-43CF-A97F-742F9877BA1C}" name="Column3816" dataDxfId="25578" totalsRowDxfId="25577"/>
    <tableColumn id="3831" xr3:uid="{9E7D944F-C18B-452A-823E-F64E9C2EB296}" name="Column3817" dataDxfId="25576" totalsRowDxfId="25575"/>
    <tableColumn id="3832" xr3:uid="{D2E9BC48-4BD5-44A4-ADA6-B8301102726E}" name="Column3818" dataDxfId="25574" totalsRowDxfId="25573"/>
    <tableColumn id="3833" xr3:uid="{56A8E475-14CB-4DA7-8771-CC04027272DE}" name="Column3819" dataDxfId="25572" totalsRowDxfId="25571"/>
    <tableColumn id="3834" xr3:uid="{8023F9DF-8C7C-49CC-B5C2-2F15805D73BB}" name="Column3820" dataDxfId="25570" totalsRowDxfId="25569"/>
    <tableColumn id="3835" xr3:uid="{E9C11308-E329-4D05-B596-6D4576322A35}" name="Column3821" dataDxfId="25568" totalsRowDxfId="25567"/>
    <tableColumn id="3836" xr3:uid="{4443A44D-BE72-4A99-9E00-9E8B6FF53B11}" name="Column3822" dataDxfId="25566" totalsRowDxfId="25565"/>
    <tableColumn id="3837" xr3:uid="{46FBD5B4-111E-45F9-ACE8-0FFC01589D10}" name="Column3823" dataDxfId="25564" totalsRowDxfId="25563"/>
    <tableColumn id="3838" xr3:uid="{23D6F24C-8256-4DE0-A13B-6B2E5EC42E06}" name="Column3824" dataDxfId="25562" totalsRowDxfId="25561"/>
    <tableColumn id="3839" xr3:uid="{448D9915-68A9-47FD-AF71-9B240415A6E2}" name="Column3825" dataDxfId="25560" totalsRowDxfId="25559"/>
    <tableColumn id="3840" xr3:uid="{42A64EA1-E6A4-4A8E-8FC1-7092B27E5F80}" name="Column3826" dataDxfId="25558" totalsRowDxfId="25557"/>
    <tableColumn id="3841" xr3:uid="{49D43CBB-2C97-4DE7-A138-75BD044EF38F}" name="Column3827" dataDxfId="25556" totalsRowDxfId="25555"/>
    <tableColumn id="3842" xr3:uid="{28BE0DAF-78E6-49EC-AD09-074E9BCC16ED}" name="Column3828" dataDxfId="25554" totalsRowDxfId="25553"/>
    <tableColumn id="3843" xr3:uid="{0B48CD31-E1E1-4CBF-86F4-C9373E584E6C}" name="Column3829" dataDxfId="25552" totalsRowDxfId="25551"/>
    <tableColumn id="3844" xr3:uid="{31B98708-297B-4DC1-87F0-40F43EDC005A}" name="Column3830" dataDxfId="25550" totalsRowDxfId="25549"/>
    <tableColumn id="3845" xr3:uid="{79E6C66B-660E-448C-853B-6F7F91CDAC61}" name="Column3831" dataDxfId="25548" totalsRowDxfId="25547"/>
    <tableColumn id="3846" xr3:uid="{177639DC-5AD3-4107-92A4-2A10E4C8E8C8}" name="Column3832" dataDxfId="25546" totalsRowDxfId="25545"/>
    <tableColumn id="3847" xr3:uid="{CB5BDA3A-D1E9-45E9-90E3-AB4744BAD7CD}" name="Column3833" dataDxfId="25544" totalsRowDxfId="25543"/>
    <tableColumn id="3848" xr3:uid="{DE22FDFA-6900-4000-B0F2-4B4E9754CA75}" name="Column3834" dataDxfId="25542" totalsRowDxfId="25541"/>
    <tableColumn id="3849" xr3:uid="{44D3E7F9-A481-489C-A671-AFDA1BA38934}" name="Column3835" dataDxfId="25540" totalsRowDxfId="25539"/>
    <tableColumn id="3850" xr3:uid="{102931A2-3052-475A-B799-8F2A1D4562CA}" name="Column3836" dataDxfId="25538" totalsRowDxfId="25537"/>
    <tableColumn id="3851" xr3:uid="{C39A8F0E-0688-492C-9F55-AC93564B2CD1}" name="Column3837" dataDxfId="25536" totalsRowDxfId="25535"/>
    <tableColumn id="3852" xr3:uid="{0A80CC2A-D321-42B4-B314-B3987BC994C7}" name="Column3838" dataDxfId="25534" totalsRowDxfId="25533"/>
    <tableColumn id="3853" xr3:uid="{D55C7875-35C2-431D-A4F2-51DFD3B6A241}" name="Column3839" dataDxfId="25532" totalsRowDxfId="25531"/>
    <tableColumn id="3854" xr3:uid="{24E38F96-0EBA-4C37-BDC2-3C254F1B3E3C}" name="Column3840" dataDxfId="25530" totalsRowDxfId="25529"/>
    <tableColumn id="3855" xr3:uid="{3662E636-8132-4313-A4EA-FD6E8BBB71A4}" name="Column3841" dataDxfId="25528" totalsRowDxfId="25527"/>
    <tableColumn id="3856" xr3:uid="{AB260F9C-938D-4009-A9C5-5164E815A537}" name="Column3842" dataDxfId="25526" totalsRowDxfId="25525"/>
    <tableColumn id="3857" xr3:uid="{6EE698E2-69AA-4E3E-B039-B22BCE8FF336}" name="Column3843" dataDxfId="25524" totalsRowDxfId="25523"/>
    <tableColumn id="3858" xr3:uid="{70149DCD-3DA4-42C3-AC4F-4C3FB0DC6DC1}" name="Column3844" dataDxfId="25522" totalsRowDxfId="25521"/>
    <tableColumn id="3859" xr3:uid="{6DCDB9AA-9C13-41AD-B8DE-BBBE0A54BB46}" name="Column3845" dataDxfId="25520" totalsRowDxfId="25519"/>
    <tableColumn id="3860" xr3:uid="{367EEE6E-6DC7-43E1-95AE-49EB795E822D}" name="Column3846" dataDxfId="25518" totalsRowDxfId="25517"/>
    <tableColumn id="3861" xr3:uid="{4A7CE36D-E05C-4DC7-90EC-8DEABC2FE056}" name="Column3847" dataDxfId="25516" totalsRowDxfId="25515"/>
    <tableColumn id="3862" xr3:uid="{0D100B6B-814B-4E88-A964-2E8782F04DFD}" name="Column3848" dataDxfId="25514" totalsRowDxfId="25513"/>
    <tableColumn id="3863" xr3:uid="{169020C2-1164-45AB-B852-FD4AA8830693}" name="Column3849" dataDxfId="25512" totalsRowDxfId="25511"/>
    <tableColumn id="3864" xr3:uid="{680D89D6-1D32-4B48-833E-A32229015736}" name="Column3850" dataDxfId="25510" totalsRowDxfId="25509"/>
    <tableColumn id="3865" xr3:uid="{A7F466F3-FD71-40FA-A0D8-F46E840C816A}" name="Column3851" dataDxfId="25508" totalsRowDxfId="25507"/>
    <tableColumn id="3866" xr3:uid="{C2892CAF-E156-47DC-AA6E-EAAB1B4E0562}" name="Column3852" dataDxfId="25506" totalsRowDxfId="25505"/>
    <tableColumn id="3867" xr3:uid="{5792B220-5394-49EC-877A-673C52EE49EA}" name="Column3853" dataDxfId="25504" totalsRowDxfId="25503"/>
    <tableColumn id="3868" xr3:uid="{20DEF15F-97C2-4B8F-B2D5-2D3A699D27BD}" name="Column3854" dataDxfId="25502" totalsRowDxfId="25501"/>
    <tableColumn id="3869" xr3:uid="{FE2CC499-4B7D-4C2E-96F5-BB28784ED90D}" name="Column3855" dataDxfId="25500" totalsRowDxfId="25499"/>
    <tableColumn id="3870" xr3:uid="{46976CBA-5918-4C00-A473-144D8B052FEF}" name="Column3856" dataDxfId="25498" totalsRowDxfId="25497"/>
    <tableColumn id="3871" xr3:uid="{A0F7229A-A11D-4E8C-A535-7179D29E015A}" name="Column3857" dataDxfId="25496" totalsRowDxfId="25495"/>
    <tableColumn id="3872" xr3:uid="{54A66063-C44B-4EAF-8978-1F8E6603CE01}" name="Column3858" dataDxfId="25494" totalsRowDxfId="25493"/>
    <tableColumn id="3873" xr3:uid="{398EC188-F6F3-436C-AB45-F54E2D44F34B}" name="Column3859" dataDxfId="25492" totalsRowDxfId="25491"/>
    <tableColumn id="3874" xr3:uid="{5B396FB3-BD68-46AA-86D8-54B076D8A302}" name="Column3860" dataDxfId="25490" totalsRowDxfId="25489"/>
    <tableColumn id="3875" xr3:uid="{B2212706-3741-429D-BA66-7252CCCC7F1E}" name="Column3861" dataDxfId="25488" totalsRowDxfId="25487"/>
    <tableColumn id="3876" xr3:uid="{F9CED218-FB0E-45DB-9E9F-7B57DE006615}" name="Column3862" dataDxfId="25486" totalsRowDxfId="25485"/>
    <tableColumn id="3877" xr3:uid="{ABD486E0-99F7-4ABF-AA7A-BB5C57F06B1D}" name="Column3863" dataDxfId="25484" totalsRowDxfId="25483"/>
    <tableColumn id="3878" xr3:uid="{C1445F2E-B6CD-4166-9924-C527985A8485}" name="Column3864" dataDxfId="25482" totalsRowDxfId="25481"/>
    <tableColumn id="3879" xr3:uid="{CA1EAE6F-1074-4D0E-B7ED-AE5F25B7F75E}" name="Column3865" dataDxfId="25480" totalsRowDxfId="25479"/>
    <tableColumn id="3880" xr3:uid="{5026F93C-3636-49FD-A9B6-33760B5300C3}" name="Column3866" dataDxfId="25478" totalsRowDxfId="25477"/>
    <tableColumn id="3881" xr3:uid="{D1DED42E-521C-4884-9C79-2EC98C2189C3}" name="Column3867" dataDxfId="25476" totalsRowDxfId="25475"/>
    <tableColumn id="3882" xr3:uid="{80389547-DF71-4C39-BFE4-CAF9F4FC8E32}" name="Column3868" dataDxfId="25474" totalsRowDxfId="25473"/>
    <tableColumn id="3883" xr3:uid="{5FB89E7B-6FD3-4265-AF70-046F2DD14562}" name="Column3869" dataDxfId="25472" totalsRowDxfId="25471"/>
    <tableColumn id="3884" xr3:uid="{C7E6B222-CC5F-490E-A4C1-D0C3FC135487}" name="Column3870" dataDxfId="25470" totalsRowDxfId="25469"/>
    <tableColumn id="3885" xr3:uid="{82A66990-1F07-447A-9E6F-6F6F5FFBD529}" name="Column3871" dataDxfId="25468" totalsRowDxfId="25467"/>
    <tableColumn id="3886" xr3:uid="{F24E39BC-9B32-4372-AB39-9E5E73B2BEC8}" name="Column3872" dataDxfId="25466" totalsRowDxfId="25465"/>
    <tableColumn id="3887" xr3:uid="{42583757-09B8-49F1-B043-62F84BAF23A4}" name="Column3873" dataDxfId="25464" totalsRowDxfId="25463"/>
    <tableColumn id="3888" xr3:uid="{F633C7AD-3896-4535-9E0F-DD128790633F}" name="Column3874" dataDxfId="25462" totalsRowDxfId="25461"/>
    <tableColumn id="3889" xr3:uid="{18B4F1CF-4961-4980-8E98-406EC1A9C74A}" name="Column3875" dataDxfId="25460" totalsRowDxfId="25459"/>
    <tableColumn id="3890" xr3:uid="{22F88E31-26C7-40ED-84A1-9005F82B16F4}" name="Column3876" dataDxfId="25458" totalsRowDxfId="25457"/>
    <tableColumn id="3891" xr3:uid="{674A8D44-7E46-496F-82E7-D9EC2E20A866}" name="Column3877" dataDxfId="25456" totalsRowDxfId="25455"/>
    <tableColumn id="3892" xr3:uid="{A4713079-CD49-4D8A-B593-D036D0C62E6C}" name="Column3878" dataDxfId="25454" totalsRowDxfId="25453"/>
    <tableColumn id="3893" xr3:uid="{F47D2CA0-A266-487E-BBE2-765B63D12941}" name="Column3879" dataDxfId="25452" totalsRowDxfId="25451"/>
    <tableColumn id="3894" xr3:uid="{DCBCF46E-F7E9-4B98-B394-CAEAFC6F3A9C}" name="Column3880" dataDxfId="25450" totalsRowDxfId="25449"/>
    <tableColumn id="3895" xr3:uid="{6368ECDE-FAEF-49D0-876B-EE8960D46DC0}" name="Column3881" dataDxfId="25448" totalsRowDxfId="25447"/>
    <tableColumn id="3896" xr3:uid="{915C296B-313A-476F-8387-9A0DAF103274}" name="Column3882" dataDxfId="25446" totalsRowDxfId="25445"/>
    <tableColumn id="3897" xr3:uid="{B1E7559E-C0FB-4C8F-AA98-264670F1AE35}" name="Column3883" dataDxfId="25444" totalsRowDxfId="25443"/>
    <tableColumn id="3898" xr3:uid="{ACBA1EA4-093A-4E1E-A10B-0A0EDD61D18D}" name="Column3884" dataDxfId="25442" totalsRowDxfId="25441"/>
    <tableColumn id="3899" xr3:uid="{CD34402C-9EE2-4EF3-B0C6-215C6CD375F0}" name="Column3885" dataDxfId="25440" totalsRowDxfId="25439"/>
    <tableColumn id="3900" xr3:uid="{2594F0FF-F469-43D2-9671-AAFB9C4F1B4A}" name="Column3886" dataDxfId="25438" totalsRowDxfId="25437"/>
    <tableColumn id="3901" xr3:uid="{7C3EE4E6-81C7-4412-9A8C-D7DFCD7B039A}" name="Column3887" dataDxfId="25436" totalsRowDxfId="25435"/>
    <tableColumn id="3902" xr3:uid="{AA97D0E5-BEBD-4491-8FD1-923260CF6C71}" name="Column3888" dataDxfId="25434" totalsRowDxfId="25433"/>
    <tableColumn id="3903" xr3:uid="{B804C6DC-65F1-4BAD-B52F-70E8D049C9F5}" name="Column3889" dataDxfId="25432" totalsRowDxfId="25431"/>
    <tableColumn id="3904" xr3:uid="{9936FA24-8B36-45BA-B148-5E9E698942E6}" name="Column3890" dataDxfId="25430" totalsRowDxfId="25429"/>
    <tableColumn id="3905" xr3:uid="{2C85A5A2-5CB4-464A-B22D-32D0A966134C}" name="Column3891" dataDxfId="25428" totalsRowDxfId="25427"/>
    <tableColumn id="3906" xr3:uid="{D5A9BCE7-A5BD-4A4E-A3CD-B2085FCDB2EF}" name="Column3892" dataDxfId="25426" totalsRowDxfId="25425"/>
    <tableColumn id="3907" xr3:uid="{7B95A341-826E-4956-8069-4D75E1914429}" name="Column3893" dataDxfId="25424" totalsRowDxfId="25423"/>
    <tableColumn id="3908" xr3:uid="{1309CDFB-C774-45F4-8BF7-B9AEFDB54E9B}" name="Column3894" dataDxfId="25422" totalsRowDxfId="25421"/>
    <tableColumn id="3909" xr3:uid="{F6B74E41-3CE9-4ECD-A772-7FA58A29A9FA}" name="Column3895" dataDxfId="25420" totalsRowDxfId="25419"/>
    <tableColumn id="3910" xr3:uid="{86516CE3-9609-4B2E-91BE-610C09983F10}" name="Column3896" dataDxfId="25418" totalsRowDxfId="25417"/>
    <tableColumn id="3911" xr3:uid="{69FB834F-1491-45BB-9F45-9A4F3C5A8755}" name="Column3897" dataDxfId="25416" totalsRowDxfId="25415"/>
    <tableColumn id="3912" xr3:uid="{BD88C48F-67E5-4995-BEEF-107BC852B7D0}" name="Column3898" dataDxfId="25414" totalsRowDxfId="25413"/>
    <tableColumn id="3913" xr3:uid="{9B744A0C-93BF-4861-8BA2-9DFCE3B1E8F4}" name="Column3899" dataDxfId="25412" totalsRowDxfId="25411"/>
    <tableColumn id="3914" xr3:uid="{5BFB50EB-C35F-4061-9A14-9A6C4600B644}" name="Column3900" dataDxfId="25410" totalsRowDxfId="25409"/>
    <tableColumn id="3915" xr3:uid="{41A625C8-6977-4BB0-B424-477001BF5484}" name="Column3901" dataDxfId="25408" totalsRowDxfId="25407"/>
    <tableColumn id="3916" xr3:uid="{0D6CE0A3-6DF7-41FA-B3D5-D0A8C99933FC}" name="Column3902" dataDxfId="25406" totalsRowDxfId="25405"/>
    <tableColumn id="3917" xr3:uid="{82D4A122-0C5F-4D1D-907C-7EC5DBC01633}" name="Column3903" dataDxfId="25404" totalsRowDxfId="25403"/>
    <tableColumn id="3918" xr3:uid="{F08FA685-A7B5-4D4B-8001-472448A50B72}" name="Column3904" dataDxfId="25402" totalsRowDxfId="25401"/>
    <tableColumn id="3919" xr3:uid="{46D0C497-9DE4-4239-A590-C6BBA4A26786}" name="Column3905" dataDxfId="25400" totalsRowDxfId="25399"/>
    <tableColumn id="3920" xr3:uid="{BDFEDE98-D7B7-492C-A6A3-6ACECA898440}" name="Column3906" dataDxfId="25398" totalsRowDxfId="25397"/>
    <tableColumn id="3921" xr3:uid="{CEBF32DB-47C8-4A08-9B9A-BCA74FAD2D12}" name="Column3907" dataDxfId="25396" totalsRowDxfId="25395"/>
    <tableColumn id="3922" xr3:uid="{4F19556B-E875-4C2F-AAEE-90EE58B17FA3}" name="Column3908" dataDxfId="25394" totalsRowDxfId="25393"/>
    <tableColumn id="3923" xr3:uid="{23EBFC45-CCB2-44FF-9866-5F070E557F82}" name="Column3909" dataDxfId="25392" totalsRowDxfId="25391"/>
    <tableColumn id="3924" xr3:uid="{4E627AB1-6568-48AC-B844-4E4A04618028}" name="Column3910" dataDxfId="25390" totalsRowDxfId="25389"/>
    <tableColumn id="3925" xr3:uid="{E2CEC814-4900-47CF-A8CF-660F81D99E02}" name="Column3911" dataDxfId="25388" totalsRowDxfId="25387"/>
    <tableColumn id="3926" xr3:uid="{B8E95821-0AF9-4008-A7AD-D8103E7D0B92}" name="Column3912" dataDxfId="25386" totalsRowDxfId="25385"/>
    <tableColumn id="3927" xr3:uid="{F91D6965-28F3-4CF5-80A5-128B63A0A4BF}" name="Column3913" dataDxfId="25384" totalsRowDxfId="25383"/>
    <tableColumn id="3928" xr3:uid="{154E51E5-85F4-4DFF-950A-9B52170BFF9E}" name="Column3914" dataDxfId="25382" totalsRowDxfId="25381"/>
    <tableColumn id="3929" xr3:uid="{C56ACBA4-FD10-4792-91B9-DAC4C9D7B973}" name="Column3915" dataDxfId="25380" totalsRowDxfId="25379"/>
    <tableColumn id="3930" xr3:uid="{8C44A586-E79F-40F1-8134-E35F58CFACC9}" name="Column3916" dataDxfId="25378" totalsRowDxfId="25377"/>
    <tableColumn id="3931" xr3:uid="{36FC0C49-8562-4307-BB9B-35D81C3A79C9}" name="Column3917" dataDxfId="25376" totalsRowDxfId="25375"/>
    <tableColumn id="3932" xr3:uid="{BCDD5F31-9586-4847-AC10-A72E710BF290}" name="Column3918" dataDxfId="25374" totalsRowDxfId="25373"/>
    <tableColumn id="3933" xr3:uid="{8EB8551F-F997-4679-ACE0-1885B2D6AEDB}" name="Column3919" dataDxfId="25372" totalsRowDxfId="25371"/>
    <tableColumn id="3934" xr3:uid="{622FCA9D-76F4-4A03-B75C-1F3D276DDECD}" name="Column3920" dataDxfId="25370" totalsRowDxfId="25369"/>
    <tableColumn id="3935" xr3:uid="{6B9549DD-41CA-4D03-98EE-F3E1CFAE54CD}" name="Column3921" dataDxfId="25368" totalsRowDxfId="25367"/>
    <tableColumn id="3936" xr3:uid="{78DCF999-9E0A-4B8F-B632-B7E502493270}" name="Column3922" dataDxfId="25366" totalsRowDxfId="25365"/>
    <tableColumn id="3937" xr3:uid="{DFFAE71B-C376-4BB3-B565-B2A443602919}" name="Column3923" dataDxfId="25364" totalsRowDxfId="25363"/>
    <tableColumn id="3938" xr3:uid="{31CD2362-3593-46DC-84ED-C9E0C8AFF232}" name="Column3924" dataDxfId="25362" totalsRowDxfId="25361"/>
    <tableColumn id="3939" xr3:uid="{38619860-76F2-4D76-9A7B-AA5E1F6CF30D}" name="Column3925" dataDxfId="25360" totalsRowDxfId="25359"/>
    <tableColumn id="3940" xr3:uid="{CE9C3D39-99F7-4050-A9EB-1B8A98C2541B}" name="Column3926" dataDxfId="25358" totalsRowDxfId="25357"/>
    <tableColumn id="3941" xr3:uid="{54AE35A4-DC3A-4630-BC0F-1F3454159D54}" name="Column3927" dataDxfId="25356" totalsRowDxfId="25355"/>
    <tableColumn id="3942" xr3:uid="{3A1E5A33-90E5-4AA0-A43C-ADFD76A168D1}" name="Column3928" dataDxfId="25354" totalsRowDxfId="25353"/>
    <tableColumn id="3943" xr3:uid="{1F7EE7B5-2C58-40A1-A498-4FD6D8B3B084}" name="Column3929" dataDxfId="25352" totalsRowDxfId="25351"/>
    <tableColumn id="3944" xr3:uid="{D23505AB-2F6E-411F-A163-0BACFE650CC0}" name="Column3930" dataDxfId="25350" totalsRowDxfId="25349"/>
    <tableColumn id="3945" xr3:uid="{667FC678-6D98-487B-928C-0FDABB4D7607}" name="Column3931" dataDxfId="25348" totalsRowDxfId="25347"/>
    <tableColumn id="3946" xr3:uid="{EF4ADDF3-9B4C-4AC0-9E70-C0AF33AA1D5C}" name="Column3932" dataDxfId="25346" totalsRowDxfId="25345"/>
    <tableColumn id="3947" xr3:uid="{85D41838-C29B-4310-AD86-51C1037E89FD}" name="Column3933" dataDxfId="25344" totalsRowDxfId="25343"/>
    <tableColumn id="3948" xr3:uid="{3BDA2373-AA10-4071-934C-743D012D04DE}" name="Column3934" dataDxfId="25342" totalsRowDxfId="25341"/>
    <tableColumn id="3949" xr3:uid="{ACC7DF86-A0B8-4D7A-BA0A-241D1BB6E49B}" name="Column3935" dataDxfId="25340" totalsRowDxfId="25339"/>
    <tableColumn id="3950" xr3:uid="{80E95CCE-2FF0-46BD-9CD8-18EEB3E20340}" name="Column3936" dataDxfId="25338" totalsRowDxfId="25337"/>
    <tableColumn id="3951" xr3:uid="{8B545A83-C964-494A-8561-FD2082327B02}" name="Column3937" dataDxfId="25336" totalsRowDxfId="25335"/>
    <tableColumn id="3952" xr3:uid="{5AECC9B9-FAF5-40DB-A47C-2F99329D9F52}" name="Column3938" dataDxfId="25334" totalsRowDxfId="25333"/>
    <tableColumn id="3953" xr3:uid="{F12BF756-8948-4E4F-8D09-3D6A6DD60B9C}" name="Column3939" dataDxfId="25332" totalsRowDxfId="25331"/>
    <tableColumn id="3954" xr3:uid="{27BDB6A1-C5B6-4267-A39D-617E78002C25}" name="Column3940" dataDxfId="25330" totalsRowDxfId="25329"/>
    <tableColumn id="3955" xr3:uid="{2ECF451D-C0B8-42AC-9C8F-6E3D5A02FD30}" name="Column3941" dataDxfId="25328" totalsRowDxfId="25327"/>
    <tableColumn id="3956" xr3:uid="{F063935E-CC98-461D-BEDB-D25C5B73D403}" name="Column3942" dataDxfId="25326" totalsRowDxfId="25325"/>
    <tableColumn id="3957" xr3:uid="{CAE9434F-9BD2-4274-8042-7249B4A94E7C}" name="Column3943" dataDxfId="25324" totalsRowDxfId="25323"/>
    <tableColumn id="3958" xr3:uid="{0183221C-A093-4B8D-80ED-0AFC716E319A}" name="Column3944" dataDxfId="25322" totalsRowDxfId="25321"/>
    <tableColumn id="3959" xr3:uid="{B0192B8F-39A3-4417-A860-B0AF4467D4BE}" name="Column3945" dataDxfId="25320" totalsRowDxfId="25319"/>
    <tableColumn id="3960" xr3:uid="{CA25C49F-307A-432E-90DC-C109352F06D3}" name="Column3946" dataDxfId="25318" totalsRowDxfId="25317"/>
    <tableColumn id="3961" xr3:uid="{7A132337-F794-4FF4-953B-0740CF90A0B0}" name="Column3947" dataDxfId="25316" totalsRowDxfId="25315"/>
    <tableColumn id="3962" xr3:uid="{6BF13A2A-A2A5-4414-A196-9937C01CB5D7}" name="Column3948" dataDxfId="25314" totalsRowDxfId="25313"/>
    <tableColumn id="3963" xr3:uid="{5EA2BBFD-8C12-4334-9EF5-5B3F641F0AD4}" name="Column3949" dataDxfId="25312" totalsRowDxfId="25311"/>
    <tableColumn id="3964" xr3:uid="{EEF42DAA-4CCF-41B2-9992-B1C6AF4BB06F}" name="Column3950" dataDxfId="25310" totalsRowDxfId="25309"/>
    <tableColumn id="3965" xr3:uid="{D51A8BAF-BE0A-4A78-80A8-60965E8C86B9}" name="Column3951" dataDxfId="25308" totalsRowDxfId="25307"/>
    <tableColumn id="3966" xr3:uid="{D199B1F4-A0CA-4990-A1B1-36FD5717BE43}" name="Column3952" dataDxfId="25306" totalsRowDxfId="25305"/>
    <tableColumn id="3967" xr3:uid="{98FECD10-2E73-478D-8748-E9ECFD6B22DF}" name="Column3953" dataDxfId="25304" totalsRowDxfId="25303"/>
    <tableColumn id="3968" xr3:uid="{9D244C5E-4B70-471D-871C-5C56B0FF5A74}" name="Column3954" dataDxfId="25302" totalsRowDxfId="25301"/>
    <tableColumn id="3969" xr3:uid="{DB933036-BF99-4FB7-A704-F6F1515E8E91}" name="Column3955" dataDxfId="25300" totalsRowDxfId="25299"/>
    <tableColumn id="3970" xr3:uid="{3622ACDC-B69F-4E41-82F8-B41254F8D5F8}" name="Column3956" dataDxfId="25298" totalsRowDxfId="25297"/>
    <tableColumn id="3971" xr3:uid="{11F49610-ACE0-44E1-BFBB-1C98BD3A2244}" name="Column3957" dataDxfId="25296" totalsRowDxfId="25295"/>
    <tableColumn id="3972" xr3:uid="{B5C86E68-7984-44F2-BF34-4E9335E2B768}" name="Column3958" dataDxfId="25294" totalsRowDxfId="25293"/>
    <tableColumn id="3973" xr3:uid="{130B62C3-AA70-4860-BFF7-978DBD777B48}" name="Column3959" dataDxfId="25292" totalsRowDxfId="25291"/>
    <tableColumn id="3974" xr3:uid="{A69FCB98-F75D-4496-B1F3-8706CA1425C0}" name="Column3960" dataDxfId="25290" totalsRowDxfId="25289"/>
    <tableColumn id="3975" xr3:uid="{929964EA-D010-422C-B505-FD6455BDEDBB}" name="Column3961" dataDxfId="25288" totalsRowDxfId="25287"/>
    <tableColumn id="3976" xr3:uid="{2CB19C4A-F7C3-40A9-B5AD-3994934A864F}" name="Column3962" dataDxfId="25286" totalsRowDxfId="25285"/>
    <tableColumn id="3977" xr3:uid="{9D83E86C-DDC4-42EB-BFC6-973D5B44D1BC}" name="Column3963" dataDxfId="25284" totalsRowDxfId="25283"/>
    <tableColumn id="3978" xr3:uid="{BFDF13B3-7714-4330-B687-97567B699E8B}" name="Column3964" dataDxfId="25282" totalsRowDxfId="25281"/>
    <tableColumn id="3979" xr3:uid="{5CB2F5A4-046C-4A28-B30E-AFBC6172371B}" name="Column3965" dataDxfId="25280" totalsRowDxfId="25279"/>
    <tableColumn id="3980" xr3:uid="{D3DC8CD1-DE69-4781-BE41-BA12283AA47D}" name="Column3966" dataDxfId="25278" totalsRowDxfId="25277"/>
    <tableColumn id="3981" xr3:uid="{30D251CE-C98E-40A8-BC6C-DC8F22A51D43}" name="Column3967" dataDxfId="25276" totalsRowDxfId="25275"/>
    <tableColumn id="3982" xr3:uid="{5B8AAE25-4618-420B-8ED3-45EEC803AF6D}" name="Column3968" dataDxfId="25274" totalsRowDxfId="25273"/>
    <tableColumn id="3983" xr3:uid="{9CE5B825-E65C-4686-BBE1-35C7B5A9D9FE}" name="Column3969" dataDxfId="25272" totalsRowDxfId="25271"/>
    <tableColumn id="3984" xr3:uid="{0A1368FE-062B-4363-8D44-DEF0D213B677}" name="Column3970" dataDxfId="25270" totalsRowDxfId="25269"/>
    <tableColumn id="3985" xr3:uid="{3125CDDE-792D-436E-8CEE-A38758F41673}" name="Column3971" dataDxfId="25268" totalsRowDxfId="25267"/>
    <tableColumn id="3986" xr3:uid="{CB37F4D4-3ABB-45B6-ADF8-84D8B4E461AC}" name="Column3972" dataDxfId="25266" totalsRowDxfId="25265"/>
    <tableColumn id="3987" xr3:uid="{A524DF53-B982-4441-BCA2-2B073318A8A9}" name="Column3973" dataDxfId="25264" totalsRowDxfId="25263"/>
    <tableColumn id="3988" xr3:uid="{87973A09-FFED-4F6D-900E-33A39B6B5E3D}" name="Column3974" dataDxfId="25262" totalsRowDxfId="25261"/>
    <tableColumn id="3989" xr3:uid="{4347ABB8-721D-46BD-84A9-702C38B97127}" name="Column3975" dataDxfId="25260" totalsRowDxfId="25259"/>
    <tableColumn id="3990" xr3:uid="{E2767351-9678-475E-8957-14955D4A879C}" name="Column3976" dataDxfId="25258" totalsRowDxfId="25257"/>
    <tableColumn id="3991" xr3:uid="{29ACBD51-4128-4616-A962-605D45E2B455}" name="Column3977" dataDxfId="25256" totalsRowDxfId="25255"/>
    <tableColumn id="3992" xr3:uid="{710048C2-99D3-4FE4-B140-627E59CFCF91}" name="Column3978" dataDxfId="25254" totalsRowDxfId="25253"/>
    <tableColumn id="3993" xr3:uid="{D446FC02-A3C9-4B13-8277-742405EFC649}" name="Column3979" dataDxfId="25252" totalsRowDxfId="25251"/>
    <tableColumn id="3994" xr3:uid="{56FE99BC-D9C9-46B6-A070-319CFD648CC3}" name="Column3980" dataDxfId="25250" totalsRowDxfId="25249"/>
    <tableColumn id="3995" xr3:uid="{8383AFA1-8ED0-4D8E-ADE6-A4695EB8020A}" name="Column3981" dataDxfId="25248" totalsRowDxfId="25247"/>
    <tableColumn id="3996" xr3:uid="{62F55A53-79BE-4A47-B75E-EC5E6A4FD0D3}" name="Column3982" dataDxfId="25246" totalsRowDxfId="25245"/>
    <tableColumn id="3997" xr3:uid="{2BF6CE0D-97DD-4ABE-85DB-B8FE6F2095C2}" name="Column3983" dataDxfId="25244" totalsRowDxfId="25243"/>
    <tableColumn id="3998" xr3:uid="{4AE99D88-4394-4C97-8995-B6916AFBEB9B}" name="Column3984" dataDxfId="25242" totalsRowDxfId="25241"/>
    <tableColumn id="3999" xr3:uid="{7E35D102-D015-4E50-A98F-E51B13166659}" name="Column3985" dataDxfId="25240" totalsRowDxfId="25239"/>
    <tableColumn id="4000" xr3:uid="{57DB34E1-7743-4AE0-981F-8B33ACF65F97}" name="Column3986" dataDxfId="25238" totalsRowDxfId="25237"/>
    <tableColumn id="4001" xr3:uid="{73623C30-F33A-4A6B-84BB-7E11B9661B50}" name="Column3987" dataDxfId="25236" totalsRowDxfId="25235"/>
    <tableColumn id="4002" xr3:uid="{85990943-42A6-4FBF-AEAA-60F6D824EDFE}" name="Column3988" dataDxfId="25234" totalsRowDxfId="25233"/>
    <tableColumn id="4003" xr3:uid="{817741A1-1DD2-46BD-9996-60C326A87200}" name="Column3989" dataDxfId="25232" totalsRowDxfId="25231"/>
    <tableColumn id="4004" xr3:uid="{D7717B47-68DD-4BB6-8CBA-841280CF8938}" name="Column3990" dataDxfId="25230" totalsRowDxfId="25229"/>
    <tableColumn id="4005" xr3:uid="{C0AF8932-EE8F-47D3-961E-FF52AF5C1832}" name="Column3991" dataDxfId="25228" totalsRowDxfId="25227"/>
    <tableColumn id="4006" xr3:uid="{1224689C-847F-4FCA-9793-FCA83A208229}" name="Column3992" dataDxfId="25226" totalsRowDxfId="25225"/>
    <tableColumn id="4007" xr3:uid="{640B21B4-90A3-46C8-8C08-8802DE3CD0BB}" name="Column3993" dataDxfId="25224" totalsRowDxfId="25223"/>
    <tableColumn id="4008" xr3:uid="{ECDC9EB1-BA55-4A8A-93D2-5C2A61E2B4B7}" name="Column3994" dataDxfId="25222" totalsRowDxfId="25221"/>
    <tableColumn id="4009" xr3:uid="{7EC0D54F-4332-409E-97CF-6D462319F6DB}" name="Column3995" dataDxfId="25220" totalsRowDxfId="25219"/>
    <tableColumn id="4010" xr3:uid="{5AB6B24D-9AC8-4840-B1C6-E1297C320F9B}" name="Column3996" dataDxfId="25218" totalsRowDxfId="25217"/>
    <tableColumn id="4011" xr3:uid="{B8565C72-FDD8-478D-93FB-100466E85603}" name="Column3997" dataDxfId="25216" totalsRowDxfId="25215"/>
    <tableColumn id="4012" xr3:uid="{2485E0D4-A010-4DE1-BF4B-472BBEB94400}" name="Column3998" dataDxfId="25214" totalsRowDxfId="25213"/>
    <tableColumn id="4013" xr3:uid="{5E2A47DE-23CA-48F0-824B-EF4A02B0303A}" name="Column3999" dataDxfId="25212" totalsRowDxfId="25211"/>
    <tableColumn id="4014" xr3:uid="{1A8F2C09-A0CE-4991-B6B4-1C4DACB5DAE5}" name="Column4000" dataDxfId="25210" totalsRowDxfId="25209"/>
    <tableColumn id="4015" xr3:uid="{4F2A92D1-A96E-4186-AED1-97DFFC52395D}" name="Column4001" dataDxfId="25208" totalsRowDxfId="25207"/>
    <tableColumn id="4016" xr3:uid="{3822992F-5188-4CE9-8E67-F9056F52ECF7}" name="Column4002" dataDxfId="25206" totalsRowDxfId="25205"/>
    <tableColumn id="4017" xr3:uid="{B261365B-3981-427C-9CAA-7500ED80F940}" name="Column4003" dataDxfId="25204" totalsRowDxfId="25203"/>
    <tableColumn id="4018" xr3:uid="{B0F8DD79-863E-4D67-BB18-50F52532BFF0}" name="Column4004" dataDxfId="25202" totalsRowDxfId="25201"/>
    <tableColumn id="4019" xr3:uid="{8CCADA58-3CEB-4D90-959A-F7151624682A}" name="Column4005" dataDxfId="25200" totalsRowDxfId="25199"/>
    <tableColumn id="4020" xr3:uid="{564EE3E6-E921-41FD-9210-690CD92AACDE}" name="Column4006" dataDxfId="25198" totalsRowDxfId="25197"/>
    <tableColumn id="4021" xr3:uid="{ADFA3D2F-CF59-42E1-8AC2-E85115EE0E4E}" name="Column4007" dataDxfId="25196" totalsRowDxfId="25195"/>
    <tableColumn id="4022" xr3:uid="{1D1815DB-4E61-4793-9C79-2BB2F0353113}" name="Column4008" dataDxfId="25194" totalsRowDxfId="25193"/>
    <tableColumn id="4023" xr3:uid="{7E3B5D8E-5F8E-473A-81C7-456A46FB1347}" name="Column4009" dataDxfId="25192" totalsRowDxfId="25191"/>
    <tableColumn id="4024" xr3:uid="{65834AE3-6A32-48EA-9AE3-81AB119F32CD}" name="Column4010" dataDxfId="25190" totalsRowDxfId="25189"/>
    <tableColumn id="4025" xr3:uid="{96B80BC9-41E4-4CF9-A68B-EBAB797B438A}" name="Column4011" dataDxfId="25188" totalsRowDxfId="25187"/>
    <tableColumn id="4026" xr3:uid="{E0166085-37EC-42C7-BE1B-A20CC09A908B}" name="Column4012" dataDxfId="25186" totalsRowDxfId="25185"/>
    <tableColumn id="4027" xr3:uid="{47002D53-F747-4F14-BFF2-F9F419DCB45F}" name="Column4013" dataDxfId="25184" totalsRowDxfId="25183"/>
    <tableColumn id="4028" xr3:uid="{D8CD5058-5B3D-47B3-9AD0-58F7421AB461}" name="Column4014" dataDxfId="25182" totalsRowDxfId="25181"/>
    <tableColumn id="4029" xr3:uid="{E5CF46C9-8DA7-43D1-BAC6-BD37AF4C73BF}" name="Column4015" dataDxfId="25180" totalsRowDxfId="25179"/>
    <tableColumn id="4030" xr3:uid="{4B7D25E1-E384-484D-B793-7D791B1C263D}" name="Column4016" dataDxfId="25178" totalsRowDxfId="25177"/>
    <tableColumn id="4031" xr3:uid="{67DC9D90-97B8-4643-94A6-1E49C5DE216F}" name="Column4017" dataDxfId="25176" totalsRowDxfId="25175"/>
    <tableColumn id="4032" xr3:uid="{99200C20-1B4A-4DB6-A2DC-86FA9524291F}" name="Column4018" dataDxfId="25174" totalsRowDxfId="25173"/>
    <tableColumn id="4033" xr3:uid="{64385E82-D90D-4749-9F85-D528568F38F8}" name="Column4019" dataDxfId="25172" totalsRowDxfId="25171"/>
    <tableColumn id="4034" xr3:uid="{6F6C3F64-828F-4DB3-901C-C048A08928A4}" name="Column4020" dataDxfId="25170" totalsRowDxfId="25169"/>
    <tableColumn id="4035" xr3:uid="{B9169283-D0A4-465D-B479-0EE2B2E77E82}" name="Column4021" dataDxfId="25168" totalsRowDxfId="25167"/>
    <tableColumn id="4036" xr3:uid="{BF32E9CF-490A-486D-A748-AD6A3668AFA4}" name="Column4022" dataDxfId="25166" totalsRowDxfId="25165"/>
    <tableColumn id="4037" xr3:uid="{E782F70C-4367-4638-8F1D-AD756071E2A5}" name="Column4023" dataDxfId="25164" totalsRowDxfId="25163"/>
    <tableColumn id="4038" xr3:uid="{427D4E47-52FE-4DC2-B7B3-054E9C65F2CC}" name="Column4024" dataDxfId="25162" totalsRowDxfId="25161"/>
    <tableColumn id="4039" xr3:uid="{8642281B-DE5C-4CE7-96BE-CAD9BA80F4B2}" name="Column4025" dataDxfId="25160" totalsRowDxfId="25159"/>
    <tableColumn id="4040" xr3:uid="{010D5C57-48FF-4DCC-A765-0F715AF54C84}" name="Column4026" dataDxfId="25158" totalsRowDxfId="25157"/>
    <tableColumn id="4041" xr3:uid="{78C53692-E8C8-4FF0-ABC0-0D47D1ED47EA}" name="Column4027" dataDxfId="25156" totalsRowDxfId="25155"/>
    <tableColumn id="4042" xr3:uid="{0776D61A-8E92-42B6-A7FE-872F756E6CCB}" name="Column4028" dataDxfId="25154" totalsRowDxfId="25153"/>
    <tableColumn id="4043" xr3:uid="{DF736540-CEF0-4449-A056-D66D21975A57}" name="Column4029" dataDxfId="25152" totalsRowDxfId="25151"/>
    <tableColumn id="4044" xr3:uid="{EFCF8B18-D903-4BEB-BFCC-BE563D749D1E}" name="Column4030" dataDxfId="25150" totalsRowDxfId="25149"/>
    <tableColumn id="4045" xr3:uid="{0CA805E0-A2D6-4737-BE57-AB1E502F4771}" name="Column4031" dataDxfId="25148" totalsRowDxfId="25147"/>
    <tableColumn id="4046" xr3:uid="{0E7E05F5-E6AB-4980-BA75-D371F2F3D9A9}" name="Column4032" dataDxfId="25146" totalsRowDxfId="25145"/>
    <tableColumn id="4047" xr3:uid="{81B68DD0-9231-4499-8811-81CB5AA550AE}" name="Column4033" dataDxfId="25144" totalsRowDxfId="25143"/>
    <tableColumn id="4048" xr3:uid="{2CED4A59-8438-457B-95C9-A6B64055C2B2}" name="Column4034" dataDxfId="25142" totalsRowDxfId="25141"/>
    <tableColumn id="4049" xr3:uid="{F5D921B3-8E8A-482F-A13D-EE6B54B920B3}" name="Column4035" dataDxfId="25140" totalsRowDxfId="25139"/>
    <tableColumn id="4050" xr3:uid="{16866036-6104-454E-A941-9901CCAD2C9C}" name="Column4036" dataDxfId="25138" totalsRowDxfId="25137"/>
    <tableColumn id="4051" xr3:uid="{F454BB9C-D5C2-4D66-AE62-7026D9DE226E}" name="Column4037" dataDxfId="25136" totalsRowDxfId="25135"/>
    <tableColumn id="4052" xr3:uid="{F420E874-9AC9-4AE7-A01F-3C6415069CE5}" name="Column4038" dataDxfId="25134" totalsRowDxfId="25133"/>
    <tableColumn id="4053" xr3:uid="{CF90BC87-4FEF-4A3C-B813-EDB334FFDA41}" name="Column4039" dataDxfId="25132" totalsRowDxfId="25131"/>
    <tableColumn id="4054" xr3:uid="{0486DF9F-3863-457B-8FF5-2094AF48BC7E}" name="Column4040" dataDxfId="25130" totalsRowDxfId="25129"/>
    <tableColumn id="4055" xr3:uid="{48FEB01D-B4D1-4C49-AB27-B9F36C3EEC27}" name="Column4041" dataDxfId="25128" totalsRowDxfId="25127"/>
    <tableColumn id="4056" xr3:uid="{58078946-6B1F-4E79-8993-59A50AADEBE2}" name="Column4042" dataDxfId="25126" totalsRowDxfId="25125"/>
    <tableColumn id="4057" xr3:uid="{104D33B3-EF3D-40E3-808E-E14FB75ECA0A}" name="Column4043" dataDxfId="25124" totalsRowDxfId="25123"/>
    <tableColumn id="4058" xr3:uid="{BD55B8DE-B462-4BC9-AB98-C69D5E36341D}" name="Column4044" dataDxfId="25122" totalsRowDxfId="25121"/>
    <tableColumn id="4059" xr3:uid="{5CF0FAB3-F399-4169-8AF7-A6412C50F118}" name="Column4045" dataDxfId="25120" totalsRowDxfId="25119"/>
    <tableColumn id="4060" xr3:uid="{63BF5B0F-2109-4266-BF9B-2D535BF51B24}" name="Column4046" dataDxfId="25118" totalsRowDxfId="25117"/>
    <tableColumn id="4061" xr3:uid="{990C292D-A447-42F4-95E4-ED348971E489}" name="Column4047" dataDxfId="25116" totalsRowDxfId="25115"/>
    <tableColumn id="4062" xr3:uid="{29AD2070-E7B7-4EBB-BF4C-23350460F361}" name="Column4048" dataDxfId="25114" totalsRowDxfId="25113"/>
    <tableColumn id="4063" xr3:uid="{A97791A1-D8DB-4D81-8474-339C83919369}" name="Column4049" dataDxfId="25112" totalsRowDxfId="25111"/>
    <tableColumn id="4064" xr3:uid="{3EDE1355-344D-4F63-A57A-2BFDCF5D6B0A}" name="Column4050" dataDxfId="25110" totalsRowDxfId="25109"/>
    <tableColumn id="4065" xr3:uid="{FCD6B645-C361-48C1-9053-39D13C3D97E7}" name="Column4051" dataDxfId="25108" totalsRowDxfId="25107"/>
    <tableColumn id="4066" xr3:uid="{F9A95ADA-AD17-478B-AE11-8D7FDA7B4263}" name="Column4052" dataDxfId="25106" totalsRowDxfId="25105"/>
    <tableColumn id="4067" xr3:uid="{63EB2C36-9E50-4CBB-AC92-B0C00C7779AF}" name="Column4053" dataDxfId="25104" totalsRowDxfId="25103"/>
    <tableColumn id="4068" xr3:uid="{1C22B109-1492-445B-9257-613171AFFE97}" name="Column4054" dataDxfId="25102" totalsRowDxfId="25101"/>
    <tableColumn id="4069" xr3:uid="{EB5FCB03-E89F-4DDB-87BA-21FC16B998BA}" name="Column4055" dataDxfId="25100" totalsRowDxfId="25099"/>
    <tableColumn id="4070" xr3:uid="{F4A1EE04-15EB-4197-8570-70F9D8C19C21}" name="Column4056" dataDxfId="25098" totalsRowDxfId="25097"/>
    <tableColumn id="4071" xr3:uid="{4EDE298E-D3D4-43F6-BF8B-89CBD9C94E37}" name="Column4057" dataDxfId="25096" totalsRowDxfId="25095"/>
    <tableColumn id="4072" xr3:uid="{8671E4C9-6F86-4196-9173-CE635414EC86}" name="Column4058" dataDxfId="25094" totalsRowDxfId="25093"/>
    <tableColumn id="4073" xr3:uid="{DDECBAA3-D056-4DE6-9462-E6DAA8F4CF85}" name="Column4059" dataDxfId="25092" totalsRowDxfId="25091"/>
    <tableColumn id="4074" xr3:uid="{74280935-70EA-4E54-B049-52182D4F9214}" name="Column4060" dataDxfId="25090" totalsRowDxfId="25089"/>
    <tableColumn id="4075" xr3:uid="{159734C3-2874-4D3C-B69B-26315F082E2D}" name="Column4061" dataDxfId="25088" totalsRowDxfId="25087"/>
    <tableColumn id="4076" xr3:uid="{0B879DE2-2CA2-4D0B-A07D-9B6738A33F59}" name="Column4062" dataDxfId="25086" totalsRowDxfId="25085"/>
    <tableColumn id="4077" xr3:uid="{E14993D9-8310-4FAF-982C-C306ADDD3996}" name="Column4063" dataDxfId="25084" totalsRowDxfId="25083"/>
    <tableColumn id="4078" xr3:uid="{C9911043-769C-45BB-AB8D-C7BB72EFF24F}" name="Column4064" dataDxfId="25082" totalsRowDxfId="25081"/>
    <tableColumn id="4079" xr3:uid="{50B83858-0A41-479E-AC3C-1D85821F4C9D}" name="Column4065" dataDxfId="25080" totalsRowDxfId="25079"/>
    <tableColumn id="4080" xr3:uid="{D2DE4B59-3DF1-4057-9CCF-B2B870470B6F}" name="Column4066" dataDxfId="25078" totalsRowDxfId="25077"/>
    <tableColumn id="4081" xr3:uid="{9F69B491-DECD-4C65-9E33-64D1956D561C}" name="Column4067" dataDxfId="25076" totalsRowDxfId="25075"/>
    <tableColumn id="4082" xr3:uid="{8A1488F1-C21D-4FC7-9828-46B72FAB1002}" name="Column4068" dataDxfId="25074" totalsRowDxfId="25073"/>
    <tableColumn id="4083" xr3:uid="{800A1B9B-49D6-4924-99C8-193646E65A82}" name="Column4069" dataDxfId="25072" totalsRowDxfId="25071"/>
    <tableColumn id="4084" xr3:uid="{47CC9CA2-D0FC-4264-964D-EAC2B01DA742}" name="Column4070" dataDxfId="25070" totalsRowDxfId="25069"/>
    <tableColumn id="4085" xr3:uid="{F9D799B9-0AFC-46D0-9FEC-8A4C869A7CD5}" name="Column4071" dataDxfId="25068" totalsRowDxfId="25067"/>
    <tableColumn id="4086" xr3:uid="{0E3E7EC9-B32C-42B3-A8B6-A8EAD4B293BF}" name="Column4072" dataDxfId="25066" totalsRowDxfId="25065"/>
    <tableColumn id="4087" xr3:uid="{6526406C-3266-435F-A54B-AA6BE0084A3A}" name="Column4073" dataDxfId="25064" totalsRowDxfId="25063"/>
    <tableColumn id="4088" xr3:uid="{17F39FEA-68A2-44AF-B591-73E1B699C958}" name="Column4074" dataDxfId="25062" totalsRowDxfId="25061"/>
    <tableColumn id="4089" xr3:uid="{BB6C3E14-9AD1-4A9F-8C28-DF90FE9B1072}" name="Column4075" dataDxfId="25060" totalsRowDxfId="25059"/>
    <tableColumn id="4090" xr3:uid="{5B2BBFA8-4108-476D-A56D-1E94E799F1C1}" name="Column4076" dataDxfId="25058" totalsRowDxfId="25057"/>
    <tableColumn id="4091" xr3:uid="{4AC17AE0-43B3-49E3-B71E-4E579434DFB2}" name="Column4077" dataDxfId="25056" totalsRowDxfId="25055"/>
    <tableColumn id="4092" xr3:uid="{BF56F3A5-26AD-419D-A168-694B0546C0BE}" name="Column4078" dataDxfId="25054" totalsRowDxfId="25053"/>
    <tableColumn id="4093" xr3:uid="{54508394-7B0D-4E37-8B0C-828DCD9405C8}" name="Column4079" dataDxfId="25052" totalsRowDxfId="25051"/>
    <tableColumn id="4094" xr3:uid="{6617C00D-D2B7-4C25-953F-EFB0AE1BB9B7}" name="Column4080" dataDxfId="25050" totalsRowDxfId="25049"/>
    <tableColumn id="4095" xr3:uid="{931FCFA1-B13B-40A1-B1E4-93D80104B79F}" name="Column4081" dataDxfId="25048" totalsRowDxfId="25047"/>
    <tableColumn id="4096" xr3:uid="{860F704B-1E9A-4D94-B9BB-622C3466663B}" name="Column4082" dataDxfId="25046" totalsRowDxfId="25045"/>
    <tableColumn id="4097" xr3:uid="{9934E6E0-EF98-45DA-941E-6C314A487D6C}" name="Column4083" dataDxfId="25044" totalsRowDxfId="25043"/>
    <tableColumn id="4098" xr3:uid="{45312802-13B2-41EB-8425-EDC10505BF93}" name="Column4084" dataDxfId="25042" totalsRowDxfId="25041"/>
    <tableColumn id="4099" xr3:uid="{88124DFE-7DD0-4378-B008-76BF5967A7FA}" name="Column4085" dataDxfId="25040" totalsRowDxfId="25039"/>
    <tableColumn id="4100" xr3:uid="{59354B42-5BDF-45A4-914F-2191C26F4BCE}" name="Column4086" dataDxfId="25038" totalsRowDxfId="25037"/>
    <tableColumn id="4101" xr3:uid="{A2EE91C6-E795-4AE9-B0F2-92761496BAA0}" name="Column4087" dataDxfId="25036" totalsRowDxfId="25035"/>
    <tableColumn id="4102" xr3:uid="{A1EED00F-40AA-4D6F-B704-56F488DD2673}" name="Column4088" dataDxfId="25034" totalsRowDxfId="25033"/>
    <tableColumn id="4103" xr3:uid="{A5D8C801-4BB9-493B-BDF5-2B928D97CD40}" name="Column4089" dataDxfId="25032" totalsRowDxfId="25031"/>
    <tableColumn id="4104" xr3:uid="{10730AE1-F011-415A-B108-E4E0FDFA1010}" name="Column4090" dataDxfId="25030" totalsRowDxfId="25029"/>
    <tableColumn id="4105" xr3:uid="{B8908975-3BF8-4BEC-81D8-0C16E483AAD2}" name="Column4091" dataDxfId="25028" totalsRowDxfId="25027"/>
    <tableColumn id="4106" xr3:uid="{B077D1DB-5B95-4AD1-A5ED-8BC0DE54AE06}" name="Column4092" dataDxfId="25026" totalsRowDxfId="25025"/>
    <tableColumn id="4107" xr3:uid="{44A0B36B-BE85-4DC4-A98E-EE588235A7D7}" name="Column4093" dataDxfId="25024" totalsRowDxfId="25023"/>
    <tableColumn id="4108" xr3:uid="{90F74888-BE01-40BE-AC2C-C4278325A20A}" name="Column4094" dataDxfId="25022" totalsRowDxfId="25021"/>
    <tableColumn id="4109" xr3:uid="{C9FFF8D9-387B-42F5-872F-97A10CE88823}" name="Column4095" dataDxfId="25020" totalsRowDxfId="25019"/>
    <tableColumn id="4110" xr3:uid="{DD2334E3-6612-43A9-A576-2DECFA1E6DF9}" name="Column4096" dataDxfId="25018" totalsRowDxfId="25017"/>
    <tableColumn id="4111" xr3:uid="{4305F807-DE19-46F0-A115-BD0E55680BF4}" name="Column4097" dataDxfId="25016" totalsRowDxfId="25015"/>
    <tableColumn id="4112" xr3:uid="{C35ADFD1-4195-4C0A-B6B5-C4E225CC02B8}" name="Column4098" dataDxfId="25014" totalsRowDxfId="25013"/>
    <tableColumn id="4113" xr3:uid="{C494B748-602C-477F-9905-50E3BDEEE5AB}" name="Column4099" dataDxfId="25012" totalsRowDxfId="25011"/>
    <tableColumn id="4114" xr3:uid="{475B28B7-DBBA-481A-8FD0-5F4B91E12F43}" name="Column4100" dataDxfId="25010" totalsRowDxfId="25009"/>
    <tableColumn id="4115" xr3:uid="{F3618A4F-D577-4EB0-90D4-AC835D0C51EA}" name="Column4101" dataDxfId="25008" totalsRowDxfId="25007"/>
    <tableColumn id="4116" xr3:uid="{C97ADFAA-9099-4932-9EFD-0A49A135880B}" name="Column4102" dataDxfId="25006" totalsRowDxfId="25005"/>
    <tableColumn id="4117" xr3:uid="{E59B7455-9148-47AD-BF03-41C530CED62C}" name="Column4103" dataDxfId="25004" totalsRowDxfId="25003"/>
    <tableColumn id="4118" xr3:uid="{8BC62BEF-1C73-4168-BCD0-B1BA9DEC61BF}" name="Column4104" dataDxfId="25002" totalsRowDxfId="25001"/>
    <tableColumn id="4119" xr3:uid="{2BB6D12F-8EDB-4FC6-9B6D-05B90CD4BC8C}" name="Column4105" dataDxfId="25000" totalsRowDxfId="24999"/>
    <tableColumn id="4120" xr3:uid="{AA6B753E-568D-4340-91D2-19A6ED3DF934}" name="Column4106" dataDxfId="24998" totalsRowDxfId="24997"/>
    <tableColumn id="4121" xr3:uid="{50915A4C-454D-4BD9-90BE-BA22971B07C8}" name="Column4107" dataDxfId="24996" totalsRowDxfId="24995"/>
    <tableColumn id="4122" xr3:uid="{055F3559-1DBF-46AA-A6A2-2B07C34A4282}" name="Column4108" dataDxfId="24994" totalsRowDxfId="24993"/>
    <tableColumn id="4123" xr3:uid="{D16835FA-6256-4EA4-8BA7-A56B1374667F}" name="Column4109" dataDxfId="24992" totalsRowDxfId="24991"/>
    <tableColumn id="4124" xr3:uid="{8746831D-DCCA-4683-973D-92F7E86D03D8}" name="Column4110" dataDxfId="24990" totalsRowDxfId="24989"/>
    <tableColumn id="4125" xr3:uid="{4C3D0FA8-B2A1-429C-9D57-372B8A3A44B4}" name="Column4111" dataDxfId="24988" totalsRowDxfId="24987"/>
    <tableColumn id="4126" xr3:uid="{1B0D0BEB-E081-48BC-9568-D9485432A93B}" name="Column4112" dataDxfId="24986" totalsRowDxfId="24985"/>
    <tableColumn id="4127" xr3:uid="{8F47BB70-5765-4D05-A9B1-4202718132E6}" name="Column4113" dataDxfId="24984" totalsRowDxfId="24983"/>
    <tableColumn id="4128" xr3:uid="{65C93E62-4AAB-4B89-8868-1CDEF5130856}" name="Column4114" dataDxfId="24982" totalsRowDxfId="24981"/>
    <tableColumn id="4129" xr3:uid="{7A9D3FF4-5E3B-4422-A26A-D4C5812E006D}" name="Column4115" dataDxfId="24980" totalsRowDxfId="24979"/>
    <tableColumn id="4130" xr3:uid="{12EAD8B6-86F0-431A-A346-F3DAEA9EDED4}" name="Column4116" dataDxfId="24978" totalsRowDxfId="24977"/>
    <tableColumn id="4131" xr3:uid="{544CAF53-856E-48F3-9909-7B2FB4DB32C4}" name="Column4117" dataDxfId="24976" totalsRowDxfId="24975"/>
    <tableColumn id="4132" xr3:uid="{A361C145-641A-4685-B5C3-C6E6703E186F}" name="Column4118" dataDxfId="24974" totalsRowDxfId="24973"/>
    <tableColumn id="4133" xr3:uid="{B6416D4E-921A-4BA3-8785-9E8B07F88BBE}" name="Column4119" dataDxfId="24972" totalsRowDxfId="24971"/>
    <tableColumn id="4134" xr3:uid="{C8564FEF-DF3B-4DBD-8349-21F10DD2CAC9}" name="Column4120" dataDxfId="24970" totalsRowDxfId="24969"/>
    <tableColumn id="4135" xr3:uid="{FAADA39C-3C9D-4471-819B-16DBEE58BB8A}" name="Column4121" dataDxfId="24968" totalsRowDxfId="24967"/>
    <tableColumn id="4136" xr3:uid="{E64839CF-AE3A-4B06-BB83-35F5DEFDF422}" name="Column4122" dataDxfId="24966" totalsRowDxfId="24965"/>
    <tableColumn id="4137" xr3:uid="{8A95D108-271F-47B4-8565-42675F4A9E58}" name="Column4123" dataDxfId="24964" totalsRowDxfId="24963"/>
    <tableColumn id="4138" xr3:uid="{1C33B849-4EB7-47AF-8A39-92694E773E37}" name="Column4124" dataDxfId="24962" totalsRowDxfId="24961"/>
    <tableColumn id="4139" xr3:uid="{F99DEA9B-662D-4BF4-B76B-C44A2B83B7ED}" name="Column4125" dataDxfId="24960" totalsRowDxfId="24959"/>
    <tableColumn id="4140" xr3:uid="{EFBD3165-44F7-4AB0-BFB7-EE5A05C85CF6}" name="Column4126" dataDxfId="24958" totalsRowDxfId="24957"/>
    <tableColumn id="4141" xr3:uid="{C6751927-0A32-41A8-AC1A-F328E167F055}" name="Column4127" dataDxfId="24956" totalsRowDxfId="24955"/>
    <tableColumn id="4142" xr3:uid="{6B9401D1-6A80-4935-85BB-FED4BFA33BE5}" name="Column4128" dataDxfId="24954" totalsRowDxfId="24953"/>
    <tableColumn id="4143" xr3:uid="{F9DC1583-2F70-4FA6-83CC-1942F19A7985}" name="Column4129" dataDxfId="24952" totalsRowDxfId="24951"/>
    <tableColumn id="4144" xr3:uid="{4B56C1E3-1823-49EE-84BF-26A527E8F746}" name="Column4130" dataDxfId="24950" totalsRowDxfId="24949"/>
    <tableColumn id="4145" xr3:uid="{FB0DC60B-0698-400C-9B52-1699BC89AB2F}" name="Column4131" dataDxfId="24948" totalsRowDxfId="24947"/>
    <tableColumn id="4146" xr3:uid="{3762649E-FAC8-47BC-967A-EF831829CF30}" name="Column4132" dataDxfId="24946" totalsRowDxfId="24945"/>
    <tableColumn id="4147" xr3:uid="{A2557344-98F5-485B-A345-88A7D830D57D}" name="Column4133" dataDxfId="24944" totalsRowDxfId="24943"/>
    <tableColumn id="4148" xr3:uid="{0B9E7842-DB4C-478E-BC63-69E736E89E40}" name="Column4134" dataDxfId="24942" totalsRowDxfId="24941"/>
    <tableColumn id="4149" xr3:uid="{DF60A55A-57E6-42B4-8C63-BCEE48D1BFE9}" name="Column4135" dataDxfId="24940" totalsRowDxfId="24939"/>
    <tableColumn id="4150" xr3:uid="{C021DFE3-AAE1-4E77-8E34-4E7F0CB258FD}" name="Column4136" dataDxfId="24938" totalsRowDxfId="24937"/>
    <tableColumn id="4151" xr3:uid="{4AAFBAD7-8364-471F-B728-1CDAAF60A23E}" name="Column4137" dataDxfId="24936" totalsRowDxfId="24935"/>
    <tableColumn id="4152" xr3:uid="{0EA0D5D0-A86F-4597-9F76-EC8AD8BADBA4}" name="Column4138" dataDxfId="24934" totalsRowDxfId="24933"/>
    <tableColumn id="4153" xr3:uid="{71521B4B-FE9C-42DD-B7C7-3D93B2FBE6D4}" name="Column4139" dataDxfId="24932" totalsRowDxfId="24931"/>
    <tableColumn id="4154" xr3:uid="{87A04751-36D0-4B0A-942D-7853C08E472A}" name="Column4140" dataDxfId="24930" totalsRowDxfId="24929"/>
    <tableColumn id="4155" xr3:uid="{D412F4AE-2838-4EAF-BF89-3C15DD9D3522}" name="Column4141" dataDxfId="24928" totalsRowDxfId="24927"/>
    <tableColumn id="4156" xr3:uid="{AD534313-5485-4376-B13B-E984F2C24B99}" name="Column4142" dataDxfId="24926" totalsRowDxfId="24925"/>
    <tableColumn id="4157" xr3:uid="{D037871B-9BE7-4205-A8C9-EE9E7ED373A7}" name="Column4143" dataDxfId="24924" totalsRowDxfId="24923"/>
    <tableColumn id="4158" xr3:uid="{66FA27E9-C53F-40BB-991E-647DCA7619B7}" name="Column4144" dataDxfId="24922" totalsRowDxfId="24921"/>
    <tableColumn id="4159" xr3:uid="{C15F3980-8739-4EC1-97B7-00D12C60C587}" name="Column4145" dataDxfId="24920" totalsRowDxfId="24919"/>
    <tableColumn id="4160" xr3:uid="{9BEC682C-AAF3-4F42-B98B-7EC2D1BFC4CF}" name="Column4146" dataDxfId="24918" totalsRowDxfId="24917"/>
    <tableColumn id="4161" xr3:uid="{68F96856-DF55-4EB9-B239-1D83B3582545}" name="Column4147" dataDxfId="24916" totalsRowDxfId="24915"/>
    <tableColumn id="4162" xr3:uid="{108FE66E-7DBF-40B2-B103-D7A208BEACB5}" name="Column4148" dataDxfId="24914" totalsRowDxfId="24913"/>
    <tableColumn id="4163" xr3:uid="{328D6A03-2B47-4ED6-8F31-0EDF1E77BA43}" name="Column4149" dataDxfId="24912" totalsRowDxfId="24911"/>
    <tableColumn id="4164" xr3:uid="{E0B76C50-4D9D-487F-A429-DBDCC7CB84D6}" name="Column4150" dataDxfId="24910" totalsRowDxfId="24909"/>
    <tableColumn id="4165" xr3:uid="{88223F50-C7D4-4227-84F3-E9C068E7ECED}" name="Column4151" dataDxfId="24908" totalsRowDxfId="24907"/>
    <tableColumn id="4166" xr3:uid="{B943DE0B-8700-4E47-B5AE-784BDA39800F}" name="Column4152" dataDxfId="24906" totalsRowDxfId="24905"/>
    <tableColumn id="4167" xr3:uid="{AE6CE8A7-144F-4FA4-A365-9772C9E77E47}" name="Column4153" dataDxfId="24904" totalsRowDxfId="24903"/>
    <tableColumn id="4168" xr3:uid="{7BF33D40-540B-469D-850C-D14C2A102212}" name="Column4154" dataDxfId="24902" totalsRowDxfId="24901"/>
    <tableColumn id="4169" xr3:uid="{5719CCA2-A6B4-427F-A85D-DC8B6CC65D7A}" name="Column4155" dataDxfId="24900" totalsRowDxfId="24899"/>
    <tableColumn id="4170" xr3:uid="{A95B31BE-99C6-4FBC-BBA9-545584BDA8A1}" name="Column4156" dataDxfId="24898" totalsRowDxfId="24897"/>
    <tableColumn id="4171" xr3:uid="{9E185E7D-B705-4C4F-8894-4D3824CECCDB}" name="Column4157" dataDxfId="24896" totalsRowDxfId="24895"/>
    <tableColumn id="4172" xr3:uid="{2CD689FA-22F2-42CC-A253-61EF9142AA31}" name="Column4158" dataDxfId="24894" totalsRowDxfId="24893"/>
    <tableColumn id="4173" xr3:uid="{5C42E892-D340-4001-BF56-91C83F42E408}" name="Column4159" dataDxfId="24892" totalsRowDxfId="24891"/>
    <tableColumn id="4174" xr3:uid="{68317F82-775B-4562-A589-831D142B1144}" name="Column4160" dataDxfId="24890" totalsRowDxfId="24889"/>
    <tableColumn id="4175" xr3:uid="{08BEC126-F70F-48A7-BA00-6BE6AAA07BAC}" name="Column4161" dataDxfId="24888" totalsRowDxfId="24887"/>
    <tableColumn id="4176" xr3:uid="{3B5AECCC-0ED0-462F-A1B1-FFDFB50899C1}" name="Column4162" dataDxfId="24886" totalsRowDxfId="24885"/>
    <tableColumn id="4177" xr3:uid="{5A5589DE-2A38-490D-BE2D-0CE22D6ABD80}" name="Column4163" dataDxfId="24884" totalsRowDxfId="24883"/>
    <tableColumn id="4178" xr3:uid="{BF554299-1918-435D-83B5-53DAE854330F}" name="Column4164" dataDxfId="24882" totalsRowDxfId="24881"/>
    <tableColumn id="4179" xr3:uid="{78BB680E-574A-40D3-84B6-5C5DB637822F}" name="Column4165" dataDxfId="24880" totalsRowDxfId="24879"/>
    <tableColumn id="4180" xr3:uid="{D0A6BB69-5B52-403D-82FB-D6445F6BB4EB}" name="Column4166" dataDxfId="24878" totalsRowDxfId="24877"/>
    <tableColumn id="4181" xr3:uid="{6568D49E-E2DE-4DF1-AEDD-369BE4EA9306}" name="Column4167" dataDxfId="24876" totalsRowDxfId="24875"/>
    <tableColumn id="4182" xr3:uid="{737FCD45-5838-4756-960B-B143073D964C}" name="Column4168" dataDxfId="24874" totalsRowDxfId="24873"/>
    <tableColumn id="4183" xr3:uid="{89B8D946-5D88-4D9B-8694-F92AC636128B}" name="Column4169" dataDxfId="24872" totalsRowDxfId="24871"/>
    <tableColumn id="4184" xr3:uid="{C87C8A2A-B222-4C74-820D-604799616AFA}" name="Column4170" dataDxfId="24870" totalsRowDxfId="24869"/>
    <tableColumn id="4185" xr3:uid="{9726B258-3B16-435E-AE6C-03006CD67D05}" name="Column4171" dataDxfId="24868" totalsRowDxfId="24867"/>
    <tableColumn id="4186" xr3:uid="{650B85E8-3495-4E91-873D-DC5934AB7A46}" name="Column4172" dataDxfId="24866" totalsRowDxfId="24865"/>
    <tableColumn id="4187" xr3:uid="{E4590169-36CF-415D-8268-DBEE42ED8988}" name="Column4173" dataDxfId="24864" totalsRowDxfId="24863"/>
    <tableColumn id="4188" xr3:uid="{A5B6635B-835F-41A4-9EE8-9B32722E90A3}" name="Column4174" dataDxfId="24862" totalsRowDxfId="24861"/>
    <tableColumn id="4189" xr3:uid="{A377D3F7-C436-4A34-8BBD-27D25EBE98FD}" name="Column4175" dataDxfId="24860" totalsRowDxfId="24859"/>
    <tableColumn id="4190" xr3:uid="{D9D59FB4-2ECE-49FB-9258-C1654BCB640E}" name="Column4176" dataDxfId="24858" totalsRowDxfId="24857"/>
    <tableColumn id="4191" xr3:uid="{42C98580-0683-4A7B-8129-79A9CFDE28D4}" name="Column4177" dataDxfId="24856" totalsRowDxfId="24855"/>
    <tableColumn id="4192" xr3:uid="{2B8D4057-464C-4CB4-BA80-A7F3B6ADD65C}" name="Column4178" dataDxfId="24854" totalsRowDxfId="24853"/>
    <tableColumn id="4193" xr3:uid="{CD50047F-AEC3-4C0E-BFA5-95F16D3BEE94}" name="Column4179" dataDxfId="24852" totalsRowDxfId="24851"/>
    <tableColumn id="4194" xr3:uid="{26E5F10E-AB08-4FEF-867D-EF18A581B42E}" name="Column4180" dataDxfId="24850" totalsRowDxfId="24849"/>
    <tableColumn id="4195" xr3:uid="{48D73C15-A799-434E-8190-E0C59C8BB23F}" name="Column4181" dataDxfId="24848" totalsRowDxfId="24847"/>
    <tableColumn id="4196" xr3:uid="{665623B0-A726-4F67-A8AF-A463A474ED12}" name="Column4182" dataDxfId="24846" totalsRowDxfId="24845"/>
    <tableColumn id="4197" xr3:uid="{5BC1D362-9223-4B09-AB11-E057DCEF08EA}" name="Column4183" dataDxfId="24844" totalsRowDxfId="24843"/>
    <tableColumn id="4198" xr3:uid="{BBA40985-1D34-4F78-B90E-1F779189CE80}" name="Column4184" dataDxfId="24842" totalsRowDxfId="24841"/>
    <tableColumn id="4199" xr3:uid="{EBAFACD8-BAFD-4FE0-BB57-80CDCB2F8718}" name="Column4185" dataDxfId="24840" totalsRowDxfId="24839"/>
    <tableColumn id="4200" xr3:uid="{5FB7554D-FC5E-4ED8-A980-B10186A3E733}" name="Column4186" dataDxfId="24838" totalsRowDxfId="24837"/>
    <tableColumn id="4201" xr3:uid="{F106A042-B46C-43F1-A6FE-E2A2241AD9CA}" name="Column4187" dataDxfId="24836" totalsRowDxfId="24835"/>
    <tableColumn id="4202" xr3:uid="{590609D8-C1FB-4B0D-A806-4331C44B5402}" name="Column4188" dataDxfId="24834" totalsRowDxfId="24833"/>
    <tableColumn id="4203" xr3:uid="{78BAE602-355A-4443-9052-25CFA9CD97C6}" name="Column4189" dataDxfId="24832" totalsRowDxfId="24831"/>
    <tableColumn id="4204" xr3:uid="{B7EFC7FF-29A0-4982-9219-4536DDFC97BD}" name="Column4190" dataDxfId="24830" totalsRowDxfId="24829"/>
    <tableColumn id="4205" xr3:uid="{06D7BAC8-141D-4A43-93E5-AB9F7B64ADEA}" name="Column4191" dataDxfId="24828" totalsRowDxfId="24827"/>
    <tableColumn id="4206" xr3:uid="{B8DEBF37-1B62-4C32-A322-ED220487597D}" name="Column4192" dataDxfId="24826" totalsRowDxfId="24825"/>
    <tableColumn id="4207" xr3:uid="{8B6122F1-7013-4ED6-924C-F44DB4261CF9}" name="Column4193" dataDxfId="24824" totalsRowDxfId="24823"/>
    <tableColumn id="4208" xr3:uid="{98F534B7-EFD1-4888-9EA7-CAD753504A28}" name="Column4194" dataDxfId="24822" totalsRowDxfId="24821"/>
    <tableColumn id="4209" xr3:uid="{DEEB0E7C-2B20-4596-90D7-C79F446F2FDA}" name="Column4195" dataDxfId="24820" totalsRowDxfId="24819"/>
    <tableColumn id="4210" xr3:uid="{1361DAC1-1020-4075-AA43-D8CDD2523D3F}" name="Column4196" dataDxfId="24818" totalsRowDxfId="24817"/>
    <tableColumn id="4211" xr3:uid="{78D8685B-BFA1-4159-AB93-36D6A4D802A4}" name="Column4197" dataDxfId="24816" totalsRowDxfId="24815"/>
    <tableColumn id="4212" xr3:uid="{735052A9-5BD7-4607-87CD-E06967B362DC}" name="Column4198" dataDxfId="24814" totalsRowDxfId="24813"/>
    <tableColumn id="4213" xr3:uid="{0DA3E770-D4E7-45A4-9CA6-EAD0D7CA50AE}" name="Column4199" dataDxfId="24812" totalsRowDxfId="24811"/>
    <tableColumn id="4214" xr3:uid="{EE05BC71-972B-4530-A6BE-324907962633}" name="Column4200" dataDxfId="24810" totalsRowDxfId="24809"/>
    <tableColumn id="4215" xr3:uid="{4D076B40-E1D9-4AD8-80FB-46C1221F0981}" name="Column4201" dataDxfId="24808" totalsRowDxfId="24807"/>
    <tableColumn id="4216" xr3:uid="{1B7F4D5B-C2B3-42E8-8A92-B55324E3680F}" name="Column4202" dataDxfId="24806" totalsRowDxfId="24805"/>
    <tableColumn id="4217" xr3:uid="{7F0C1CFC-CE28-4B73-8518-3D76D54C23BF}" name="Column4203" dataDxfId="24804" totalsRowDxfId="24803"/>
    <tableColumn id="4218" xr3:uid="{C81F4410-89AB-471D-B363-97598E72CD53}" name="Column4204" dataDxfId="24802" totalsRowDxfId="24801"/>
    <tableColumn id="4219" xr3:uid="{780B059A-CC88-4389-8E81-0C69A4DB946D}" name="Column4205" dataDxfId="24800" totalsRowDxfId="24799"/>
    <tableColumn id="4220" xr3:uid="{0FE9BBF8-ECD3-4CDF-8D7E-0BC51DCCFA21}" name="Column4206" dataDxfId="24798" totalsRowDxfId="24797"/>
    <tableColumn id="4221" xr3:uid="{A891F396-9BC1-4F6B-BB32-C61928BCE68F}" name="Column4207" dataDxfId="24796" totalsRowDxfId="24795"/>
    <tableColumn id="4222" xr3:uid="{EBC78762-6B03-4FB5-8CF0-876F477B9640}" name="Column4208" dataDxfId="24794" totalsRowDxfId="24793"/>
    <tableColumn id="4223" xr3:uid="{1722F057-DE80-459E-B474-ED94ACA40661}" name="Column4209" dataDxfId="24792" totalsRowDxfId="24791"/>
    <tableColumn id="4224" xr3:uid="{7CFBCA0D-97D6-444D-894F-3E577A02856A}" name="Column4210" dataDxfId="24790" totalsRowDxfId="24789"/>
    <tableColumn id="4225" xr3:uid="{E32ABC6E-2A27-4011-9814-E83D375FB8A2}" name="Column4211" dataDxfId="24788" totalsRowDxfId="24787"/>
    <tableColumn id="4226" xr3:uid="{020A0288-9EDA-4343-836D-3DAFBAC14A60}" name="Column4212" dataDxfId="24786" totalsRowDxfId="24785"/>
    <tableColumn id="4227" xr3:uid="{D46F7E41-CD59-4586-88EF-458BD40826D3}" name="Column4213" dataDxfId="24784" totalsRowDxfId="24783"/>
    <tableColumn id="4228" xr3:uid="{3B0F70AE-5759-408D-AF11-9FF3B694297F}" name="Column4214" dataDxfId="24782" totalsRowDxfId="24781"/>
    <tableColumn id="4229" xr3:uid="{936E40C5-61EB-43B1-8C98-C81EC7E95A8A}" name="Column4215" dataDxfId="24780" totalsRowDxfId="24779"/>
    <tableColumn id="4230" xr3:uid="{F1F31196-395F-4C9D-91E9-1FB11A1E54FA}" name="Column4216" dataDxfId="24778" totalsRowDxfId="24777"/>
    <tableColumn id="4231" xr3:uid="{D256D9C9-2020-4D7E-997A-B5C22D6158F6}" name="Column4217" dataDxfId="24776" totalsRowDxfId="24775"/>
    <tableColumn id="4232" xr3:uid="{0CAD8EBD-BEF7-4DDC-85F8-00C8A192C5A3}" name="Column4218" dataDxfId="24774" totalsRowDxfId="24773"/>
    <tableColumn id="4233" xr3:uid="{9FEB740B-39EB-4852-B657-55547AF2BDEE}" name="Column4219" dataDxfId="24772" totalsRowDxfId="24771"/>
    <tableColumn id="4234" xr3:uid="{AD8BF24B-5FA6-4C7D-84F2-CB8CFD80D268}" name="Column4220" dataDxfId="24770" totalsRowDxfId="24769"/>
    <tableColumn id="4235" xr3:uid="{44AF79EB-4F32-49EC-81B1-6EADA043E721}" name="Column4221" dataDxfId="24768" totalsRowDxfId="24767"/>
    <tableColumn id="4236" xr3:uid="{73AE4358-9B4E-4BC6-A7D9-76DF772C1884}" name="Column4222" dataDxfId="24766" totalsRowDxfId="24765"/>
    <tableColumn id="4237" xr3:uid="{D3653CDD-E201-4B3C-A3EC-AC2F75D284D1}" name="Column4223" dataDxfId="24764" totalsRowDxfId="24763"/>
    <tableColumn id="4238" xr3:uid="{37D7FFCC-8884-45C6-A772-6A11B5582DFC}" name="Column4224" dataDxfId="24762" totalsRowDxfId="24761"/>
    <tableColumn id="4239" xr3:uid="{718118FF-EB8B-4C4E-B9C9-EF505EB0C94A}" name="Column4225" dataDxfId="24760" totalsRowDxfId="24759"/>
    <tableColumn id="4240" xr3:uid="{85A8E2C1-E1B4-49E1-9AAC-817B843149C3}" name="Column4226" dataDxfId="24758" totalsRowDxfId="24757"/>
    <tableColumn id="4241" xr3:uid="{2D8CFA49-6FF8-4E5B-8B26-84BB2E2ABF1A}" name="Column4227" dataDxfId="24756" totalsRowDxfId="24755"/>
    <tableColumn id="4242" xr3:uid="{607DC9C7-BDF0-463C-BEF2-DEF2B485EAE2}" name="Column4228" dataDxfId="24754" totalsRowDxfId="24753"/>
    <tableColumn id="4243" xr3:uid="{322CB833-8E5A-4F99-95CE-04E0575F8D7D}" name="Column4229" dataDxfId="24752" totalsRowDxfId="24751"/>
    <tableColumn id="4244" xr3:uid="{832A17FE-7CF8-4E95-AA6C-122DF034C4EC}" name="Column4230" dataDxfId="24750" totalsRowDxfId="24749"/>
    <tableColumn id="4245" xr3:uid="{37A4EF29-4C65-4138-9736-3863C2B6162D}" name="Column4231" dataDxfId="24748" totalsRowDxfId="24747"/>
    <tableColumn id="4246" xr3:uid="{2315085C-7362-4EC6-8AD4-48505311A7C3}" name="Column4232" dataDxfId="24746" totalsRowDxfId="24745"/>
    <tableColumn id="4247" xr3:uid="{A45ACE1B-4C71-4C87-BDB8-DE1349B5B7F9}" name="Column4233" dataDxfId="24744" totalsRowDxfId="24743"/>
    <tableColumn id="4248" xr3:uid="{BC1DD8CF-B4A7-4F42-954E-B206A1C08658}" name="Column4234" dataDxfId="24742" totalsRowDxfId="24741"/>
    <tableColumn id="4249" xr3:uid="{33D08A32-D6F2-494B-8463-F70693AF0426}" name="Column4235" dataDxfId="24740" totalsRowDxfId="24739"/>
    <tableColumn id="4250" xr3:uid="{DB8D7C9B-C397-44CC-8EB0-9995B1D6B230}" name="Column4236" dataDxfId="24738" totalsRowDxfId="24737"/>
    <tableColumn id="4251" xr3:uid="{A8D546FC-9CC2-453C-AABD-4913BA36BF3D}" name="Column4237" dataDxfId="24736" totalsRowDxfId="24735"/>
    <tableColumn id="4252" xr3:uid="{11CE071A-BFC7-462B-BAA2-0810916DD6B6}" name="Column4238" dataDxfId="24734" totalsRowDxfId="24733"/>
    <tableColumn id="4253" xr3:uid="{29032D6C-8A1B-4285-B542-1600D5EA2682}" name="Column4239" dataDxfId="24732" totalsRowDxfId="24731"/>
    <tableColumn id="4254" xr3:uid="{23B25616-1B9E-44FC-8C9D-237D90D1B98D}" name="Column4240" dataDxfId="24730" totalsRowDxfId="24729"/>
    <tableColumn id="4255" xr3:uid="{BA69882D-9CFD-49A0-B65D-9586125B7695}" name="Column4241" dataDxfId="24728" totalsRowDxfId="24727"/>
    <tableColumn id="4256" xr3:uid="{6073FC8A-6D85-46FA-8C89-0092AB83F7CF}" name="Column4242" dataDxfId="24726" totalsRowDxfId="24725"/>
    <tableColumn id="4257" xr3:uid="{BB05F57D-65E1-454B-A5A9-6E75C23BC430}" name="Column4243" dataDxfId="24724" totalsRowDxfId="24723"/>
    <tableColumn id="4258" xr3:uid="{406626D8-4C75-438D-A516-76C6B694ECD2}" name="Column4244" dataDxfId="24722" totalsRowDxfId="24721"/>
    <tableColumn id="4259" xr3:uid="{15146667-ADA1-45F6-A2EE-1CFA53134592}" name="Column4245" dataDxfId="24720" totalsRowDxfId="24719"/>
    <tableColumn id="4260" xr3:uid="{EFD5E859-1378-40F7-B7AA-C65F9926D5E7}" name="Column4246" dataDxfId="24718" totalsRowDxfId="24717"/>
    <tableColumn id="4261" xr3:uid="{C719449F-803B-4DC2-B3C7-33783721954B}" name="Column4247" dataDxfId="24716" totalsRowDxfId="24715"/>
    <tableColumn id="4262" xr3:uid="{BEBBA534-A338-4949-927C-276B94329371}" name="Column4248" dataDxfId="24714" totalsRowDxfId="24713"/>
    <tableColumn id="4263" xr3:uid="{CE27ACEC-BC25-4B4A-8320-56AB0D0B42DC}" name="Column4249" dataDxfId="24712" totalsRowDxfId="24711"/>
    <tableColumn id="4264" xr3:uid="{C78FA2C2-0776-411A-896B-3F15837C03B3}" name="Column4250" dataDxfId="24710" totalsRowDxfId="24709"/>
    <tableColumn id="4265" xr3:uid="{275D4773-70FB-44CF-BCFF-F7D8E8F23093}" name="Column4251" dataDxfId="24708" totalsRowDxfId="24707"/>
    <tableColumn id="4266" xr3:uid="{38FC216A-64EF-4860-B1DB-0EE74DDBB73D}" name="Column4252" dataDxfId="24706" totalsRowDxfId="24705"/>
    <tableColumn id="4267" xr3:uid="{66CE0BD4-AC2C-467D-BBAA-4FF41D6C1B38}" name="Column4253" dataDxfId="24704" totalsRowDxfId="24703"/>
    <tableColumn id="4268" xr3:uid="{78439AF6-B0F0-4A2A-BF37-792CC555DE99}" name="Column4254" dataDxfId="24702" totalsRowDxfId="24701"/>
    <tableColumn id="4269" xr3:uid="{DA1A4B8E-2ED5-4637-9899-9E6BD026F91B}" name="Column4255" dataDxfId="24700" totalsRowDxfId="24699"/>
    <tableColumn id="4270" xr3:uid="{E9BD673F-DFAE-4336-97CF-A196250B2587}" name="Column4256" dataDxfId="24698" totalsRowDxfId="24697"/>
    <tableColumn id="4271" xr3:uid="{4A82C0A0-74C3-48A5-853F-9FE9841E0132}" name="Column4257" dataDxfId="24696" totalsRowDxfId="24695"/>
    <tableColumn id="4272" xr3:uid="{AC4EEB76-0FA2-43C1-ADEA-35550F9EAC3C}" name="Column4258" dataDxfId="24694" totalsRowDxfId="24693"/>
    <tableColumn id="4273" xr3:uid="{EDD1E30D-A585-4107-8E24-1A35FAF85E86}" name="Column4259" dataDxfId="24692" totalsRowDxfId="24691"/>
    <tableColumn id="4274" xr3:uid="{E643D10F-C582-4976-B70D-550843F4F103}" name="Column4260" dataDxfId="24690" totalsRowDxfId="24689"/>
    <tableColumn id="4275" xr3:uid="{ECDF65D4-EEA6-41F5-A30C-F35297258717}" name="Column4261" dataDxfId="24688" totalsRowDxfId="24687"/>
    <tableColumn id="4276" xr3:uid="{DA6D4BEE-4143-41DF-9FD9-1ED8962AC137}" name="Column4262" dataDxfId="24686" totalsRowDxfId="24685"/>
    <tableColumn id="4277" xr3:uid="{7DE4460B-5C3E-4828-8576-AB9E6526E356}" name="Column4263" dataDxfId="24684" totalsRowDxfId="24683"/>
    <tableColumn id="4278" xr3:uid="{79C24BA6-D6F0-4FAC-B51D-93F1C5352788}" name="Column4264" dataDxfId="24682" totalsRowDxfId="24681"/>
    <tableColumn id="4279" xr3:uid="{6E94416B-ABC9-4C90-876C-F66DB72DDB7E}" name="Column4265" dataDxfId="24680" totalsRowDxfId="24679"/>
    <tableColumn id="4280" xr3:uid="{29C9D6CE-F20E-4F57-95D0-8FEC315F0DD1}" name="Column4266" dataDxfId="24678" totalsRowDxfId="24677"/>
    <tableColumn id="4281" xr3:uid="{DBAF0651-08D7-474C-B2E7-E0A2A16A530E}" name="Column4267" dataDxfId="24676" totalsRowDxfId="24675"/>
    <tableColumn id="4282" xr3:uid="{FA3487F1-1986-49CE-8B34-FF17D66B2512}" name="Column4268" dataDxfId="24674" totalsRowDxfId="24673"/>
    <tableColumn id="4283" xr3:uid="{4D551FF9-9E97-41C7-B014-950D35462ACB}" name="Column4269" dataDxfId="24672" totalsRowDxfId="24671"/>
    <tableColumn id="4284" xr3:uid="{9D8D4F02-97AF-424C-9F55-FF072A25B0B0}" name="Column4270" dataDxfId="24670" totalsRowDxfId="24669"/>
    <tableColumn id="4285" xr3:uid="{990AF986-FBF7-4078-84E8-798489EB03F8}" name="Column4271" dataDxfId="24668" totalsRowDxfId="24667"/>
    <tableColumn id="4286" xr3:uid="{2F7AC333-AC25-4416-A39A-FB838AD6213B}" name="Column4272" dataDxfId="24666" totalsRowDxfId="24665"/>
    <tableColumn id="4287" xr3:uid="{655239EB-9749-4715-B47A-5C3C505A86A0}" name="Column4273" dataDxfId="24664" totalsRowDxfId="24663"/>
    <tableColumn id="4288" xr3:uid="{7D5F5FEE-E06D-41FC-ADC8-BB1F864F1187}" name="Column4274" dataDxfId="24662" totalsRowDxfId="24661"/>
    <tableColumn id="4289" xr3:uid="{38473822-B46D-404C-AD6E-43CDEECD53AD}" name="Column4275" dataDxfId="24660" totalsRowDxfId="24659"/>
    <tableColumn id="4290" xr3:uid="{47A0C0C0-93C2-4748-BD74-2FA79D9CF62D}" name="Column4276" dataDxfId="24658" totalsRowDxfId="24657"/>
    <tableColumn id="4291" xr3:uid="{2C1F8828-6983-4126-9354-4E91AB884D45}" name="Column4277" dataDxfId="24656" totalsRowDxfId="24655"/>
    <tableColumn id="4292" xr3:uid="{F046999B-4C19-4272-910B-06BBCBECA53F}" name="Column4278" dataDxfId="24654" totalsRowDxfId="24653"/>
    <tableColumn id="4293" xr3:uid="{862DC27F-0935-4CF9-AE87-E9048E7E39AE}" name="Column4279" dataDxfId="24652" totalsRowDxfId="24651"/>
    <tableColumn id="4294" xr3:uid="{CC765E13-7C1A-4445-BD98-83912795FB00}" name="Column4280" dataDxfId="24650" totalsRowDxfId="24649"/>
    <tableColumn id="4295" xr3:uid="{DCC70901-84CA-4282-BB36-F609853E5530}" name="Column4281" dataDxfId="24648" totalsRowDxfId="24647"/>
    <tableColumn id="4296" xr3:uid="{8B14FD1B-6D2E-41CA-BF7F-8F48025828EC}" name="Column4282" dataDxfId="24646" totalsRowDxfId="24645"/>
    <tableColumn id="4297" xr3:uid="{BC5B3198-3CF6-464F-A5FB-D6C1630A1B3F}" name="Column4283" dataDxfId="24644" totalsRowDxfId="24643"/>
    <tableColumn id="4298" xr3:uid="{F631390A-C5F1-460A-9AEC-9AA02DEAE41D}" name="Column4284" dataDxfId="24642" totalsRowDxfId="24641"/>
    <tableColumn id="4299" xr3:uid="{CE923F73-F548-41FA-AF6F-045964803CAD}" name="Column4285" dataDxfId="24640" totalsRowDxfId="24639"/>
    <tableColumn id="4300" xr3:uid="{4753EAC7-6F2B-4F56-9F02-F1C89D957950}" name="Column4286" dataDxfId="24638" totalsRowDxfId="24637"/>
    <tableColumn id="4301" xr3:uid="{3E25AE3D-8F1F-4D6D-AC83-07709F8C0BBA}" name="Column4287" dataDxfId="24636" totalsRowDxfId="24635"/>
    <tableColumn id="4302" xr3:uid="{14F5E727-0F99-4C94-88B4-EDB3D04C2858}" name="Column4288" dataDxfId="24634" totalsRowDxfId="24633"/>
    <tableColumn id="4303" xr3:uid="{28EFEC64-2374-4D8E-B0EE-506C8E2645B7}" name="Column4289" dataDxfId="24632" totalsRowDxfId="24631"/>
    <tableColumn id="4304" xr3:uid="{BBD0719B-3067-4B61-AEE4-C809CE4323DA}" name="Column4290" dataDxfId="24630" totalsRowDxfId="24629"/>
    <tableColumn id="4305" xr3:uid="{1DFE862F-87FF-4EB7-AC65-2DFE84693DE9}" name="Column4291" dataDxfId="24628" totalsRowDxfId="24627"/>
    <tableColumn id="4306" xr3:uid="{31F7F0C5-F1E8-4C4F-8A02-6142D2915741}" name="Column4292" dataDxfId="24626" totalsRowDxfId="24625"/>
    <tableColumn id="4307" xr3:uid="{1F31660B-1306-4254-81D9-B2ED45A6CD16}" name="Column4293" dataDxfId="24624" totalsRowDxfId="24623"/>
    <tableColumn id="4308" xr3:uid="{995A5A26-9A3D-4101-A21E-62DC387A671C}" name="Column4294" dataDxfId="24622" totalsRowDxfId="24621"/>
    <tableColumn id="4309" xr3:uid="{A2E52E07-B604-41F2-B601-74F9BA2BD129}" name="Column4295" dataDxfId="24620" totalsRowDxfId="24619"/>
    <tableColumn id="4310" xr3:uid="{AC027AB1-E56C-4552-B2D1-F0EDB12FEE14}" name="Column4296" dataDxfId="24618" totalsRowDxfId="24617"/>
    <tableColumn id="4311" xr3:uid="{61D20979-B88C-4D24-8E9D-447A0DA3DDCD}" name="Column4297" dataDxfId="24616" totalsRowDxfId="24615"/>
    <tableColumn id="4312" xr3:uid="{16651AE2-8989-4BCF-A392-3BD4271050A6}" name="Column4298" dataDxfId="24614" totalsRowDxfId="24613"/>
    <tableColumn id="4313" xr3:uid="{984B93B5-7DE8-4282-8F0E-A0704BB1CBCA}" name="Column4299" dataDxfId="24612" totalsRowDxfId="24611"/>
    <tableColumn id="4314" xr3:uid="{7A85BCD5-8D6E-428E-B0F0-ED9BE369FA92}" name="Column4300" dataDxfId="24610" totalsRowDxfId="24609"/>
    <tableColumn id="4315" xr3:uid="{E7D8FB88-DBC0-4B99-A60D-1FE90D046BE8}" name="Column4301" dataDxfId="24608" totalsRowDxfId="24607"/>
    <tableColumn id="4316" xr3:uid="{0E1D2A06-76D7-427F-9005-856BCABEDD88}" name="Column4302" dataDxfId="24606" totalsRowDxfId="24605"/>
    <tableColumn id="4317" xr3:uid="{6E2675EF-1FA5-402B-8E4B-0C2EB3CD20F8}" name="Column4303" dataDxfId="24604" totalsRowDxfId="24603"/>
    <tableColumn id="4318" xr3:uid="{1929A323-5396-4236-A464-798BEB6B7930}" name="Column4304" dataDxfId="24602" totalsRowDxfId="24601"/>
    <tableColumn id="4319" xr3:uid="{199F1059-BC3B-4682-820A-FAFF30CEB11B}" name="Column4305" dataDxfId="24600" totalsRowDxfId="24599"/>
    <tableColumn id="4320" xr3:uid="{A0F2344C-9F2B-429F-8459-566DFDC3241C}" name="Column4306" dataDxfId="24598" totalsRowDxfId="24597"/>
    <tableColumn id="4321" xr3:uid="{3F25A4F9-3887-45AE-838A-20FAB05B1C48}" name="Column4307" dataDxfId="24596" totalsRowDxfId="24595"/>
    <tableColumn id="4322" xr3:uid="{45B4DFBD-9929-45C6-B883-1866783CE5F8}" name="Column4308" dataDxfId="24594" totalsRowDxfId="24593"/>
    <tableColumn id="4323" xr3:uid="{461B38F9-E90F-497A-B686-5C8C2BD4BE6D}" name="Column4309" dataDxfId="24592" totalsRowDxfId="24591"/>
    <tableColumn id="4324" xr3:uid="{0C82BD49-5722-4868-8F9D-B225F671D7DB}" name="Column4310" dataDxfId="24590" totalsRowDxfId="24589"/>
    <tableColumn id="4325" xr3:uid="{93180646-02A6-4826-B63C-A9D29BC11E19}" name="Column4311" dataDxfId="24588" totalsRowDxfId="24587"/>
    <tableColumn id="4326" xr3:uid="{6C40D007-08A5-4648-8922-4115E06D1E2B}" name="Column4312" dataDxfId="24586" totalsRowDxfId="24585"/>
    <tableColumn id="4327" xr3:uid="{7C19711A-8CF3-45F1-8865-8F3C50D136D1}" name="Column4313" dataDxfId="24584" totalsRowDxfId="24583"/>
    <tableColumn id="4328" xr3:uid="{A65C1C6F-C544-4433-ACFF-6DE7339858DA}" name="Column4314" dataDxfId="24582" totalsRowDxfId="24581"/>
    <tableColumn id="4329" xr3:uid="{CA25C53D-205B-4EF3-82DA-04BFFC1A6C62}" name="Column4315" dataDxfId="24580" totalsRowDxfId="24579"/>
    <tableColumn id="4330" xr3:uid="{00B8DA38-CE55-424E-922E-3B0DF1C6CCCE}" name="Column4316" dataDxfId="24578" totalsRowDxfId="24577"/>
    <tableColumn id="4331" xr3:uid="{93394F8A-131C-4BA9-ACF3-2C529F5A712D}" name="Column4317" dataDxfId="24576" totalsRowDxfId="24575"/>
    <tableColumn id="4332" xr3:uid="{5E680CCE-48D8-46A3-A5F8-A91E28AD458C}" name="Column4318" dataDxfId="24574" totalsRowDxfId="24573"/>
    <tableColumn id="4333" xr3:uid="{B8129056-CAA8-4C07-BE25-9A340AC7A340}" name="Column4319" dataDxfId="24572" totalsRowDxfId="24571"/>
    <tableColumn id="4334" xr3:uid="{3FDAD976-A72A-4EB9-9C1E-9326EAFAF9F3}" name="Column4320" dataDxfId="24570" totalsRowDxfId="24569"/>
    <tableColumn id="4335" xr3:uid="{06ABAD52-F376-4DCC-A92A-B557BD26EDEA}" name="Column4321" dataDxfId="24568" totalsRowDxfId="24567"/>
    <tableColumn id="4336" xr3:uid="{21296D71-2262-489E-9DB9-3BCE3BA6FCCC}" name="Column4322" dataDxfId="24566" totalsRowDxfId="24565"/>
    <tableColumn id="4337" xr3:uid="{46A5C99A-9CCC-419D-99DD-2036BE14ADED}" name="Column4323" dataDxfId="24564" totalsRowDxfId="24563"/>
    <tableColumn id="4338" xr3:uid="{5F0146F0-F000-400E-9210-BEEE3DD82148}" name="Column4324" dataDxfId="24562" totalsRowDxfId="24561"/>
    <tableColumn id="4339" xr3:uid="{F49B83D6-8E83-4BFC-A463-433888A44C8E}" name="Column4325" dataDxfId="24560" totalsRowDxfId="24559"/>
    <tableColumn id="4340" xr3:uid="{1D916E0A-980E-4FEB-98B6-6F282AF22F6C}" name="Column4326" dataDxfId="24558" totalsRowDxfId="24557"/>
    <tableColumn id="4341" xr3:uid="{7D08940C-3CFB-4203-A584-BE38E3A62C40}" name="Column4327" dataDxfId="24556" totalsRowDxfId="24555"/>
    <tableColumn id="4342" xr3:uid="{564CE83C-9278-4DB1-AF25-F800AE098404}" name="Column4328" dataDxfId="24554" totalsRowDxfId="24553"/>
    <tableColumn id="4343" xr3:uid="{DCAAB2F5-0EE4-4437-A0BE-A31EFBEAEEFF}" name="Column4329" dataDxfId="24552" totalsRowDxfId="24551"/>
    <tableColumn id="4344" xr3:uid="{50A6DB8D-AC4B-4034-A805-F53410F5E977}" name="Column4330" dataDxfId="24550" totalsRowDxfId="24549"/>
    <tableColumn id="4345" xr3:uid="{C776BF28-9FC2-4CAB-B486-9D43CE12CC89}" name="Column4331" dataDxfId="24548" totalsRowDxfId="24547"/>
    <tableColumn id="4346" xr3:uid="{C9B5BD29-4D26-4718-82A9-3315A28E13E2}" name="Column4332" dataDxfId="24546" totalsRowDxfId="24545"/>
    <tableColumn id="4347" xr3:uid="{BA98A679-1C8C-48E6-9D73-9D3660699431}" name="Column4333" dataDxfId="24544" totalsRowDxfId="24543"/>
    <tableColumn id="4348" xr3:uid="{E80C20BF-77FA-4FD4-92D1-B62D0E68A646}" name="Column4334" dataDxfId="24542" totalsRowDxfId="24541"/>
    <tableColumn id="4349" xr3:uid="{F4E66F0A-C19D-4AE8-9DBF-0514D9A8E64C}" name="Column4335" dataDxfId="24540" totalsRowDxfId="24539"/>
    <tableColumn id="4350" xr3:uid="{D7BB60AC-60D9-4631-8E69-EC117BC80872}" name="Column4336" dataDxfId="24538" totalsRowDxfId="24537"/>
    <tableColumn id="4351" xr3:uid="{8FCC581B-9C12-48DC-9A10-23A7703ED400}" name="Column4337" dataDxfId="24536" totalsRowDxfId="24535"/>
    <tableColumn id="4352" xr3:uid="{42F70088-8FB1-4087-A809-3B5C19F168FC}" name="Column4338" dataDxfId="24534" totalsRowDxfId="24533"/>
    <tableColumn id="4353" xr3:uid="{9ECAC5E0-84EF-4C76-BD8A-81353213C7CE}" name="Column4339" dataDxfId="24532" totalsRowDxfId="24531"/>
    <tableColumn id="4354" xr3:uid="{EC0112EE-1B5D-4E90-8876-DAF5BA0AE5D6}" name="Column4340" dataDxfId="24530" totalsRowDxfId="24529"/>
    <tableColumn id="4355" xr3:uid="{00BD6536-D3F6-425A-934D-47B50871412E}" name="Column4341" dataDxfId="24528" totalsRowDxfId="24527"/>
    <tableColumn id="4356" xr3:uid="{3C4C36C9-666A-4110-AEF2-78BFBE4B37D4}" name="Column4342" dataDxfId="24526" totalsRowDxfId="24525"/>
    <tableColumn id="4357" xr3:uid="{BC58F2BF-6F73-47A7-84F5-0E9A8EE1E0A4}" name="Column4343" dataDxfId="24524" totalsRowDxfId="24523"/>
    <tableColumn id="4358" xr3:uid="{37A112F3-F03B-4687-B3E2-58FF3C0AE2B8}" name="Column4344" dataDxfId="24522" totalsRowDxfId="24521"/>
    <tableColumn id="4359" xr3:uid="{75DB14CC-088E-4092-8565-8EF8311327C7}" name="Column4345" dataDxfId="24520" totalsRowDxfId="24519"/>
    <tableColumn id="4360" xr3:uid="{4CFE9CBD-7392-4FA3-B5F8-43B7C6915761}" name="Column4346" dataDxfId="24518" totalsRowDxfId="24517"/>
    <tableColumn id="4361" xr3:uid="{2129FF1E-9640-4926-B8A8-80A8C45CBA13}" name="Column4347" dataDxfId="24516" totalsRowDxfId="24515"/>
    <tableColumn id="4362" xr3:uid="{BF128E1C-7CAF-4A2C-AC0E-438A9DACD949}" name="Column4348" dataDxfId="24514" totalsRowDxfId="24513"/>
    <tableColumn id="4363" xr3:uid="{69CEC2D0-A800-4BB9-8A29-BE3EFD9DE3E9}" name="Column4349" dataDxfId="24512" totalsRowDxfId="24511"/>
    <tableColumn id="4364" xr3:uid="{C9A2E723-A82C-46E2-9B28-ACA7898A10B0}" name="Column4350" dataDxfId="24510" totalsRowDxfId="24509"/>
    <tableColumn id="4365" xr3:uid="{1D26A64D-A1F5-4FC2-9F8B-BCE99ECBB263}" name="Column4351" dataDxfId="24508" totalsRowDxfId="24507"/>
    <tableColumn id="4366" xr3:uid="{F7A97EED-C4C2-41F0-8D2A-E12B863BEF63}" name="Column4352" dataDxfId="24506" totalsRowDxfId="24505"/>
    <tableColumn id="4367" xr3:uid="{6FD9579B-5804-4E00-859A-1D679D3A9D73}" name="Column4353" dataDxfId="24504" totalsRowDxfId="24503"/>
    <tableColumn id="4368" xr3:uid="{14B87026-680F-4E37-ACC8-1D0475CF0F8C}" name="Column4354" dataDxfId="24502" totalsRowDxfId="24501"/>
    <tableColumn id="4369" xr3:uid="{E9718631-78C7-44A0-8DC5-09B7A3ED7738}" name="Column4355" dataDxfId="24500" totalsRowDxfId="24499"/>
    <tableColumn id="4370" xr3:uid="{13C36D6C-E06F-4D00-BD52-D03CA629305A}" name="Column4356" dataDxfId="24498" totalsRowDxfId="24497"/>
    <tableColumn id="4371" xr3:uid="{1FA75C8A-C6C8-4C13-A66C-B773407F8F85}" name="Column4357" dataDxfId="24496" totalsRowDxfId="24495"/>
    <tableColumn id="4372" xr3:uid="{BB144E50-744B-407D-8644-F7CC22775395}" name="Column4358" dataDxfId="24494" totalsRowDxfId="24493"/>
    <tableColumn id="4373" xr3:uid="{46475829-5900-43AF-8D59-2C01A7C24549}" name="Column4359" dataDxfId="24492" totalsRowDxfId="24491"/>
    <tableColumn id="4374" xr3:uid="{72F30E4F-AE94-49D3-A9D3-8D4C28D00A4E}" name="Column4360" dataDxfId="24490" totalsRowDxfId="24489"/>
    <tableColumn id="4375" xr3:uid="{3FFC1070-26D1-48D5-AE3C-998A03FC4060}" name="Column4361" dataDxfId="24488" totalsRowDxfId="24487"/>
    <tableColumn id="4376" xr3:uid="{BC9F4187-1AA2-420E-86FD-A1D114AC2C10}" name="Column4362" dataDxfId="24486" totalsRowDxfId="24485"/>
    <tableColumn id="4377" xr3:uid="{177A1112-4920-4885-B26A-23EE3E8AF3E0}" name="Column4363" dataDxfId="24484" totalsRowDxfId="24483"/>
    <tableColumn id="4378" xr3:uid="{9F9813C5-7454-4862-A015-5735D3C7A560}" name="Column4364" dataDxfId="24482" totalsRowDxfId="24481"/>
    <tableColumn id="4379" xr3:uid="{0C32F089-CE49-4F71-B767-AE6767E38263}" name="Column4365" dataDxfId="24480" totalsRowDxfId="24479"/>
    <tableColumn id="4380" xr3:uid="{EDAFA3D5-A301-47F8-A3A4-D53CA165E7AC}" name="Column4366" dataDxfId="24478" totalsRowDxfId="24477"/>
    <tableColumn id="4381" xr3:uid="{3671E6A4-4A8C-48AD-B990-52F8CD9706C4}" name="Column4367" dataDxfId="24476" totalsRowDxfId="24475"/>
    <tableColumn id="4382" xr3:uid="{B400EF08-7106-414B-93C9-18E6075DD78D}" name="Column4368" dataDxfId="24474" totalsRowDxfId="24473"/>
    <tableColumn id="4383" xr3:uid="{1358C3B3-349F-4B80-83AB-BBF01197AD78}" name="Column4369" dataDxfId="24472" totalsRowDxfId="24471"/>
    <tableColumn id="4384" xr3:uid="{F524AA35-4091-4C93-848B-9AC2A26FF4FD}" name="Column4370" dataDxfId="24470" totalsRowDxfId="24469"/>
    <tableColumn id="4385" xr3:uid="{A92DCB7F-7800-430E-9304-4E79B0AE0CCF}" name="Column4371" dataDxfId="24468" totalsRowDxfId="24467"/>
    <tableColumn id="4386" xr3:uid="{425C8110-38E0-4AD0-B803-B7E53A73DF57}" name="Column4372" dataDxfId="24466" totalsRowDxfId="24465"/>
    <tableColumn id="4387" xr3:uid="{679E8701-862E-4D7C-A08C-7BB6263714E3}" name="Column4373" dataDxfId="24464" totalsRowDxfId="24463"/>
    <tableColumn id="4388" xr3:uid="{0B29CAD9-B20E-4847-ADB6-628BEC007109}" name="Column4374" dataDxfId="24462" totalsRowDxfId="24461"/>
    <tableColumn id="4389" xr3:uid="{43EE632C-FD1E-4BC3-86F0-F3C6F4628D44}" name="Column4375" dataDxfId="24460" totalsRowDxfId="24459"/>
    <tableColumn id="4390" xr3:uid="{49B57B57-7660-4A47-B268-717ECFE652F8}" name="Column4376" dataDxfId="24458" totalsRowDxfId="24457"/>
    <tableColumn id="4391" xr3:uid="{FB846F09-A656-4C20-99B6-0FAED484E3F8}" name="Column4377" dataDxfId="24456" totalsRowDxfId="24455"/>
    <tableColumn id="4392" xr3:uid="{5E1A4C2F-1970-485C-B639-C26240B2E16F}" name="Column4378" dataDxfId="24454" totalsRowDxfId="24453"/>
    <tableColumn id="4393" xr3:uid="{A5A2C6FD-42D3-4D03-BD12-9748E8AF0788}" name="Column4379" dataDxfId="24452" totalsRowDxfId="24451"/>
    <tableColumn id="4394" xr3:uid="{89C7218D-7BB4-4D47-A4B8-C67181A93463}" name="Column4380" dataDxfId="24450" totalsRowDxfId="24449"/>
    <tableColumn id="4395" xr3:uid="{0DD595B3-1EA9-49D2-9C64-43DF633F1A91}" name="Column4381" dataDxfId="24448" totalsRowDxfId="24447"/>
    <tableColumn id="4396" xr3:uid="{1E0063CA-CD36-4B8A-8B4A-C22F29D55D6B}" name="Column4382" dataDxfId="24446" totalsRowDxfId="24445"/>
    <tableColumn id="4397" xr3:uid="{30AB2B07-DE61-4049-B8BE-52618A586357}" name="Column4383" dataDxfId="24444" totalsRowDxfId="24443"/>
    <tableColumn id="4398" xr3:uid="{FE58105E-2E17-42A3-8C6C-853D6F2A8A8F}" name="Column4384" dataDxfId="24442" totalsRowDxfId="24441"/>
    <tableColumn id="4399" xr3:uid="{C4260F96-2575-4CF3-99A2-485E9079DBAC}" name="Column4385" dataDxfId="24440" totalsRowDxfId="24439"/>
    <tableColumn id="4400" xr3:uid="{33B74471-FF43-46B7-A2A2-432D03343674}" name="Column4386" dataDxfId="24438" totalsRowDxfId="24437"/>
    <tableColumn id="4401" xr3:uid="{EDEB7D2B-CCAE-441A-AAD8-5E2DD5815524}" name="Column4387" dataDxfId="24436" totalsRowDxfId="24435"/>
    <tableColumn id="4402" xr3:uid="{4CBF3DB8-1BC3-4E7A-88F6-6A4DB2773681}" name="Column4388" dataDxfId="24434" totalsRowDxfId="24433"/>
    <tableColumn id="4403" xr3:uid="{91A70427-CE1A-42F5-8CCF-E59F20B10DE1}" name="Column4389" dataDxfId="24432" totalsRowDxfId="24431"/>
    <tableColumn id="4404" xr3:uid="{2DE09F12-D06E-456B-AE16-88FF51F9A32B}" name="Column4390" dataDxfId="24430" totalsRowDxfId="24429"/>
    <tableColumn id="4405" xr3:uid="{82F00066-8C83-475A-9094-BE1753EA1CE1}" name="Column4391" dataDxfId="24428" totalsRowDxfId="24427"/>
    <tableColumn id="4406" xr3:uid="{2C47506B-B949-46A0-BE5F-82115F5D377D}" name="Column4392" dataDxfId="24426" totalsRowDxfId="24425"/>
    <tableColumn id="4407" xr3:uid="{BB395632-F33E-4DB6-91C6-BF98B6DF5267}" name="Column4393" dataDxfId="24424" totalsRowDxfId="24423"/>
    <tableColumn id="4408" xr3:uid="{5BD55EE9-531A-45A2-90EE-1B81435C258E}" name="Column4394" dataDxfId="24422" totalsRowDxfId="24421"/>
    <tableColumn id="4409" xr3:uid="{45694A70-E6D7-4187-B891-6D07AC59A8EB}" name="Column4395" dataDxfId="24420" totalsRowDxfId="24419"/>
    <tableColumn id="4410" xr3:uid="{F61AD9CD-A3A8-412D-B7D2-3C79556CEA4F}" name="Column4396" dataDxfId="24418" totalsRowDxfId="24417"/>
    <tableColumn id="4411" xr3:uid="{2641C49C-E5B2-4D83-BC4C-835F9E1A9E66}" name="Column4397" dataDxfId="24416" totalsRowDxfId="24415"/>
    <tableColumn id="4412" xr3:uid="{4F598CB7-F61F-4E40-A7B8-35BE27853C1A}" name="Column4398" dataDxfId="24414" totalsRowDxfId="24413"/>
    <tableColumn id="4413" xr3:uid="{AA798DAC-33AC-4D3A-BDAF-0F06E177E6C6}" name="Column4399" dataDxfId="24412" totalsRowDxfId="24411"/>
    <tableColumn id="4414" xr3:uid="{80A92056-0E69-4DBF-AD6F-3DD8153537B8}" name="Column4400" dataDxfId="24410" totalsRowDxfId="24409"/>
    <tableColumn id="4415" xr3:uid="{717E349E-7199-4C15-819A-7AFD54029AB9}" name="Column4401" dataDxfId="24408" totalsRowDxfId="24407"/>
    <tableColumn id="4416" xr3:uid="{2A161AA9-7116-4F84-BF61-99896EDBC8D3}" name="Column4402" dataDxfId="24406" totalsRowDxfId="24405"/>
    <tableColumn id="4417" xr3:uid="{ED107A4E-0008-4F48-B27F-E987E749ABBE}" name="Column4403" dataDxfId="24404" totalsRowDxfId="24403"/>
    <tableColumn id="4418" xr3:uid="{F86AD094-9196-464B-9F16-471C3BF65E37}" name="Column4404" dataDxfId="24402" totalsRowDxfId="24401"/>
    <tableColumn id="4419" xr3:uid="{48512EE6-660F-41AF-AA1F-7C76A487FBDF}" name="Column4405" dataDxfId="24400" totalsRowDxfId="24399"/>
    <tableColumn id="4420" xr3:uid="{88D87986-D75C-44DB-A008-72A019EB57B4}" name="Column4406" dataDxfId="24398" totalsRowDxfId="24397"/>
    <tableColumn id="4421" xr3:uid="{EA558D7E-F31F-45AB-BA91-CE364C791775}" name="Column4407" dataDxfId="24396" totalsRowDxfId="24395"/>
    <tableColumn id="4422" xr3:uid="{919A05DE-DC26-48CC-8EB6-613E370C8672}" name="Column4408" dataDxfId="24394" totalsRowDxfId="24393"/>
    <tableColumn id="4423" xr3:uid="{E2AFA8D8-6E84-43F6-901E-B62846365884}" name="Column4409" dataDxfId="24392" totalsRowDxfId="24391"/>
    <tableColumn id="4424" xr3:uid="{B12874BE-CD95-490B-A6D7-FBBF4019368E}" name="Column4410" dataDxfId="24390" totalsRowDxfId="24389"/>
    <tableColumn id="4425" xr3:uid="{6646F958-E36F-4776-B9E6-53684408AC38}" name="Column4411" dataDxfId="24388" totalsRowDxfId="24387"/>
    <tableColumn id="4426" xr3:uid="{2DD3DF82-8934-45D1-8656-2FD465E3D554}" name="Column4412" dataDxfId="24386" totalsRowDxfId="24385"/>
    <tableColumn id="4427" xr3:uid="{0699D5C3-B022-4CFA-9FC0-559DB2A91AFF}" name="Column4413" dataDxfId="24384" totalsRowDxfId="24383"/>
    <tableColumn id="4428" xr3:uid="{940E3C1A-A08B-4975-946A-2ACF7C2D56C8}" name="Column4414" dataDxfId="24382" totalsRowDxfId="24381"/>
    <tableColumn id="4429" xr3:uid="{5AD73A54-BAB8-4DC7-A08B-CA2C3D88DEB7}" name="Column4415" dataDxfId="24380" totalsRowDxfId="24379"/>
    <tableColumn id="4430" xr3:uid="{F4617EF8-F200-4AD4-860A-9A0CA486047E}" name="Column4416" dataDxfId="24378" totalsRowDxfId="24377"/>
    <tableColumn id="4431" xr3:uid="{0F946D6B-4F87-4448-9C02-30FC37600CB7}" name="Column4417" dataDxfId="24376" totalsRowDxfId="24375"/>
    <tableColumn id="4432" xr3:uid="{EAC3420D-B39D-468C-8C5E-3B9A11D65168}" name="Column4418" dataDxfId="24374" totalsRowDxfId="24373"/>
    <tableColumn id="4433" xr3:uid="{AB1D6721-8CDA-4255-ABDC-D739BB4A90F2}" name="Column4419" dataDxfId="24372" totalsRowDxfId="24371"/>
    <tableColumn id="4434" xr3:uid="{D38D43DD-9BA1-4619-AAAA-7F9DF21659F6}" name="Column4420" dataDxfId="24370" totalsRowDxfId="24369"/>
    <tableColumn id="4435" xr3:uid="{CB92DFEE-7EC4-4036-8086-8A52B120B7BD}" name="Column4421" dataDxfId="24368" totalsRowDxfId="24367"/>
    <tableColumn id="4436" xr3:uid="{746BE526-EA7D-4FA6-900C-D786206BB6C1}" name="Column4422" dataDxfId="24366" totalsRowDxfId="24365"/>
    <tableColumn id="4437" xr3:uid="{0F83B633-4121-4C48-8B06-F66E4D42268A}" name="Column4423" dataDxfId="24364" totalsRowDxfId="24363"/>
    <tableColumn id="4438" xr3:uid="{F478EB4C-C3FF-414D-82DF-BEC4EF2A0F3F}" name="Column4424" dataDxfId="24362" totalsRowDxfId="24361"/>
    <tableColumn id="4439" xr3:uid="{130241C8-6555-4D89-9007-562C2397D3BE}" name="Column4425" dataDxfId="24360" totalsRowDxfId="24359"/>
    <tableColumn id="4440" xr3:uid="{3ED2D553-1942-466F-9581-C6A477AD1B66}" name="Column4426" dataDxfId="24358" totalsRowDxfId="24357"/>
    <tableColumn id="4441" xr3:uid="{1E18E4E5-C62C-422E-B6DD-156CAC48D877}" name="Column4427" dataDxfId="24356" totalsRowDxfId="24355"/>
    <tableColumn id="4442" xr3:uid="{33263474-A366-4029-9054-CF296148A4EC}" name="Column4428" dataDxfId="24354" totalsRowDxfId="24353"/>
    <tableColumn id="4443" xr3:uid="{0270D2BE-88E2-47E4-A9D1-0A826A0B91CC}" name="Column4429" dataDxfId="24352" totalsRowDxfId="24351"/>
    <tableColumn id="4444" xr3:uid="{000155CD-61E8-4F56-BBA5-E8B13AC9EC5C}" name="Column4430" dataDxfId="24350" totalsRowDxfId="24349"/>
    <tableColumn id="4445" xr3:uid="{098FEACA-653E-45EC-959B-751C4AB71B40}" name="Column4431" dataDxfId="24348" totalsRowDxfId="24347"/>
    <tableColumn id="4446" xr3:uid="{41285329-9E15-4175-9B60-8F58F02CBFB3}" name="Column4432" dataDxfId="24346" totalsRowDxfId="24345"/>
    <tableColumn id="4447" xr3:uid="{C4142EAA-55F3-4DEA-8AEB-C8D318C2C8D0}" name="Column4433" dataDxfId="24344" totalsRowDxfId="24343"/>
    <tableColumn id="4448" xr3:uid="{1E4B9BC8-1594-4C24-942F-07D35E6E3855}" name="Column4434" dataDxfId="24342" totalsRowDxfId="24341"/>
    <tableColumn id="4449" xr3:uid="{19B88F55-9B36-410B-9DA4-C1A97712377B}" name="Column4435" dataDxfId="24340" totalsRowDxfId="24339"/>
    <tableColumn id="4450" xr3:uid="{4D6073F2-5FFB-4096-8765-88988747CC26}" name="Column4436" dataDxfId="24338" totalsRowDxfId="24337"/>
    <tableColumn id="4451" xr3:uid="{8E869922-6D0E-4FF0-BA06-034F272FAFB7}" name="Column4437" dataDxfId="24336" totalsRowDxfId="24335"/>
    <tableColumn id="4452" xr3:uid="{FB5556CE-C665-4867-8B4B-C4D3897E9AE7}" name="Column4438" dataDxfId="24334" totalsRowDxfId="24333"/>
    <tableColumn id="4453" xr3:uid="{00C35C7E-015B-4EE8-BB11-C6A0DBA6DC94}" name="Column4439" dataDxfId="24332" totalsRowDxfId="24331"/>
    <tableColumn id="4454" xr3:uid="{CE0B54B6-6748-45EF-8B12-68492FF5E25E}" name="Column4440" dataDxfId="24330" totalsRowDxfId="24329"/>
    <tableColumn id="4455" xr3:uid="{6CE214FF-59EC-4A27-9333-DA01AF17D14E}" name="Column4441" dataDxfId="24328" totalsRowDxfId="24327"/>
    <tableColumn id="4456" xr3:uid="{75BFBE64-8FF8-4302-8B54-EAD24CF3F928}" name="Column4442" dataDxfId="24326" totalsRowDxfId="24325"/>
    <tableColumn id="4457" xr3:uid="{EB9A9FB9-AD6E-40B5-A7AD-36ACDECDBDF9}" name="Column4443" dataDxfId="24324" totalsRowDxfId="24323"/>
    <tableColumn id="4458" xr3:uid="{FF756650-5DE5-44B5-8044-9F063EF9CE91}" name="Column4444" dataDxfId="24322" totalsRowDxfId="24321"/>
    <tableColumn id="4459" xr3:uid="{B78EB137-DB18-4636-AFF9-626B2FAEDF23}" name="Column4445" dataDxfId="24320" totalsRowDxfId="24319"/>
    <tableColumn id="4460" xr3:uid="{3DC2B03E-A7E8-4F68-BA62-F127E01EEC13}" name="Column4446" dataDxfId="24318" totalsRowDxfId="24317"/>
    <tableColumn id="4461" xr3:uid="{3F152856-6F81-417A-B442-DB1F0EFBBB56}" name="Column4447" dataDxfId="24316" totalsRowDxfId="24315"/>
    <tableColumn id="4462" xr3:uid="{ECB34DF4-780C-447B-B57C-8AD7E255829D}" name="Column4448" dataDxfId="24314" totalsRowDxfId="24313"/>
    <tableColumn id="4463" xr3:uid="{BF9FDFCD-8C9C-4387-A921-0327960528C7}" name="Column4449" dataDxfId="24312" totalsRowDxfId="24311"/>
    <tableColumn id="4464" xr3:uid="{4BDCC850-6C2E-4E3B-896D-B7D85C54ACC3}" name="Column4450" dataDxfId="24310" totalsRowDxfId="24309"/>
    <tableColumn id="4465" xr3:uid="{68DCE1ED-9F54-4619-B240-C3551F4E5C49}" name="Column4451" dataDxfId="24308" totalsRowDxfId="24307"/>
    <tableColumn id="4466" xr3:uid="{3CA2D7CF-01E0-4723-B875-E2BD9F51079B}" name="Column4452" dataDxfId="24306" totalsRowDxfId="24305"/>
    <tableColumn id="4467" xr3:uid="{6234F00B-48D7-4509-8B0D-0E5AEC92C66B}" name="Column4453" dataDxfId="24304" totalsRowDxfId="24303"/>
    <tableColumn id="4468" xr3:uid="{BCF703C7-2FDE-444F-B5FB-AEDFEFE7EE8A}" name="Column4454" dataDxfId="24302" totalsRowDxfId="24301"/>
    <tableColumn id="4469" xr3:uid="{6C43128B-D572-4D54-994D-F04F1EBDE446}" name="Column4455" dataDxfId="24300" totalsRowDxfId="24299"/>
    <tableColumn id="4470" xr3:uid="{80061528-13F1-403D-AD1B-4D3B730D0E90}" name="Column4456" dataDxfId="24298" totalsRowDxfId="24297"/>
    <tableColumn id="4471" xr3:uid="{887DECBA-BFA8-4CB8-9DE8-3029E14CA38F}" name="Column4457" dataDxfId="24296" totalsRowDxfId="24295"/>
    <tableColumn id="4472" xr3:uid="{D87CA396-33B1-4F11-BFC9-04B0B037B923}" name="Column4458" dataDxfId="24294" totalsRowDxfId="24293"/>
    <tableColumn id="4473" xr3:uid="{C97E034F-DDF3-48C7-9F06-B7D508ACDA00}" name="Column4459" dataDxfId="24292" totalsRowDxfId="24291"/>
    <tableColumn id="4474" xr3:uid="{1995513C-5AD2-4374-AE26-9FF91FEC33D6}" name="Column4460" dataDxfId="24290" totalsRowDxfId="24289"/>
    <tableColumn id="4475" xr3:uid="{64B6CBD5-1BB0-496D-AF6A-6BBDF6A74B87}" name="Column4461" dataDxfId="24288" totalsRowDxfId="24287"/>
    <tableColumn id="4476" xr3:uid="{0579CA33-02B4-4F4D-A937-AFBBBCA6D9DB}" name="Column4462" dataDxfId="24286" totalsRowDxfId="24285"/>
    <tableColumn id="4477" xr3:uid="{30C736F5-8C77-4942-85BA-24A30C9A3B04}" name="Column4463" dataDxfId="24284" totalsRowDxfId="24283"/>
    <tableColumn id="4478" xr3:uid="{7F913C6E-A7C6-4C47-9E77-FF9835420398}" name="Column4464" dataDxfId="24282" totalsRowDxfId="24281"/>
    <tableColumn id="4479" xr3:uid="{DA182D50-3C2D-4556-A939-90595045A03A}" name="Column4465" dataDxfId="24280" totalsRowDxfId="24279"/>
    <tableColumn id="4480" xr3:uid="{5A66A0AB-F0F1-49CC-B331-0C618290D87A}" name="Column4466" dataDxfId="24278" totalsRowDxfId="24277"/>
    <tableColumn id="4481" xr3:uid="{A6346446-2B5D-4037-95B5-6E74104936BD}" name="Column4467" dataDxfId="24276" totalsRowDxfId="24275"/>
    <tableColumn id="4482" xr3:uid="{601F999B-1B62-4A80-A037-B8DE39ADD975}" name="Column4468" dataDxfId="24274" totalsRowDxfId="24273"/>
    <tableColumn id="4483" xr3:uid="{9B09D9C7-29F0-4E63-8A66-BB9E150C6276}" name="Column4469" dataDxfId="24272" totalsRowDxfId="24271"/>
    <tableColumn id="4484" xr3:uid="{F5BBA91A-0125-4704-9A34-92DD227543A9}" name="Column4470" dataDxfId="24270" totalsRowDxfId="24269"/>
    <tableColumn id="4485" xr3:uid="{B39282BE-936D-463B-BE1A-A6247A63D9C5}" name="Column4471" dataDxfId="24268" totalsRowDxfId="24267"/>
    <tableColumn id="4486" xr3:uid="{E4E7B178-D67B-4C3E-82F7-91A7E2BF6E2A}" name="Column4472" dataDxfId="24266" totalsRowDxfId="24265"/>
    <tableColumn id="4487" xr3:uid="{3D62DEB4-4C94-46BD-B2D4-39C4228675D2}" name="Column4473" dataDxfId="24264" totalsRowDxfId="24263"/>
    <tableColumn id="4488" xr3:uid="{48E54E06-7574-4752-AEEC-D7632ADBA594}" name="Column4474" dataDxfId="24262" totalsRowDxfId="24261"/>
    <tableColumn id="4489" xr3:uid="{5B3ED33D-FD87-4E3F-BEBC-F16C2F377DE8}" name="Column4475" dataDxfId="24260" totalsRowDxfId="24259"/>
    <tableColumn id="4490" xr3:uid="{1C914220-8B29-4362-BD15-5D09C7CF4D88}" name="Column4476" dataDxfId="24258" totalsRowDxfId="24257"/>
    <tableColumn id="4491" xr3:uid="{B1BA3AFE-BF35-450A-9252-79409423CCE9}" name="Column4477" dataDxfId="24256" totalsRowDxfId="24255"/>
    <tableColumn id="4492" xr3:uid="{82876E59-74AC-48BB-A1CF-A5087FB5B1AB}" name="Column4478" dataDxfId="24254" totalsRowDxfId="24253"/>
    <tableColumn id="4493" xr3:uid="{F9F16576-0BF6-4B02-8898-D44C28368059}" name="Column4479" dataDxfId="24252" totalsRowDxfId="24251"/>
    <tableColumn id="4494" xr3:uid="{695772ED-23B6-4D41-A5FF-F2B6A512869F}" name="Column4480" dataDxfId="24250" totalsRowDxfId="24249"/>
    <tableColumn id="4495" xr3:uid="{877A5074-EC87-48B9-A0BF-226C3131FA32}" name="Column4481" dataDxfId="24248" totalsRowDxfId="24247"/>
    <tableColumn id="4496" xr3:uid="{45E691ED-AF76-45D8-8A01-8B772E016846}" name="Column4482" dataDxfId="24246" totalsRowDxfId="24245"/>
    <tableColumn id="4497" xr3:uid="{FD56083C-446E-4A6B-81E7-9A19D1DDD577}" name="Column4483" dataDxfId="24244" totalsRowDxfId="24243"/>
    <tableColumn id="4498" xr3:uid="{9DF54A03-324F-42D6-9CBE-7604C3E0EBE2}" name="Column4484" dataDxfId="24242" totalsRowDxfId="24241"/>
    <tableColumn id="4499" xr3:uid="{F8C87892-4E53-465F-B753-B576D8A51721}" name="Column4485" dataDxfId="24240" totalsRowDxfId="24239"/>
    <tableColumn id="4500" xr3:uid="{A0E68334-D8F6-43C9-AFF5-359967A51606}" name="Column4486" dataDxfId="24238" totalsRowDxfId="24237"/>
    <tableColumn id="4501" xr3:uid="{6F1D8015-379A-4417-A1BF-554770BE4398}" name="Column4487" dataDxfId="24236" totalsRowDxfId="24235"/>
    <tableColumn id="4502" xr3:uid="{B0E5E30E-914C-4DB6-9277-8AFB990EDA83}" name="Column4488" dataDxfId="24234" totalsRowDxfId="24233"/>
    <tableColumn id="4503" xr3:uid="{FDB6AF6C-F0A5-45E3-BD86-0DAA3756FC6C}" name="Column4489" dataDxfId="24232" totalsRowDxfId="24231"/>
    <tableColumn id="4504" xr3:uid="{DE22B43C-9BDF-4D64-ACDA-F79A3D4396F2}" name="Column4490" dataDxfId="24230" totalsRowDxfId="24229"/>
    <tableColumn id="4505" xr3:uid="{192E79B9-56AA-435D-8AF9-34CDB9D67E72}" name="Column4491" dataDxfId="24228" totalsRowDxfId="24227"/>
    <tableColumn id="4506" xr3:uid="{3B2E0485-3759-460F-AF00-697BA77843EC}" name="Column4492" dataDxfId="24226" totalsRowDxfId="24225"/>
    <tableColumn id="4507" xr3:uid="{85C8BB4B-DBB7-4300-A77C-9B9953DBA789}" name="Column4493" dataDxfId="24224" totalsRowDxfId="24223"/>
    <tableColumn id="4508" xr3:uid="{D2E6EF9A-108B-4E5D-81FC-BD49DAED2F3E}" name="Column4494" dataDxfId="24222" totalsRowDxfId="24221"/>
    <tableColumn id="4509" xr3:uid="{BDC287F6-C1AC-4CB2-B99A-326091D39842}" name="Column4495" dataDxfId="24220" totalsRowDxfId="24219"/>
    <tableColumn id="4510" xr3:uid="{91D6747A-6FF9-438A-8093-199AEA9394B7}" name="Column4496" dataDxfId="24218" totalsRowDxfId="24217"/>
    <tableColumn id="4511" xr3:uid="{299797E3-1A3A-4498-ABD6-1AE669984293}" name="Column4497" dataDxfId="24216" totalsRowDxfId="24215"/>
    <tableColumn id="4512" xr3:uid="{C1B7189B-B4BD-485E-940F-3466F7BD7D22}" name="Column4498" dataDxfId="24214" totalsRowDxfId="24213"/>
    <tableColumn id="4513" xr3:uid="{A2D109E0-E38D-48D7-81C4-F0C92B5DB2F5}" name="Column4499" dataDxfId="24212" totalsRowDxfId="24211"/>
    <tableColumn id="4514" xr3:uid="{70E44FCC-0BD6-43C1-867D-D4EA09931EE1}" name="Column4500" dataDxfId="24210" totalsRowDxfId="24209"/>
    <tableColumn id="4515" xr3:uid="{95BDAC38-0C8E-4950-A7F3-4071C0F92EE3}" name="Column4501" dataDxfId="24208" totalsRowDxfId="24207"/>
    <tableColumn id="4516" xr3:uid="{CE8B659E-6A25-460C-B5F0-2D766A713D00}" name="Column4502" dataDxfId="24206" totalsRowDxfId="24205"/>
    <tableColumn id="4517" xr3:uid="{670EAE73-FECD-41D9-93A3-DDD67741B1CE}" name="Column4503" dataDxfId="24204" totalsRowDxfId="24203"/>
    <tableColumn id="4518" xr3:uid="{A72E7D44-A517-460F-8BBA-0974BF8D404D}" name="Column4504" dataDxfId="24202" totalsRowDxfId="24201"/>
    <tableColumn id="4519" xr3:uid="{4E57F421-6FE0-4854-BBD2-89736399C454}" name="Column4505" dataDxfId="24200" totalsRowDxfId="24199"/>
    <tableColumn id="4520" xr3:uid="{347C6A1B-64F8-48E2-9096-AF80C9AEF193}" name="Column4506" dataDxfId="24198" totalsRowDxfId="24197"/>
    <tableColumn id="4521" xr3:uid="{CF24284D-E457-4834-83A7-FAF666E11CED}" name="Column4507" dataDxfId="24196" totalsRowDxfId="24195"/>
    <tableColumn id="4522" xr3:uid="{CB8DE1CF-1D27-4AF4-8249-20F6A880DD0D}" name="Column4508" dataDxfId="24194" totalsRowDxfId="24193"/>
    <tableColumn id="4523" xr3:uid="{4144EC3C-8061-4C4F-BC40-219665DF222D}" name="Column4509" dataDxfId="24192" totalsRowDxfId="24191"/>
    <tableColumn id="4524" xr3:uid="{D097C80F-CA50-4066-94DB-3F2461E0E406}" name="Column4510" dataDxfId="24190" totalsRowDxfId="24189"/>
    <tableColumn id="4525" xr3:uid="{C131B90D-3DC2-4EF7-BCAC-C3A69B48CF5F}" name="Column4511" dataDxfId="24188" totalsRowDxfId="24187"/>
    <tableColumn id="4526" xr3:uid="{A6BB757A-8CE0-4912-A6F6-D059D94EDA3B}" name="Column4512" dataDxfId="24186" totalsRowDxfId="24185"/>
    <tableColumn id="4527" xr3:uid="{C19417CE-C105-499C-A715-F97AAA27488A}" name="Column4513" dataDxfId="24184" totalsRowDxfId="24183"/>
    <tableColumn id="4528" xr3:uid="{39CB3FF6-BF3E-4E0E-8CE4-6B50443EBAE0}" name="Column4514" dataDxfId="24182" totalsRowDxfId="24181"/>
    <tableColumn id="4529" xr3:uid="{398B871E-5FBF-4E7A-BDE9-BB27B118E5AB}" name="Column4515" dataDxfId="24180" totalsRowDxfId="24179"/>
    <tableColumn id="4530" xr3:uid="{FA6CAB0F-E8E6-43B9-92B5-DB88ACF53A90}" name="Column4516" dataDxfId="24178" totalsRowDxfId="24177"/>
    <tableColumn id="4531" xr3:uid="{DE391DA7-3FB7-442A-8ACB-DFA7DCDA8717}" name="Column4517" dataDxfId="24176" totalsRowDxfId="24175"/>
    <tableColumn id="4532" xr3:uid="{4119F241-37B3-4575-BF20-9428F29452EF}" name="Column4518" dataDxfId="24174" totalsRowDxfId="24173"/>
    <tableColumn id="4533" xr3:uid="{1997722F-F29F-45A8-922A-B7C005C5D02D}" name="Column4519" dataDxfId="24172" totalsRowDxfId="24171"/>
    <tableColumn id="4534" xr3:uid="{38C964D9-3B71-41CD-831B-AA3189D609DE}" name="Column4520" dataDxfId="24170" totalsRowDxfId="24169"/>
    <tableColumn id="4535" xr3:uid="{F7213D9B-726A-4B2A-9007-B9EDBCCBDFCC}" name="Column4521" dataDxfId="24168" totalsRowDxfId="24167"/>
    <tableColumn id="4536" xr3:uid="{E428DF95-710D-48E7-8D8A-1C3993396535}" name="Column4522" dataDxfId="24166" totalsRowDxfId="24165"/>
    <tableColumn id="4537" xr3:uid="{A8468F0C-188B-4981-9E1C-FE2CFE1FC200}" name="Column4523" dataDxfId="24164" totalsRowDxfId="24163"/>
    <tableColumn id="4538" xr3:uid="{8D614260-C057-4503-A735-FCAF92189AA0}" name="Column4524" dataDxfId="24162" totalsRowDxfId="24161"/>
    <tableColumn id="4539" xr3:uid="{C742BC77-C272-45E6-8BF6-4CA8945B1029}" name="Column4525" dataDxfId="24160" totalsRowDxfId="24159"/>
    <tableColumn id="4540" xr3:uid="{00F39CCB-BCDF-49F2-B507-E21AC2453CE6}" name="Column4526" dataDxfId="24158" totalsRowDxfId="24157"/>
    <tableColumn id="4541" xr3:uid="{95DE947F-686F-4947-9C00-FE4B820923DE}" name="Column4527" dataDxfId="24156" totalsRowDxfId="24155"/>
    <tableColumn id="4542" xr3:uid="{07BD9156-A14C-4A22-8C6A-AC255D8F1CEA}" name="Column4528" dataDxfId="24154" totalsRowDxfId="24153"/>
    <tableColumn id="4543" xr3:uid="{095D7207-3CEB-4737-B7B0-198C116D7ECE}" name="Column4529" dataDxfId="24152" totalsRowDxfId="24151"/>
    <tableColumn id="4544" xr3:uid="{7CE95966-A114-4635-BD7C-6DC4095B98C9}" name="Column4530" dataDxfId="24150" totalsRowDxfId="24149"/>
    <tableColumn id="4545" xr3:uid="{7EB92732-A12B-4D6F-8CE3-80D4A821931D}" name="Column4531" dataDxfId="24148" totalsRowDxfId="24147"/>
    <tableColumn id="4546" xr3:uid="{07762AE0-A29E-48A3-A47E-9C4FE5F94C14}" name="Column4532" dataDxfId="24146" totalsRowDxfId="24145"/>
    <tableColumn id="4547" xr3:uid="{A58DDAB5-7C94-4129-9897-3AFC9CEBFC94}" name="Column4533" dataDxfId="24144" totalsRowDxfId="24143"/>
    <tableColumn id="4548" xr3:uid="{6348A8A8-195B-4980-9421-C288E1B0E65C}" name="Column4534" dataDxfId="24142" totalsRowDxfId="24141"/>
    <tableColumn id="4549" xr3:uid="{CFC37FB7-81B0-4CA0-87EC-B3D98C70D696}" name="Column4535" dataDxfId="24140" totalsRowDxfId="24139"/>
    <tableColumn id="4550" xr3:uid="{43A14066-0F23-4DAC-82A1-C8B7F5476CFB}" name="Column4536" dataDxfId="24138" totalsRowDxfId="24137"/>
    <tableColumn id="4551" xr3:uid="{7A82C889-E3C8-4214-9DBC-58F2FB513E62}" name="Column4537" dataDxfId="24136" totalsRowDxfId="24135"/>
    <tableColumn id="4552" xr3:uid="{BCA77D39-9837-41DC-8B4E-6DA371415C8F}" name="Column4538" dataDxfId="24134" totalsRowDxfId="24133"/>
    <tableColumn id="4553" xr3:uid="{465EA5CB-2C4A-4EF1-A71D-6681B8C3086E}" name="Column4539" dataDxfId="24132" totalsRowDxfId="24131"/>
    <tableColumn id="4554" xr3:uid="{1BAF17B4-1891-426B-9DA0-22DB1D0037A3}" name="Column4540" dataDxfId="24130" totalsRowDxfId="24129"/>
    <tableColumn id="4555" xr3:uid="{DEC37BAD-5E31-4E5A-A027-D8BD22C67CE4}" name="Column4541" dataDxfId="24128" totalsRowDxfId="24127"/>
    <tableColumn id="4556" xr3:uid="{66F48DBB-3178-4938-9DD1-F50511604514}" name="Column4542" dataDxfId="24126" totalsRowDxfId="24125"/>
    <tableColumn id="4557" xr3:uid="{013CD8FD-86EF-4A3A-A88D-E300C993BD65}" name="Column4543" dataDxfId="24124" totalsRowDxfId="24123"/>
    <tableColumn id="4558" xr3:uid="{5085C4C3-AAE5-4026-864C-25AF5E299E4D}" name="Column4544" dataDxfId="24122" totalsRowDxfId="24121"/>
    <tableColumn id="4559" xr3:uid="{C327A329-CB84-4D09-806B-EB0D884AA18F}" name="Column4545" dataDxfId="24120" totalsRowDxfId="24119"/>
    <tableColumn id="4560" xr3:uid="{A23251C2-0BC0-415B-A05B-1B56164B6C2F}" name="Column4546" dataDxfId="24118" totalsRowDxfId="24117"/>
    <tableColumn id="4561" xr3:uid="{B47624DA-45E9-4D0F-9511-0E0A5703C52C}" name="Column4547" dataDxfId="24116" totalsRowDxfId="24115"/>
    <tableColumn id="4562" xr3:uid="{5AB1E9A1-352D-44A6-ADC2-2E5BC72F9BB5}" name="Column4548" dataDxfId="24114" totalsRowDxfId="24113"/>
    <tableColumn id="4563" xr3:uid="{CDF34E29-464D-4266-97B0-D52CAA6593B6}" name="Column4549" dataDxfId="24112" totalsRowDxfId="24111"/>
    <tableColumn id="4564" xr3:uid="{09FB7B04-BFCD-417C-9053-CCA42936BC69}" name="Column4550" dataDxfId="24110" totalsRowDxfId="24109"/>
    <tableColumn id="4565" xr3:uid="{E1250449-5B56-4DE3-A8B9-4AA76AE56CA4}" name="Column4551" dataDxfId="24108" totalsRowDxfId="24107"/>
    <tableColumn id="4566" xr3:uid="{1A5292F0-3E66-4313-836C-9462F3C82FB7}" name="Column4552" dataDxfId="24106" totalsRowDxfId="24105"/>
    <tableColumn id="4567" xr3:uid="{DE9D6760-69E2-4ED0-8FB9-2249F4EC4AE8}" name="Column4553" dataDxfId="24104" totalsRowDxfId="24103"/>
    <tableColumn id="4568" xr3:uid="{200D3A9C-B912-43E0-8C46-FC4EB4D88A3A}" name="Column4554" dataDxfId="24102" totalsRowDxfId="24101"/>
    <tableColumn id="4569" xr3:uid="{CE0F438C-3453-4E73-8236-C42236A42904}" name="Column4555" dataDxfId="24100" totalsRowDxfId="24099"/>
    <tableColumn id="4570" xr3:uid="{C581F432-72AD-413D-8A17-22AD6DB45CA6}" name="Column4556" dataDxfId="24098" totalsRowDxfId="24097"/>
    <tableColumn id="4571" xr3:uid="{1954EA68-72D9-4067-A137-8EC6FFD20728}" name="Column4557" dataDxfId="24096" totalsRowDxfId="24095"/>
    <tableColumn id="4572" xr3:uid="{AFBA10C8-3805-492B-B210-3B93FE8A6BCA}" name="Column4558" dataDxfId="24094" totalsRowDxfId="24093"/>
    <tableColumn id="4573" xr3:uid="{91E3BC8F-5455-4EB8-8FD9-CE806EF8D0E6}" name="Column4559" dataDxfId="24092" totalsRowDxfId="24091"/>
    <tableColumn id="4574" xr3:uid="{7B09BA61-F450-4B66-AEFB-5D49EAAB423F}" name="Column4560" dataDxfId="24090" totalsRowDxfId="24089"/>
    <tableColumn id="4575" xr3:uid="{BF2652FD-FEF3-448A-A9E0-A9E8309DDD3D}" name="Column4561" dataDxfId="24088" totalsRowDxfId="24087"/>
    <tableColumn id="4576" xr3:uid="{B39C98B2-CEEE-4C1A-9951-044B2CF7074F}" name="Column4562" dataDxfId="24086" totalsRowDxfId="24085"/>
    <tableColumn id="4577" xr3:uid="{CECE6C8F-04AA-426C-82C7-579E8E15159E}" name="Column4563" dataDxfId="24084" totalsRowDxfId="24083"/>
    <tableColumn id="4578" xr3:uid="{02F9001F-63F3-4D96-A3F8-1FAE8F00F936}" name="Column4564" dataDxfId="24082" totalsRowDxfId="24081"/>
    <tableColumn id="4579" xr3:uid="{33004158-340A-4D07-BB9E-B9E86CC83E7D}" name="Column4565" dataDxfId="24080" totalsRowDxfId="24079"/>
    <tableColumn id="4580" xr3:uid="{3FC4EEE0-62B4-4A88-88FB-0FBED4513CF2}" name="Column4566" dataDxfId="24078" totalsRowDxfId="24077"/>
    <tableColumn id="4581" xr3:uid="{25002000-BD77-40C5-90B9-14AC765F428F}" name="Column4567" dataDxfId="24076" totalsRowDxfId="24075"/>
    <tableColumn id="4582" xr3:uid="{5B770B9D-6E15-4A17-A017-488C29BD617A}" name="Column4568" dataDxfId="24074" totalsRowDxfId="24073"/>
    <tableColumn id="4583" xr3:uid="{59514C8C-B39A-4AB1-9872-DEDCD07EC7D3}" name="Column4569" dataDxfId="24072" totalsRowDxfId="24071"/>
    <tableColumn id="4584" xr3:uid="{B44A89EF-454C-4D55-8FD0-7C0C7612B327}" name="Column4570" dataDxfId="24070" totalsRowDxfId="24069"/>
    <tableColumn id="4585" xr3:uid="{90BF2A88-7426-4A4C-A921-AFABB7E2C1C5}" name="Column4571" dataDxfId="24068" totalsRowDxfId="24067"/>
    <tableColumn id="4586" xr3:uid="{3695D173-BBC2-4FF6-994C-A4C830154BDA}" name="Column4572" dataDxfId="24066" totalsRowDxfId="24065"/>
    <tableColumn id="4587" xr3:uid="{3D69088E-8FDE-4A07-B6CF-C8D87DC261A4}" name="Column4573" dataDxfId="24064" totalsRowDxfId="24063"/>
    <tableColumn id="4588" xr3:uid="{7411B252-3652-4919-95B3-1F934A1ADB56}" name="Column4574" dataDxfId="24062" totalsRowDxfId="24061"/>
    <tableColumn id="4589" xr3:uid="{84555CA5-A59B-4BBD-9573-8A060E209D39}" name="Column4575" dataDxfId="24060" totalsRowDxfId="24059"/>
    <tableColumn id="4590" xr3:uid="{B74C6290-1783-40B7-8BC0-AA6F5CC3D96B}" name="Column4576" dataDxfId="24058" totalsRowDxfId="24057"/>
    <tableColumn id="4591" xr3:uid="{E1D207B5-DD1B-41F3-9C61-7BB045635ED1}" name="Column4577" dataDxfId="24056" totalsRowDxfId="24055"/>
    <tableColumn id="4592" xr3:uid="{55BCE9F8-8D3D-40FF-9B21-1A785E1317FF}" name="Column4578" dataDxfId="24054" totalsRowDxfId="24053"/>
    <tableColumn id="4593" xr3:uid="{C94DD95A-67A0-47BE-8AE0-11B410A80F5C}" name="Column4579" dataDxfId="24052" totalsRowDxfId="24051"/>
    <tableColumn id="4594" xr3:uid="{3AB4053D-F9A5-4CB3-BADD-9921ED73E7D9}" name="Column4580" dataDxfId="24050" totalsRowDxfId="24049"/>
    <tableColumn id="4595" xr3:uid="{FE637AE5-FBA4-4EA7-9334-69402A04267E}" name="Column4581" dataDxfId="24048" totalsRowDxfId="24047"/>
    <tableColumn id="4596" xr3:uid="{3EA24B9B-CC9A-4222-ABC9-E5A9DCC49CDB}" name="Column4582" dataDxfId="24046" totalsRowDxfId="24045"/>
    <tableColumn id="4597" xr3:uid="{3E0B9D0D-F238-4D7C-B1FB-F4F3F3C6E393}" name="Column4583" dataDxfId="24044" totalsRowDxfId="24043"/>
    <tableColumn id="4598" xr3:uid="{4525681F-42EE-4B0C-9267-FAD225C4EC15}" name="Column4584" dataDxfId="24042" totalsRowDxfId="24041"/>
    <tableColumn id="4599" xr3:uid="{535677ED-75E8-4ED5-A6A2-44AA03CA4305}" name="Column4585" dataDxfId="24040" totalsRowDxfId="24039"/>
    <tableColumn id="4600" xr3:uid="{3A6743C1-5011-454F-95A7-DE291EB6E4E1}" name="Column4586" dataDxfId="24038" totalsRowDxfId="24037"/>
    <tableColumn id="4601" xr3:uid="{C3F0B556-BA91-49CE-9516-AD2F9A3895EF}" name="Column4587" dataDxfId="24036" totalsRowDxfId="24035"/>
    <tableColumn id="4602" xr3:uid="{19C5F25F-59B2-415D-B019-4C0A148FE222}" name="Column4588" dataDxfId="24034" totalsRowDxfId="24033"/>
    <tableColumn id="4603" xr3:uid="{B84DA424-93B4-46A8-9B77-4E0C80F5F53B}" name="Column4589" dataDxfId="24032" totalsRowDxfId="24031"/>
    <tableColumn id="4604" xr3:uid="{3DB51296-2373-4F0E-AC79-03BB108F4B0E}" name="Column4590" dataDxfId="24030" totalsRowDxfId="24029"/>
    <tableColumn id="4605" xr3:uid="{6DCDEE48-86E1-4908-B213-1A7ABF64E7CB}" name="Column4591" dataDxfId="24028" totalsRowDxfId="24027"/>
    <tableColumn id="4606" xr3:uid="{E5EEBECA-2C89-433F-96E8-AE91431F68E7}" name="Column4592" dataDxfId="24026" totalsRowDxfId="24025"/>
    <tableColumn id="4607" xr3:uid="{131CF344-864D-4BE6-8A9C-F462E3514066}" name="Column4593" dataDxfId="24024" totalsRowDxfId="24023"/>
    <tableColumn id="4608" xr3:uid="{539ECD29-2CD2-4ADF-9343-72D348974F8D}" name="Column4594" dataDxfId="24022" totalsRowDxfId="24021"/>
    <tableColumn id="4609" xr3:uid="{2E6AE1A1-CD7D-4618-8855-F09716003B4D}" name="Column4595" dataDxfId="24020" totalsRowDxfId="24019"/>
    <tableColumn id="4610" xr3:uid="{58496733-89AB-4E18-A581-916D96B04E94}" name="Column4596" dataDxfId="24018" totalsRowDxfId="24017"/>
    <tableColumn id="4611" xr3:uid="{DDD2318B-D1C6-403B-941F-92FF3DC28946}" name="Column4597" dataDxfId="24016" totalsRowDxfId="24015"/>
    <tableColumn id="4612" xr3:uid="{ED12E206-05F5-4FC0-9403-B80AD9DC796B}" name="Column4598" dataDxfId="24014" totalsRowDxfId="24013"/>
    <tableColumn id="4613" xr3:uid="{3ED4FBE2-56D5-47A5-8090-3A1BD4347CD5}" name="Column4599" dataDxfId="24012" totalsRowDxfId="24011"/>
    <tableColumn id="4614" xr3:uid="{FC7DB332-7CFF-4592-AF2D-36BAD8C00B5B}" name="Column4600" dataDxfId="24010" totalsRowDxfId="24009"/>
    <tableColumn id="4615" xr3:uid="{CAC98EC3-C5BC-4332-844F-98D17A5D3C08}" name="Column4601" dataDxfId="24008" totalsRowDxfId="24007"/>
    <tableColumn id="4616" xr3:uid="{A2D5F530-62F4-4853-9045-31B37117C7D3}" name="Column4602" dataDxfId="24006" totalsRowDxfId="24005"/>
    <tableColumn id="4617" xr3:uid="{B3DB69A6-FAA8-4221-9944-D219A63AEF12}" name="Column4603" dataDxfId="24004" totalsRowDxfId="24003"/>
    <tableColumn id="4618" xr3:uid="{8B0555EC-9872-411D-90D8-53346CC855DD}" name="Column4604" dataDxfId="24002" totalsRowDxfId="24001"/>
    <tableColumn id="4619" xr3:uid="{80A4EB71-D3F6-4304-A480-D02979F30D90}" name="Column4605" dataDxfId="24000" totalsRowDxfId="23999"/>
    <tableColumn id="4620" xr3:uid="{3FF65262-74E4-4E30-A4B3-E9F7193C37F3}" name="Column4606" dataDxfId="23998" totalsRowDxfId="23997"/>
    <tableColumn id="4621" xr3:uid="{26FDF18C-16DB-4708-89DD-341668FA66A1}" name="Column4607" dataDxfId="23996" totalsRowDxfId="23995"/>
    <tableColumn id="4622" xr3:uid="{F8DABA33-D6F7-444F-B88A-E5D8CA3798D7}" name="Column4608" dataDxfId="23994" totalsRowDxfId="23993"/>
    <tableColumn id="4623" xr3:uid="{F3A7ED71-571C-4BB9-8F74-8BD8EFBE6E5E}" name="Column4609" dataDxfId="23992" totalsRowDxfId="23991"/>
    <tableColumn id="4624" xr3:uid="{A81F64BE-AB61-4DCF-9184-BF44BF8E70FD}" name="Column4610" dataDxfId="23990" totalsRowDxfId="23989"/>
    <tableColumn id="4625" xr3:uid="{52E9DA9B-2011-48AA-BCA4-4CA638DD69FD}" name="Column4611" dataDxfId="23988" totalsRowDxfId="23987"/>
    <tableColumn id="4626" xr3:uid="{EBA1CF87-9A27-48C5-AE2E-F96BC7C7C51B}" name="Column4612" dataDxfId="23986" totalsRowDxfId="23985"/>
    <tableColumn id="4627" xr3:uid="{711BCD8A-AA67-4FF5-9DA6-707BB5D79D4D}" name="Column4613" dataDxfId="23984" totalsRowDxfId="23983"/>
    <tableColumn id="4628" xr3:uid="{73BE70DA-E1AD-401A-8CD3-201DA84793F1}" name="Column4614" dataDxfId="23982" totalsRowDxfId="23981"/>
    <tableColumn id="4629" xr3:uid="{F8379DBC-6BE2-4AE1-8D1C-38CF3C70AC1B}" name="Column4615" dataDxfId="23980" totalsRowDxfId="23979"/>
    <tableColumn id="4630" xr3:uid="{EF553E0C-73FA-403A-8B98-DEB82E280BC8}" name="Column4616" dataDxfId="23978" totalsRowDxfId="23977"/>
    <tableColumn id="4631" xr3:uid="{25EB3D08-5741-4DA5-8723-1CDE73BA087D}" name="Column4617" dataDxfId="23976" totalsRowDxfId="23975"/>
    <tableColumn id="4632" xr3:uid="{8C2E32FD-339D-4BAB-B1C7-ACB0A906C383}" name="Column4618" dataDxfId="23974" totalsRowDxfId="23973"/>
    <tableColumn id="4633" xr3:uid="{48A10A06-67F9-460B-BDEF-815851380B31}" name="Column4619" dataDxfId="23972" totalsRowDxfId="23971"/>
    <tableColumn id="4634" xr3:uid="{06C94F06-5961-4B13-972E-0A896CDC134B}" name="Column4620" dataDxfId="23970" totalsRowDxfId="23969"/>
    <tableColumn id="4635" xr3:uid="{8201F4E3-05CC-49A4-9869-C9A27FDF5154}" name="Column4621" dataDxfId="23968" totalsRowDxfId="23967"/>
    <tableColumn id="4636" xr3:uid="{6A132107-8976-4001-B25E-7EBAE58CE476}" name="Column4622" dataDxfId="23966" totalsRowDxfId="23965"/>
    <tableColumn id="4637" xr3:uid="{12B57EF9-9CCB-466B-82C5-B1C82CC97D45}" name="Column4623" dataDxfId="23964" totalsRowDxfId="23963"/>
    <tableColumn id="4638" xr3:uid="{9D8A769A-E1D5-43D9-A658-EB5D58E5A5B8}" name="Column4624" dataDxfId="23962" totalsRowDxfId="23961"/>
    <tableColumn id="4639" xr3:uid="{674F4289-845F-45D7-B1D7-9AEAA9CA7F7D}" name="Column4625" dataDxfId="23960" totalsRowDxfId="23959"/>
    <tableColumn id="4640" xr3:uid="{214A2934-02D7-462E-A59E-85409DBB3666}" name="Column4626" dataDxfId="23958" totalsRowDxfId="23957"/>
    <tableColumn id="4641" xr3:uid="{894AB995-A3C0-4766-BA33-837E8D80C81F}" name="Column4627" dataDxfId="23956" totalsRowDxfId="23955"/>
    <tableColumn id="4642" xr3:uid="{65AEBA21-3EE8-4205-969C-5A83FD81E723}" name="Column4628" dataDxfId="23954" totalsRowDxfId="23953"/>
    <tableColumn id="4643" xr3:uid="{61988A53-B0CA-4965-A083-E21822F893C9}" name="Column4629" dataDxfId="23952" totalsRowDxfId="23951"/>
    <tableColumn id="4644" xr3:uid="{6CAA506B-430F-40ED-AAE9-43D7525332A0}" name="Column4630" dataDxfId="23950" totalsRowDxfId="23949"/>
    <tableColumn id="4645" xr3:uid="{81E1C985-842F-4215-BB91-3D350511E197}" name="Column4631" dataDxfId="23948" totalsRowDxfId="23947"/>
    <tableColumn id="4646" xr3:uid="{7AD6ECD8-2A5C-4767-8EFF-D2753D5715D7}" name="Column4632" dataDxfId="23946" totalsRowDxfId="23945"/>
    <tableColumn id="4647" xr3:uid="{37D9F663-D140-4E44-B669-9D067B08969F}" name="Column4633" dataDxfId="23944" totalsRowDxfId="23943"/>
    <tableColumn id="4648" xr3:uid="{F51B5D3B-2133-4791-83AF-61B6CE8DA3EE}" name="Column4634" dataDxfId="23942" totalsRowDxfId="23941"/>
    <tableColumn id="4649" xr3:uid="{40FD503F-E608-4FF7-ABEE-CE08646E2F2C}" name="Column4635" dataDxfId="23940" totalsRowDxfId="23939"/>
    <tableColumn id="4650" xr3:uid="{2FA0019D-98ED-4D11-9BD3-4C3A25015925}" name="Column4636" dataDxfId="23938" totalsRowDxfId="23937"/>
    <tableColumn id="4651" xr3:uid="{4ACF77A5-1256-40A6-9DB4-EA08A3C8A50E}" name="Column4637" dataDxfId="23936" totalsRowDxfId="23935"/>
    <tableColumn id="4652" xr3:uid="{D947254F-3F01-425C-B6FD-B63BD46DC3FB}" name="Column4638" dataDxfId="23934" totalsRowDxfId="23933"/>
    <tableColumn id="4653" xr3:uid="{2A103AF2-F589-4BF1-835A-C9EB2C970B64}" name="Column4639" dataDxfId="23932" totalsRowDxfId="23931"/>
    <tableColumn id="4654" xr3:uid="{56418452-8288-49F6-BFCB-CBB9890F7BC7}" name="Column4640" dataDxfId="23930" totalsRowDxfId="23929"/>
    <tableColumn id="4655" xr3:uid="{89070EAF-DDC3-49AA-BB9E-6ABBB78B9F0E}" name="Column4641" dataDxfId="23928" totalsRowDxfId="23927"/>
    <tableColumn id="4656" xr3:uid="{097DE68A-9088-44A1-B778-BF0EF0DD26D7}" name="Column4642" dataDxfId="23926" totalsRowDxfId="23925"/>
    <tableColumn id="4657" xr3:uid="{AC9FBBED-29C4-4967-9C18-9C858F1F04AD}" name="Column4643" dataDxfId="23924" totalsRowDxfId="23923"/>
    <tableColumn id="4658" xr3:uid="{FAAADA93-C7BA-47B6-83EA-38B9BAE486DB}" name="Column4644" dataDxfId="23922" totalsRowDxfId="23921"/>
    <tableColumn id="4659" xr3:uid="{E199B9E6-A0DF-403C-9E93-646EB5EBA1C4}" name="Column4645" dataDxfId="23920" totalsRowDxfId="23919"/>
    <tableColumn id="4660" xr3:uid="{C1AAD29C-24E6-4053-9FCF-9752C610553D}" name="Column4646" dataDxfId="23918" totalsRowDxfId="23917"/>
    <tableColumn id="4661" xr3:uid="{E16C0DDD-A62D-4F14-8E01-29817F1D2DDF}" name="Column4647" dataDxfId="23916" totalsRowDxfId="23915"/>
    <tableColumn id="4662" xr3:uid="{C2690655-B610-41E9-B2DF-FCB0272C06F6}" name="Column4648" dataDxfId="23914" totalsRowDxfId="23913"/>
    <tableColumn id="4663" xr3:uid="{3B932D56-A8A8-4486-9EAE-E72CDCEFA689}" name="Column4649" dataDxfId="23912" totalsRowDxfId="23911"/>
    <tableColumn id="4664" xr3:uid="{DC91B10A-82F8-4470-A377-A17A01F39DC2}" name="Column4650" dataDxfId="23910" totalsRowDxfId="23909"/>
    <tableColumn id="4665" xr3:uid="{27F99B81-7A2A-4B5C-8649-21B3B56EA871}" name="Column4651" dataDxfId="23908" totalsRowDxfId="23907"/>
    <tableColumn id="4666" xr3:uid="{4C992FA5-328F-443F-81B6-0E3579F685AE}" name="Column4652" dataDxfId="23906" totalsRowDxfId="23905"/>
    <tableColumn id="4667" xr3:uid="{48255F3E-94B4-48D5-AB25-FA6D5DA78D46}" name="Column4653" dataDxfId="23904" totalsRowDxfId="23903"/>
    <tableColumn id="4668" xr3:uid="{67C6274D-BFC1-4E55-80DA-17F3D8C90209}" name="Column4654" dataDxfId="23902" totalsRowDxfId="23901"/>
    <tableColumn id="4669" xr3:uid="{E9476B74-21BC-4519-A582-2E4D8729D3D5}" name="Column4655" dataDxfId="23900" totalsRowDxfId="23899"/>
    <tableColumn id="4670" xr3:uid="{0E19F064-FD04-464F-AF92-02D55FB90194}" name="Column4656" dataDxfId="23898" totalsRowDxfId="23897"/>
    <tableColumn id="4671" xr3:uid="{A49B2508-B19D-4EBE-9A47-69B7A834413D}" name="Column4657" dataDxfId="23896" totalsRowDxfId="23895"/>
    <tableColumn id="4672" xr3:uid="{25526652-5C88-46B5-A26B-4568753B0FBD}" name="Column4658" dataDxfId="23894" totalsRowDxfId="23893"/>
    <tableColumn id="4673" xr3:uid="{3B21C888-1FED-477C-B199-4CB99E3C69AD}" name="Column4659" dataDxfId="23892" totalsRowDxfId="23891"/>
    <tableColumn id="4674" xr3:uid="{215073E6-F887-4B2F-A1B9-545F7DAC25F1}" name="Column4660" dataDxfId="23890" totalsRowDxfId="23889"/>
    <tableColumn id="4675" xr3:uid="{5847D52E-1B38-4028-9D84-F695EA078181}" name="Column4661" dataDxfId="23888" totalsRowDxfId="23887"/>
    <tableColumn id="4676" xr3:uid="{9A875659-473F-44DC-B724-A45D6B9FB9CC}" name="Column4662" dataDxfId="23886" totalsRowDxfId="23885"/>
    <tableColumn id="4677" xr3:uid="{0170A220-747A-433C-98FF-F61F3F097DA1}" name="Column4663" dataDxfId="23884" totalsRowDxfId="23883"/>
    <tableColumn id="4678" xr3:uid="{34A08B93-C28E-414A-A1DC-1A8AD04CBC15}" name="Column4664" dataDxfId="23882" totalsRowDxfId="23881"/>
    <tableColumn id="4679" xr3:uid="{72FB336D-7672-42C5-AF5E-0F6FF571674C}" name="Column4665" dataDxfId="23880" totalsRowDxfId="23879"/>
    <tableColumn id="4680" xr3:uid="{676F795B-4306-4A51-B23C-1C9A6E800816}" name="Column4666" dataDxfId="23878" totalsRowDxfId="23877"/>
    <tableColumn id="4681" xr3:uid="{549757EE-7DFA-4406-AD51-3CAA0E17ECF9}" name="Column4667" dataDxfId="23876" totalsRowDxfId="23875"/>
    <tableColumn id="4682" xr3:uid="{25EF756A-7E8B-4E13-BC45-B081CF880EE0}" name="Column4668" dataDxfId="23874" totalsRowDxfId="23873"/>
    <tableColumn id="4683" xr3:uid="{C5A08A88-394C-403F-865A-BF922869A7E4}" name="Column4669" dataDxfId="23872" totalsRowDxfId="23871"/>
    <tableColumn id="4684" xr3:uid="{3531AE28-8586-488F-B31E-AE5AAF925ABB}" name="Column4670" dataDxfId="23870" totalsRowDxfId="23869"/>
    <tableColumn id="4685" xr3:uid="{947FEC23-B93A-4FAD-92A4-258538CE0B34}" name="Column4671" dataDxfId="23868" totalsRowDxfId="23867"/>
    <tableColumn id="4686" xr3:uid="{EE37D2B0-D094-4A2A-9F00-339E15F2D7CA}" name="Column4672" dataDxfId="23866" totalsRowDxfId="23865"/>
    <tableColumn id="4687" xr3:uid="{D387509C-6CA1-46B9-BF65-6A71061A31BD}" name="Column4673" dataDxfId="23864" totalsRowDxfId="23863"/>
    <tableColumn id="4688" xr3:uid="{F6B933AE-C558-4B30-AAD8-8FFC856C85E4}" name="Column4674" dataDxfId="23862" totalsRowDxfId="23861"/>
    <tableColumn id="4689" xr3:uid="{D05FE038-884D-4E6B-ADE4-8CF539AA3D7A}" name="Column4675" dataDxfId="23860" totalsRowDxfId="23859"/>
    <tableColumn id="4690" xr3:uid="{C7708C77-FA85-49E4-A96B-BA15D24ED1B6}" name="Column4676" dataDxfId="23858" totalsRowDxfId="23857"/>
    <tableColumn id="4691" xr3:uid="{8B563668-2AB6-4B60-8013-B94090EA7597}" name="Column4677" dataDxfId="23856" totalsRowDxfId="23855"/>
    <tableColumn id="4692" xr3:uid="{F0A0A8C7-E016-4333-8868-9A276D593597}" name="Column4678" dataDxfId="23854" totalsRowDxfId="23853"/>
    <tableColumn id="4693" xr3:uid="{2A0EE066-7AE2-4EDF-93E3-DA4D8C323742}" name="Column4679" dataDxfId="23852" totalsRowDxfId="23851"/>
    <tableColumn id="4694" xr3:uid="{73B8F66E-156D-4DE0-86DE-87B459FEAE15}" name="Column4680" dataDxfId="23850" totalsRowDxfId="23849"/>
    <tableColumn id="4695" xr3:uid="{0C5946FF-2477-41C0-B4A8-B2080233130A}" name="Column4681" dataDxfId="23848" totalsRowDxfId="23847"/>
    <tableColumn id="4696" xr3:uid="{D249BE20-BD19-42B1-9012-D936E55C165D}" name="Column4682" dataDxfId="23846" totalsRowDxfId="23845"/>
    <tableColumn id="4697" xr3:uid="{F62D057E-F98F-4289-A027-94A0912FC83F}" name="Column4683" dataDxfId="23844" totalsRowDxfId="23843"/>
    <tableColumn id="4698" xr3:uid="{5AAB58DB-8A4A-4237-A060-8F9F9E828FC5}" name="Column4684" dataDxfId="23842" totalsRowDxfId="23841"/>
    <tableColumn id="4699" xr3:uid="{B784F0DA-C978-4EB7-94E1-3E08284676EA}" name="Column4685" dataDxfId="23840" totalsRowDxfId="23839"/>
    <tableColumn id="4700" xr3:uid="{7EC94CFF-9666-45BF-A008-022C03F6B61E}" name="Column4686" dataDxfId="23838" totalsRowDxfId="23837"/>
    <tableColumn id="4701" xr3:uid="{6EB7F99A-8217-457B-8F28-8E665A0BFC86}" name="Column4687" dataDxfId="23836" totalsRowDxfId="23835"/>
    <tableColumn id="4702" xr3:uid="{A53B6F6A-C0E5-41A1-AA6C-4AF9401F457A}" name="Column4688" dataDxfId="23834" totalsRowDxfId="23833"/>
    <tableColumn id="4703" xr3:uid="{4C986EC5-DB5C-43B6-81C0-D7E4ABC054B1}" name="Column4689" dataDxfId="23832" totalsRowDxfId="23831"/>
    <tableColumn id="4704" xr3:uid="{1D56D666-8C5C-4780-A8C7-060FFF94BEE6}" name="Column4690" dataDxfId="23830" totalsRowDxfId="23829"/>
    <tableColumn id="4705" xr3:uid="{B74C9EB1-8A7F-4A34-B2A9-18812023C7D2}" name="Column4691" dataDxfId="23828" totalsRowDxfId="23827"/>
    <tableColumn id="4706" xr3:uid="{40F7D0BB-E6E5-4BEE-859E-D1DE0D27E771}" name="Column4692" dataDxfId="23826" totalsRowDxfId="23825"/>
    <tableColumn id="4707" xr3:uid="{0989772A-5036-4DCB-8079-0559159B4387}" name="Column4693" dataDxfId="23824" totalsRowDxfId="23823"/>
    <tableColumn id="4708" xr3:uid="{DF061DB5-4800-455E-83F9-9A08808F3B6D}" name="Column4694" dataDxfId="23822" totalsRowDxfId="23821"/>
    <tableColumn id="4709" xr3:uid="{4BE841C4-CC30-44B5-ABFA-33367AC786AE}" name="Column4695" dataDxfId="23820" totalsRowDxfId="23819"/>
    <tableColumn id="4710" xr3:uid="{B4684178-005A-4675-803E-7A6A5E7C6699}" name="Column4696" dataDxfId="23818" totalsRowDxfId="23817"/>
    <tableColumn id="4711" xr3:uid="{957E2D9B-C90E-4DF5-8A08-C63F4B942623}" name="Column4697" dataDxfId="23816" totalsRowDxfId="23815"/>
    <tableColumn id="4712" xr3:uid="{BC16F8B1-0FD5-46DF-B5AE-FFEF13F82B39}" name="Column4698" dataDxfId="23814" totalsRowDxfId="23813"/>
    <tableColumn id="4713" xr3:uid="{01A1F979-DD62-4A89-B76F-3653C8BF6BCB}" name="Column4699" dataDxfId="23812" totalsRowDxfId="23811"/>
    <tableColumn id="4714" xr3:uid="{90C8B0AE-ACCB-4519-9F4E-87B0423D2C68}" name="Column4700" dataDxfId="23810" totalsRowDxfId="23809"/>
    <tableColumn id="4715" xr3:uid="{AA776312-D263-4E00-9520-E0B24567902C}" name="Column4701" dataDxfId="23808" totalsRowDxfId="23807"/>
    <tableColumn id="4716" xr3:uid="{74DBBA9E-61EF-476B-AC7F-2B299E416C86}" name="Column4702" dataDxfId="23806" totalsRowDxfId="23805"/>
    <tableColumn id="4717" xr3:uid="{F9BD74C3-861B-4F5C-BECA-00A00DC59EAA}" name="Column4703" dataDxfId="23804" totalsRowDxfId="23803"/>
    <tableColumn id="4718" xr3:uid="{47CD045D-814D-49EB-AFA7-3F4F498BF8B2}" name="Column4704" dataDxfId="23802" totalsRowDxfId="23801"/>
    <tableColumn id="4719" xr3:uid="{23B27FF7-6449-4DB4-85A1-0552E82CBB7C}" name="Column4705" dataDxfId="23800" totalsRowDxfId="23799"/>
    <tableColumn id="4720" xr3:uid="{DFE7F053-9058-4185-A56A-C60DDEDACF24}" name="Column4706" dataDxfId="23798" totalsRowDxfId="23797"/>
    <tableColumn id="4721" xr3:uid="{30EFA2BF-2A91-46CA-8AE7-9C34BD90CD9B}" name="Column4707" dataDxfId="23796" totalsRowDxfId="23795"/>
    <tableColumn id="4722" xr3:uid="{7F141C04-2456-47BE-8EAD-1E6205327711}" name="Column4708" dataDxfId="23794" totalsRowDxfId="23793"/>
    <tableColumn id="4723" xr3:uid="{974D2977-0461-4692-9CFA-B7603276F4B8}" name="Column4709" dataDxfId="23792" totalsRowDxfId="23791"/>
    <tableColumn id="4724" xr3:uid="{3220EC2E-1EAE-45EB-A319-6567FADA3057}" name="Column4710" dataDxfId="23790" totalsRowDxfId="23789"/>
    <tableColumn id="4725" xr3:uid="{80F19593-9F46-4764-BD12-6AC2A31F23DF}" name="Column4711" dataDxfId="23788" totalsRowDxfId="23787"/>
    <tableColumn id="4726" xr3:uid="{5048D2A0-AEC1-4523-A2B6-FE27514D0C11}" name="Column4712" dataDxfId="23786" totalsRowDxfId="23785"/>
    <tableColumn id="4727" xr3:uid="{B5373996-90B3-4270-8F5B-6B6C153AF26C}" name="Column4713" dataDxfId="23784" totalsRowDxfId="23783"/>
    <tableColumn id="4728" xr3:uid="{592915AF-06AB-4AB2-9B37-26CB0D2D386D}" name="Column4714" dataDxfId="23782" totalsRowDxfId="23781"/>
    <tableColumn id="4729" xr3:uid="{37B8E5B4-D200-45EF-9C32-72F1A0F5D72A}" name="Column4715" dataDxfId="23780" totalsRowDxfId="23779"/>
    <tableColumn id="4730" xr3:uid="{8779B697-245A-47FB-B3BD-722099D20BA0}" name="Column4716" dataDxfId="23778" totalsRowDxfId="23777"/>
    <tableColumn id="4731" xr3:uid="{C25333B3-756E-4FF5-9E6D-D9A6D2BA7E59}" name="Column4717" dataDxfId="23776" totalsRowDxfId="23775"/>
    <tableColumn id="4732" xr3:uid="{C44CF650-A4E7-4947-B634-1DA142B1EC63}" name="Column4718" dataDxfId="23774" totalsRowDxfId="23773"/>
    <tableColumn id="4733" xr3:uid="{E0717A88-D8CF-486F-9D34-687CCF857437}" name="Column4719" dataDxfId="23772" totalsRowDxfId="23771"/>
    <tableColumn id="4734" xr3:uid="{6C5F0543-553F-4340-8D1E-844DCA7B0849}" name="Column4720" dataDxfId="23770" totalsRowDxfId="23769"/>
    <tableColumn id="4735" xr3:uid="{E082304E-1EB4-41C6-93F8-35F250366BCF}" name="Column4721" dataDxfId="23768" totalsRowDxfId="23767"/>
    <tableColumn id="4736" xr3:uid="{35F51539-B185-4E32-9626-FA5A3F7FCC10}" name="Column4722" dataDxfId="23766" totalsRowDxfId="23765"/>
    <tableColumn id="4737" xr3:uid="{DFB97CCA-7A1C-4CE6-BB97-AEB87570A528}" name="Column4723" dataDxfId="23764" totalsRowDxfId="23763"/>
    <tableColumn id="4738" xr3:uid="{404B71FD-3EA6-46EC-8A67-70BF7A456E74}" name="Column4724" dataDxfId="23762" totalsRowDxfId="23761"/>
    <tableColumn id="4739" xr3:uid="{424DD494-83C4-401D-8494-6B7C9B6E887C}" name="Column4725" dataDxfId="23760" totalsRowDxfId="23759"/>
    <tableColumn id="4740" xr3:uid="{18037276-8AC4-466A-AC1B-450117CC76B6}" name="Column4726" dataDxfId="23758" totalsRowDxfId="23757"/>
    <tableColumn id="4741" xr3:uid="{DF63138E-F3BD-49C6-891E-B8FEBAFC7A17}" name="Column4727" dataDxfId="23756" totalsRowDxfId="23755"/>
    <tableColumn id="4742" xr3:uid="{0118FDAF-5551-414B-8745-F4FEBB1DF262}" name="Column4728" dataDxfId="23754" totalsRowDxfId="23753"/>
    <tableColumn id="4743" xr3:uid="{344EF071-F5A4-4A3C-B883-62F94DA201F0}" name="Column4729" dataDxfId="23752" totalsRowDxfId="23751"/>
    <tableColumn id="4744" xr3:uid="{355563C8-5476-4F7D-A26C-FC1508A3879A}" name="Column4730" dataDxfId="23750" totalsRowDxfId="23749"/>
    <tableColumn id="4745" xr3:uid="{2F24B2CC-1C70-4C40-9366-40705970CD30}" name="Column4731" dataDxfId="23748" totalsRowDxfId="23747"/>
    <tableColumn id="4746" xr3:uid="{FEF1BEA4-B022-4B83-9E50-8DAF159DE54D}" name="Column4732" dataDxfId="23746" totalsRowDxfId="23745"/>
    <tableColumn id="4747" xr3:uid="{0BD8759A-49DE-48C0-BAF8-F808ABD7DB1D}" name="Column4733" dataDxfId="23744" totalsRowDxfId="23743"/>
    <tableColumn id="4748" xr3:uid="{7E6CBE4C-DF67-4C85-BA8A-EAFA14EC9B4C}" name="Column4734" dataDxfId="23742" totalsRowDxfId="23741"/>
    <tableColumn id="4749" xr3:uid="{5BCE4011-8789-4161-82E8-0C16E917835E}" name="Column4735" dataDxfId="23740" totalsRowDxfId="23739"/>
    <tableColumn id="4750" xr3:uid="{5629DB5B-46E6-47B3-B6D1-D7638225086B}" name="Column4736" dataDxfId="23738" totalsRowDxfId="23737"/>
    <tableColumn id="4751" xr3:uid="{F9B7B763-08EE-4719-81A5-7B1E7F516AF0}" name="Column4737" dataDxfId="23736" totalsRowDxfId="23735"/>
    <tableColumn id="4752" xr3:uid="{2A54D480-6572-4FBD-BEB2-49AF9BC92165}" name="Column4738" dataDxfId="23734" totalsRowDxfId="23733"/>
    <tableColumn id="4753" xr3:uid="{0E91D641-FC8D-4E63-8B58-CBC3652C6535}" name="Column4739" dataDxfId="23732" totalsRowDxfId="23731"/>
    <tableColumn id="4754" xr3:uid="{A2BA1F7F-638B-4D9E-A561-006E24435995}" name="Column4740" dataDxfId="23730" totalsRowDxfId="23729"/>
    <tableColumn id="4755" xr3:uid="{15C63E46-E537-4D60-A3F5-2FDBB332D0B6}" name="Column4741" dataDxfId="23728" totalsRowDxfId="23727"/>
    <tableColumn id="4756" xr3:uid="{D5DCD575-85DD-4665-A64E-3E3502B1CEE2}" name="Column4742" dataDxfId="23726" totalsRowDxfId="23725"/>
    <tableColumn id="4757" xr3:uid="{80B06C3D-B3CE-4DF1-94E0-29A55090DE1B}" name="Column4743" dataDxfId="23724" totalsRowDxfId="23723"/>
    <tableColumn id="4758" xr3:uid="{9715A0F9-2DFD-4FAE-BB59-CA6E00929E08}" name="Column4744" dataDxfId="23722" totalsRowDxfId="23721"/>
    <tableColumn id="4759" xr3:uid="{7FC742C9-B170-4295-B64A-0FEC6AAB436B}" name="Column4745" dataDxfId="23720" totalsRowDxfId="23719"/>
    <tableColumn id="4760" xr3:uid="{81DECD72-5C62-47C6-83BC-35B94C1F9115}" name="Column4746" dataDxfId="23718" totalsRowDxfId="23717"/>
    <tableColumn id="4761" xr3:uid="{06E0A2B0-51D1-4714-9BF4-4787F498B55C}" name="Column4747" dataDxfId="23716" totalsRowDxfId="23715"/>
    <tableColumn id="4762" xr3:uid="{C85BCB76-0B0E-41A7-84BC-266623BB5A8D}" name="Column4748" dataDxfId="23714" totalsRowDxfId="23713"/>
    <tableColumn id="4763" xr3:uid="{101AE5C8-C676-4475-8698-236B09FADAAF}" name="Column4749" dataDxfId="23712" totalsRowDxfId="23711"/>
    <tableColumn id="4764" xr3:uid="{46BE4FF2-4B65-4178-8F3A-464E2E12CA5B}" name="Column4750" dataDxfId="23710" totalsRowDxfId="23709"/>
    <tableColumn id="4765" xr3:uid="{4EDD24E6-F645-481E-9448-11CC0C45D77F}" name="Column4751" dataDxfId="23708" totalsRowDxfId="23707"/>
    <tableColumn id="4766" xr3:uid="{51A1D0B0-0716-4388-8703-0CD57DCD2CCE}" name="Column4752" dataDxfId="23706" totalsRowDxfId="23705"/>
    <tableColumn id="4767" xr3:uid="{151775C0-BE74-49FF-8D0C-77C3DB5E53F2}" name="Column4753" dataDxfId="23704" totalsRowDxfId="23703"/>
    <tableColumn id="4768" xr3:uid="{F072E6E6-8C9C-4AC0-B3FF-492D5C778001}" name="Column4754" dataDxfId="23702" totalsRowDxfId="23701"/>
    <tableColumn id="4769" xr3:uid="{FFFDBB32-48EE-4445-826A-8EDEAAFCC603}" name="Column4755" dataDxfId="23700" totalsRowDxfId="23699"/>
    <tableColumn id="4770" xr3:uid="{E85071A4-ADC3-4482-9128-10A0740B1540}" name="Column4756" dataDxfId="23698" totalsRowDxfId="23697"/>
    <tableColumn id="4771" xr3:uid="{2C73792D-95C7-4889-A728-41E931E9DB6B}" name="Column4757" dataDxfId="23696" totalsRowDxfId="23695"/>
    <tableColumn id="4772" xr3:uid="{24BBE736-F098-4229-9877-549485F58E28}" name="Column4758" dataDxfId="23694" totalsRowDxfId="23693"/>
    <tableColumn id="4773" xr3:uid="{DBDF0C00-0765-484D-87E7-DD002EF73513}" name="Column4759" dataDxfId="23692" totalsRowDxfId="23691"/>
    <tableColumn id="4774" xr3:uid="{BD78E3D1-8875-4B45-B34B-A18DDF8D2EAD}" name="Column4760" dataDxfId="23690" totalsRowDxfId="23689"/>
    <tableColumn id="4775" xr3:uid="{6D08CAF6-AE61-45A3-A46E-CD22ADEB7578}" name="Column4761" dataDxfId="23688" totalsRowDxfId="23687"/>
    <tableColumn id="4776" xr3:uid="{CFE292CF-9885-4C94-85F1-E5FA86F2ADDD}" name="Column4762" dataDxfId="23686" totalsRowDxfId="23685"/>
    <tableColumn id="4777" xr3:uid="{4579FA54-A2B9-4DDC-996E-73F9E743FCDA}" name="Column4763" dataDxfId="23684" totalsRowDxfId="23683"/>
    <tableColumn id="4778" xr3:uid="{5D6D3C0D-F771-4DEE-9D2D-C38E944FF9DE}" name="Column4764" dataDxfId="23682" totalsRowDxfId="23681"/>
    <tableColumn id="4779" xr3:uid="{2268867F-CD07-493E-AD3F-D802D957473E}" name="Column4765" dataDxfId="23680" totalsRowDxfId="23679"/>
    <tableColumn id="4780" xr3:uid="{3588DA6F-3FFC-4022-AE67-40A47481D026}" name="Column4766" dataDxfId="23678" totalsRowDxfId="23677"/>
    <tableColumn id="4781" xr3:uid="{B32CD4C8-2EE9-4FB9-B19A-C427EFE7D66D}" name="Column4767" dataDxfId="23676" totalsRowDxfId="23675"/>
    <tableColumn id="4782" xr3:uid="{AFD7C00C-F738-4289-BBF7-0E589C4F77EC}" name="Column4768" dataDxfId="23674" totalsRowDxfId="23673"/>
    <tableColumn id="4783" xr3:uid="{A918A34B-AB2A-4F0C-AE99-31C5B906DC76}" name="Column4769" dataDxfId="23672" totalsRowDxfId="23671"/>
    <tableColumn id="4784" xr3:uid="{8B026542-0D37-45DF-8CC6-FDE66BBEF993}" name="Column4770" dataDxfId="23670" totalsRowDxfId="23669"/>
    <tableColumn id="4785" xr3:uid="{17E9B518-ED02-462E-B966-48FDDFE4A7DE}" name="Column4771" dataDxfId="23668" totalsRowDxfId="23667"/>
    <tableColumn id="4786" xr3:uid="{D98D1691-6EDE-48DD-8902-9283F8CC4DEE}" name="Column4772" dataDxfId="23666" totalsRowDxfId="23665"/>
    <tableColumn id="4787" xr3:uid="{44D8FA5A-682D-48BA-9FC1-6CC65FFE5623}" name="Column4773" dataDxfId="23664" totalsRowDxfId="23663"/>
    <tableColumn id="4788" xr3:uid="{17052216-A17F-4A5C-B28A-931A73447416}" name="Column4774" dataDxfId="23662" totalsRowDxfId="23661"/>
    <tableColumn id="4789" xr3:uid="{683ABA27-EDCA-425A-B4C4-D54155E8E55D}" name="Column4775" dataDxfId="23660" totalsRowDxfId="23659"/>
    <tableColumn id="4790" xr3:uid="{D431F09C-8A24-4F99-9405-E82A7BCF58D2}" name="Column4776" dataDxfId="23658" totalsRowDxfId="23657"/>
    <tableColumn id="4791" xr3:uid="{DD4C9BEE-7518-4ED2-B0B5-3B0665CB3837}" name="Column4777" dataDxfId="23656" totalsRowDxfId="23655"/>
    <tableColumn id="4792" xr3:uid="{6A5D9FC5-319D-493A-8BB9-3464BB33299B}" name="Column4778" dataDxfId="23654" totalsRowDxfId="23653"/>
    <tableColumn id="4793" xr3:uid="{7BEC67DC-A99D-4FBD-A2F5-D691D38B25B4}" name="Column4779" dataDxfId="23652" totalsRowDxfId="23651"/>
    <tableColumn id="4794" xr3:uid="{C5EE4D93-C8F7-42D0-B95C-455CECC8F0A6}" name="Column4780" dataDxfId="23650" totalsRowDxfId="23649"/>
    <tableColumn id="4795" xr3:uid="{B0A926E5-62B6-4D46-B4D4-1D0C70455381}" name="Column4781" dataDxfId="23648" totalsRowDxfId="23647"/>
    <tableColumn id="4796" xr3:uid="{02A836FE-0CBE-42CA-BCB5-BD5EC1D763DF}" name="Column4782" dataDxfId="23646" totalsRowDxfId="23645"/>
    <tableColumn id="4797" xr3:uid="{90F27E21-3554-4764-AA2A-B2AEF6598315}" name="Column4783" dataDxfId="23644" totalsRowDxfId="23643"/>
    <tableColumn id="4798" xr3:uid="{B49C61D6-DF61-4741-8A4A-78DBD410C79C}" name="Column4784" dataDxfId="23642" totalsRowDxfId="23641"/>
    <tableColumn id="4799" xr3:uid="{B38B5A9C-E76D-464C-8065-5CFA68CB0066}" name="Column4785" dataDxfId="23640" totalsRowDxfId="23639"/>
    <tableColumn id="4800" xr3:uid="{848E253C-0638-4AD8-BF14-52D60960C709}" name="Column4786" dataDxfId="23638" totalsRowDxfId="23637"/>
    <tableColumn id="4801" xr3:uid="{3958D3DD-C1A6-4539-BE11-C61966A0693C}" name="Column4787" dataDxfId="23636" totalsRowDxfId="23635"/>
    <tableColumn id="4802" xr3:uid="{4557BBA1-472B-4991-9721-70786A74D0C9}" name="Column4788" dataDxfId="23634" totalsRowDxfId="23633"/>
    <tableColumn id="4803" xr3:uid="{F1122F67-3059-45BB-9022-F2D085E66C5B}" name="Column4789" dataDxfId="23632" totalsRowDxfId="23631"/>
    <tableColumn id="4804" xr3:uid="{9894D3C9-0E8C-4F1D-8639-194228FFCF83}" name="Column4790" dataDxfId="23630" totalsRowDxfId="23629"/>
    <tableColumn id="4805" xr3:uid="{AC8E4D32-785E-438E-B4D5-208F0AA70D25}" name="Column4791" dataDxfId="23628" totalsRowDxfId="23627"/>
    <tableColumn id="4806" xr3:uid="{2A221167-5E58-4FE8-B102-24D245E9C893}" name="Column4792" dataDxfId="23626" totalsRowDxfId="23625"/>
    <tableColumn id="4807" xr3:uid="{66C9C4B5-DB90-44DE-AEC8-FA994FE35B24}" name="Column4793" dataDxfId="23624" totalsRowDxfId="23623"/>
    <tableColumn id="4808" xr3:uid="{91F075DC-5955-416E-B679-A918C994DD5C}" name="Column4794" dataDxfId="23622" totalsRowDxfId="23621"/>
    <tableColumn id="4809" xr3:uid="{C5A8F34E-F62F-480F-8890-4DA86969267D}" name="Column4795" dataDxfId="23620" totalsRowDxfId="23619"/>
    <tableColumn id="4810" xr3:uid="{99AB39F9-5591-4B06-A7A3-4B9F91CFD455}" name="Column4796" dataDxfId="23618" totalsRowDxfId="23617"/>
    <tableColumn id="4811" xr3:uid="{19D52D0E-B420-4916-981D-A5405C2BACA8}" name="Column4797" dataDxfId="23616" totalsRowDxfId="23615"/>
    <tableColumn id="4812" xr3:uid="{9772C783-FB5E-4EF6-9830-80F12F18D6DC}" name="Column4798" dataDxfId="23614" totalsRowDxfId="23613"/>
    <tableColumn id="4813" xr3:uid="{C0D509E1-826E-4078-BB27-BB01976056A1}" name="Column4799" dataDxfId="23612" totalsRowDxfId="23611"/>
    <tableColumn id="4814" xr3:uid="{7600C4B8-8F65-4AE8-BAFA-1B3A4A12CEA5}" name="Column4800" dataDxfId="23610" totalsRowDxfId="23609"/>
    <tableColumn id="4815" xr3:uid="{5C70B2EE-729F-44BA-B3E0-849DE2439574}" name="Column4801" dataDxfId="23608" totalsRowDxfId="23607"/>
    <tableColumn id="4816" xr3:uid="{57BF21D0-DD75-4D37-BD6A-DA07849FBA6B}" name="Column4802" dataDxfId="23606" totalsRowDxfId="23605"/>
    <tableColumn id="4817" xr3:uid="{3D643C9C-9861-4687-8764-2987D4E59ADE}" name="Column4803" dataDxfId="23604" totalsRowDxfId="23603"/>
    <tableColumn id="4818" xr3:uid="{7FBDA21A-87FE-4F72-9352-E93501B0200D}" name="Column4804" dataDxfId="23602" totalsRowDxfId="23601"/>
    <tableColumn id="4819" xr3:uid="{A977E893-AB5B-415A-B025-6E73F708C114}" name="Column4805" dataDxfId="23600" totalsRowDxfId="23599"/>
    <tableColumn id="4820" xr3:uid="{824AC075-B15A-492C-ABBC-861B62ED320F}" name="Column4806" dataDxfId="23598" totalsRowDxfId="23597"/>
    <tableColumn id="4821" xr3:uid="{A7315B60-28F6-46DA-9FC1-FCFCF17181A5}" name="Column4807" dataDxfId="23596" totalsRowDxfId="23595"/>
    <tableColumn id="4822" xr3:uid="{B76687D6-D45C-4B88-8F33-F310A1D2752A}" name="Column4808" dataDxfId="23594" totalsRowDxfId="23593"/>
    <tableColumn id="4823" xr3:uid="{AA24E7FD-325C-4CEE-95A8-79EE426C39F6}" name="Column4809" dataDxfId="23592" totalsRowDxfId="23591"/>
    <tableColumn id="4824" xr3:uid="{607A43E8-AF35-4703-95C1-55FED8D89435}" name="Column4810" dataDxfId="23590" totalsRowDxfId="23589"/>
    <tableColumn id="4825" xr3:uid="{6F156CAC-12B5-43EC-8EF2-0B97F316BDC2}" name="Column4811" dataDxfId="23588" totalsRowDxfId="23587"/>
    <tableColumn id="4826" xr3:uid="{1AC097CC-CC25-4B92-9296-B75098087B9D}" name="Column4812" dataDxfId="23586" totalsRowDxfId="23585"/>
    <tableColumn id="4827" xr3:uid="{0D6927D6-0263-43A9-BE68-612DC96B4BAA}" name="Column4813" dataDxfId="23584" totalsRowDxfId="23583"/>
    <tableColumn id="4828" xr3:uid="{1753BD80-36A6-48CA-80D6-9FA3F502B034}" name="Column4814" dataDxfId="23582" totalsRowDxfId="23581"/>
    <tableColumn id="4829" xr3:uid="{98E52127-550A-4293-B2A9-2F2BBB9D854E}" name="Column4815" dataDxfId="23580" totalsRowDxfId="23579"/>
    <tableColumn id="4830" xr3:uid="{9449CC19-DB3A-40DC-94C1-355DA3748C43}" name="Column4816" dataDxfId="23578" totalsRowDxfId="23577"/>
    <tableColumn id="4831" xr3:uid="{7B331D60-8871-4BD9-804B-DF0928F651C6}" name="Column4817" dataDxfId="23576" totalsRowDxfId="23575"/>
    <tableColumn id="4832" xr3:uid="{1B3E22B1-5A03-4B12-BB68-0D3974D6706B}" name="Column4818" dataDxfId="23574" totalsRowDxfId="23573"/>
    <tableColumn id="4833" xr3:uid="{98C26DA4-99D1-42A5-B270-64CA6A7A83E1}" name="Column4819" dataDxfId="23572" totalsRowDxfId="23571"/>
    <tableColumn id="4834" xr3:uid="{A73C7478-27D2-4715-9E03-DB045F2C898C}" name="Column4820" dataDxfId="23570" totalsRowDxfId="23569"/>
    <tableColumn id="4835" xr3:uid="{E344D410-41AE-481F-A85E-AB998421B4FD}" name="Column4821" dataDxfId="23568" totalsRowDxfId="23567"/>
    <tableColumn id="4836" xr3:uid="{2FA95BF1-68F3-4590-AC48-743A2D4E21C2}" name="Column4822" dataDxfId="23566" totalsRowDxfId="23565"/>
    <tableColumn id="4837" xr3:uid="{768DDE7A-0F14-49E6-A99E-6C081C21BE4C}" name="Column4823" dataDxfId="23564" totalsRowDxfId="23563"/>
    <tableColumn id="4838" xr3:uid="{E402CB8D-39FB-4713-ABB4-6DEA4F5C02AF}" name="Column4824" dataDxfId="23562" totalsRowDxfId="23561"/>
    <tableColumn id="4839" xr3:uid="{105A9401-0AF3-4BF2-A144-DD627EC74A5E}" name="Column4825" dataDxfId="23560" totalsRowDxfId="23559"/>
    <tableColumn id="4840" xr3:uid="{66225373-F19B-411D-951D-CCF4B78A2D32}" name="Column4826" dataDxfId="23558" totalsRowDxfId="23557"/>
    <tableColumn id="4841" xr3:uid="{CFDF8B8B-DA7B-4E74-ABE0-FC862F0C753C}" name="Column4827" dataDxfId="23556" totalsRowDxfId="23555"/>
    <tableColumn id="4842" xr3:uid="{A692BC46-E3E8-4DFF-B071-ABE20BEDDAEC}" name="Column4828" dataDxfId="23554" totalsRowDxfId="23553"/>
    <tableColumn id="4843" xr3:uid="{45C2AEAF-E545-4D84-BD63-70B3DFD478A7}" name="Column4829" dataDxfId="23552" totalsRowDxfId="23551"/>
    <tableColumn id="4844" xr3:uid="{60402229-F5D3-452E-85E9-2DF9632C07DA}" name="Column4830" dataDxfId="23550" totalsRowDxfId="23549"/>
    <tableColumn id="4845" xr3:uid="{8074BACE-1405-48F5-A812-DEEDC2F763D3}" name="Column4831" dataDxfId="23548" totalsRowDxfId="23547"/>
    <tableColumn id="4846" xr3:uid="{E0B0D5BE-D517-41AF-B903-2869165E92D3}" name="Column4832" dataDxfId="23546" totalsRowDxfId="23545"/>
    <tableColumn id="4847" xr3:uid="{BD8D11A1-E306-4B5F-AA59-1914BE66BF2E}" name="Column4833" dataDxfId="23544" totalsRowDxfId="23543"/>
    <tableColumn id="4848" xr3:uid="{14BD1930-F16D-47E2-AB54-C2676CC972FF}" name="Column4834" dataDxfId="23542" totalsRowDxfId="23541"/>
    <tableColumn id="4849" xr3:uid="{4EAA16DE-4B7F-46E3-8B29-C597981CCAB0}" name="Column4835" dataDxfId="23540" totalsRowDxfId="23539"/>
    <tableColumn id="4850" xr3:uid="{A11463BC-CE86-41E7-B55A-7ADF502B94D7}" name="Column4836" dataDxfId="23538" totalsRowDxfId="23537"/>
    <tableColumn id="4851" xr3:uid="{BAD18A3E-02A2-4534-8E7C-8B8DD5DE0B29}" name="Column4837" dataDxfId="23536" totalsRowDxfId="23535"/>
    <tableColumn id="4852" xr3:uid="{CBD712A1-48B9-4228-A093-2704AF511C30}" name="Column4838" dataDxfId="23534" totalsRowDxfId="23533"/>
    <tableColumn id="4853" xr3:uid="{8DA29FD1-3737-40DC-A677-6CACDDDED148}" name="Column4839" dataDxfId="23532" totalsRowDxfId="23531"/>
    <tableColumn id="4854" xr3:uid="{284BB1AF-76B8-415B-87F8-6196EF311D8B}" name="Column4840" dataDxfId="23530" totalsRowDxfId="23529"/>
    <tableColumn id="4855" xr3:uid="{70D61621-74E8-46BA-BC2D-4600BA31D6FD}" name="Column4841" dataDxfId="23528" totalsRowDxfId="23527"/>
    <tableColumn id="4856" xr3:uid="{E3092967-2034-4E28-B165-D87592EA16FB}" name="Column4842" dataDxfId="23526" totalsRowDxfId="23525"/>
    <tableColumn id="4857" xr3:uid="{1745CB7D-CCE1-4641-9705-E556633727C5}" name="Column4843" dataDxfId="23524" totalsRowDxfId="23523"/>
    <tableColumn id="4858" xr3:uid="{AC3407D9-6C2F-44B4-BD0C-6C7205B376AE}" name="Column4844" dataDxfId="23522" totalsRowDxfId="23521"/>
    <tableColumn id="4859" xr3:uid="{1A635F6C-D928-4738-9E77-CE284E320CC6}" name="Column4845" dataDxfId="23520" totalsRowDxfId="23519"/>
    <tableColumn id="4860" xr3:uid="{B7BA0338-F763-496A-8535-C10975D382DF}" name="Column4846" dataDxfId="23518" totalsRowDxfId="23517"/>
    <tableColumn id="4861" xr3:uid="{1EE93710-FA9B-48AE-8EDD-15DBFA072FDD}" name="Column4847" dataDxfId="23516" totalsRowDxfId="23515"/>
    <tableColumn id="4862" xr3:uid="{CA963606-1DC6-4B08-B044-FC09DAAB3204}" name="Column4848" dataDxfId="23514" totalsRowDxfId="23513"/>
    <tableColumn id="4863" xr3:uid="{D9884505-E0C9-416D-8F91-429C74C7AA7E}" name="Column4849" dataDxfId="23512" totalsRowDxfId="23511"/>
    <tableColumn id="4864" xr3:uid="{6AC9E263-9421-47D1-9CDA-DB00074B3C3F}" name="Column4850" dataDxfId="23510" totalsRowDxfId="23509"/>
    <tableColumn id="4865" xr3:uid="{BB32B77A-ACED-40C8-90BE-3F4C0BA1B145}" name="Column4851" dataDxfId="23508" totalsRowDxfId="23507"/>
    <tableColumn id="4866" xr3:uid="{AF74A050-07AE-466B-9FFC-63DDBBD4F530}" name="Column4852" dataDxfId="23506" totalsRowDxfId="23505"/>
    <tableColumn id="4867" xr3:uid="{22C85DD5-7FEA-4FE7-81DA-4244B3B6215E}" name="Column4853" dataDxfId="23504" totalsRowDxfId="23503"/>
    <tableColumn id="4868" xr3:uid="{777487D5-F113-4E89-ABB3-0FE065FE8FE6}" name="Column4854" dataDxfId="23502" totalsRowDxfId="23501"/>
    <tableColumn id="4869" xr3:uid="{48D6B397-3B1F-4F2B-AB8B-E9094DFD2767}" name="Column4855" dataDxfId="23500" totalsRowDxfId="23499"/>
    <tableColumn id="4870" xr3:uid="{901DBA99-05F4-4585-B0EF-FEF6E46375AD}" name="Column4856" dataDxfId="23498" totalsRowDxfId="23497"/>
    <tableColumn id="4871" xr3:uid="{7ECC3163-F3C5-41D2-9CFD-29FFA4D6120F}" name="Column4857" dataDxfId="23496" totalsRowDxfId="23495"/>
    <tableColumn id="4872" xr3:uid="{6DD4654E-2700-4A28-904B-FBFA4663B228}" name="Column4858" dataDxfId="23494" totalsRowDxfId="23493"/>
    <tableColumn id="4873" xr3:uid="{7BFF1F39-E9F3-423A-B78F-A7E26B5A8891}" name="Column4859" dataDxfId="23492" totalsRowDxfId="23491"/>
    <tableColumn id="4874" xr3:uid="{39321C4C-FB72-4BFC-9715-8ED0B1B45ECA}" name="Column4860" dataDxfId="23490" totalsRowDxfId="23489"/>
    <tableColumn id="4875" xr3:uid="{FBB85A8B-E72C-48C6-9DFE-E688DD21A16C}" name="Column4861" dataDxfId="23488" totalsRowDxfId="23487"/>
    <tableColumn id="4876" xr3:uid="{BE44CA11-4E7F-48FE-83AE-86ED2AB1E02E}" name="Column4862" dataDxfId="23486" totalsRowDxfId="23485"/>
    <tableColumn id="4877" xr3:uid="{02B9252B-4283-42EC-A512-5769745C7AB2}" name="Column4863" dataDxfId="23484" totalsRowDxfId="23483"/>
    <tableColumn id="4878" xr3:uid="{7360216B-A101-4459-871B-728A48EF30DC}" name="Column4864" dataDxfId="23482" totalsRowDxfId="23481"/>
    <tableColumn id="4879" xr3:uid="{75677C16-19AE-4F42-B7C8-75F453BDF063}" name="Column4865" dataDxfId="23480" totalsRowDxfId="23479"/>
    <tableColumn id="4880" xr3:uid="{414A1AAE-1AF8-4628-830E-E57280590172}" name="Column4866" dataDxfId="23478" totalsRowDxfId="23477"/>
    <tableColumn id="4881" xr3:uid="{7CE49A19-A53B-4278-B56A-FC3FD8C099D4}" name="Column4867" dataDxfId="23476" totalsRowDxfId="23475"/>
    <tableColumn id="4882" xr3:uid="{59DC8085-9144-4217-AB43-3534D035B8F3}" name="Column4868" dataDxfId="23474" totalsRowDxfId="23473"/>
    <tableColumn id="4883" xr3:uid="{CD4859BD-CF4E-4BF5-941F-516AF2F6C2B9}" name="Column4869" dataDxfId="23472" totalsRowDxfId="23471"/>
    <tableColumn id="4884" xr3:uid="{23F52F09-3FDD-4580-8E5E-DFDB21E259E2}" name="Column4870" dataDxfId="23470" totalsRowDxfId="23469"/>
    <tableColumn id="4885" xr3:uid="{5B2F25E9-DA13-4878-AC26-ACA8865A893E}" name="Column4871" dataDxfId="23468" totalsRowDxfId="23467"/>
    <tableColumn id="4886" xr3:uid="{EBC58E5D-5DC5-4857-8673-083585A6D840}" name="Column4872" dataDxfId="23466" totalsRowDxfId="23465"/>
    <tableColumn id="4887" xr3:uid="{9210B77F-DB85-4457-85D4-58D26A38B81E}" name="Column4873" dataDxfId="23464" totalsRowDxfId="23463"/>
    <tableColumn id="4888" xr3:uid="{9D35C184-19DE-4C48-A385-522840E2E26B}" name="Column4874" dataDxfId="23462" totalsRowDxfId="23461"/>
    <tableColumn id="4889" xr3:uid="{45EFF589-5393-485B-8987-B2D76A738515}" name="Column4875" dataDxfId="23460" totalsRowDxfId="23459"/>
    <tableColumn id="4890" xr3:uid="{90DF6272-53A6-49C6-9F22-18BAE8CBB87E}" name="Column4876" dataDxfId="23458" totalsRowDxfId="23457"/>
    <tableColumn id="4891" xr3:uid="{D89A21CE-5135-4736-A357-DAA1FC78B5C3}" name="Column4877" dataDxfId="23456" totalsRowDxfId="23455"/>
    <tableColumn id="4892" xr3:uid="{ADA3586D-0DC8-492B-9881-2BF5856FCA05}" name="Column4878" dataDxfId="23454" totalsRowDxfId="23453"/>
    <tableColumn id="4893" xr3:uid="{7044F46D-845E-4C14-91D7-5360355B35C4}" name="Column4879" dataDxfId="23452" totalsRowDxfId="23451"/>
    <tableColumn id="4894" xr3:uid="{6F649EDC-7326-4880-BC9A-8311607C8C6B}" name="Column4880" dataDxfId="23450" totalsRowDxfId="23449"/>
    <tableColumn id="4895" xr3:uid="{0405457C-5D14-4C73-9C21-CC7BF106E3B6}" name="Column4881" dataDxfId="23448" totalsRowDxfId="23447"/>
    <tableColumn id="4896" xr3:uid="{1FCFC62C-5C7E-4D14-A6E7-A645968FC78B}" name="Column4882" dataDxfId="23446" totalsRowDxfId="23445"/>
    <tableColumn id="4897" xr3:uid="{3BCBD683-49EB-4315-8054-93F960D989F7}" name="Column4883" dataDxfId="23444" totalsRowDxfId="23443"/>
    <tableColumn id="4898" xr3:uid="{EBF69142-7CC6-4323-918E-C62D24B8301D}" name="Column4884" dataDxfId="23442" totalsRowDxfId="23441"/>
    <tableColumn id="4899" xr3:uid="{96FD5B8E-A816-4223-8E5E-3B1666C1635E}" name="Column4885" dataDxfId="23440" totalsRowDxfId="23439"/>
    <tableColumn id="4900" xr3:uid="{1B7356E5-2B84-42CC-904C-3CC6164AA9BE}" name="Column4886" dataDxfId="23438" totalsRowDxfId="23437"/>
    <tableColumn id="4901" xr3:uid="{6CCE40D2-317A-4819-BE8F-09DBB47A6DC2}" name="Column4887" dataDxfId="23436" totalsRowDxfId="23435"/>
    <tableColumn id="4902" xr3:uid="{DF7D66CF-7146-4AE1-A6D5-6FE7021B0BF3}" name="Column4888" dataDxfId="23434" totalsRowDxfId="23433"/>
    <tableColumn id="4903" xr3:uid="{3D382CD5-A39A-4378-A30D-8C3D0E90AE48}" name="Column4889" dataDxfId="23432" totalsRowDxfId="23431"/>
    <tableColumn id="4904" xr3:uid="{FD521940-6B9C-4BBD-84AA-6B0187D2876E}" name="Column4890" dataDxfId="23430" totalsRowDxfId="23429"/>
    <tableColumn id="4905" xr3:uid="{EFD5652C-98DE-471C-A886-C4D0EA4DF3A2}" name="Column4891" dataDxfId="23428" totalsRowDxfId="23427"/>
    <tableColumn id="4906" xr3:uid="{26B9AE4D-7D12-4148-B1B1-1A36613FE629}" name="Column4892" dataDxfId="23426" totalsRowDxfId="23425"/>
    <tableColumn id="4907" xr3:uid="{532D407D-142F-47E4-B767-16F7E4E03FE9}" name="Column4893" dataDxfId="23424" totalsRowDxfId="23423"/>
    <tableColumn id="4908" xr3:uid="{1C43A189-CEB4-4DB8-924E-19B484D9CC5E}" name="Column4894" dataDxfId="23422" totalsRowDxfId="23421"/>
    <tableColumn id="4909" xr3:uid="{45CE027D-308E-4FC1-AC52-9D4816B814FB}" name="Column4895" dataDxfId="23420" totalsRowDxfId="23419"/>
    <tableColumn id="4910" xr3:uid="{8C79A437-35F4-456B-A866-90F1704DE1D3}" name="Column4896" dataDxfId="23418" totalsRowDxfId="23417"/>
    <tableColumn id="4911" xr3:uid="{745EDEB9-E71E-4E8B-9DAC-3B6BF91C87EE}" name="Column4897" dataDxfId="23416" totalsRowDxfId="23415"/>
    <tableColumn id="4912" xr3:uid="{4037C0D3-CC27-4A00-9CCC-8E6F9C0BBA04}" name="Column4898" dataDxfId="23414" totalsRowDxfId="23413"/>
    <tableColumn id="4913" xr3:uid="{8A0D964C-2CD4-4C7B-8330-C8AA1D6FB171}" name="Column4899" dataDxfId="23412" totalsRowDxfId="23411"/>
    <tableColumn id="4914" xr3:uid="{ABE7CCAE-96E5-4C53-8C72-CAFAE31EEA21}" name="Column4900" dataDxfId="23410" totalsRowDxfId="23409"/>
    <tableColumn id="4915" xr3:uid="{71B39509-6546-4B95-A605-7097615341D5}" name="Column4901" dataDxfId="23408" totalsRowDxfId="23407"/>
    <tableColumn id="4916" xr3:uid="{F08823A9-C38B-4BED-8889-94C854C375B3}" name="Column4902" dataDxfId="23406" totalsRowDxfId="23405"/>
    <tableColumn id="4917" xr3:uid="{557DA643-94DA-4925-8736-F9B4CCDEC65D}" name="Column4903" dataDxfId="23404" totalsRowDxfId="23403"/>
    <tableColumn id="4918" xr3:uid="{271039ED-E55C-4471-9FDF-218587F2F2B5}" name="Column4904" dataDxfId="23402" totalsRowDxfId="23401"/>
    <tableColumn id="4919" xr3:uid="{E88C0EFF-4749-4C99-BDDC-1568AD517DB4}" name="Column4905" dataDxfId="23400" totalsRowDxfId="23399"/>
    <tableColumn id="4920" xr3:uid="{9BD7D578-4A6E-4BFD-AC1E-3CB760E1827A}" name="Column4906" dataDxfId="23398" totalsRowDxfId="23397"/>
    <tableColumn id="4921" xr3:uid="{078B919C-BC2C-4954-A9B4-7248F2A15157}" name="Column4907" dataDxfId="23396" totalsRowDxfId="23395"/>
    <tableColumn id="4922" xr3:uid="{6B499C84-D80B-41F9-865C-EA2D7CD2A789}" name="Column4908" dataDxfId="23394" totalsRowDxfId="23393"/>
    <tableColumn id="4923" xr3:uid="{F0A6767E-8712-4A8D-93E4-A33C6885C3DA}" name="Column4909" dataDxfId="23392" totalsRowDxfId="23391"/>
    <tableColumn id="4924" xr3:uid="{CCC6BAFA-E8BF-47F5-B1B4-56FE464C0209}" name="Column4910" dataDxfId="23390" totalsRowDxfId="23389"/>
    <tableColumn id="4925" xr3:uid="{6898C822-CFA1-40BD-BBB4-ED5CE2E2AF52}" name="Column4911" dataDxfId="23388" totalsRowDxfId="23387"/>
    <tableColumn id="4926" xr3:uid="{EB5A06BF-178F-4988-BA26-FD7B4070FFE1}" name="Column4912" dataDxfId="23386" totalsRowDxfId="23385"/>
    <tableColumn id="4927" xr3:uid="{8FADED6D-81E5-46AD-9ADB-34ACCDDC86FB}" name="Column4913" dataDxfId="23384" totalsRowDxfId="23383"/>
    <tableColumn id="4928" xr3:uid="{CAF7D9BA-6823-4A74-880B-56D6B53D9404}" name="Column4914" dataDxfId="23382" totalsRowDxfId="23381"/>
    <tableColumn id="4929" xr3:uid="{37C9D5FD-136A-4F38-ADE0-EE0DAE0C87E9}" name="Column4915" dataDxfId="23380" totalsRowDxfId="23379"/>
    <tableColumn id="4930" xr3:uid="{8BCAFA9C-76CD-48B5-9D06-06BD07768097}" name="Column4916" dataDxfId="23378" totalsRowDxfId="23377"/>
    <tableColumn id="4931" xr3:uid="{B8E3E34B-7737-4C00-962F-038DFD2E0EDE}" name="Column4917" dataDxfId="23376" totalsRowDxfId="23375"/>
    <tableColumn id="4932" xr3:uid="{CF9AE67B-1191-48DB-A1E7-8919BDB5AA01}" name="Column4918" dataDxfId="23374" totalsRowDxfId="23373"/>
    <tableColumn id="4933" xr3:uid="{5F79CCE4-74DC-469E-A1E6-C18F03B03610}" name="Column4919" dataDxfId="23372" totalsRowDxfId="23371"/>
    <tableColumn id="4934" xr3:uid="{0C1E76A8-EDD7-4640-8357-4B2F95FC5B4D}" name="Column4920" dataDxfId="23370" totalsRowDxfId="23369"/>
    <tableColumn id="4935" xr3:uid="{C0EF94CE-BB88-4FBC-8D61-C3D8D52A7AFF}" name="Column4921" dataDxfId="23368" totalsRowDxfId="23367"/>
    <tableColumn id="4936" xr3:uid="{B46B02A1-F3D8-45B4-A010-5C019CE98C40}" name="Column4922" dataDxfId="23366" totalsRowDxfId="23365"/>
    <tableColumn id="4937" xr3:uid="{B64638FE-3865-455A-847E-C3C494BB6554}" name="Column4923" dataDxfId="23364" totalsRowDxfId="23363"/>
    <tableColumn id="4938" xr3:uid="{4C7D5B8F-5F54-4C12-88E2-767EB169D8C0}" name="Column4924" dataDxfId="23362" totalsRowDxfId="23361"/>
    <tableColumn id="4939" xr3:uid="{6A8F77F5-E68E-436F-9A36-4142FA189C02}" name="Column4925" dataDxfId="23360" totalsRowDxfId="23359"/>
    <tableColumn id="4940" xr3:uid="{41E30E1F-54EE-4E66-8B3A-B75438271449}" name="Column4926" dataDxfId="23358" totalsRowDxfId="23357"/>
    <tableColumn id="4941" xr3:uid="{17473653-D27B-4B11-B81F-932B35EB520F}" name="Column4927" dataDxfId="23356" totalsRowDxfId="23355"/>
    <tableColumn id="4942" xr3:uid="{36CA6B43-A4C1-40BE-9183-72277714835F}" name="Column4928" dataDxfId="23354" totalsRowDxfId="23353"/>
    <tableColumn id="4943" xr3:uid="{CF876FD5-539F-4080-ABB5-F7370E8C71BD}" name="Column4929" dataDxfId="23352" totalsRowDxfId="23351"/>
    <tableColumn id="4944" xr3:uid="{443CD701-8171-466C-8516-036BBB397EAC}" name="Column4930" dataDxfId="23350" totalsRowDxfId="23349"/>
    <tableColumn id="4945" xr3:uid="{A590B434-2AE2-42CF-A396-D43CA629F2B0}" name="Column4931" dataDxfId="23348" totalsRowDxfId="23347"/>
    <tableColumn id="4946" xr3:uid="{235D2D5A-918C-47F0-8C87-38787B845C6C}" name="Column4932" dataDxfId="23346" totalsRowDxfId="23345"/>
    <tableColumn id="4947" xr3:uid="{E82CDB0C-FF24-47B3-AFDD-E48D1E1044C7}" name="Column4933" dataDxfId="23344" totalsRowDxfId="23343"/>
    <tableColumn id="4948" xr3:uid="{839218EF-2CB4-42BF-BFA8-E91BF91CCC28}" name="Column4934" dataDxfId="23342" totalsRowDxfId="23341"/>
    <tableColumn id="4949" xr3:uid="{4E58F46B-6858-4292-9653-FA40B19BF7DF}" name="Column4935" dataDxfId="23340" totalsRowDxfId="23339"/>
    <tableColumn id="4950" xr3:uid="{2702FCC1-1037-48B6-B59B-DA6703F511E6}" name="Column4936" dataDxfId="23338" totalsRowDxfId="23337"/>
    <tableColumn id="4951" xr3:uid="{4435A4E0-B970-4178-96C1-90D2D7DA03F7}" name="Column4937" dataDxfId="23336" totalsRowDxfId="23335"/>
    <tableColumn id="4952" xr3:uid="{867F104F-F28B-4C93-8720-2271DF876917}" name="Column4938" dataDxfId="23334" totalsRowDxfId="23333"/>
    <tableColumn id="4953" xr3:uid="{A59B50C9-C6D2-4678-A541-C2646EC29991}" name="Column4939" dataDxfId="23332" totalsRowDxfId="23331"/>
    <tableColumn id="4954" xr3:uid="{334037BF-CA49-4AB0-B6D6-5BF505E17601}" name="Column4940" dataDxfId="23330" totalsRowDxfId="23329"/>
    <tableColumn id="4955" xr3:uid="{9D0CA875-79DF-43F9-82F6-FFB651F06509}" name="Column4941" dataDxfId="23328" totalsRowDxfId="23327"/>
    <tableColumn id="4956" xr3:uid="{583848E7-445A-4128-82E4-5AB470315209}" name="Column4942" dataDxfId="23326" totalsRowDxfId="23325"/>
    <tableColumn id="4957" xr3:uid="{7BEAAC47-63F4-46FD-8DD1-3B40FBE8BAFD}" name="Column4943" dataDxfId="23324" totalsRowDxfId="23323"/>
    <tableColumn id="4958" xr3:uid="{00E5A544-90E8-48DD-81E7-F734254F1C90}" name="Column4944" dataDxfId="23322" totalsRowDxfId="23321"/>
    <tableColumn id="4959" xr3:uid="{C2FF96CE-98F2-4DF0-BAD0-86B9216B260D}" name="Column4945" dataDxfId="23320" totalsRowDxfId="23319"/>
    <tableColumn id="4960" xr3:uid="{7B329C30-65EA-4851-A780-E0D405EF49C3}" name="Column4946" dataDxfId="23318" totalsRowDxfId="23317"/>
    <tableColumn id="4961" xr3:uid="{DC7013BB-A4B1-418A-9A9D-784715CEB53E}" name="Column4947" dataDxfId="23316" totalsRowDxfId="23315"/>
    <tableColumn id="4962" xr3:uid="{3BC3C0AB-8097-4C11-85DA-2DB76F607368}" name="Column4948" dataDxfId="23314" totalsRowDxfId="23313"/>
    <tableColumn id="4963" xr3:uid="{5D1821B8-13BF-4117-9728-22BED8BF644A}" name="Column4949" dataDxfId="23312" totalsRowDxfId="23311"/>
    <tableColumn id="4964" xr3:uid="{7216866B-01CB-4AEF-840F-77E4DE7A031C}" name="Column4950" dataDxfId="23310" totalsRowDxfId="23309"/>
    <tableColumn id="4965" xr3:uid="{A6633F7B-0029-4703-8BDB-044D33373F09}" name="Column4951" dataDxfId="23308" totalsRowDxfId="23307"/>
    <tableColumn id="4966" xr3:uid="{2BC0DE3F-0130-4D1C-84B6-F2B15505A933}" name="Column4952" dataDxfId="23306" totalsRowDxfId="23305"/>
    <tableColumn id="4967" xr3:uid="{C85BA2F1-D82F-4BBF-A8A3-4E925C1C8B3F}" name="Column4953" dataDxfId="23304" totalsRowDxfId="23303"/>
    <tableColumn id="4968" xr3:uid="{895F3223-8E50-4E58-AECB-6C9D9EEF2EDF}" name="Column4954" dataDxfId="23302" totalsRowDxfId="23301"/>
    <tableColumn id="4969" xr3:uid="{75C4C2A3-0E85-481E-824C-1F0922A2D26A}" name="Column4955" dataDxfId="23300" totalsRowDxfId="23299"/>
    <tableColumn id="4970" xr3:uid="{31E4CEC0-9F45-4D77-843C-3E0933489DE3}" name="Column4956" dataDxfId="23298" totalsRowDxfId="23297"/>
    <tableColumn id="4971" xr3:uid="{8BE1D020-B30E-40B1-B820-083277D8D983}" name="Column4957" dataDxfId="23296" totalsRowDxfId="23295"/>
    <tableColumn id="4972" xr3:uid="{C370120B-4338-47DD-AD21-4E0628F5AE73}" name="Column4958" dataDxfId="23294" totalsRowDxfId="23293"/>
    <tableColumn id="4973" xr3:uid="{0AEE250C-0583-4470-9354-3146C9D5D3E8}" name="Column4959" dataDxfId="23292" totalsRowDxfId="23291"/>
    <tableColumn id="4974" xr3:uid="{E79AAD56-8E11-491A-97DA-188FB08D6ED9}" name="Column4960" dataDxfId="23290" totalsRowDxfId="23289"/>
    <tableColumn id="4975" xr3:uid="{75DA6EC8-5E61-43BF-984F-E84523029A12}" name="Column4961" dataDxfId="23288" totalsRowDxfId="23287"/>
    <tableColumn id="4976" xr3:uid="{6BD3CDCD-9F7F-4FBC-BF93-E955BE9D29CF}" name="Column4962" dataDxfId="23286" totalsRowDxfId="23285"/>
    <tableColumn id="4977" xr3:uid="{5FE58CF9-DBE0-46B6-A971-274B7A8518E3}" name="Column4963" dataDxfId="23284" totalsRowDxfId="23283"/>
    <tableColumn id="4978" xr3:uid="{9C24565C-4A95-46A2-9264-4F32E1462EB6}" name="Column4964" dataDxfId="23282" totalsRowDxfId="23281"/>
    <tableColumn id="4979" xr3:uid="{0C7C32E4-C25A-4C24-B4AE-8A8A10CE725C}" name="Column4965" dataDxfId="23280" totalsRowDxfId="23279"/>
    <tableColumn id="4980" xr3:uid="{56C9E801-D5AD-41D3-AFDF-5CB3D3A58008}" name="Column4966" dataDxfId="23278" totalsRowDxfId="23277"/>
    <tableColumn id="4981" xr3:uid="{20DAE5BE-447C-416A-B706-8490058F65EE}" name="Column4967" dataDxfId="23276" totalsRowDxfId="23275"/>
    <tableColumn id="4982" xr3:uid="{4996FD69-A320-4AE7-A9BC-7E3881B5E7A8}" name="Column4968" dataDxfId="23274" totalsRowDxfId="23273"/>
    <tableColumn id="4983" xr3:uid="{3185B9A5-CB34-418F-8156-B858AC91A386}" name="Column4969" dataDxfId="23272" totalsRowDxfId="23271"/>
    <tableColumn id="4984" xr3:uid="{0B58D077-DEC0-4EAA-BD6C-97C783C43755}" name="Column4970" dataDxfId="23270" totalsRowDxfId="23269"/>
    <tableColumn id="4985" xr3:uid="{820EB38E-525F-4F5A-B7BD-B59F1A32A40E}" name="Column4971" dataDxfId="23268" totalsRowDxfId="23267"/>
    <tableColumn id="4986" xr3:uid="{8DF9D64E-446C-4BCA-8E54-C33C0E803407}" name="Column4972" dataDxfId="23266" totalsRowDxfId="23265"/>
    <tableColumn id="4987" xr3:uid="{5441BFA9-A20F-45EA-AB90-FE95960047FF}" name="Column4973" dataDxfId="23264" totalsRowDxfId="23263"/>
    <tableColumn id="4988" xr3:uid="{7B8DEE7E-F352-483A-A17C-4EE0DB54AD7A}" name="Column4974" dataDxfId="23262" totalsRowDxfId="23261"/>
    <tableColumn id="4989" xr3:uid="{5EAE1B59-29ED-452E-BAEC-F99AFDAABE52}" name="Column4975" dataDxfId="23260" totalsRowDxfId="23259"/>
    <tableColumn id="4990" xr3:uid="{C1141FB4-B29D-4C22-BDB1-1D339495A502}" name="Column4976" dataDxfId="23258" totalsRowDxfId="23257"/>
    <tableColumn id="4991" xr3:uid="{42FE77A1-92FF-4BEF-9B8D-9B2EFC62C440}" name="Column4977" dataDxfId="23256" totalsRowDxfId="23255"/>
    <tableColumn id="4992" xr3:uid="{67581908-D81F-4C1F-9FA0-CFDD2DEEB34E}" name="Column4978" dataDxfId="23254" totalsRowDxfId="23253"/>
    <tableColumn id="4993" xr3:uid="{74A7628F-501A-45D6-8217-3BF3028FA47E}" name="Column4979" dataDxfId="23252" totalsRowDxfId="23251"/>
    <tableColumn id="4994" xr3:uid="{657CD6E3-3933-432A-A4DA-FF3E51207EDC}" name="Column4980" dataDxfId="23250" totalsRowDxfId="23249"/>
    <tableColumn id="4995" xr3:uid="{DD982C67-7585-4511-B25C-16D14C6B6F79}" name="Column4981" dataDxfId="23248" totalsRowDxfId="23247"/>
    <tableColumn id="4996" xr3:uid="{6E377946-D2CB-45BC-9D2D-346DD16C92C3}" name="Column4982" dataDxfId="23246" totalsRowDxfId="23245"/>
    <tableColumn id="4997" xr3:uid="{D4557013-E9ED-46ED-9BEA-309FB99574A9}" name="Column4983" dataDxfId="23244" totalsRowDxfId="23243"/>
    <tableColumn id="4998" xr3:uid="{7D6E2904-B79B-4061-8241-CF683F1646E6}" name="Column4984" dataDxfId="23242" totalsRowDxfId="23241"/>
    <tableColumn id="4999" xr3:uid="{72431A3A-1B1E-41BF-802B-EA827A681CE7}" name="Column4985" dataDxfId="23240" totalsRowDxfId="23239"/>
    <tableColumn id="5000" xr3:uid="{C7FDAFCB-0752-4DA8-9C18-5CA91283C639}" name="Column4986" dataDxfId="23238" totalsRowDxfId="23237"/>
    <tableColumn id="5001" xr3:uid="{41AB02DC-E387-415E-980D-F78B0505EA61}" name="Column4987" dataDxfId="23236" totalsRowDxfId="23235"/>
    <tableColumn id="5002" xr3:uid="{44BF81EB-74F6-4B19-9DC2-2EF087D3A594}" name="Column4988" dataDxfId="23234" totalsRowDxfId="23233"/>
    <tableColumn id="5003" xr3:uid="{B1C98593-87D7-4D24-B699-0A7DDA5F37D3}" name="Column4989" dataDxfId="23232" totalsRowDxfId="23231"/>
    <tableColumn id="5004" xr3:uid="{105BDDEC-48EB-4DF4-A6B5-4A96B615879A}" name="Column4990" dataDxfId="23230" totalsRowDxfId="23229"/>
    <tableColumn id="5005" xr3:uid="{C96F15F0-6A5E-459B-AB57-C5745FC6864B}" name="Column4991" dataDxfId="23228" totalsRowDxfId="23227"/>
    <tableColumn id="5006" xr3:uid="{F9E53174-11C7-4377-B5AC-B3BBF9F82B06}" name="Column4992" dataDxfId="23226" totalsRowDxfId="23225"/>
    <tableColumn id="5007" xr3:uid="{9ADD9463-1A9B-41B5-B72B-42EDB3DB091F}" name="Column4993" dataDxfId="23224" totalsRowDxfId="23223"/>
    <tableColumn id="5008" xr3:uid="{C295E760-0B16-4502-830C-031014B0F5E5}" name="Column4994" dataDxfId="23222" totalsRowDxfId="23221"/>
    <tableColumn id="5009" xr3:uid="{F23ED6E1-80E9-4318-8DF1-8C23B98F230D}" name="Column4995" dataDxfId="23220" totalsRowDxfId="23219"/>
    <tableColumn id="5010" xr3:uid="{886815BB-C896-47E2-80B3-24A14569E1FE}" name="Column4996" dataDxfId="23218" totalsRowDxfId="23217"/>
    <tableColumn id="5011" xr3:uid="{6E0A45C9-008B-4969-AF17-816B0A066576}" name="Column4997" dataDxfId="23216" totalsRowDxfId="23215"/>
    <tableColumn id="5012" xr3:uid="{FF45B669-0900-4F76-BEB3-6A0B0C1183A5}" name="Column4998" dataDxfId="23214" totalsRowDxfId="23213"/>
    <tableColumn id="5013" xr3:uid="{5EE1BCB2-1E4B-4209-A32F-B7A627D51211}" name="Column4999" dataDxfId="23212" totalsRowDxfId="23211"/>
    <tableColumn id="5014" xr3:uid="{71066E21-6C70-4357-8DC8-36C7FB1FF28C}" name="Column5000" dataDxfId="23210" totalsRowDxfId="23209"/>
    <tableColumn id="5015" xr3:uid="{781130E0-0020-4251-BB9C-3C529BFBD7C1}" name="Column5001" dataDxfId="23208" totalsRowDxfId="23207"/>
    <tableColumn id="5016" xr3:uid="{B1707C1D-7D83-428C-B4DE-ABB2CC18A4C3}" name="Column5002" dataDxfId="23206" totalsRowDxfId="23205"/>
    <tableColumn id="5017" xr3:uid="{3B551F59-2661-4C78-A259-5BC3A2439B99}" name="Column5003" dataDxfId="23204" totalsRowDxfId="23203"/>
    <tableColumn id="5018" xr3:uid="{25B6471E-5425-4667-AE15-104EAB203C1B}" name="Column5004" dataDxfId="23202" totalsRowDxfId="23201"/>
    <tableColumn id="5019" xr3:uid="{CEA46892-B4BA-4A39-867F-FCE7F142490C}" name="Column5005" dataDxfId="23200" totalsRowDxfId="23199"/>
    <tableColumn id="5020" xr3:uid="{C0DCF980-A838-4E82-BF58-E1C9781064DC}" name="Column5006" dataDxfId="23198" totalsRowDxfId="23197"/>
    <tableColumn id="5021" xr3:uid="{9E23A897-1A12-4A90-B9F0-2A84C7351467}" name="Column5007" dataDxfId="23196" totalsRowDxfId="23195"/>
    <tableColumn id="5022" xr3:uid="{4D7C6933-787A-4610-BBAE-FA2789124C44}" name="Column5008" dataDxfId="23194" totalsRowDxfId="23193"/>
    <tableColumn id="5023" xr3:uid="{55526CB8-FDD6-4750-9138-F13022133AB4}" name="Column5009" dataDxfId="23192" totalsRowDxfId="23191"/>
    <tableColumn id="5024" xr3:uid="{109AABC8-47C1-4CAE-9571-43875C232E2B}" name="Column5010" dataDxfId="23190" totalsRowDxfId="23189"/>
    <tableColumn id="5025" xr3:uid="{D7AAD3C8-2299-4BC0-8DA8-ED6AD211F6F6}" name="Column5011" dataDxfId="23188" totalsRowDxfId="23187"/>
    <tableColumn id="5026" xr3:uid="{F65AE104-CE64-4E1C-9E23-7ECC8A1F4674}" name="Column5012" dataDxfId="23186" totalsRowDxfId="23185"/>
    <tableColumn id="5027" xr3:uid="{FC19DD68-F297-4C39-85F0-A25153CCE94C}" name="Column5013" dataDxfId="23184" totalsRowDxfId="23183"/>
    <tableColumn id="5028" xr3:uid="{665FA649-4757-4AA8-9F8A-68715CFBDC55}" name="Column5014" dataDxfId="23182" totalsRowDxfId="23181"/>
    <tableColumn id="5029" xr3:uid="{D1B83CEB-A03E-4AA3-ACB2-60186FCC4B8A}" name="Column5015" dataDxfId="23180" totalsRowDxfId="23179"/>
    <tableColumn id="5030" xr3:uid="{458149A4-03C0-4DB7-A860-C23496AE80E5}" name="Column5016" dataDxfId="23178" totalsRowDxfId="23177"/>
    <tableColumn id="5031" xr3:uid="{5F39D401-68BE-4337-BDB8-80436FD85739}" name="Column5017" dataDxfId="23176" totalsRowDxfId="23175"/>
    <tableColumn id="5032" xr3:uid="{27ECF174-FC69-4636-88D5-C924717BD459}" name="Column5018" dataDxfId="23174" totalsRowDxfId="23173"/>
    <tableColumn id="5033" xr3:uid="{992C7673-5393-4B18-98E9-A4004B6E5EB5}" name="Column5019" dataDxfId="23172" totalsRowDxfId="23171"/>
    <tableColumn id="5034" xr3:uid="{5B80F0E9-18D2-4F85-8488-A467738A5DC0}" name="Column5020" dataDxfId="23170" totalsRowDxfId="23169"/>
    <tableColumn id="5035" xr3:uid="{697A0FEC-840E-4E7E-96B0-88EC0CA74160}" name="Column5021" dataDxfId="23168" totalsRowDxfId="23167"/>
    <tableColumn id="5036" xr3:uid="{323846B0-F0CC-497E-A21F-A5205F26974E}" name="Column5022" dataDxfId="23166" totalsRowDxfId="23165"/>
    <tableColumn id="5037" xr3:uid="{8C17448F-6506-47C0-BA0D-20A141B0D4D5}" name="Column5023" dataDxfId="23164" totalsRowDxfId="23163"/>
    <tableColumn id="5038" xr3:uid="{CD5E4900-B64C-4838-A6F0-E859A228ED21}" name="Column5024" dataDxfId="23162" totalsRowDxfId="23161"/>
    <tableColumn id="5039" xr3:uid="{8735EAD8-3BD1-4A23-863C-6E6D0E5539E4}" name="Column5025" dataDxfId="23160" totalsRowDxfId="23159"/>
    <tableColumn id="5040" xr3:uid="{1C074F11-4B31-4ACE-BB30-9EA4BE911073}" name="Column5026" dataDxfId="23158" totalsRowDxfId="23157"/>
    <tableColumn id="5041" xr3:uid="{D7AB062F-58C3-4E2D-AC8C-1165ADB086A2}" name="Column5027" dataDxfId="23156" totalsRowDxfId="23155"/>
    <tableColumn id="5042" xr3:uid="{21A1313C-9BEC-4883-BEFB-C88906E79A5F}" name="Column5028" dataDxfId="23154" totalsRowDxfId="23153"/>
    <tableColumn id="5043" xr3:uid="{6382243D-83AC-483F-8A5B-1B92DE679484}" name="Column5029" dataDxfId="23152" totalsRowDxfId="23151"/>
    <tableColumn id="5044" xr3:uid="{CF59674B-1294-4373-A6DD-5DFBA1FC99AD}" name="Column5030" dataDxfId="23150" totalsRowDxfId="23149"/>
    <tableColumn id="5045" xr3:uid="{200B51BB-DDBC-4BE9-AD27-4FBFD866EB7F}" name="Column5031" dataDxfId="23148" totalsRowDxfId="23147"/>
    <tableColumn id="5046" xr3:uid="{094DAC4F-4E66-4315-9504-2B00F2BC717C}" name="Column5032" dataDxfId="23146" totalsRowDxfId="23145"/>
    <tableColumn id="5047" xr3:uid="{75B1B2B4-8546-447B-968D-5271F7C5B8DE}" name="Column5033" dataDxfId="23144" totalsRowDxfId="23143"/>
    <tableColumn id="5048" xr3:uid="{18E43665-89C5-4847-A7CF-248D55BEFFBF}" name="Column5034" dataDxfId="23142" totalsRowDxfId="23141"/>
    <tableColumn id="5049" xr3:uid="{A4D85480-7B72-495F-B826-1BFC306B6E55}" name="Column5035" dataDxfId="23140" totalsRowDxfId="23139"/>
    <tableColumn id="5050" xr3:uid="{9DC4ED75-C54D-4E87-83DC-A9BDA73ABB27}" name="Column5036" dataDxfId="23138" totalsRowDxfId="23137"/>
    <tableColumn id="5051" xr3:uid="{574D9FFE-FD53-40BB-8BFD-1470F874E9B3}" name="Column5037" dataDxfId="23136" totalsRowDxfId="23135"/>
    <tableColumn id="5052" xr3:uid="{FA1FAD90-9AB7-4631-912F-BF8A37215F86}" name="Column5038" dataDxfId="23134" totalsRowDxfId="23133"/>
    <tableColumn id="5053" xr3:uid="{F6A6FE54-1B93-4F9A-B2BE-F037F429D279}" name="Column5039" dataDxfId="23132" totalsRowDxfId="23131"/>
    <tableColumn id="5054" xr3:uid="{A92CB607-CB0A-4874-AA65-929A2436C708}" name="Column5040" dataDxfId="23130" totalsRowDxfId="23129"/>
    <tableColumn id="5055" xr3:uid="{81DCF540-4FDB-440A-849A-CF8C3598B99D}" name="Column5041" dataDxfId="23128" totalsRowDxfId="23127"/>
    <tableColumn id="5056" xr3:uid="{E98D0EBA-18EA-48F1-9142-559926814043}" name="Column5042" dataDxfId="23126" totalsRowDxfId="23125"/>
    <tableColumn id="5057" xr3:uid="{FB0D69E1-B6E4-4C6F-BE50-4E1EF01C9163}" name="Column5043" dataDxfId="23124" totalsRowDxfId="23123"/>
    <tableColumn id="5058" xr3:uid="{E06956D8-DCC2-45AA-9D2E-33CD9638E625}" name="Column5044" dataDxfId="23122" totalsRowDxfId="23121"/>
    <tableColumn id="5059" xr3:uid="{9032B2B7-998C-4329-B82A-71E75566F232}" name="Column5045" dataDxfId="23120" totalsRowDxfId="23119"/>
    <tableColumn id="5060" xr3:uid="{79669012-8C2A-4F41-80AC-2970CAA9B6CA}" name="Column5046" dataDxfId="23118" totalsRowDxfId="23117"/>
    <tableColumn id="5061" xr3:uid="{5B789F6A-11A7-40B1-A72D-4437BABBCCEE}" name="Column5047" dataDxfId="23116" totalsRowDxfId="23115"/>
    <tableColumn id="5062" xr3:uid="{C165CDAA-ED06-4466-BC40-3E6753D24435}" name="Column5048" dataDxfId="23114" totalsRowDxfId="23113"/>
    <tableColumn id="5063" xr3:uid="{6F6A34AA-2A84-4DD5-B8D7-0A8E5050491D}" name="Column5049" dataDxfId="23112" totalsRowDxfId="23111"/>
    <tableColumn id="5064" xr3:uid="{8956181D-68B3-4869-BD65-57AAFFEE01F1}" name="Column5050" dataDxfId="23110" totalsRowDxfId="23109"/>
    <tableColumn id="5065" xr3:uid="{FEDDB3C0-E64C-4D0D-8584-B6F79081DB87}" name="Column5051" dataDxfId="23108" totalsRowDxfId="23107"/>
    <tableColumn id="5066" xr3:uid="{722B60A1-A518-4EAB-A232-8928313F37E4}" name="Column5052" dataDxfId="23106" totalsRowDxfId="23105"/>
    <tableColumn id="5067" xr3:uid="{D695337B-24B2-4A66-AA77-24F6AC389BA6}" name="Column5053" dataDxfId="23104" totalsRowDxfId="23103"/>
    <tableColumn id="5068" xr3:uid="{F5FDC538-1D3B-410B-8C0E-6DBB1E529AFD}" name="Column5054" dataDxfId="23102" totalsRowDxfId="23101"/>
    <tableColumn id="5069" xr3:uid="{4E34A8DD-011C-4712-A745-7D8EC4342CDF}" name="Column5055" dataDxfId="23100" totalsRowDxfId="23099"/>
    <tableColumn id="5070" xr3:uid="{E840B560-F553-4760-8ED0-65D56D051E38}" name="Column5056" dataDxfId="23098" totalsRowDxfId="23097"/>
    <tableColumn id="5071" xr3:uid="{DB447198-10CA-47B3-AA9A-94FA35C61BE1}" name="Column5057" dataDxfId="23096" totalsRowDxfId="23095"/>
    <tableColumn id="5072" xr3:uid="{93D2DE78-88D5-4941-B775-77CF8B2091CA}" name="Column5058" dataDxfId="23094" totalsRowDxfId="23093"/>
    <tableColumn id="5073" xr3:uid="{31F836E1-E986-4D2D-AB54-FA7AA2A19623}" name="Column5059" dataDxfId="23092" totalsRowDxfId="23091"/>
    <tableColumn id="5074" xr3:uid="{A1B2C162-E9F3-40BA-B8AC-24AED39A5A24}" name="Column5060" dataDxfId="23090" totalsRowDxfId="23089"/>
    <tableColumn id="5075" xr3:uid="{C672FDD9-A944-4390-9FCA-B1D74CB0641A}" name="Column5061" dataDxfId="23088" totalsRowDxfId="23087"/>
    <tableColumn id="5076" xr3:uid="{41E0C8B8-A70E-4179-B06A-AD0B6DA368E8}" name="Column5062" dataDxfId="23086" totalsRowDxfId="23085"/>
    <tableColumn id="5077" xr3:uid="{B80C7FB1-CD34-4039-9F6A-2F394C0175A5}" name="Column5063" dataDxfId="23084" totalsRowDxfId="23083"/>
    <tableColumn id="5078" xr3:uid="{C2514BF5-D905-426D-B45A-E5FE7AEA5A4C}" name="Column5064" dataDxfId="23082" totalsRowDxfId="23081"/>
    <tableColumn id="5079" xr3:uid="{0D918F1A-9AF1-4CE7-B00B-713D525E6D16}" name="Column5065" dataDxfId="23080" totalsRowDxfId="23079"/>
    <tableColumn id="5080" xr3:uid="{8B710F29-68AB-483B-B822-B92FE3E47E6B}" name="Column5066" dataDxfId="23078" totalsRowDxfId="23077"/>
    <tableColumn id="5081" xr3:uid="{EFF8A07B-A6FC-4371-8C3F-28CDBAAC074E}" name="Column5067" dataDxfId="23076" totalsRowDxfId="23075"/>
    <tableColumn id="5082" xr3:uid="{C1497D49-C26D-4B03-AA0B-6505CB723F0A}" name="Column5068" dataDxfId="23074" totalsRowDxfId="23073"/>
    <tableColumn id="5083" xr3:uid="{DFBA42EC-D2C7-4C8E-892E-C75A6BE82F5E}" name="Column5069" dataDxfId="23072" totalsRowDxfId="23071"/>
    <tableColumn id="5084" xr3:uid="{DA114B62-2614-4AF3-AF21-35C10546BC15}" name="Column5070" dataDxfId="23070" totalsRowDxfId="23069"/>
    <tableColumn id="5085" xr3:uid="{2971B706-F247-438E-B3CD-B48FE649182B}" name="Column5071" dataDxfId="23068" totalsRowDxfId="23067"/>
    <tableColumn id="5086" xr3:uid="{16B8CB9A-6778-4D28-A963-CEA25036ACFA}" name="Column5072" dataDxfId="23066" totalsRowDxfId="23065"/>
    <tableColumn id="5087" xr3:uid="{2916672E-4E9A-42FF-9414-F5A162FA1354}" name="Column5073" dataDxfId="23064" totalsRowDxfId="23063"/>
    <tableColumn id="5088" xr3:uid="{81D8DB2A-B962-4968-8395-9AB4F9AC9ADF}" name="Column5074" dataDxfId="23062" totalsRowDxfId="23061"/>
    <tableColumn id="5089" xr3:uid="{4159F59F-D02C-41A3-A1A7-68800EA9D491}" name="Column5075" dataDxfId="23060" totalsRowDxfId="23059"/>
    <tableColumn id="5090" xr3:uid="{21F4EE3A-075F-40B1-BE2D-AC36811823BE}" name="Column5076" dataDxfId="23058" totalsRowDxfId="23057"/>
    <tableColumn id="5091" xr3:uid="{52C8BEBA-EF03-487C-8F21-F57D16C3B537}" name="Column5077" dataDxfId="23056" totalsRowDxfId="23055"/>
    <tableColumn id="5092" xr3:uid="{0F7B4883-2A25-41A6-B025-A5EDB471BF84}" name="Column5078" dataDxfId="23054" totalsRowDxfId="23053"/>
    <tableColumn id="5093" xr3:uid="{214E74C6-FFA5-4F72-8F55-3C8F3A703A30}" name="Column5079" dataDxfId="23052" totalsRowDxfId="23051"/>
    <tableColumn id="5094" xr3:uid="{F8E3C003-F3B5-44E9-8EE8-73C22FB8B190}" name="Column5080" dataDxfId="23050" totalsRowDxfId="23049"/>
    <tableColumn id="5095" xr3:uid="{5CA532DE-1039-489A-A8F0-D700E8B0E3B9}" name="Column5081" dataDxfId="23048" totalsRowDxfId="23047"/>
    <tableColumn id="5096" xr3:uid="{0C880A1B-8425-44F7-84BA-EA53EB26262E}" name="Column5082" dataDxfId="23046" totalsRowDxfId="23045"/>
    <tableColumn id="5097" xr3:uid="{E0B4DD1B-DD7F-42BB-8940-AAA3FBF47BF7}" name="Column5083" dataDxfId="23044" totalsRowDxfId="23043"/>
    <tableColumn id="5098" xr3:uid="{A00B8A78-D30F-43B1-85BC-3BC6BA8F45B1}" name="Column5084" dataDxfId="23042" totalsRowDxfId="23041"/>
    <tableColumn id="5099" xr3:uid="{432E7ADE-DDE8-4CB7-B79A-2905FB49F67E}" name="Column5085" dataDxfId="23040" totalsRowDxfId="23039"/>
    <tableColumn id="5100" xr3:uid="{4A3521A6-7E23-4CA6-9B41-1E07CC985C90}" name="Column5086" dataDxfId="23038" totalsRowDxfId="23037"/>
    <tableColumn id="5101" xr3:uid="{A94A59DD-8C18-4A35-82DC-E03E1D6760BD}" name="Column5087" dataDxfId="23036" totalsRowDxfId="23035"/>
    <tableColumn id="5102" xr3:uid="{4AA24991-121B-4FE9-9BE7-217CA1F69194}" name="Column5088" dataDxfId="23034" totalsRowDxfId="23033"/>
    <tableColumn id="5103" xr3:uid="{761C388D-30BE-4756-B80A-62678B20B903}" name="Column5089" dataDxfId="23032" totalsRowDxfId="23031"/>
    <tableColumn id="5104" xr3:uid="{01F6B6F7-8D63-4CC8-9C1E-9B35190B1590}" name="Column5090" dataDxfId="23030" totalsRowDxfId="23029"/>
    <tableColumn id="5105" xr3:uid="{0CEBD4BA-CC20-4F9C-8B73-E697C4C7CB2E}" name="Column5091" dataDxfId="23028" totalsRowDxfId="23027"/>
    <tableColumn id="5106" xr3:uid="{77590C59-D595-4CF6-9004-2DB0D09D84D4}" name="Column5092" dataDxfId="23026" totalsRowDxfId="23025"/>
    <tableColumn id="5107" xr3:uid="{ED85969F-F86C-4437-AA12-49464D720D41}" name="Column5093" dataDxfId="23024" totalsRowDxfId="23023"/>
    <tableColumn id="5108" xr3:uid="{CA31C1BA-C505-4AF7-9A4D-8363AF7E5277}" name="Column5094" dataDxfId="23022" totalsRowDxfId="23021"/>
    <tableColumn id="5109" xr3:uid="{42D7801B-07CC-49BA-A1B3-E1A9D359E163}" name="Column5095" dataDxfId="23020" totalsRowDxfId="23019"/>
    <tableColumn id="5110" xr3:uid="{039B2FF4-CB5A-47CD-BC74-3B2502950814}" name="Column5096" dataDxfId="23018" totalsRowDxfId="23017"/>
    <tableColumn id="5111" xr3:uid="{61D06955-AE4F-4754-9EB8-42CADF4AE05F}" name="Column5097" dataDxfId="23016" totalsRowDxfId="23015"/>
    <tableColumn id="5112" xr3:uid="{6F08A1C5-3C6C-4CD6-AE1F-6F13E5B1762D}" name="Column5098" dataDxfId="23014" totalsRowDxfId="23013"/>
    <tableColumn id="5113" xr3:uid="{5BD3FA92-639A-499E-BDE0-C1DF3A941C38}" name="Column5099" dataDxfId="23012" totalsRowDxfId="23011"/>
    <tableColumn id="5114" xr3:uid="{B4D064A7-FDF8-45B6-AEB0-86425E8AA4AB}" name="Column5100" dataDxfId="23010" totalsRowDxfId="23009"/>
    <tableColumn id="5115" xr3:uid="{81A75C07-E6B4-40C7-8765-668ADED6786E}" name="Column5101" dataDxfId="23008" totalsRowDxfId="23007"/>
    <tableColumn id="5116" xr3:uid="{F8372F8A-76CB-4221-A4CB-B486596400DF}" name="Column5102" dataDxfId="23006" totalsRowDxfId="23005"/>
    <tableColumn id="5117" xr3:uid="{9DD9571F-53C8-4465-9B7C-7553A8676C64}" name="Column5103" dataDxfId="23004" totalsRowDxfId="23003"/>
    <tableColumn id="5118" xr3:uid="{27201BDA-8B8A-4E38-B115-33DB4D9A2C81}" name="Column5104" dataDxfId="23002" totalsRowDxfId="23001"/>
    <tableColumn id="5119" xr3:uid="{DF2BA8C0-5010-4376-9AC0-9C50A3A61BE7}" name="Column5105" dataDxfId="23000" totalsRowDxfId="22999"/>
    <tableColumn id="5120" xr3:uid="{BA17B043-A2D0-4A02-93E8-223304264F5A}" name="Column5106" dataDxfId="22998" totalsRowDxfId="22997"/>
    <tableColumn id="5121" xr3:uid="{DA020959-103E-4B72-9F1C-74EAA99BA570}" name="Column5107" dataDxfId="22996" totalsRowDxfId="22995"/>
    <tableColumn id="5122" xr3:uid="{FFE208DC-FAF3-40FD-AA5C-6FF3433197E9}" name="Column5108" dataDxfId="22994" totalsRowDxfId="22993"/>
    <tableColumn id="5123" xr3:uid="{9B636C5B-1312-4B99-8C88-8AEF8D487123}" name="Column5109" dataDxfId="22992" totalsRowDxfId="22991"/>
    <tableColumn id="5124" xr3:uid="{A7CF702F-F397-4B21-A570-07EAE99A601F}" name="Column5110" dataDxfId="22990" totalsRowDxfId="22989"/>
    <tableColumn id="5125" xr3:uid="{93C4A5B5-A8E2-4A3B-B22F-4F49F23DBD45}" name="Column5111" dataDxfId="22988" totalsRowDxfId="22987"/>
    <tableColumn id="5126" xr3:uid="{EC3A78A6-D92D-49AC-926A-1CA8B6EDE574}" name="Column5112" dataDxfId="22986" totalsRowDxfId="22985"/>
    <tableColumn id="5127" xr3:uid="{80A67460-DD8C-4A53-BB03-8724069399CC}" name="Column5113" dataDxfId="22984" totalsRowDxfId="22983"/>
    <tableColumn id="5128" xr3:uid="{BE2DABD2-860B-4258-8BA0-E913393AD56B}" name="Column5114" dataDxfId="22982" totalsRowDxfId="22981"/>
    <tableColumn id="5129" xr3:uid="{F9FFF4A0-23E8-4419-BDA3-165830B38F7D}" name="Column5115" dataDxfId="22980" totalsRowDxfId="22979"/>
    <tableColumn id="5130" xr3:uid="{434A2458-D8EA-4716-BAEE-28BCA68DA8CA}" name="Column5116" dataDxfId="22978" totalsRowDxfId="22977"/>
    <tableColumn id="5131" xr3:uid="{60E11C43-6113-40BA-AC4A-F03A1A9D1048}" name="Column5117" dataDxfId="22976" totalsRowDxfId="22975"/>
    <tableColumn id="5132" xr3:uid="{29D2E688-A9DE-4F1C-A2FE-EBDA7C40B390}" name="Column5118" dataDxfId="22974" totalsRowDxfId="22973"/>
    <tableColumn id="5133" xr3:uid="{8BA066F8-3AA8-4510-95BF-4A00D29A22DE}" name="Column5119" dataDxfId="22972" totalsRowDxfId="22971"/>
    <tableColumn id="5134" xr3:uid="{008E3501-12AD-4C92-B3B8-7A12E8389AFD}" name="Column5120" dataDxfId="22970" totalsRowDxfId="22969"/>
    <tableColumn id="5135" xr3:uid="{EF664797-AEDE-49F0-9EAB-7BF80F386E93}" name="Column5121" dataDxfId="22968" totalsRowDxfId="22967"/>
    <tableColumn id="5136" xr3:uid="{CDE75DBD-4FE8-483F-8DBE-3B0CAE28BF5E}" name="Column5122" dataDxfId="22966" totalsRowDxfId="22965"/>
    <tableColumn id="5137" xr3:uid="{9668DA11-70D9-403B-BF6D-A6472CF6D82E}" name="Column5123" dataDxfId="22964" totalsRowDxfId="22963"/>
    <tableColumn id="5138" xr3:uid="{264E0D8F-BFCB-4C81-862B-01606236304A}" name="Column5124" dataDxfId="22962" totalsRowDxfId="22961"/>
    <tableColumn id="5139" xr3:uid="{EF203B1F-F5A7-4657-9193-EA43459A072B}" name="Column5125" dataDxfId="22960" totalsRowDxfId="22959"/>
    <tableColumn id="5140" xr3:uid="{D0A14FF6-6132-4AA5-829D-618116A53EDD}" name="Column5126" dataDxfId="22958" totalsRowDxfId="22957"/>
    <tableColumn id="5141" xr3:uid="{FA4C5E09-08FE-4D9C-A5A1-D1A6E7B63000}" name="Column5127" dataDxfId="22956" totalsRowDxfId="22955"/>
    <tableColumn id="5142" xr3:uid="{8D568819-FEAD-4836-B2D9-FF3C446E0CED}" name="Column5128" dataDxfId="22954" totalsRowDxfId="22953"/>
    <tableColumn id="5143" xr3:uid="{0AF1347A-25DB-496B-A3D0-70036C5A966E}" name="Column5129" dataDxfId="22952" totalsRowDxfId="22951"/>
    <tableColumn id="5144" xr3:uid="{B317619A-3142-4C0A-9B77-C860182839BD}" name="Column5130" dataDxfId="22950" totalsRowDxfId="22949"/>
    <tableColumn id="5145" xr3:uid="{53181896-2D4E-4136-A140-88D7710EF5DE}" name="Column5131" dataDxfId="22948" totalsRowDxfId="22947"/>
    <tableColumn id="5146" xr3:uid="{0596C72F-18D0-4550-B001-E68446581841}" name="Column5132" dataDxfId="22946" totalsRowDxfId="22945"/>
    <tableColumn id="5147" xr3:uid="{1549F221-88EC-4259-96C5-29D0845577D1}" name="Column5133" dataDxfId="22944" totalsRowDxfId="22943"/>
    <tableColumn id="5148" xr3:uid="{3476FA22-C8C7-45EE-B601-9E53067E5425}" name="Column5134" dataDxfId="22942" totalsRowDxfId="22941"/>
    <tableColumn id="5149" xr3:uid="{9AE9FE0C-11F1-4DC8-AB4F-8C6A3CD5F93A}" name="Column5135" dataDxfId="22940" totalsRowDxfId="22939"/>
    <tableColumn id="5150" xr3:uid="{492459E6-478E-413D-A7EA-0166D6D1C3E4}" name="Column5136" dataDxfId="22938" totalsRowDxfId="22937"/>
    <tableColumn id="5151" xr3:uid="{BD3810E9-2DF0-441B-A027-BF1193AE9013}" name="Column5137" dataDxfId="22936" totalsRowDxfId="22935"/>
    <tableColumn id="5152" xr3:uid="{CA7086F2-649E-4C1E-9FD6-EB72D34E90BC}" name="Column5138" dataDxfId="22934" totalsRowDxfId="22933"/>
    <tableColumn id="5153" xr3:uid="{F58447BB-D5EE-4CFB-9488-6881CD235B97}" name="Column5139" dataDxfId="22932" totalsRowDxfId="22931"/>
    <tableColumn id="5154" xr3:uid="{A8593516-8A81-423A-8C56-3E7FF18DA4E6}" name="Column5140" dataDxfId="22930" totalsRowDxfId="22929"/>
    <tableColumn id="5155" xr3:uid="{CB520284-F6D5-4BB0-B05A-A3C6CA914F6B}" name="Column5141" dataDxfId="22928" totalsRowDxfId="22927"/>
    <tableColumn id="5156" xr3:uid="{DDDB63EC-73D4-484D-8549-F34201DAAEF9}" name="Column5142" dataDxfId="22926" totalsRowDxfId="22925"/>
    <tableColumn id="5157" xr3:uid="{5EE12397-48FE-48C7-80A2-0CC43EA53EFB}" name="Column5143" dataDxfId="22924" totalsRowDxfId="22923"/>
    <tableColumn id="5158" xr3:uid="{13E20056-16D0-4FF9-B375-E67BEC115493}" name="Column5144" dataDxfId="22922" totalsRowDxfId="22921"/>
    <tableColumn id="5159" xr3:uid="{5C1F977A-617D-4D82-B1BF-62E6F3F9CF15}" name="Column5145" dataDxfId="22920" totalsRowDxfId="22919"/>
    <tableColumn id="5160" xr3:uid="{11F57EA2-8498-40D6-A4A5-0E93418B0A5A}" name="Column5146" dataDxfId="22918" totalsRowDxfId="22917"/>
    <tableColumn id="5161" xr3:uid="{6356A7E7-B5AC-4F0A-A01B-1C8DC173332F}" name="Column5147" dataDxfId="22916" totalsRowDxfId="22915"/>
    <tableColumn id="5162" xr3:uid="{2DA65AD1-FE2E-495A-AAAC-D816B5D22020}" name="Column5148" dataDxfId="22914" totalsRowDxfId="22913"/>
    <tableColumn id="5163" xr3:uid="{FB03202F-EAF4-41A4-AFCB-BA22843EF88D}" name="Column5149" dataDxfId="22912" totalsRowDxfId="22911"/>
    <tableColumn id="5164" xr3:uid="{98D27A3C-A13A-48AF-828F-E9EF92BF131E}" name="Column5150" dataDxfId="22910" totalsRowDxfId="22909"/>
    <tableColumn id="5165" xr3:uid="{C1D9FEE1-CE16-40E1-AB0C-850B559FC6BE}" name="Column5151" dataDxfId="22908" totalsRowDxfId="22907"/>
    <tableColumn id="5166" xr3:uid="{24499433-D218-4A4B-8C37-EC1E35143636}" name="Column5152" dataDxfId="22906" totalsRowDxfId="22905"/>
    <tableColumn id="5167" xr3:uid="{D3EC540E-38CE-4799-A5FB-C93F9E2A3608}" name="Column5153" dataDxfId="22904" totalsRowDxfId="22903"/>
    <tableColumn id="5168" xr3:uid="{88C6A137-9C6F-41AB-ABBB-9E75716CE816}" name="Column5154" dataDxfId="22902" totalsRowDxfId="22901"/>
    <tableColumn id="5169" xr3:uid="{56D2DC1C-767E-4C5F-840A-B9D547BB7526}" name="Column5155" dataDxfId="22900" totalsRowDxfId="22899"/>
    <tableColumn id="5170" xr3:uid="{1A95251C-3E0C-48CA-94DA-7E4034CFE354}" name="Column5156" dataDxfId="22898" totalsRowDxfId="22897"/>
    <tableColumn id="5171" xr3:uid="{A408DA23-96EB-4455-9A84-C103D60C0B24}" name="Column5157" dataDxfId="22896" totalsRowDxfId="22895"/>
    <tableColumn id="5172" xr3:uid="{FAE62642-683B-4A11-BCBC-B40301A94D1F}" name="Column5158" dataDxfId="22894" totalsRowDxfId="22893"/>
    <tableColumn id="5173" xr3:uid="{E3AFF045-71AE-4520-90A1-9D88CDE27B8B}" name="Column5159" dataDxfId="22892" totalsRowDxfId="22891"/>
    <tableColumn id="5174" xr3:uid="{050DC889-BA25-46BC-9440-23A4DC1D4AB8}" name="Column5160" dataDxfId="22890" totalsRowDxfId="22889"/>
    <tableColumn id="5175" xr3:uid="{B3B261D6-4A57-4E22-B028-5B1B4F7DF87F}" name="Column5161" dataDxfId="22888" totalsRowDxfId="22887"/>
    <tableColumn id="5176" xr3:uid="{E1033815-FCB6-400B-988D-374FA4D11E1C}" name="Column5162" dataDxfId="22886" totalsRowDxfId="22885"/>
    <tableColumn id="5177" xr3:uid="{1E731160-16DC-4276-B464-257896C580F9}" name="Column5163" dataDxfId="22884" totalsRowDxfId="22883"/>
    <tableColumn id="5178" xr3:uid="{31A2A3FE-4E2A-4CED-B778-B8C2414D0ECA}" name="Column5164" dataDxfId="22882" totalsRowDxfId="22881"/>
    <tableColumn id="5179" xr3:uid="{2D2186CC-A2DE-417E-AF57-7D5BB626DE1C}" name="Column5165" dataDxfId="22880" totalsRowDxfId="22879"/>
    <tableColumn id="5180" xr3:uid="{9F29A9A5-75CA-478D-AA83-2215A429B992}" name="Column5166" dataDxfId="22878" totalsRowDxfId="22877"/>
    <tableColumn id="5181" xr3:uid="{1DE7AAFD-0457-4A98-87F5-5CBAC2C4594A}" name="Column5167" dataDxfId="22876" totalsRowDxfId="22875"/>
    <tableColumn id="5182" xr3:uid="{D5E295DB-4A0A-48D6-A29E-2D0D7FF44E38}" name="Column5168" dataDxfId="22874" totalsRowDxfId="22873"/>
    <tableColumn id="5183" xr3:uid="{8EC29D0D-FD4F-4915-972A-60FB3DA21C8C}" name="Column5169" dataDxfId="22872" totalsRowDxfId="22871"/>
    <tableColumn id="5184" xr3:uid="{DDE0C967-CBEE-4163-8B1C-9E6697CD352E}" name="Column5170" dataDxfId="22870" totalsRowDxfId="22869"/>
    <tableColumn id="5185" xr3:uid="{74E27200-1F7B-41FE-A7E8-F902D34C1670}" name="Column5171" dataDxfId="22868" totalsRowDxfId="22867"/>
    <tableColumn id="5186" xr3:uid="{FA29AC04-0514-429B-85E1-4061EDE297F1}" name="Column5172" dataDxfId="22866" totalsRowDxfId="22865"/>
    <tableColumn id="5187" xr3:uid="{6DFC285D-22AA-4893-A065-0F563F28CCCF}" name="Column5173" dataDxfId="22864" totalsRowDxfId="22863"/>
    <tableColumn id="5188" xr3:uid="{D8534C7D-8586-4C57-BF73-A36B1E94AAE4}" name="Column5174" dataDxfId="22862" totalsRowDxfId="22861"/>
    <tableColumn id="5189" xr3:uid="{762A5FEB-A180-4085-909D-4040C3C096E8}" name="Column5175" dataDxfId="22860" totalsRowDxfId="22859"/>
    <tableColumn id="5190" xr3:uid="{82FB3A26-F662-4DC7-8B08-9636F53D2C2C}" name="Column5176" dataDxfId="22858" totalsRowDxfId="22857"/>
    <tableColumn id="5191" xr3:uid="{5BDF60FB-C8DF-4B15-A132-EAFA4B47EE84}" name="Column5177" dataDxfId="22856" totalsRowDxfId="22855"/>
    <tableColumn id="5192" xr3:uid="{EAB40474-3A71-4383-83F1-232DFB1384DF}" name="Column5178" dataDxfId="22854" totalsRowDxfId="22853"/>
    <tableColumn id="5193" xr3:uid="{472FDFC6-6C1D-4CE6-945E-472C8667B0B8}" name="Column5179" dataDxfId="22852" totalsRowDxfId="22851"/>
    <tableColumn id="5194" xr3:uid="{3A23C5FB-8959-40EE-9BCF-7064D5BCD0B0}" name="Column5180" dataDxfId="22850" totalsRowDxfId="22849"/>
    <tableColumn id="5195" xr3:uid="{982186B8-B78F-4EC0-B9DF-C71C58839413}" name="Column5181" dataDxfId="22848" totalsRowDxfId="22847"/>
    <tableColumn id="5196" xr3:uid="{E785DABC-48AF-49AA-8E10-26C42691316A}" name="Column5182" dataDxfId="22846" totalsRowDxfId="22845"/>
    <tableColumn id="5197" xr3:uid="{CF9F23E6-E509-4899-ADB7-29B49A8174E1}" name="Column5183" dataDxfId="22844" totalsRowDxfId="22843"/>
    <tableColumn id="5198" xr3:uid="{16C49ADE-AE1F-429A-9476-41280883ECD9}" name="Column5184" dataDxfId="22842" totalsRowDxfId="22841"/>
    <tableColumn id="5199" xr3:uid="{F014815F-9FAD-459A-B3FB-C1A8F5050B03}" name="Column5185" dataDxfId="22840" totalsRowDxfId="22839"/>
    <tableColumn id="5200" xr3:uid="{C08B7CD8-82A1-463C-AA63-DBB4468DB00E}" name="Column5186" dataDxfId="22838" totalsRowDxfId="22837"/>
    <tableColumn id="5201" xr3:uid="{A51E13BD-985B-4D94-8E56-5BDAD8B167CA}" name="Column5187" dataDxfId="22836" totalsRowDxfId="22835"/>
    <tableColumn id="5202" xr3:uid="{7DD76AF2-8C85-44C0-8F3F-52CEE8013151}" name="Column5188" dataDxfId="22834" totalsRowDxfId="22833"/>
    <tableColumn id="5203" xr3:uid="{054BA9EE-50F4-4189-B35D-EFA3D257E882}" name="Column5189" dataDxfId="22832" totalsRowDxfId="22831"/>
    <tableColumn id="5204" xr3:uid="{092DCA69-1DDD-49F9-ADA8-F6A84A586773}" name="Column5190" dataDxfId="22830" totalsRowDxfId="22829"/>
    <tableColumn id="5205" xr3:uid="{E8F1D5FE-0303-43A8-89F7-E07EAFFA697F}" name="Column5191" dataDxfId="22828" totalsRowDxfId="22827"/>
    <tableColumn id="5206" xr3:uid="{C5B69E32-E03D-458E-B560-4479E0B36AF7}" name="Column5192" dataDxfId="22826" totalsRowDxfId="22825"/>
    <tableColumn id="5207" xr3:uid="{511457D8-238A-4E93-B2DD-B0A7DFC726EA}" name="Column5193" dataDxfId="22824" totalsRowDxfId="22823"/>
    <tableColumn id="5208" xr3:uid="{9FBFA5BC-1260-4955-8D06-FFCB50DE7BF2}" name="Column5194" dataDxfId="22822" totalsRowDxfId="22821"/>
    <tableColumn id="5209" xr3:uid="{42FF8B72-0C3A-45AB-A203-F292DFA35D83}" name="Column5195" dataDxfId="22820" totalsRowDxfId="22819"/>
    <tableColumn id="5210" xr3:uid="{B57BF789-77E4-486B-BB2E-C6B114D97B92}" name="Column5196" dataDxfId="22818" totalsRowDxfId="22817"/>
    <tableColumn id="5211" xr3:uid="{FE893E62-DFC1-4F0A-A97C-C7B6A740A15E}" name="Column5197" dataDxfId="22816" totalsRowDxfId="22815"/>
    <tableColumn id="5212" xr3:uid="{BF333958-E576-4CBB-9838-E9D34FC401CD}" name="Column5198" dataDxfId="22814" totalsRowDxfId="22813"/>
    <tableColumn id="5213" xr3:uid="{1B85602D-8EF4-4D94-996C-3991C1FA626D}" name="Column5199" dataDxfId="22812" totalsRowDxfId="22811"/>
    <tableColumn id="5214" xr3:uid="{2E195124-74F3-46EB-BD5D-5E2616C00966}" name="Column5200" dataDxfId="22810" totalsRowDxfId="22809"/>
    <tableColumn id="5215" xr3:uid="{1975400D-89F0-432A-96FD-A3120BDAEEA4}" name="Column5201" dataDxfId="22808" totalsRowDxfId="22807"/>
    <tableColumn id="5216" xr3:uid="{208C90F8-7E31-4DCB-8E68-26FFD329E55E}" name="Column5202" dataDxfId="22806" totalsRowDxfId="22805"/>
    <tableColumn id="5217" xr3:uid="{B2DFD67C-1E3F-4AC1-835E-E9279BA78728}" name="Column5203" dataDxfId="22804" totalsRowDxfId="22803"/>
    <tableColumn id="5218" xr3:uid="{28B4C229-844C-4A3E-956B-0C17D123D04B}" name="Column5204" dataDxfId="22802" totalsRowDxfId="22801"/>
    <tableColumn id="5219" xr3:uid="{8517F3BC-F3E5-496F-BABD-6F89A4F31200}" name="Column5205" dataDxfId="22800" totalsRowDxfId="22799"/>
    <tableColumn id="5220" xr3:uid="{0ADF128C-1854-4875-83CA-707BC9CE3432}" name="Column5206" dataDxfId="22798" totalsRowDxfId="22797"/>
    <tableColumn id="5221" xr3:uid="{EB619292-DC86-42FC-8DAD-7585BF844F50}" name="Column5207" dataDxfId="22796" totalsRowDxfId="22795"/>
    <tableColumn id="5222" xr3:uid="{A4165167-0938-47A7-9AA9-2CDF3F945045}" name="Column5208" dataDxfId="22794" totalsRowDxfId="22793"/>
    <tableColumn id="5223" xr3:uid="{5C9B7E63-603E-4F36-B460-397275102E14}" name="Column5209" dataDxfId="22792" totalsRowDxfId="22791"/>
    <tableColumn id="5224" xr3:uid="{5A4E5BF9-F9C2-4532-B151-3C4342403B82}" name="Column5210" dataDxfId="22790" totalsRowDxfId="22789"/>
    <tableColumn id="5225" xr3:uid="{C1C2B506-9DC3-4C8B-957F-0DA27DE98168}" name="Column5211" dataDxfId="22788" totalsRowDxfId="22787"/>
    <tableColumn id="5226" xr3:uid="{419DE9BA-AAD7-49DD-ADC0-A1CB9392DF04}" name="Column5212" dataDxfId="22786" totalsRowDxfId="22785"/>
    <tableColumn id="5227" xr3:uid="{CF43EFA6-ED59-4334-82E1-BB7228864D5D}" name="Column5213" dataDxfId="22784" totalsRowDxfId="22783"/>
    <tableColumn id="5228" xr3:uid="{F0BE199C-1841-4994-B374-598A006ABA22}" name="Column5214" dataDxfId="22782" totalsRowDxfId="22781"/>
    <tableColumn id="5229" xr3:uid="{3DC2DBCF-CB84-4051-B11D-8BECB3B0E66C}" name="Column5215" dataDxfId="22780" totalsRowDxfId="22779"/>
    <tableColumn id="5230" xr3:uid="{AC5365D5-103F-476F-B67C-3755437F7A71}" name="Column5216" dataDxfId="22778" totalsRowDxfId="22777"/>
    <tableColumn id="5231" xr3:uid="{4CAAC3D1-92A4-493A-A168-554AD9AECB30}" name="Column5217" dataDxfId="22776" totalsRowDxfId="22775"/>
    <tableColumn id="5232" xr3:uid="{12935355-0AF1-432C-8B9F-5F63D4166706}" name="Column5218" dataDxfId="22774" totalsRowDxfId="22773"/>
    <tableColumn id="5233" xr3:uid="{29E31107-49B9-49C8-A8BB-0C0383C651EC}" name="Column5219" dataDxfId="22772" totalsRowDxfId="22771"/>
    <tableColumn id="5234" xr3:uid="{0D6715EC-6A5B-46A9-9417-95B036664B4D}" name="Column5220" dataDxfId="22770" totalsRowDxfId="22769"/>
    <tableColumn id="5235" xr3:uid="{03E40EBD-2B27-400D-AF13-A7AEBE2A8608}" name="Column5221" dataDxfId="22768" totalsRowDxfId="22767"/>
    <tableColumn id="5236" xr3:uid="{4F413149-43F8-43E9-AD0C-B739E2D4A77B}" name="Column5222" dataDxfId="22766" totalsRowDxfId="22765"/>
    <tableColumn id="5237" xr3:uid="{721CDE0B-91EC-4067-BE78-484EF013C937}" name="Column5223" dataDxfId="22764" totalsRowDxfId="22763"/>
    <tableColumn id="5238" xr3:uid="{62992BB4-A5F7-4382-A958-F209F396ED67}" name="Column5224" dataDxfId="22762" totalsRowDxfId="22761"/>
    <tableColumn id="5239" xr3:uid="{0799E639-7ACF-48A5-A093-562005E518C6}" name="Column5225" dataDxfId="22760" totalsRowDxfId="22759"/>
    <tableColumn id="5240" xr3:uid="{0D809E6D-996A-4C38-B2A6-FF2711156BF9}" name="Column5226" dataDxfId="22758" totalsRowDxfId="22757"/>
    <tableColumn id="5241" xr3:uid="{97E9B242-0F2D-4922-A458-1B0A7D2844F8}" name="Column5227" dataDxfId="22756" totalsRowDxfId="22755"/>
    <tableColumn id="5242" xr3:uid="{C26656AD-CD8C-43E3-B981-3D6388B81526}" name="Column5228" dataDxfId="22754" totalsRowDxfId="22753"/>
    <tableColumn id="5243" xr3:uid="{1535A3AE-3C4D-49AC-AF51-33288C121E95}" name="Column5229" dataDxfId="22752" totalsRowDxfId="22751"/>
    <tableColumn id="5244" xr3:uid="{F3CCBA47-F957-46D1-BF8A-A79AEA55DFEC}" name="Column5230" dataDxfId="22750" totalsRowDxfId="22749"/>
    <tableColumn id="5245" xr3:uid="{63AD9333-94FE-4900-9829-1422B7365753}" name="Column5231" dataDxfId="22748" totalsRowDxfId="22747"/>
    <tableColumn id="5246" xr3:uid="{5A4F4503-C291-4FFB-BD67-7C6ABAAC2914}" name="Column5232" dataDxfId="22746" totalsRowDxfId="22745"/>
    <tableColumn id="5247" xr3:uid="{409DDEAE-D790-4893-BD5D-76118821287E}" name="Column5233" dataDxfId="22744" totalsRowDxfId="22743"/>
    <tableColumn id="5248" xr3:uid="{F11A5A0B-7F7D-4BB5-870D-B42C9536B14A}" name="Column5234" dataDxfId="22742" totalsRowDxfId="22741"/>
    <tableColumn id="5249" xr3:uid="{227E2F40-D4B0-4CF4-BC05-61C21C90A529}" name="Column5235" dataDxfId="22740" totalsRowDxfId="22739"/>
    <tableColumn id="5250" xr3:uid="{2E602483-13A8-477D-B5E1-1C57C360486A}" name="Column5236" dataDxfId="22738" totalsRowDxfId="22737"/>
    <tableColumn id="5251" xr3:uid="{71078791-88EC-4994-A2A3-B110BD086A84}" name="Column5237" dataDxfId="22736" totalsRowDxfId="22735"/>
    <tableColumn id="5252" xr3:uid="{370AC269-0143-4D04-A426-29FEED900703}" name="Column5238" dataDxfId="22734" totalsRowDxfId="22733"/>
    <tableColumn id="5253" xr3:uid="{702BE433-55E4-4FDA-ACFB-C782187AA64F}" name="Column5239" dataDxfId="22732" totalsRowDxfId="22731"/>
    <tableColumn id="5254" xr3:uid="{BDD891F7-34C7-4053-BF4F-8DB89FCBB218}" name="Column5240" dataDxfId="22730" totalsRowDxfId="22729"/>
    <tableColumn id="5255" xr3:uid="{BE7B7876-B9BE-454C-94BA-C0103E3800DA}" name="Column5241" dataDxfId="22728" totalsRowDxfId="22727"/>
    <tableColumn id="5256" xr3:uid="{1307BEC4-4710-43CB-97B1-32751A6C64C0}" name="Column5242" dataDxfId="22726" totalsRowDxfId="22725"/>
    <tableColumn id="5257" xr3:uid="{7CD6469C-4E85-4E99-89F7-57EB7E5181C9}" name="Column5243" dataDxfId="22724" totalsRowDxfId="22723"/>
    <tableColumn id="5258" xr3:uid="{5F3B4ECD-D70F-4C00-92BF-108D43E667A1}" name="Column5244" dataDxfId="22722" totalsRowDxfId="22721"/>
    <tableColumn id="5259" xr3:uid="{E998ABB8-DB3E-4E56-B7D3-F9E39FCC6EDE}" name="Column5245" dataDxfId="22720" totalsRowDxfId="22719"/>
    <tableColumn id="5260" xr3:uid="{39FCD69F-3E76-4CA3-BE9F-6BA2618BFB04}" name="Column5246" dataDxfId="22718" totalsRowDxfId="22717"/>
    <tableColumn id="5261" xr3:uid="{B5D700B0-765A-4631-A5C9-E0D647025465}" name="Column5247" dataDxfId="22716" totalsRowDxfId="22715"/>
    <tableColumn id="5262" xr3:uid="{B8974EC0-7721-4E9C-8208-9DB16F88C850}" name="Column5248" dataDxfId="22714" totalsRowDxfId="22713"/>
    <tableColumn id="5263" xr3:uid="{CF5EC56C-EF81-4843-91A7-D120870EEF9A}" name="Column5249" dataDxfId="22712" totalsRowDxfId="22711"/>
    <tableColumn id="5264" xr3:uid="{D252D047-5B53-4860-849B-73AA21966B20}" name="Column5250" dataDxfId="22710" totalsRowDxfId="22709"/>
    <tableColumn id="5265" xr3:uid="{5D140104-23C0-4550-A7E3-C6C0F8080F6D}" name="Column5251" dataDxfId="22708" totalsRowDxfId="22707"/>
    <tableColumn id="5266" xr3:uid="{1635F881-E2CE-4A5E-B382-8F9474E99684}" name="Column5252" dataDxfId="22706" totalsRowDxfId="22705"/>
    <tableColumn id="5267" xr3:uid="{7DA7D283-8121-4F29-BC76-A833CD6CD688}" name="Column5253" dataDxfId="22704" totalsRowDxfId="22703"/>
    <tableColumn id="5268" xr3:uid="{F55EC6F4-A360-484F-8B87-552025871E86}" name="Column5254" dataDxfId="22702" totalsRowDxfId="22701"/>
    <tableColumn id="5269" xr3:uid="{F07EA296-7096-4144-8D01-9B0020FF3CB8}" name="Column5255" dataDxfId="22700" totalsRowDxfId="22699"/>
    <tableColumn id="5270" xr3:uid="{7F6C459D-2E74-4864-936E-BD84804F9140}" name="Column5256" dataDxfId="22698" totalsRowDxfId="22697"/>
    <tableColumn id="5271" xr3:uid="{4FF95DFE-0460-42F0-8DFB-89DCA5AD3EF0}" name="Column5257" dataDxfId="22696" totalsRowDxfId="22695"/>
    <tableColumn id="5272" xr3:uid="{DEE1695C-438A-4E21-BB64-15EE483D86C3}" name="Column5258" dataDxfId="22694" totalsRowDxfId="22693"/>
    <tableColumn id="5273" xr3:uid="{EC1EA1BD-B75E-477A-A4C3-E3A99218562D}" name="Column5259" dataDxfId="22692" totalsRowDxfId="22691"/>
    <tableColumn id="5274" xr3:uid="{346B741E-FCC8-4065-8541-0AC34C8E8FE8}" name="Column5260" dataDxfId="22690" totalsRowDxfId="22689"/>
    <tableColumn id="5275" xr3:uid="{0CFAA192-878D-4B3A-B234-34DC06E03507}" name="Column5261" dataDxfId="22688" totalsRowDxfId="22687"/>
    <tableColumn id="5276" xr3:uid="{F9C52C94-ACC5-4F4B-BF40-364DA3D71819}" name="Column5262" dataDxfId="22686" totalsRowDxfId="22685"/>
    <tableColumn id="5277" xr3:uid="{A2252A3A-8225-4520-9015-FDBEA57F68B8}" name="Column5263" dataDxfId="22684" totalsRowDxfId="22683"/>
    <tableColumn id="5278" xr3:uid="{132014CA-4C86-46F1-AFAD-02094993AF0A}" name="Column5264" dataDxfId="22682" totalsRowDxfId="22681"/>
    <tableColumn id="5279" xr3:uid="{F1BD767E-80AE-46A6-A67B-046D5E83A9EF}" name="Column5265" dataDxfId="22680" totalsRowDxfId="22679"/>
    <tableColumn id="5280" xr3:uid="{9E9CCDE3-4810-40B8-AFC3-84739807A080}" name="Column5266" dataDxfId="22678" totalsRowDxfId="22677"/>
    <tableColumn id="5281" xr3:uid="{E482294C-BE67-4381-9741-45857DF3B3E0}" name="Column5267" dataDxfId="22676" totalsRowDxfId="22675"/>
    <tableColumn id="5282" xr3:uid="{B1A92BEF-9412-4C96-98FD-814D71FFE829}" name="Column5268" dataDxfId="22674" totalsRowDxfId="22673"/>
    <tableColumn id="5283" xr3:uid="{39A35407-EC2B-494C-A2E6-F2EEA5396BD2}" name="Column5269" dataDxfId="22672" totalsRowDxfId="22671"/>
    <tableColumn id="5284" xr3:uid="{92A8FA7E-9866-45E7-9D99-C7510FF7F9A0}" name="Column5270" dataDxfId="22670" totalsRowDxfId="22669"/>
    <tableColumn id="5285" xr3:uid="{6F53D3B5-34BA-4BC0-BBE4-3E1A07C5696A}" name="Column5271" dataDxfId="22668" totalsRowDxfId="22667"/>
    <tableColumn id="5286" xr3:uid="{048A7EAC-74AB-488A-96BF-55636F2D9E41}" name="Column5272" dataDxfId="22666" totalsRowDxfId="22665"/>
    <tableColumn id="5287" xr3:uid="{8C572554-A54B-4097-9B13-C8968DD4C3E0}" name="Column5273" dataDxfId="22664" totalsRowDxfId="22663"/>
    <tableColumn id="5288" xr3:uid="{57DF1648-607C-4B33-B63E-84AF77838166}" name="Column5274" dataDxfId="22662" totalsRowDxfId="22661"/>
    <tableColumn id="5289" xr3:uid="{D5ADDA71-DAF5-43EE-8D27-1BCA1775D9A4}" name="Column5275" dataDxfId="22660" totalsRowDxfId="22659"/>
    <tableColumn id="5290" xr3:uid="{CAB84BF4-C2DA-4AC7-B3ED-4749A6B5CD39}" name="Column5276" dataDxfId="22658" totalsRowDxfId="22657"/>
    <tableColumn id="5291" xr3:uid="{E09CD374-31D5-47B9-A6F3-B40365E9DB3A}" name="Column5277" dataDxfId="22656" totalsRowDxfId="22655"/>
    <tableColumn id="5292" xr3:uid="{0128A2C2-4EFB-43DF-A1FF-9595163F7178}" name="Column5278" dataDxfId="22654" totalsRowDxfId="22653"/>
    <tableColumn id="5293" xr3:uid="{245E33EF-6D9F-4A42-BF16-549F76FA3AEB}" name="Column5279" dataDxfId="22652" totalsRowDxfId="22651"/>
    <tableColumn id="5294" xr3:uid="{A93BBC9A-F1F5-468C-8009-D346D4EBF13D}" name="Column5280" dataDxfId="22650" totalsRowDxfId="22649"/>
    <tableColumn id="5295" xr3:uid="{68F0AE25-CFB2-4E31-A57F-3D960046592B}" name="Column5281" dataDxfId="22648" totalsRowDxfId="22647"/>
    <tableColumn id="5296" xr3:uid="{49EB7064-F51D-4498-A718-9920384E9A6D}" name="Column5282" dataDxfId="22646" totalsRowDxfId="22645"/>
    <tableColumn id="5297" xr3:uid="{7F1C5768-0357-4374-BE45-DDB1BD7C7FB1}" name="Column5283" dataDxfId="22644" totalsRowDxfId="22643"/>
    <tableColumn id="5298" xr3:uid="{C01335EE-D571-48EC-9874-153B9F0F5C91}" name="Column5284" dataDxfId="22642" totalsRowDxfId="22641"/>
    <tableColumn id="5299" xr3:uid="{194D3C76-F345-4705-AB7F-9FA6D42DEA13}" name="Column5285" dataDxfId="22640" totalsRowDxfId="22639"/>
    <tableColumn id="5300" xr3:uid="{9060280A-2ACD-4D14-8728-D36E666439E2}" name="Column5286" dataDxfId="22638" totalsRowDxfId="22637"/>
    <tableColumn id="5301" xr3:uid="{9084419E-56EC-4BE4-8A05-151672F8C90F}" name="Column5287" dataDxfId="22636" totalsRowDxfId="22635"/>
    <tableColumn id="5302" xr3:uid="{CD63E801-9CC9-46C6-9157-0CAF7DF8E35D}" name="Column5288" dataDxfId="22634" totalsRowDxfId="22633"/>
    <tableColumn id="5303" xr3:uid="{4BD08126-024B-48ED-B213-7654CFE685EA}" name="Column5289" dataDxfId="22632" totalsRowDxfId="22631"/>
    <tableColumn id="5304" xr3:uid="{3D8C51BA-0286-47EA-B283-D55EBA16AE41}" name="Column5290" dataDxfId="22630" totalsRowDxfId="22629"/>
    <tableColumn id="5305" xr3:uid="{98C5CA52-F3F9-4603-BFCB-D269B2FB6771}" name="Column5291" dataDxfId="22628" totalsRowDxfId="22627"/>
    <tableColumn id="5306" xr3:uid="{D166DE7A-DCEE-42F2-AA85-0C0BA0E8A2E1}" name="Column5292" dataDxfId="22626" totalsRowDxfId="22625"/>
    <tableColumn id="5307" xr3:uid="{1656F380-B10E-4569-BD10-A0541C43FD9B}" name="Column5293" dataDxfId="22624" totalsRowDxfId="22623"/>
    <tableColumn id="5308" xr3:uid="{9B47BC1A-066F-41BB-B64C-1C5CAF7082CE}" name="Column5294" dataDxfId="22622" totalsRowDxfId="22621"/>
    <tableColumn id="5309" xr3:uid="{63C62BA0-F8DB-479A-B4D4-633317190149}" name="Column5295" dataDxfId="22620" totalsRowDxfId="22619"/>
    <tableColumn id="5310" xr3:uid="{FEBCF591-DC24-4AFE-A226-CD0EC629A7C7}" name="Column5296" dataDxfId="22618" totalsRowDxfId="22617"/>
    <tableColumn id="5311" xr3:uid="{12E93EB0-9328-41E4-B85F-981B3483347D}" name="Column5297" dataDxfId="22616" totalsRowDxfId="22615"/>
    <tableColumn id="5312" xr3:uid="{CE9D27A5-D06E-4BE8-BE76-88BDAF04B86D}" name="Column5298" dataDxfId="22614" totalsRowDxfId="22613"/>
    <tableColumn id="5313" xr3:uid="{49699C1F-AB28-4632-897C-914EAFE5C641}" name="Column5299" dataDxfId="22612" totalsRowDxfId="22611"/>
    <tableColumn id="5314" xr3:uid="{F0F14629-610C-415C-B4CA-CA75D5B45733}" name="Column5300" dataDxfId="22610" totalsRowDxfId="22609"/>
    <tableColumn id="5315" xr3:uid="{85B755DA-8A17-4FFD-97F3-760AF202B127}" name="Column5301" dataDxfId="22608" totalsRowDxfId="22607"/>
    <tableColumn id="5316" xr3:uid="{B528C2D7-FE4B-4F64-8F75-91DF9F87BF70}" name="Column5302" dataDxfId="22606" totalsRowDxfId="22605"/>
    <tableColumn id="5317" xr3:uid="{519B0F45-04D8-4C56-A504-5BB201A0315F}" name="Column5303" dataDxfId="22604" totalsRowDxfId="22603"/>
    <tableColumn id="5318" xr3:uid="{85403C37-40DC-4C92-81E0-6AC48D3E8318}" name="Column5304" dataDxfId="22602" totalsRowDxfId="22601"/>
    <tableColumn id="5319" xr3:uid="{EB4C0058-BE2F-4851-9323-A332BD7AAD54}" name="Column5305" dataDxfId="22600" totalsRowDxfId="22599"/>
    <tableColumn id="5320" xr3:uid="{5CC7F89A-A41F-423C-883A-57AF22A1B13D}" name="Column5306" dataDxfId="22598" totalsRowDxfId="22597"/>
    <tableColumn id="5321" xr3:uid="{A24A6235-01A5-4314-8BFC-71E9792469F9}" name="Column5307" dataDxfId="22596" totalsRowDxfId="22595"/>
    <tableColumn id="5322" xr3:uid="{F65070E1-2B58-4EBC-9656-7A5DEE447B7B}" name="Column5308" dataDxfId="22594" totalsRowDxfId="22593"/>
    <tableColumn id="5323" xr3:uid="{7AED2E3F-A752-4836-BF48-4F32644D6DA1}" name="Column5309" dataDxfId="22592" totalsRowDxfId="22591"/>
    <tableColumn id="5324" xr3:uid="{4E4B2E76-6B88-44E2-B981-F4DAC24A12C5}" name="Column5310" dataDxfId="22590" totalsRowDxfId="22589"/>
    <tableColumn id="5325" xr3:uid="{21482F63-251F-4609-BCA9-8A1CC5C5A494}" name="Column5311" dataDxfId="22588" totalsRowDxfId="22587"/>
    <tableColumn id="5326" xr3:uid="{CBE6B08D-BF0E-42BE-A7EE-12C0E19D3446}" name="Column5312" dataDxfId="22586" totalsRowDxfId="22585"/>
    <tableColumn id="5327" xr3:uid="{4728C610-364A-4327-BBDE-464E61AF3EFC}" name="Column5313" dataDxfId="22584" totalsRowDxfId="22583"/>
    <tableColumn id="5328" xr3:uid="{D8F8566B-6400-42DB-94C3-45C140A7A011}" name="Column5314" dataDxfId="22582" totalsRowDxfId="22581"/>
    <tableColumn id="5329" xr3:uid="{B2F42E50-30FA-4187-B957-E879E4767986}" name="Column5315" dataDxfId="22580" totalsRowDxfId="22579"/>
    <tableColumn id="5330" xr3:uid="{2A273F92-795C-443B-9AB3-CE8288B97626}" name="Column5316" dataDxfId="22578" totalsRowDxfId="22577"/>
    <tableColumn id="5331" xr3:uid="{89624837-3819-40EA-805D-298D7041AD58}" name="Column5317" dataDxfId="22576" totalsRowDxfId="22575"/>
    <tableColumn id="5332" xr3:uid="{EFD63C37-C709-4B0A-89F5-CEA0750EA89E}" name="Column5318" dataDxfId="22574" totalsRowDxfId="22573"/>
    <tableColumn id="5333" xr3:uid="{EC56F6DC-0F52-4A5B-B2EC-98554B09736F}" name="Column5319" dataDxfId="22572" totalsRowDxfId="22571"/>
    <tableColumn id="5334" xr3:uid="{931F9EEB-40F6-4E8B-86AC-30096F178CFC}" name="Column5320" dataDxfId="22570" totalsRowDxfId="22569"/>
    <tableColumn id="5335" xr3:uid="{8C63F432-7FC4-498C-B5EC-899D6E830014}" name="Column5321" dataDxfId="22568" totalsRowDxfId="22567"/>
    <tableColumn id="5336" xr3:uid="{E43FF6A0-8CB7-43FC-8AB2-688525DCC1C9}" name="Column5322" dataDxfId="22566" totalsRowDxfId="22565"/>
    <tableColumn id="5337" xr3:uid="{8EBE0E9F-9B04-4647-8175-A77BCD8B6DB0}" name="Column5323" dataDxfId="22564" totalsRowDxfId="22563"/>
    <tableColumn id="5338" xr3:uid="{E0EBA15A-A436-4B03-9293-F91F2688E6FD}" name="Column5324" dataDxfId="22562" totalsRowDxfId="22561"/>
    <tableColumn id="5339" xr3:uid="{526C0E71-4686-4D3A-8F54-472C9CFE9455}" name="Column5325" dataDxfId="22560" totalsRowDxfId="22559"/>
    <tableColumn id="5340" xr3:uid="{90C4385E-68BA-4FAA-B4C3-20496D2698B3}" name="Column5326" dataDxfId="22558" totalsRowDxfId="22557"/>
    <tableColumn id="5341" xr3:uid="{6DF35549-CD34-4AE1-B1A5-FDEA427159E9}" name="Column5327" dataDxfId="22556" totalsRowDxfId="22555"/>
    <tableColumn id="5342" xr3:uid="{27B5C295-FBAA-42D5-85A7-9762E5EAEEF7}" name="Column5328" dataDxfId="22554" totalsRowDxfId="22553"/>
    <tableColumn id="5343" xr3:uid="{5941C859-32BD-4073-9FB0-9328C9DC9B3B}" name="Column5329" dataDxfId="22552" totalsRowDxfId="22551"/>
    <tableColumn id="5344" xr3:uid="{14FD9A18-DD75-44AF-9743-BD91F865D9CC}" name="Column5330" dataDxfId="22550" totalsRowDxfId="22549"/>
    <tableColumn id="5345" xr3:uid="{BDAED43B-3EE2-414B-B3B7-B63C2717A9A2}" name="Column5331" dataDxfId="22548" totalsRowDxfId="22547"/>
    <tableColumn id="5346" xr3:uid="{16260BB4-33EE-440F-B7BC-776CB4924312}" name="Column5332" dataDxfId="22546" totalsRowDxfId="22545"/>
    <tableColumn id="5347" xr3:uid="{81BD9B4D-94DD-449D-A239-14C268260A2D}" name="Column5333" dataDxfId="22544" totalsRowDxfId="22543"/>
    <tableColumn id="5348" xr3:uid="{819A3265-943A-41AF-A8DF-051E2C27FB50}" name="Column5334" dataDxfId="22542" totalsRowDxfId="22541"/>
    <tableColumn id="5349" xr3:uid="{CDBF319E-AEA6-4C51-8C4D-65EE95FF9BDD}" name="Column5335" dataDxfId="22540" totalsRowDxfId="22539"/>
    <tableColumn id="5350" xr3:uid="{5718A3F7-7F27-4AD9-84D8-ABE71BB5B786}" name="Column5336" dataDxfId="22538" totalsRowDxfId="22537"/>
    <tableColumn id="5351" xr3:uid="{18E5E829-E463-4477-90D4-734D8F4D43E0}" name="Column5337" dataDxfId="22536" totalsRowDxfId="22535"/>
    <tableColumn id="5352" xr3:uid="{1AFF7A11-EF5B-4027-9622-5D3891EDB2C3}" name="Column5338" dataDxfId="22534" totalsRowDxfId="22533"/>
    <tableColumn id="5353" xr3:uid="{402A2890-FD3D-4E4E-83FC-DCB6C7DF50ED}" name="Column5339" dataDxfId="22532" totalsRowDxfId="22531"/>
    <tableColumn id="5354" xr3:uid="{36CB9022-BCC2-4258-8C5E-0A1B228E01A3}" name="Column5340" dataDxfId="22530" totalsRowDxfId="22529"/>
    <tableColumn id="5355" xr3:uid="{9CFEA565-0C07-44E7-A1DA-9EE365F5983E}" name="Column5341" dataDxfId="22528" totalsRowDxfId="22527"/>
    <tableColumn id="5356" xr3:uid="{234D685D-2B01-4D0E-9786-6816620B5CB0}" name="Column5342" dataDxfId="22526" totalsRowDxfId="22525"/>
    <tableColumn id="5357" xr3:uid="{627ADC1F-49B5-4782-8607-0C63C79A2A4D}" name="Column5343" dataDxfId="22524" totalsRowDxfId="22523"/>
    <tableColumn id="5358" xr3:uid="{E0D35BF8-0DB4-4918-A2B4-93D632618F60}" name="Column5344" dataDxfId="22522" totalsRowDxfId="22521"/>
    <tableColumn id="5359" xr3:uid="{9EA7F7E8-9167-435A-9036-DEA38FAA2371}" name="Column5345" dataDxfId="22520" totalsRowDxfId="22519"/>
    <tableColumn id="5360" xr3:uid="{EB03B3F5-5963-453B-A7D2-6AE34954D1E9}" name="Column5346" dataDxfId="22518" totalsRowDxfId="22517"/>
    <tableColumn id="5361" xr3:uid="{A256F067-FB71-4DCC-8672-74434862A97E}" name="Column5347" dataDxfId="22516" totalsRowDxfId="22515"/>
    <tableColumn id="5362" xr3:uid="{0F862F4F-241B-4D4C-ADCC-CA22668A6F49}" name="Column5348" dataDxfId="22514" totalsRowDxfId="22513"/>
    <tableColumn id="5363" xr3:uid="{5C7C1284-4415-4996-8158-DB8B4EB5F8DF}" name="Column5349" dataDxfId="22512" totalsRowDxfId="22511"/>
    <tableColumn id="5364" xr3:uid="{B675B721-759E-4ED9-A258-1270324EFBEA}" name="Column5350" dataDxfId="22510" totalsRowDxfId="22509"/>
    <tableColumn id="5365" xr3:uid="{6AE5A4D2-48BF-486B-8607-3F6E30FA675F}" name="Column5351" dataDxfId="22508" totalsRowDxfId="22507"/>
    <tableColumn id="5366" xr3:uid="{BCDE893A-B086-41C5-8A08-F517693116C7}" name="Column5352" dataDxfId="22506" totalsRowDxfId="22505"/>
    <tableColumn id="5367" xr3:uid="{4CB4B8F2-DDED-4900-B806-1101C2BC400D}" name="Column5353" dataDxfId="22504" totalsRowDxfId="22503"/>
    <tableColumn id="5368" xr3:uid="{53C9812C-650E-4883-AD7F-2348B945DB2D}" name="Column5354" dataDxfId="22502" totalsRowDxfId="22501"/>
    <tableColumn id="5369" xr3:uid="{F96CBD3C-927D-4B3E-A359-954D0A3FC298}" name="Column5355" dataDxfId="22500" totalsRowDxfId="22499"/>
    <tableColumn id="5370" xr3:uid="{B50FA553-DFEB-44B0-ACFB-3135C53B988D}" name="Column5356" dataDxfId="22498" totalsRowDxfId="22497"/>
    <tableColumn id="5371" xr3:uid="{296B1641-3846-46C4-BEFC-32E7157387C9}" name="Column5357" dataDxfId="22496" totalsRowDxfId="22495"/>
    <tableColumn id="5372" xr3:uid="{648E739A-7303-47EC-A4ED-0034EDB367EE}" name="Column5358" dataDxfId="22494" totalsRowDxfId="22493"/>
    <tableColumn id="5373" xr3:uid="{166B7BF9-0CC2-40FF-80BA-D4E88940B603}" name="Column5359" dataDxfId="22492" totalsRowDxfId="22491"/>
    <tableColumn id="5374" xr3:uid="{7A311F00-0786-4C4F-A86E-65B485ED710D}" name="Column5360" dataDxfId="22490" totalsRowDxfId="22489"/>
    <tableColumn id="5375" xr3:uid="{1D22263A-F929-4A50-9DB8-D743A576C1B9}" name="Column5361" dataDxfId="22488" totalsRowDxfId="22487"/>
    <tableColumn id="5376" xr3:uid="{40E9131E-0DC4-42A1-B796-B7C7821D8215}" name="Column5362" dataDxfId="22486" totalsRowDxfId="22485"/>
    <tableColumn id="5377" xr3:uid="{D5F78D4D-0606-4EE2-A4DD-318FDF28606B}" name="Column5363" dataDxfId="22484" totalsRowDxfId="22483"/>
    <tableColumn id="5378" xr3:uid="{F67E9D09-417C-49E1-A1DB-C487EE946990}" name="Column5364" dataDxfId="22482" totalsRowDxfId="22481"/>
    <tableColumn id="5379" xr3:uid="{E199B35D-6902-4C76-A9E5-7796F39B2B5F}" name="Column5365" dataDxfId="22480" totalsRowDxfId="22479"/>
    <tableColumn id="5380" xr3:uid="{4922971E-FE41-4A6D-B1AA-989677D602B4}" name="Column5366" dataDxfId="22478" totalsRowDxfId="22477"/>
    <tableColumn id="5381" xr3:uid="{1CADDBA9-E9C3-4334-A35A-4570D9254435}" name="Column5367" dataDxfId="22476" totalsRowDxfId="22475"/>
    <tableColumn id="5382" xr3:uid="{F066272D-F3C8-4614-BB8A-6DCBFBEDF483}" name="Column5368" dataDxfId="22474" totalsRowDxfId="22473"/>
    <tableColumn id="5383" xr3:uid="{5034E69C-078E-4C91-8B86-26E3774962A1}" name="Column5369" dataDxfId="22472" totalsRowDxfId="22471"/>
    <tableColumn id="5384" xr3:uid="{7C6ADF3F-765D-48FA-9D87-70B4F00CABD7}" name="Column5370" dataDxfId="22470" totalsRowDxfId="22469"/>
    <tableColumn id="5385" xr3:uid="{87050C9F-9D21-4120-BD67-2137617CD3FF}" name="Column5371" dataDxfId="22468" totalsRowDxfId="22467"/>
    <tableColumn id="5386" xr3:uid="{EE89FFA4-0F88-4A1D-BACD-156AEE33005A}" name="Column5372" dataDxfId="22466" totalsRowDxfId="22465"/>
    <tableColumn id="5387" xr3:uid="{A4E54DD1-4BB2-4E4A-A8C5-25BF7059717C}" name="Column5373" dataDxfId="22464" totalsRowDxfId="22463"/>
    <tableColumn id="5388" xr3:uid="{C4884C72-5C3B-4ED7-87F1-2C9CA5E73C40}" name="Column5374" dataDxfId="22462" totalsRowDxfId="22461"/>
    <tableColumn id="5389" xr3:uid="{5EEEB3F5-2DAB-4ADF-B6AF-66A08C64918E}" name="Column5375" dataDxfId="22460" totalsRowDxfId="22459"/>
    <tableColumn id="5390" xr3:uid="{59FF0FFF-9CB3-4A36-9C1B-72D6BF2F5BBB}" name="Column5376" dataDxfId="22458" totalsRowDxfId="22457"/>
    <tableColumn id="5391" xr3:uid="{46D6720E-5FCD-4033-9ED9-2D2DD7086499}" name="Column5377" dataDxfId="22456" totalsRowDxfId="22455"/>
    <tableColumn id="5392" xr3:uid="{28C190A7-EA51-4CEA-950B-8249095A68E2}" name="Column5378" dataDxfId="22454" totalsRowDxfId="22453"/>
    <tableColumn id="5393" xr3:uid="{CEEC95C5-A147-4BB2-AC6E-81A72D80FA12}" name="Column5379" dataDxfId="22452" totalsRowDxfId="22451"/>
    <tableColumn id="5394" xr3:uid="{672A2AA4-5473-4723-B16C-BF4E74A0B220}" name="Column5380" dataDxfId="22450" totalsRowDxfId="22449"/>
    <tableColumn id="5395" xr3:uid="{ED6CA790-798C-4B55-AC74-877AB8179AF1}" name="Column5381" dataDxfId="22448" totalsRowDxfId="22447"/>
    <tableColumn id="5396" xr3:uid="{7DBF909F-76D0-45D9-8268-B2BBDC292E5F}" name="Column5382" dataDxfId="22446" totalsRowDxfId="22445"/>
    <tableColumn id="5397" xr3:uid="{73B37293-B391-4C2D-A766-26F77DB76A1C}" name="Column5383" dataDxfId="22444" totalsRowDxfId="22443"/>
    <tableColumn id="5398" xr3:uid="{A435707F-47D4-4F9E-8C70-99CBB1B39360}" name="Column5384" dataDxfId="22442" totalsRowDxfId="22441"/>
    <tableColumn id="5399" xr3:uid="{3C7148E0-F70C-44EF-9FE8-2A996E22A465}" name="Column5385" dataDxfId="22440" totalsRowDxfId="22439"/>
    <tableColumn id="5400" xr3:uid="{4DB827E4-E300-4773-9281-115A3CFE117B}" name="Column5386" dataDxfId="22438" totalsRowDxfId="22437"/>
    <tableColumn id="5401" xr3:uid="{0D276BA2-665C-4127-A454-EA6AA67980CA}" name="Column5387" dataDxfId="22436" totalsRowDxfId="22435"/>
    <tableColumn id="5402" xr3:uid="{0922EA57-4BAE-4DB9-B019-72FA2543FB14}" name="Column5388" dataDxfId="22434" totalsRowDxfId="22433"/>
    <tableColumn id="5403" xr3:uid="{95114FFB-7A58-46B3-ABA2-6F90DAF5AE14}" name="Column5389" dataDxfId="22432" totalsRowDxfId="22431"/>
    <tableColumn id="5404" xr3:uid="{F438916A-BAA9-4E87-BDB1-1563CA20B086}" name="Column5390" dataDxfId="22430" totalsRowDxfId="22429"/>
    <tableColumn id="5405" xr3:uid="{2D3CC5C6-C488-4ACD-A8F7-D0A07C1268BC}" name="Column5391" dataDxfId="22428" totalsRowDxfId="22427"/>
    <tableColumn id="5406" xr3:uid="{40BC7C73-0218-4578-B3CB-84C2D3D726C7}" name="Column5392" dataDxfId="22426" totalsRowDxfId="22425"/>
    <tableColumn id="5407" xr3:uid="{C4BBE4FC-1298-4278-9062-DAA2BE9A5B97}" name="Column5393" dataDxfId="22424" totalsRowDxfId="22423"/>
    <tableColumn id="5408" xr3:uid="{FD4C2B89-CA43-44E4-B621-F413BB8790E4}" name="Column5394" dataDxfId="22422" totalsRowDxfId="22421"/>
    <tableColumn id="5409" xr3:uid="{E5888859-D7AF-42A4-AA97-A4092ED01C53}" name="Column5395" dataDxfId="22420" totalsRowDxfId="22419"/>
    <tableColumn id="5410" xr3:uid="{B08C0997-ADFE-4F77-9347-3D3FEB0259BC}" name="Column5396" dataDxfId="22418" totalsRowDxfId="22417"/>
    <tableColumn id="5411" xr3:uid="{A854DD9F-FB75-430B-8ED4-9719AC4D7AC4}" name="Column5397" dataDxfId="22416" totalsRowDxfId="22415"/>
    <tableColumn id="5412" xr3:uid="{44788A2A-30D4-4D64-8EEB-7D08370378ED}" name="Column5398" dataDxfId="22414" totalsRowDxfId="22413"/>
    <tableColumn id="5413" xr3:uid="{1907EB7B-1A73-4D27-8C6F-98F81D65660A}" name="Column5399" dataDxfId="22412" totalsRowDxfId="22411"/>
    <tableColumn id="5414" xr3:uid="{E335F58B-9595-49A9-ACFE-E14216BFAB5E}" name="Column5400" dataDxfId="22410" totalsRowDxfId="22409"/>
    <tableColumn id="5415" xr3:uid="{EF77B434-9D38-4300-A783-5D9360515131}" name="Column5401" dataDxfId="22408" totalsRowDxfId="22407"/>
    <tableColumn id="5416" xr3:uid="{07470272-9D1F-4BDB-94BB-F8C8EC4196BA}" name="Column5402" dataDxfId="22406" totalsRowDxfId="22405"/>
    <tableColumn id="5417" xr3:uid="{94691B13-02AA-46A2-81FA-5D701F9E53C9}" name="Column5403" dataDxfId="22404" totalsRowDxfId="22403"/>
    <tableColumn id="5418" xr3:uid="{AE884C95-3F62-43C1-8A6F-8FBA4F444A25}" name="Column5404" dataDxfId="22402" totalsRowDxfId="22401"/>
    <tableColumn id="5419" xr3:uid="{9A19651A-7D7B-4CC5-9A75-9FC15C837F04}" name="Column5405" dataDxfId="22400" totalsRowDxfId="22399"/>
    <tableColumn id="5420" xr3:uid="{4B891CBC-E32C-4FD2-A032-798160E56F43}" name="Column5406" dataDxfId="22398" totalsRowDxfId="22397"/>
    <tableColumn id="5421" xr3:uid="{3B3349BC-628C-42B7-9034-FFCD3061C7F9}" name="Column5407" dataDxfId="22396" totalsRowDxfId="22395"/>
    <tableColumn id="5422" xr3:uid="{FDDB258F-15C5-4F42-AE34-AF8EB232DAAE}" name="Column5408" dataDxfId="22394" totalsRowDxfId="22393"/>
    <tableColumn id="5423" xr3:uid="{0B1AD793-79FB-4A7D-A518-B64B2C133F0B}" name="Column5409" dataDxfId="22392" totalsRowDxfId="22391"/>
    <tableColumn id="5424" xr3:uid="{129A72E0-45B3-43E4-B440-55DD5D573C33}" name="Column5410" dataDxfId="22390" totalsRowDxfId="22389"/>
    <tableColumn id="5425" xr3:uid="{EB17814B-1D14-4851-A92A-E39761C52AA3}" name="Column5411" dataDxfId="22388" totalsRowDxfId="22387"/>
    <tableColumn id="5426" xr3:uid="{5E8E2A31-0D10-4585-9023-13D93EBBDE75}" name="Column5412" dataDxfId="22386" totalsRowDxfId="22385"/>
    <tableColumn id="5427" xr3:uid="{54A880C7-1718-4B3D-9536-1CB0471E3E63}" name="Column5413" dataDxfId="22384" totalsRowDxfId="22383"/>
    <tableColumn id="5428" xr3:uid="{87EAA4B9-392E-4CCE-9CE2-53BD2EA04633}" name="Column5414" dataDxfId="22382" totalsRowDxfId="22381"/>
    <tableColumn id="5429" xr3:uid="{C13EDD5F-A249-4F4C-9437-F48AAA9488B5}" name="Column5415" dataDxfId="22380" totalsRowDxfId="22379"/>
    <tableColumn id="5430" xr3:uid="{6A86F13A-C88F-4686-B4EC-B513134209A0}" name="Column5416" dataDxfId="22378" totalsRowDxfId="22377"/>
    <tableColumn id="5431" xr3:uid="{C6CF977A-2BA8-4C7D-B2CB-FCB0036EF71F}" name="Column5417" dataDxfId="22376" totalsRowDxfId="22375"/>
    <tableColumn id="5432" xr3:uid="{6B2BCFC3-01AB-48E1-A0F5-A2C36A736580}" name="Column5418" dataDxfId="22374" totalsRowDxfId="22373"/>
    <tableColumn id="5433" xr3:uid="{1729C763-5A91-4E69-92F5-306A64583A62}" name="Column5419" dataDxfId="22372" totalsRowDxfId="22371"/>
    <tableColumn id="5434" xr3:uid="{ED7B693F-E57D-495D-BA04-F4F943324D0F}" name="Column5420" dataDxfId="22370" totalsRowDxfId="22369"/>
    <tableColumn id="5435" xr3:uid="{CE349E05-3357-49A4-85E0-3404F7A1DF15}" name="Column5421" dataDxfId="22368" totalsRowDxfId="22367"/>
    <tableColumn id="5436" xr3:uid="{B0D041B6-08F9-4C77-9B0E-0A0B7B53671F}" name="Column5422" dataDxfId="22366" totalsRowDxfId="22365"/>
    <tableColumn id="5437" xr3:uid="{D5A1F3E3-18B8-4170-8B1E-96C81F6100C6}" name="Column5423" dataDxfId="22364" totalsRowDxfId="22363"/>
    <tableColumn id="5438" xr3:uid="{4FCCC977-873B-4C93-A562-51DA83470665}" name="Column5424" dataDxfId="22362" totalsRowDxfId="22361"/>
    <tableColumn id="5439" xr3:uid="{CAC779EF-02F6-4952-B9E9-634421C0397D}" name="Column5425" dataDxfId="22360" totalsRowDxfId="22359"/>
    <tableColumn id="5440" xr3:uid="{64B51308-2F16-4F07-B319-F39FD805940B}" name="Column5426" dataDxfId="22358" totalsRowDxfId="22357"/>
    <tableColumn id="5441" xr3:uid="{5B10A08B-FD02-490E-A872-C75ACBC8C1EE}" name="Column5427" dataDxfId="22356" totalsRowDxfId="22355"/>
    <tableColumn id="5442" xr3:uid="{6227DFE2-7963-494E-91F8-BCD1E8FA5590}" name="Column5428" dataDxfId="22354" totalsRowDxfId="22353"/>
    <tableColumn id="5443" xr3:uid="{2B7D009B-42ED-466F-9750-B845C7B81A4C}" name="Column5429" dataDxfId="22352" totalsRowDxfId="22351"/>
    <tableColumn id="5444" xr3:uid="{ACFF74F8-6FAD-4F1F-A38B-AEF3EBF52CA6}" name="Column5430" dataDxfId="22350" totalsRowDxfId="22349"/>
    <tableColumn id="5445" xr3:uid="{CC3C284B-2084-44F0-9A52-64F23A8826E1}" name="Column5431" dataDxfId="22348" totalsRowDxfId="22347"/>
    <tableColumn id="5446" xr3:uid="{7C9B10F3-3C3E-4939-88BA-37D0DFFA3B26}" name="Column5432" dataDxfId="22346" totalsRowDxfId="22345"/>
    <tableColumn id="5447" xr3:uid="{BD15C4EC-48F6-46C2-BF62-AFBD7DCB2ACF}" name="Column5433" dataDxfId="22344" totalsRowDxfId="22343"/>
    <tableColumn id="5448" xr3:uid="{1A37BF24-F9BF-4380-9C8F-B23FBCC0EFCA}" name="Column5434" dataDxfId="22342" totalsRowDxfId="22341"/>
    <tableColumn id="5449" xr3:uid="{B27B555B-B0AF-4388-9A0F-B4FB8478D3E7}" name="Column5435" dataDxfId="22340" totalsRowDxfId="22339"/>
    <tableColumn id="5450" xr3:uid="{632C6928-CDA5-4496-8488-77FB650808C7}" name="Column5436" dataDxfId="22338" totalsRowDxfId="22337"/>
    <tableColumn id="5451" xr3:uid="{DF1BA026-3425-4CC9-A625-4C2866D25A39}" name="Column5437" dataDxfId="22336" totalsRowDxfId="22335"/>
    <tableColumn id="5452" xr3:uid="{B4FE1994-C972-429A-BE81-AAC4C8847E62}" name="Column5438" dataDxfId="22334" totalsRowDxfId="22333"/>
    <tableColumn id="5453" xr3:uid="{5C5B6FDE-22D8-492B-B74F-C49A1A1E8995}" name="Column5439" dataDxfId="22332" totalsRowDxfId="22331"/>
    <tableColumn id="5454" xr3:uid="{1C55AB73-8655-43D1-B3C5-9C3922779AE6}" name="Column5440" dataDxfId="22330" totalsRowDxfId="22329"/>
    <tableColumn id="5455" xr3:uid="{93B5BA11-F646-4B2B-8637-C72BA444CEE6}" name="Column5441" dataDxfId="22328" totalsRowDxfId="22327"/>
    <tableColumn id="5456" xr3:uid="{7F63FEB9-52B3-4CBF-899C-9F836DCD3320}" name="Column5442" dataDxfId="22326" totalsRowDxfId="22325"/>
    <tableColumn id="5457" xr3:uid="{98B2584A-EA13-4253-B509-974CC81ED42F}" name="Column5443" dataDxfId="22324" totalsRowDxfId="22323"/>
    <tableColumn id="5458" xr3:uid="{D68B2A2D-5EAC-4FC7-B2E5-2029828E4DDC}" name="Column5444" dataDxfId="22322" totalsRowDxfId="22321"/>
    <tableColumn id="5459" xr3:uid="{C34CA789-9FE0-4A08-9640-DA7C6FA65777}" name="Column5445" dataDxfId="22320" totalsRowDxfId="22319"/>
    <tableColumn id="5460" xr3:uid="{F6F475D3-6E18-4DF0-9BF0-440A95E106D1}" name="Column5446" dataDxfId="22318" totalsRowDxfId="22317"/>
    <tableColumn id="5461" xr3:uid="{E6C22624-30CF-43D4-8DB7-5BCD3012A05D}" name="Column5447" dataDxfId="22316" totalsRowDxfId="22315"/>
    <tableColumn id="5462" xr3:uid="{C193C07D-FBF3-42B6-BF51-7F1794ED63AF}" name="Column5448" dataDxfId="22314" totalsRowDxfId="22313"/>
    <tableColumn id="5463" xr3:uid="{85B94415-A512-4215-9664-1A981246CFA2}" name="Column5449" dataDxfId="22312" totalsRowDxfId="22311"/>
    <tableColumn id="5464" xr3:uid="{5CF48223-89A4-46E7-A630-9E593F0ACD61}" name="Column5450" dataDxfId="22310" totalsRowDxfId="22309"/>
    <tableColumn id="5465" xr3:uid="{47646DF6-DBC5-4D33-83A6-D4D64B798361}" name="Column5451" dataDxfId="22308" totalsRowDxfId="22307"/>
    <tableColumn id="5466" xr3:uid="{6630D002-63B4-4C4C-B2EC-041636477F3D}" name="Column5452" dataDxfId="22306" totalsRowDxfId="22305"/>
    <tableColumn id="5467" xr3:uid="{DDE00632-5C97-45DD-8EDC-CAF5B0C9858A}" name="Column5453" dataDxfId="22304" totalsRowDxfId="22303"/>
    <tableColumn id="5468" xr3:uid="{89F57E82-E2F8-4E72-AF39-40DB4CDAD39B}" name="Column5454" dataDxfId="22302" totalsRowDxfId="22301"/>
    <tableColumn id="5469" xr3:uid="{47B9A99B-60B3-49B6-B3DD-9A830812F81B}" name="Column5455" dataDxfId="22300" totalsRowDxfId="22299"/>
    <tableColumn id="5470" xr3:uid="{6D13C8D0-9720-4B37-9768-D88A713A8D42}" name="Column5456" dataDxfId="22298" totalsRowDxfId="22297"/>
    <tableColumn id="5471" xr3:uid="{D19B7CF3-56F5-42B5-A6BF-C3C605F7A02D}" name="Column5457" dataDxfId="22296" totalsRowDxfId="22295"/>
    <tableColumn id="5472" xr3:uid="{C0D2EC6B-6005-4751-A439-CC250023A5E2}" name="Column5458" dataDxfId="22294" totalsRowDxfId="22293"/>
    <tableColumn id="5473" xr3:uid="{DE2FF39D-C39B-4624-91C1-C61DA10BC440}" name="Column5459" dataDxfId="22292" totalsRowDxfId="22291"/>
    <tableColumn id="5474" xr3:uid="{F548CD84-FFD3-4D1E-A6D0-7FF75DD21AB6}" name="Column5460" dataDxfId="22290" totalsRowDxfId="22289"/>
    <tableColumn id="5475" xr3:uid="{9EDDC764-3338-43F9-B560-9EA70B01D816}" name="Column5461" dataDxfId="22288" totalsRowDxfId="22287"/>
    <tableColumn id="5476" xr3:uid="{7501F5ED-0F39-4600-8AA9-8472DCB6F3D4}" name="Column5462" dataDxfId="22286" totalsRowDxfId="22285"/>
    <tableColumn id="5477" xr3:uid="{B3A3B7B4-A9C6-43FC-A4FB-7F57F3FB1447}" name="Column5463" dataDxfId="22284" totalsRowDxfId="22283"/>
    <tableColumn id="5478" xr3:uid="{D4635F74-F8DA-4E4F-8F8A-4F55DE7BD6C3}" name="Column5464" dataDxfId="22282" totalsRowDxfId="22281"/>
    <tableColumn id="5479" xr3:uid="{3F5A7B48-7069-4313-94B7-C3FCFC1A8E74}" name="Column5465" dataDxfId="22280" totalsRowDxfId="22279"/>
    <tableColumn id="5480" xr3:uid="{B3A42C0A-7A5B-4111-94E8-FED43E4C6AF6}" name="Column5466" dataDxfId="22278" totalsRowDxfId="22277"/>
    <tableColumn id="5481" xr3:uid="{AE13868D-C7AE-4A48-A374-E3BE927FB431}" name="Column5467" dataDxfId="22276" totalsRowDxfId="22275"/>
    <tableColumn id="5482" xr3:uid="{583ECBA6-8CED-4DD5-B764-CC68522812C8}" name="Column5468" dataDxfId="22274" totalsRowDxfId="22273"/>
    <tableColumn id="5483" xr3:uid="{33F0570D-009F-484A-9F2B-ED3BF0282838}" name="Column5469" dataDxfId="22272" totalsRowDxfId="22271"/>
    <tableColumn id="5484" xr3:uid="{6140D099-FDE4-448F-B032-6911F03ADA06}" name="Column5470" dataDxfId="22270" totalsRowDxfId="22269"/>
    <tableColumn id="5485" xr3:uid="{04426F9B-5107-4293-A728-4BC704BD82DF}" name="Column5471" dataDxfId="22268" totalsRowDxfId="22267"/>
    <tableColumn id="5486" xr3:uid="{29B62893-2C23-47F5-92BD-BDCF299961C4}" name="Column5472" dataDxfId="22266" totalsRowDxfId="22265"/>
    <tableColumn id="5487" xr3:uid="{F9EBAB76-42B4-4F19-B563-4F9A69332C16}" name="Column5473" dataDxfId="22264" totalsRowDxfId="22263"/>
    <tableColumn id="5488" xr3:uid="{F59A268B-F61C-4B6B-BA00-6DDE33F88359}" name="Column5474" dataDxfId="22262" totalsRowDxfId="22261"/>
    <tableColumn id="5489" xr3:uid="{5CCCB5B0-53C3-407E-82D6-5EF9F0DEACBC}" name="Column5475" dataDxfId="22260" totalsRowDxfId="22259"/>
    <tableColumn id="5490" xr3:uid="{77418CEC-0F5B-403A-8E4D-79E4011B91DD}" name="Column5476" dataDxfId="22258" totalsRowDxfId="22257"/>
    <tableColumn id="5491" xr3:uid="{4B08B4BA-3B5F-49EB-BF50-D59CD99211E1}" name="Column5477" dataDxfId="22256" totalsRowDxfId="22255"/>
    <tableColumn id="5492" xr3:uid="{C0AE92E8-6738-4E3E-A8C9-6099DCF76B3C}" name="Column5478" dataDxfId="22254" totalsRowDxfId="22253"/>
    <tableColumn id="5493" xr3:uid="{2D9D8108-EFB7-4713-8A73-8FD1228A6016}" name="Column5479" dataDxfId="22252" totalsRowDxfId="22251"/>
    <tableColumn id="5494" xr3:uid="{0AB9EF7D-9C16-478D-ACC2-02B6B767223C}" name="Column5480" dataDxfId="22250" totalsRowDxfId="22249"/>
    <tableColumn id="5495" xr3:uid="{52E932CF-6B30-4348-983A-C10D5822E528}" name="Column5481" dataDxfId="22248" totalsRowDxfId="22247"/>
    <tableColumn id="5496" xr3:uid="{2BB51A8A-E22C-4C99-8305-48E5EEFB5433}" name="Column5482" dataDxfId="22246" totalsRowDxfId="22245"/>
    <tableColumn id="5497" xr3:uid="{78A1FD26-3992-439D-9CC5-301995A295E9}" name="Column5483" dataDxfId="22244" totalsRowDxfId="22243"/>
    <tableColumn id="5498" xr3:uid="{E7961D90-89E7-49CA-80CC-0792D07D17A3}" name="Column5484" dataDxfId="22242" totalsRowDxfId="22241"/>
    <tableColumn id="5499" xr3:uid="{74457B03-F64B-4712-AC35-921C46754894}" name="Column5485" dataDxfId="22240" totalsRowDxfId="22239"/>
    <tableColumn id="5500" xr3:uid="{FBBFA2D3-3EC2-4EAD-B84B-6D525DA76F76}" name="Column5486" dataDxfId="22238" totalsRowDxfId="22237"/>
    <tableColumn id="5501" xr3:uid="{D2FBB192-B3EF-4596-BF51-739427A5EE1E}" name="Column5487" dataDxfId="22236" totalsRowDxfId="22235"/>
    <tableColumn id="5502" xr3:uid="{C72D41F6-12C7-485C-BB62-1E3465CD9E8E}" name="Column5488" dataDxfId="22234" totalsRowDxfId="22233"/>
    <tableColumn id="5503" xr3:uid="{F85A7AF6-F854-4D20-ABE6-8EBBDB32D313}" name="Column5489" dataDxfId="22232" totalsRowDxfId="22231"/>
    <tableColumn id="5504" xr3:uid="{A04FC016-8A59-4EFA-9C2C-8C6374C22164}" name="Column5490" dataDxfId="22230" totalsRowDxfId="22229"/>
    <tableColumn id="5505" xr3:uid="{3FD791E7-BAC8-4B52-8C8A-46C489A25D90}" name="Column5491" dataDxfId="22228" totalsRowDxfId="22227"/>
    <tableColumn id="5506" xr3:uid="{82FC2928-EF1D-429E-B964-86F49AAFEBB2}" name="Column5492" dataDxfId="22226" totalsRowDxfId="22225"/>
    <tableColumn id="5507" xr3:uid="{3B1D5778-BF13-4E60-AF06-45AEB0192A1C}" name="Column5493" dataDxfId="22224" totalsRowDxfId="22223"/>
    <tableColumn id="5508" xr3:uid="{DD0ACC99-7D36-4ABD-BF70-B32F3AD188D1}" name="Column5494" dataDxfId="22222" totalsRowDxfId="22221"/>
    <tableColumn id="5509" xr3:uid="{34D58E7E-1B45-4CC9-AF29-84984AF74374}" name="Column5495" dataDxfId="22220" totalsRowDxfId="22219"/>
    <tableColumn id="5510" xr3:uid="{CF3FA269-5762-4351-A570-1E5D47B14ADD}" name="Column5496" dataDxfId="22218" totalsRowDxfId="22217"/>
    <tableColumn id="5511" xr3:uid="{1BC41D01-67F2-43BB-B05D-196451B4B70A}" name="Column5497" dataDxfId="22216" totalsRowDxfId="22215"/>
    <tableColumn id="5512" xr3:uid="{3C3ADA80-6EFA-4034-A6A2-1F874614F4B7}" name="Column5498" dataDxfId="22214" totalsRowDxfId="22213"/>
    <tableColumn id="5513" xr3:uid="{92055A30-6567-4FE5-AD3F-2C34ECC13812}" name="Column5499" dataDxfId="22212" totalsRowDxfId="22211"/>
    <tableColumn id="5514" xr3:uid="{02139EE3-4F01-4A75-87DC-D0874A10F93B}" name="Column5500" dataDxfId="22210" totalsRowDxfId="22209"/>
    <tableColumn id="5515" xr3:uid="{1D067FC2-1D0D-4133-91E4-7D42C6EF9BE5}" name="Column5501" dataDxfId="22208" totalsRowDxfId="22207"/>
    <tableColumn id="5516" xr3:uid="{AF527496-42F3-43FF-A844-9AE3320E9D36}" name="Column5502" dataDxfId="22206" totalsRowDxfId="22205"/>
    <tableColumn id="5517" xr3:uid="{F532D3EB-DC16-4604-AA2A-283ABBFF2A34}" name="Column5503" dataDxfId="22204" totalsRowDxfId="22203"/>
    <tableColumn id="5518" xr3:uid="{094E0AC2-D4DC-4817-86E9-DCAE8CDF2F8D}" name="Column5504" dataDxfId="22202" totalsRowDxfId="22201"/>
    <tableColumn id="5519" xr3:uid="{C7DE50E3-DACE-4474-BD94-64AC947EEDFE}" name="Column5505" dataDxfId="22200" totalsRowDxfId="22199"/>
    <tableColumn id="5520" xr3:uid="{33A84D67-7FDA-4833-9C18-3BC55CF63EAA}" name="Column5506" dataDxfId="22198" totalsRowDxfId="22197"/>
    <tableColumn id="5521" xr3:uid="{9FB53170-4F22-4621-9F75-7D1760BA25EA}" name="Column5507" dataDxfId="22196" totalsRowDxfId="22195"/>
    <tableColumn id="5522" xr3:uid="{683C911B-A345-425A-B725-6C435D610591}" name="Column5508" dataDxfId="22194" totalsRowDxfId="22193"/>
    <tableColumn id="5523" xr3:uid="{802B217D-22B8-4EA2-9907-26189339B137}" name="Column5509" dataDxfId="22192" totalsRowDxfId="22191"/>
    <tableColumn id="5524" xr3:uid="{B3CA6787-45AD-4AE0-96B0-13BD9D641B94}" name="Column5510" dataDxfId="22190" totalsRowDxfId="22189"/>
    <tableColumn id="5525" xr3:uid="{E8FB68D3-267A-4C53-B00D-D59536E869B5}" name="Column5511" dataDxfId="22188" totalsRowDxfId="22187"/>
    <tableColumn id="5526" xr3:uid="{683FAF76-7C98-44F1-A58B-706EEAC2141B}" name="Column5512" dataDxfId="22186" totalsRowDxfId="22185"/>
    <tableColumn id="5527" xr3:uid="{E7ED0E0D-DD24-4B59-A8C9-BF9DCCBD4A46}" name="Column5513" dataDxfId="22184" totalsRowDxfId="22183"/>
    <tableColumn id="5528" xr3:uid="{FD0ACBF6-40D7-4494-BBA7-25EC91A0E4E8}" name="Column5514" dataDxfId="22182" totalsRowDxfId="22181"/>
    <tableColumn id="5529" xr3:uid="{4B670CEB-D04E-4B5F-B9DA-83D4A081BD68}" name="Column5515" dataDxfId="22180" totalsRowDxfId="22179"/>
    <tableColumn id="5530" xr3:uid="{58B8D942-9996-472A-B2B9-D96508A2FA41}" name="Column5516" dataDxfId="22178" totalsRowDxfId="22177"/>
    <tableColumn id="5531" xr3:uid="{F2CD20C6-88AF-4794-95C7-5A7D8B0602B9}" name="Column5517" dataDxfId="22176" totalsRowDxfId="22175"/>
    <tableColumn id="5532" xr3:uid="{21146DE6-C288-44D7-A4A6-FE4B99E338FD}" name="Column5518" dataDxfId="22174" totalsRowDxfId="22173"/>
    <tableColumn id="5533" xr3:uid="{09D34D50-6CBC-4040-8D10-B12B62FC8D4C}" name="Column5519" dataDxfId="22172" totalsRowDxfId="22171"/>
    <tableColumn id="5534" xr3:uid="{F0021CA2-44DD-4D8B-8020-A10C77A28077}" name="Column5520" dataDxfId="22170" totalsRowDxfId="22169"/>
    <tableColumn id="5535" xr3:uid="{D69C8C57-121E-4DBC-9A42-73916E8BB678}" name="Column5521" dataDxfId="22168" totalsRowDxfId="22167"/>
    <tableColumn id="5536" xr3:uid="{7BFDC760-C402-4F45-AA23-51E72947347F}" name="Column5522" dataDxfId="22166" totalsRowDxfId="22165"/>
    <tableColumn id="5537" xr3:uid="{AD0E5D72-8B37-45D3-83F8-CD080249EF34}" name="Column5523" dataDxfId="22164" totalsRowDxfId="22163"/>
    <tableColumn id="5538" xr3:uid="{A947BA16-8848-4EFA-8EA4-1ACAC9BCDE8F}" name="Column5524" dataDxfId="22162" totalsRowDxfId="22161"/>
    <tableColumn id="5539" xr3:uid="{BB8CD5F6-50F3-498F-A44E-74D42F5D30C0}" name="Column5525" dataDxfId="22160" totalsRowDxfId="22159"/>
    <tableColumn id="5540" xr3:uid="{A290BD90-8A1B-4589-9373-E69F7926BAEC}" name="Column5526" dataDxfId="22158" totalsRowDxfId="22157"/>
    <tableColumn id="5541" xr3:uid="{C911972B-73D9-4555-BA72-F19293C9F172}" name="Column5527" dataDxfId="22156" totalsRowDxfId="22155"/>
    <tableColumn id="5542" xr3:uid="{8359AFE6-9CB7-4C0B-ABDF-6B5B7628F3D3}" name="Column5528" dataDxfId="22154" totalsRowDxfId="22153"/>
    <tableColumn id="5543" xr3:uid="{85CFCAF7-25EB-49BF-ACB2-020D736DBDD0}" name="Column5529" dataDxfId="22152" totalsRowDxfId="22151"/>
    <tableColumn id="5544" xr3:uid="{05644042-2E23-40F5-9421-F9D2EBD490FE}" name="Column5530" dataDxfId="22150" totalsRowDxfId="22149"/>
    <tableColumn id="5545" xr3:uid="{07D4EC1B-ABA8-4BFF-852F-2949609A8368}" name="Column5531" dataDxfId="22148" totalsRowDxfId="22147"/>
    <tableColumn id="5546" xr3:uid="{8DF56F96-835D-43B3-A891-626A1B257DB3}" name="Column5532" dataDxfId="22146" totalsRowDxfId="22145"/>
    <tableColumn id="5547" xr3:uid="{A93B727D-B9C5-4406-ADE0-43CF8B5CEDBA}" name="Column5533" dataDxfId="22144" totalsRowDxfId="22143"/>
    <tableColumn id="5548" xr3:uid="{10C537F4-A18B-47FC-972B-E25DA96EE75D}" name="Column5534" dataDxfId="22142" totalsRowDxfId="22141"/>
    <tableColumn id="5549" xr3:uid="{BB1545E5-4F93-4A31-8FDD-C24D8E3F4CDC}" name="Column5535" dataDxfId="22140" totalsRowDxfId="22139"/>
    <tableColumn id="5550" xr3:uid="{47B5D5AC-573D-4B9A-BDAF-9FBBA8A4EABC}" name="Column5536" dataDxfId="22138" totalsRowDxfId="22137"/>
    <tableColumn id="5551" xr3:uid="{B2C860C3-0BD3-47DD-AC94-D1939887BAE4}" name="Column5537" dataDxfId="22136" totalsRowDxfId="22135"/>
    <tableColumn id="5552" xr3:uid="{DDD7E749-E4EC-4B1C-80BD-3E71702F8CFB}" name="Column5538" dataDxfId="22134" totalsRowDxfId="22133"/>
    <tableColumn id="5553" xr3:uid="{FB9E09C3-0AA5-4D8D-874E-A71446B28A38}" name="Column5539" dataDxfId="22132" totalsRowDxfId="22131"/>
    <tableColumn id="5554" xr3:uid="{6833C18C-B5D8-4399-A9AE-0EDE3E519ECC}" name="Column5540" dataDxfId="22130" totalsRowDxfId="22129"/>
    <tableColumn id="5555" xr3:uid="{BBAD1839-8F7B-4481-9AF0-1C2C6AA21B1F}" name="Column5541" dataDxfId="22128" totalsRowDxfId="22127"/>
    <tableColumn id="5556" xr3:uid="{B4CAD65C-75C6-4043-B1C0-79F407EA6498}" name="Column5542" dataDxfId="22126" totalsRowDxfId="22125"/>
    <tableColumn id="5557" xr3:uid="{721F7C45-5612-4E39-A078-C5D9BF59F9CA}" name="Column5543" dataDxfId="22124" totalsRowDxfId="22123"/>
    <tableColumn id="5558" xr3:uid="{DDE71608-A75C-421C-9A40-C944A6CB2EF4}" name="Column5544" dataDxfId="22122" totalsRowDxfId="22121"/>
    <tableColumn id="5559" xr3:uid="{23E74647-72E8-4C92-80B9-ED8447275D61}" name="Column5545" dataDxfId="22120" totalsRowDxfId="22119"/>
    <tableColumn id="5560" xr3:uid="{8A13CE75-1A24-4320-83A0-3E61FA4F2C10}" name="Column5546" dataDxfId="22118" totalsRowDxfId="22117"/>
    <tableColumn id="5561" xr3:uid="{7B4359AD-6478-4B70-95BE-BBF6EBE26202}" name="Column5547" dataDxfId="22116" totalsRowDxfId="22115"/>
    <tableColumn id="5562" xr3:uid="{EABBA6D3-83AF-427F-BF41-6F52CCF431C4}" name="Column5548" dataDxfId="22114" totalsRowDxfId="22113"/>
    <tableColumn id="5563" xr3:uid="{86FABB23-0ACD-4B6C-B116-566FBE80D7B2}" name="Column5549" dataDxfId="22112" totalsRowDxfId="22111"/>
    <tableColumn id="5564" xr3:uid="{2EDB5597-2A29-4555-A659-41A98EA60CBB}" name="Column5550" dataDxfId="22110" totalsRowDxfId="22109"/>
    <tableColumn id="5565" xr3:uid="{6F1C7222-A30B-4BAC-AEAD-3C96CE543222}" name="Column5551" dataDxfId="22108" totalsRowDxfId="22107"/>
    <tableColumn id="5566" xr3:uid="{27E31E30-B0FE-4DD9-989F-93688D204B58}" name="Column5552" dataDxfId="22106" totalsRowDxfId="22105"/>
    <tableColumn id="5567" xr3:uid="{3E239B0E-DEDC-4823-9847-DED3C4FCEF87}" name="Column5553" dataDxfId="22104" totalsRowDxfId="22103"/>
    <tableColumn id="5568" xr3:uid="{D3453728-998B-4DC0-8668-B2A51C7E78BD}" name="Column5554" dataDxfId="22102" totalsRowDxfId="22101"/>
    <tableColumn id="5569" xr3:uid="{FE021FBB-A36A-4DEC-AEB5-3F484636809E}" name="Column5555" dataDxfId="22100" totalsRowDxfId="22099"/>
    <tableColumn id="5570" xr3:uid="{144F70D1-26A4-4C67-A5BA-5F8673B391C4}" name="Column5556" dataDxfId="22098" totalsRowDxfId="22097"/>
    <tableColumn id="5571" xr3:uid="{C3594177-67FA-4FF1-A0FA-0FF39B71B0E5}" name="Column5557" dataDxfId="22096" totalsRowDxfId="22095"/>
    <tableColumn id="5572" xr3:uid="{31A4097D-7E92-438E-9689-A5FC31F18043}" name="Column5558" dataDxfId="22094" totalsRowDxfId="22093"/>
    <tableColumn id="5573" xr3:uid="{A71C0E48-66EA-48B2-B7DC-DF3DA334F641}" name="Column5559" dataDxfId="22092" totalsRowDxfId="22091"/>
    <tableColumn id="5574" xr3:uid="{E1F0C42F-EA01-4B97-9881-1D9DF96379F9}" name="Column5560" dataDxfId="22090" totalsRowDxfId="22089"/>
    <tableColumn id="5575" xr3:uid="{D50C1C45-4471-47A3-8452-6A5CB73E9A41}" name="Column5561" dataDxfId="22088" totalsRowDxfId="22087"/>
    <tableColumn id="5576" xr3:uid="{F2E3BF68-2497-4179-A331-8C4E61B977D6}" name="Column5562" dataDxfId="22086" totalsRowDxfId="22085"/>
    <tableColumn id="5577" xr3:uid="{609F0A59-1559-4BC6-9BFC-037CD2C1F95A}" name="Column5563" dataDxfId="22084" totalsRowDxfId="22083"/>
    <tableColumn id="5578" xr3:uid="{DC5AC458-80A0-4C32-AEFB-768FA1456F49}" name="Column5564" dataDxfId="22082" totalsRowDxfId="22081"/>
    <tableColumn id="5579" xr3:uid="{497F027F-51AF-458B-87DB-17DBEC9BDE8D}" name="Column5565" dataDxfId="22080" totalsRowDxfId="22079"/>
    <tableColumn id="5580" xr3:uid="{89101E0E-1151-4B93-870A-5AE0498DB219}" name="Column5566" dataDxfId="22078" totalsRowDxfId="22077"/>
    <tableColumn id="5581" xr3:uid="{D48D2A1B-D4A7-4E4C-82C6-BAF712CDC3B2}" name="Column5567" dataDxfId="22076" totalsRowDxfId="22075"/>
    <tableColumn id="5582" xr3:uid="{945C7884-75FA-4353-A84A-3E1B24AB65A1}" name="Column5568" dataDxfId="22074" totalsRowDxfId="22073"/>
    <tableColumn id="5583" xr3:uid="{219B956F-94EB-45A1-B245-F3A94A0964FA}" name="Column5569" dataDxfId="22072" totalsRowDxfId="22071"/>
    <tableColumn id="5584" xr3:uid="{D315ABAE-AF82-4A2C-93F6-547A723B9104}" name="Column5570" dataDxfId="22070" totalsRowDxfId="22069"/>
    <tableColumn id="5585" xr3:uid="{DDCF4741-CFFF-4ACB-95A8-143720F5C9A8}" name="Column5571" dataDxfId="22068" totalsRowDxfId="22067"/>
    <tableColumn id="5586" xr3:uid="{017B0BE7-58D4-4250-9718-FF14D1922CCE}" name="Column5572" dataDxfId="22066" totalsRowDxfId="22065"/>
    <tableColumn id="5587" xr3:uid="{8EDBE1C4-6D1D-43D3-93EC-A1DC4F550FC1}" name="Column5573" dataDxfId="22064" totalsRowDxfId="22063"/>
    <tableColumn id="5588" xr3:uid="{41EE1A54-F3CD-457C-9212-489A2496C568}" name="Column5574" dataDxfId="22062" totalsRowDxfId="22061"/>
    <tableColumn id="5589" xr3:uid="{53AD2E58-C16F-46BF-8016-484CC601C2CC}" name="Column5575" dataDxfId="22060" totalsRowDxfId="22059"/>
    <tableColumn id="5590" xr3:uid="{61242753-DCF3-4141-B179-B47D4088E5D7}" name="Column5576" dataDxfId="22058" totalsRowDxfId="22057"/>
    <tableColumn id="5591" xr3:uid="{B872CEF2-1008-4D67-AF08-C0A6587613D2}" name="Column5577" dataDxfId="22056" totalsRowDxfId="22055"/>
    <tableColumn id="5592" xr3:uid="{475D2395-2557-477A-9A44-B83FBE33AB8A}" name="Column5578" dataDxfId="22054" totalsRowDxfId="22053"/>
    <tableColumn id="5593" xr3:uid="{83EBD5CB-7C07-4E50-AFFF-C6CE8204B943}" name="Column5579" dataDxfId="22052" totalsRowDxfId="22051"/>
    <tableColumn id="5594" xr3:uid="{785196FE-7B98-4E95-8337-9BAFBC7EF3D1}" name="Column5580" dataDxfId="22050" totalsRowDxfId="22049"/>
    <tableColumn id="5595" xr3:uid="{7E3348EA-92DC-4D66-95D4-D89545652475}" name="Column5581" dataDxfId="22048" totalsRowDxfId="22047"/>
    <tableColumn id="5596" xr3:uid="{FF8AEF22-9E5F-4F31-83A1-A9D32C245B3A}" name="Column5582" dataDxfId="22046" totalsRowDxfId="22045"/>
    <tableColumn id="5597" xr3:uid="{27990A59-1B7B-4297-BE15-4CFD89ABF150}" name="Column5583" dataDxfId="22044" totalsRowDxfId="22043"/>
    <tableColumn id="5598" xr3:uid="{6F941F9F-DF73-4851-8039-8B6416E19D84}" name="Column5584" dataDxfId="22042" totalsRowDxfId="22041"/>
    <tableColumn id="5599" xr3:uid="{6CDADEC0-BC57-4D28-B4B6-8AD9E0629C65}" name="Column5585" dataDxfId="22040" totalsRowDxfId="22039"/>
    <tableColumn id="5600" xr3:uid="{386607EE-78A7-442C-97F7-5EB5C8992BD9}" name="Column5586" dataDxfId="22038" totalsRowDxfId="22037"/>
    <tableColumn id="5601" xr3:uid="{710C8085-5079-43D5-A833-AE7A9AB28A25}" name="Column5587" dataDxfId="22036" totalsRowDxfId="22035"/>
    <tableColumn id="5602" xr3:uid="{81D3ECD8-C987-4540-8B90-E501041FF664}" name="Column5588" dataDxfId="22034" totalsRowDxfId="22033"/>
    <tableColumn id="5603" xr3:uid="{75E1404F-B323-4B3F-B522-AE233C8ADEE1}" name="Column5589" dataDxfId="22032" totalsRowDxfId="22031"/>
    <tableColumn id="5604" xr3:uid="{9F1819E3-3839-4488-8F51-EF4088052D2E}" name="Column5590" dataDxfId="22030" totalsRowDxfId="22029"/>
    <tableColumn id="5605" xr3:uid="{ECE129E2-4162-4D5F-8FBC-BB9879263A31}" name="Column5591" dataDxfId="22028" totalsRowDxfId="22027"/>
    <tableColumn id="5606" xr3:uid="{D4177E29-97B0-4DFB-8CCB-DA147DB3A560}" name="Column5592" dataDxfId="22026" totalsRowDxfId="22025"/>
    <tableColumn id="5607" xr3:uid="{F6C9C79D-3BE1-4525-83E8-656E1F229EAD}" name="Column5593" dataDxfId="22024" totalsRowDxfId="22023"/>
    <tableColumn id="5608" xr3:uid="{6238B957-A009-43C4-A949-035BAD6A6D15}" name="Column5594" dataDxfId="22022" totalsRowDxfId="22021"/>
    <tableColumn id="5609" xr3:uid="{ABAF5F99-8439-42A5-8CCD-9F2050961FB3}" name="Column5595" dataDxfId="22020" totalsRowDxfId="22019"/>
    <tableColumn id="5610" xr3:uid="{20B76D68-A224-4D85-B628-3193AE90E1C7}" name="Column5596" dataDxfId="22018" totalsRowDxfId="22017"/>
    <tableColumn id="5611" xr3:uid="{CE7B4885-CF33-4B52-8026-D3A0E2367FC2}" name="Column5597" dataDxfId="22016" totalsRowDxfId="22015"/>
    <tableColumn id="5612" xr3:uid="{48B9CF99-2F57-40B9-AB1E-DC32B2DB5B7F}" name="Column5598" dataDxfId="22014" totalsRowDxfId="22013"/>
    <tableColumn id="5613" xr3:uid="{0FCA3454-AF9C-4A7B-8B77-F2D87D549564}" name="Column5599" dataDxfId="22012" totalsRowDxfId="22011"/>
    <tableColumn id="5614" xr3:uid="{79E6436B-41AD-426D-93F6-73C4DB16A2CE}" name="Column5600" dataDxfId="22010" totalsRowDxfId="22009"/>
    <tableColumn id="5615" xr3:uid="{402DF4A7-C59B-4774-AF51-16A374B9A272}" name="Column5601" dataDxfId="22008" totalsRowDxfId="22007"/>
    <tableColumn id="5616" xr3:uid="{15338BF9-F818-4A45-87C7-625F105F65F0}" name="Column5602" dataDxfId="22006" totalsRowDxfId="22005"/>
    <tableColumn id="5617" xr3:uid="{E385A2CA-2F78-4A54-B603-8803120438E5}" name="Column5603" dataDxfId="22004" totalsRowDxfId="22003"/>
    <tableColumn id="5618" xr3:uid="{DD37F239-F4F3-473C-BCB7-347834CB5D2B}" name="Column5604" dataDxfId="22002" totalsRowDxfId="22001"/>
    <tableColumn id="5619" xr3:uid="{F8AD7783-F8D4-444C-AFFE-0C5570D46EB5}" name="Column5605" dataDxfId="22000" totalsRowDxfId="21999"/>
    <tableColumn id="5620" xr3:uid="{171FD845-930C-45DE-8F6C-F05EA484CBBD}" name="Column5606" dataDxfId="21998" totalsRowDxfId="21997"/>
    <tableColumn id="5621" xr3:uid="{069DE3DD-3765-4F09-A943-3CB1D6463479}" name="Column5607" dataDxfId="21996" totalsRowDxfId="21995"/>
    <tableColumn id="5622" xr3:uid="{7F132852-DFFD-49DF-A00F-5A47A0678DDC}" name="Column5608" dataDxfId="21994" totalsRowDxfId="21993"/>
    <tableColumn id="5623" xr3:uid="{FA908AAD-9F11-4046-8ED3-CAE72BC4416C}" name="Column5609" dataDxfId="21992" totalsRowDxfId="21991"/>
    <tableColumn id="5624" xr3:uid="{C0452F56-0BF4-46F0-99A5-5207891A8D85}" name="Column5610" dataDxfId="21990" totalsRowDxfId="21989"/>
    <tableColumn id="5625" xr3:uid="{8E0809C2-9BB9-45DE-9B4C-0552E2F19248}" name="Column5611" dataDxfId="21988" totalsRowDxfId="21987"/>
    <tableColumn id="5626" xr3:uid="{F8952061-DF60-4204-87DE-A7564CFAFC53}" name="Column5612" dataDxfId="21986" totalsRowDxfId="21985"/>
    <tableColumn id="5627" xr3:uid="{63C6624C-B3E3-44F2-A457-66349353F83F}" name="Column5613" dataDxfId="21984" totalsRowDxfId="21983"/>
    <tableColumn id="5628" xr3:uid="{2C0DDC64-D117-4DC9-BE11-8CB9AF426BC1}" name="Column5614" dataDxfId="21982" totalsRowDxfId="21981"/>
    <tableColumn id="5629" xr3:uid="{396975D4-628B-4B08-84AA-4C144E950B61}" name="Column5615" dataDxfId="21980" totalsRowDxfId="21979"/>
    <tableColumn id="5630" xr3:uid="{291600EC-82BC-489C-A80D-C4F3592A718A}" name="Column5616" dataDxfId="21978" totalsRowDxfId="21977"/>
    <tableColumn id="5631" xr3:uid="{75112244-EACF-4EA0-B95D-9AB812998E1D}" name="Column5617" dataDxfId="21976" totalsRowDxfId="21975"/>
    <tableColumn id="5632" xr3:uid="{6B5C0C37-C742-48B9-9B33-0221D4D0B322}" name="Column5618" dataDxfId="21974" totalsRowDxfId="21973"/>
    <tableColumn id="5633" xr3:uid="{9C81E2F4-8DF5-416F-9F1C-6D07BEA2B475}" name="Column5619" dataDxfId="21972" totalsRowDxfId="21971"/>
    <tableColumn id="5634" xr3:uid="{B7AFAC94-B0BA-46FF-B307-16F1C8F2745C}" name="Column5620" dataDxfId="21970" totalsRowDxfId="21969"/>
    <tableColumn id="5635" xr3:uid="{3108E659-3350-4B29-9823-BB704777E93D}" name="Column5621" dataDxfId="21968" totalsRowDxfId="21967"/>
    <tableColumn id="5636" xr3:uid="{BC6C1DA6-30A0-4160-942E-8E10FC90BEBB}" name="Column5622" dataDxfId="21966" totalsRowDxfId="21965"/>
    <tableColumn id="5637" xr3:uid="{58D57385-1313-46DD-B209-F1150D1EA600}" name="Column5623" dataDxfId="21964" totalsRowDxfId="21963"/>
    <tableColumn id="5638" xr3:uid="{1A7F453A-A6EB-4BD0-9E9B-73C09F73B515}" name="Column5624" dataDxfId="21962" totalsRowDxfId="21961"/>
    <tableColumn id="5639" xr3:uid="{9E22BE1C-59F1-496F-B1C6-94F15AE8CB54}" name="Column5625" dataDxfId="21960" totalsRowDxfId="21959"/>
    <tableColumn id="5640" xr3:uid="{69552CA4-BCF8-4CE8-A2BB-0B032BF9876B}" name="Column5626" dataDxfId="21958" totalsRowDxfId="21957"/>
    <tableColumn id="5641" xr3:uid="{84A3D6EF-ADBB-43E5-B5DF-4B9CF3C5A0C9}" name="Column5627" dataDxfId="21956" totalsRowDxfId="21955"/>
    <tableColumn id="5642" xr3:uid="{6E14F5E7-88C2-4156-922F-1538408888BA}" name="Column5628" dataDxfId="21954" totalsRowDxfId="21953"/>
    <tableColumn id="5643" xr3:uid="{460D50AF-B3EF-4E56-BF35-E560D022D46A}" name="Column5629" dataDxfId="21952" totalsRowDxfId="21951"/>
    <tableColumn id="5644" xr3:uid="{9F2202BE-84EA-4E4D-8F5B-04CED9C19697}" name="Column5630" dataDxfId="21950" totalsRowDxfId="21949"/>
    <tableColumn id="5645" xr3:uid="{6B9D9F66-FE7E-40B8-879F-805FC42E212D}" name="Column5631" dataDxfId="21948" totalsRowDxfId="21947"/>
    <tableColumn id="5646" xr3:uid="{F82AB16E-1F26-4EDD-94F8-D7DCBC8226F2}" name="Column5632" dataDxfId="21946" totalsRowDxfId="21945"/>
    <tableColumn id="5647" xr3:uid="{AAE2A9FB-4235-4647-A699-DC848A0A6F88}" name="Column5633" dataDxfId="21944" totalsRowDxfId="21943"/>
    <tableColumn id="5648" xr3:uid="{8BE4B866-4E95-4200-B67E-5AD6551C16C0}" name="Column5634" dataDxfId="21942" totalsRowDxfId="21941"/>
    <tableColumn id="5649" xr3:uid="{F91F248A-0CC7-40DC-9108-9DBF6B605D38}" name="Column5635" dataDxfId="21940" totalsRowDxfId="21939"/>
    <tableColumn id="5650" xr3:uid="{2E3060A0-8C0C-43D9-95AA-94B0A21DA542}" name="Column5636" dataDxfId="21938" totalsRowDxfId="21937"/>
    <tableColumn id="5651" xr3:uid="{0729C8B2-201E-49DD-A60E-92C4001C8482}" name="Column5637" dataDxfId="21936" totalsRowDxfId="21935"/>
    <tableColumn id="5652" xr3:uid="{FB13FCC8-399E-48BD-8BFA-7E1B8E9C7AF0}" name="Column5638" dataDxfId="21934" totalsRowDxfId="21933"/>
    <tableColumn id="5653" xr3:uid="{50263B32-5BB5-40FB-836B-56919A2EA3D9}" name="Column5639" dataDxfId="21932" totalsRowDxfId="21931"/>
    <tableColumn id="5654" xr3:uid="{75DF324D-7BCD-4B89-B7D2-CC08CA855290}" name="Column5640" dataDxfId="21930" totalsRowDxfId="21929"/>
    <tableColumn id="5655" xr3:uid="{A794F106-FC1B-44E9-AFBF-40485EE2FD20}" name="Column5641" dataDxfId="21928" totalsRowDxfId="21927"/>
    <tableColumn id="5656" xr3:uid="{6C52179C-0F14-4E9E-8139-274E20C00066}" name="Column5642" dataDxfId="21926" totalsRowDxfId="21925"/>
    <tableColumn id="5657" xr3:uid="{5DC3BBE7-B030-4B97-BC84-2B45618DAEB0}" name="Column5643" dataDxfId="21924" totalsRowDxfId="21923"/>
    <tableColumn id="5658" xr3:uid="{28CFDDD8-6828-49F5-AB7F-9310826E87D5}" name="Column5644" dataDxfId="21922" totalsRowDxfId="21921"/>
    <tableColumn id="5659" xr3:uid="{9DFEEDC7-E0BD-487E-9B38-7ACC0CB1D37E}" name="Column5645" dataDxfId="21920" totalsRowDxfId="21919"/>
    <tableColumn id="5660" xr3:uid="{05252DE4-E43F-458F-94FE-9BCD2BE075F5}" name="Column5646" dataDxfId="21918" totalsRowDxfId="21917"/>
    <tableColumn id="5661" xr3:uid="{37C7E965-4C92-4E2D-890F-238FB665418A}" name="Column5647" dataDxfId="21916" totalsRowDxfId="21915"/>
    <tableColumn id="5662" xr3:uid="{78114392-A7EA-405D-89E8-96D50A82FF9F}" name="Column5648" dataDxfId="21914" totalsRowDxfId="21913"/>
    <tableColumn id="5663" xr3:uid="{B97D6F9F-6253-4D5F-B9BF-974DF595FC76}" name="Column5649" dataDxfId="21912" totalsRowDxfId="21911"/>
    <tableColumn id="5664" xr3:uid="{A5C9EF8B-5BCA-469C-9E47-47D551F98F44}" name="Column5650" dataDxfId="21910" totalsRowDxfId="21909"/>
    <tableColumn id="5665" xr3:uid="{F216B483-7532-4554-8CC1-360254A0EFA7}" name="Column5651" dataDxfId="21908" totalsRowDxfId="21907"/>
    <tableColumn id="5666" xr3:uid="{C6F47814-1A06-4A77-80E2-1E5256C1C738}" name="Column5652" dataDxfId="21906" totalsRowDxfId="21905"/>
    <tableColumn id="5667" xr3:uid="{97F98A7E-6E8A-4FC4-9691-1B1200BBC84F}" name="Column5653" dataDxfId="21904" totalsRowDxfId="21903"/>
    <tableColumn id="5668" xr3:uid="{B5536C27-7F7B-4E9D-8EF4-4969BC848CB8}" name="Column5654" dataDxfId="21902" totalsRowDxfId="21901"/>
    <tableColumn id="5669" xr3:uid="{D0053452-AD75-4BA4-855E-853FF0358A84}" name="Column5655" dataDxfId="21900" totalsRowDxfId="21899"/>
    <tableColumn id="5670" xr3:uid="{2B992866-12C6-4087-BC4C-620D4B5219AF}" name="Column5656" dataDxfId="21898" totalsRowDxfId="21897"/>
    <tableColumn id="5671" xr3:uid="{E6391488-5005-4628-8ABD-1D2FF6536575}" name="Column5657" dataDxfId="21896" totalsRowDxfId="21895"/>
    <tableColumn id="5672" xr3:uid="{79A1EB1E-A878-4FBA-8849-E29BAD9A59EE}" name="Column5658" dataDxfId="21894" totalsRowDxfId="21893"/>
    <tableColumn id="5673" xr3:uid="{7EDB0B80-75AC-4A74-999F-F18D87EE6D0E}" name="Column5659" dataDxfId="21892" totalsRowDxfId="21891"/>
    <tableColumn id="5674" xr3:uid="{61EB142C-83DD-4CC0-A93B-64E18EB84F05}" name="Column5660" dataDxfId="21890" totalsRowDxfId="21889"/>
    <tableColumn id="5675" xr3:uid="{6A6FF5E2-9A0C-4778-AFC8-71E7A476FD75}" name="Column5661" dataDxfId="21888" totalsRowDxfId="21887"/>
    <tableColumn id="5676" xr3:uid="{5983479D-09D8-4D64-ACB2-F007B862FE84}" name="Column5662" dataDxfId="21886" totalsRowDxfId="21885"/>
    <tableColumn id="5677" xr3:uid="{D35AA546-424F-40B1-B315-7D850ADC2C64}" name="Column5663" dataDxfId="21884" totalsRowDxfId="21883"/>
    <tableColumn id="5678" xr3:uid="{611DC6AE-726F-4DC1-845F-78B040129A01}" name="Column5664" dataDxfId="21882" totalsRowDxfId="21881"/>
    <tableColumn id="5679" xr3:uid="{8E0B4877-1E4A-4079-B5AA-2DB3A06838E2}" name="Column5665" dataDxfId="21880" totalsRowDxfId="21879"/>
    <tableColumn id="5680" xr3:uid="{B27DF401-205F-42E9-837A-FAC645FB4D63}" name="Column5666" dataDxfId="21878" totalsRowDxfId="21877"/>
    <tableColumn id="5681" xr3:uid="{18219448-C907-4E55-8263-AA04EAA497B9}" name="Column5667" dataDxfId="21876" totalsRowDxfId="21875"/>
    <tableColumn id="5682" xr3:uid="{9B958255-6D47-473D-89CF-ABF3E4C8EB9A}" name="Column5668" dataDxfId="21874" totalsRowDxfId="21873"/>
    <tableColumn id="5683" xr3:uid="{BDA8A4D1-B1D0-4DAB-AFE7-54341ACDCF20}" name="Column5669" dataDxfId="21872" totalsRowDxfId="21871"/>
    <tableColumn id="5684" xr3:uid="{5D117F40-52C7-4C05-AFB6-451F57777D73}" name="Column5670" dataDxfId="21870" totalsRowDxfId="21869"/>
    <tableColumn id="5685" xr3:uid="{EE6F2B07-6C55-4BF5-8D71-C0B06214F3C5}" name="Column5671" dataDxfId="21868" totalsRowDxfId="21867"/>
    <tableColumn id="5686" xr3:uid="{0FC6E7C1-8255-45DC-B0D8-CBAE84060AA1}" name="Column5672" dataDxfId="21866" totalsRowDxfId="21865"/>
    <tableColumn id="5687" xr3:uid="{21CADC60-544D-4F21-96EA-BFE0A32FF722}" name="Column5673" dataDxfId="21864" totalsRowDxfId="21863"/>
    <tableColumn id="5688" xr3:uid="{C1E9D848-7E32-4911-9247-04D832A83AE5}" name="Column5674" dataDxfId="21862" totalsRowDxfId="21861"/>
    <tableColumn id="5689" xr3:uid="{27CF6E1E-F804-4C12-A779-2933CCDB2363}" name="Column5675" dataDxfId="21860" totalsRowDxfId="21859"/>
    <tableColumn id="5690" xr3:uid="{C68649AD-913C-4D37-8B91-7FF90266681F}" name="Column5676" dataDxfId="21858" totalsRowDxfId="21857"/>
    <tableColumn id="5691" xr3:uid="{B6717D12-9804-4FA8-9184-37DD50829C6F}" name="Column5677" dataDxfId="21856" totalsRowDxfId="21855"/>
    <tableColumn id="5692" xr3:uid="{CCB723E3-9D56-4FF6-8722-261EC92C66F6}" name="Column5678" dataDxfId="21854" totalsRowDxfId="21853"/>
    <tableColumn id="5693" xr3:uid="{11D5FB32-5C64-4547-B457-589854E6CDF0}" name="Column5679" dataDxfId="21852" totalsRowDxfId="21851"/>
    <tableColumn id="5694" xr3:uid="{F751455D-78E7-4610-99EB-728618F77D55}" name="Column5680" dataDxfId="21850" totalsRowDxfId="21849"/>
    <tableColumn id="5695" xr3:uid="{4795904F-ECF9-47E4-A2AA-938FCAF3537D}" name="Column5681" dataDxfId="21848" totalsRowDxfId="21847"/>
    <tableColumn id="5696" xr3:uid="{5C63ABA3-AD48-46E5-9888-F56512B582BC}" name="Column5682" dataDxfId="21846" totalsRowDxfId="21845"/>
    <tableColumn id="5697" xr3:uid="{114E9D7E-2761-4AD3-BBCB-0EE3F4446CE0}" name="Column5683" dataDxfId="21844" totalsRowDxfId="21843"/>
    <tableColumn id="5698" xr3:uid="{B105521C-2281-4348-9C28-830187025BBA}" name="Column5684" dataDxfId="21842" totalsRowDxfId="21841"/>
    <tableColumn id="5699" xr3:uid="{496F7604-45FD-4283-A51F-33603E955F1D}" name="Column5685" dataDxfId="21840" totalsRowDxfId="21839"/>
    <tableColumn id="5700" xr3:uid="{1DE3A0E1-8C8A-4640-9699-AFD77756DBA1}" name="Column5686" dataDxfId="21838" totalsRowDxfId="21837"/>
    <tableColumn id="5701" xr3:uid="{2E9D35C1-BAAF-42A5-A648-5EADF0D9D0F3}" name="Column5687" dataDxfId="21836" totalsRowDxfId="21835"/>
    <tableColumn id="5702" xr3:uid="{92AB3B03-E1F3-4F5B-BAC7-24307E31FD52}" name="Column5688" dataDxfId="21834" totalsRowDxfId="21833"/>
    <tableColumn id="5703" xr3:uid="{26E3D8D1-EA7C-47BD-8033-01727F0919C5}" name="Column5689" dataDxfId="21832" totalsRowDxfId="21831"/>
    <tableColumn id="5704" xr3:uid="{A27031AB-19F9-4803-97E5-F345D2AA8B47}" name="Column5690" dataDxfId="21830" totalsRowDxfId="21829"/>
    <tableColumn id="5705" xr3:uid="{D618662C-9BCF-46E4-9F42-7DE5E33A9FAE}" name="Column5691" dataDxfId="21828" totalsRowDxfId="21827"/>
    <tableColumn id="5706" xr3:uid="{DBC63D50-AC2D-4A55-841D-6124785B5254}" name="Column5692" dataDxfId="21826" totalsRowDxfId="21825"/>
    <tableColumn id="5707" xr3:uid="{5A0B8DAE-76F0-421F-8442-C965318A1B9F}" name="Column5693" dataDxfId="21824" totalsRowDxfId="21823"/>
    <tableColumn id="5708" xr3:uid="{B911B393-92EE-4F3B-9D60-73D832D8763B}" name="Column5694" dataDxfId="21822" totalsRowDxfId="21821"/>
    <tableColumn id="5709" xr3:uid="{2D41923E-562B-4486-8BFF-CAE3F6D2FF54}" name="Column5695" dataDxfId="21820" totalsRowDxfId="21819"/>
    <tableColumn id="5710" xr3:uid="{CD4C3F91-BEA3-469F-BE1E-4982CF2C25F3}" name="Column5696" dataDxfId="21818" totalsRowDxfId="21817"/>
    <tableColumn id="5711" xr3:uid="{B030D2E6-3A77-4841-BDB6-6FC689B03890}" name="Column5697" dataDxfId="21816" totalsRowDxfId="21815"/>
    <tableColumn id="5712" xr3:uid="{9E9FA839-865C-41FB-891E-E77F6017CA9D}" name="Column5698" dataDxfId="21814" totalsRowDxfId="21813"/>
    <tableColumn id="5713" xr3:uid="{56F59C75-79C6-4A30-A0D2-7C967B8570D0}" name="Column5699" dataDxfId="21812" totalsRowDxfId="21811"/>
    <tableColumn id="5714" xr3:uid="{DD2D686F-EAC0-4D94-B768-95825DB02399}" name="Column5700" dataDxfId="21810" totalsRowDxfId="21809"/>
    <tableColumn id="5715" xr3:uid="{B9988E94-B120-4A88-8427-7E57C7EC7155}" name="Column5701" dataDxfId="21808" totalsRowDxfId="21807"/>
    <tableColumn id="5716" xr3:uid="{E2F1E7A7-8BF0-4B37-95F4-FC6EE06093CD}" name="Column5702" dataDxfId="21806" totalsRowDxfId="21805"/>
    <tableColumn id="5717" xr3:uid="{64AEDCB6-180E-4518-8547-EFBA51C3E4A4}" name="Column5703" dataDxfId="21804" totalsRowDxfId="21803"/>
    <tableColumn id="5718" xr3:uid="{E67E3DDF-F44A-4246-BCAF-750779894E07}" name="Column5704" dataDxfId="21802" totalsRowDxfId="21801"/>
    <tableColumn id="5719" xr3:uid="{D88A299D-505A-4BF0-ABAE-9CD6921034A9}" name="Column5705" dataDxfId="21800" totalsRowDxfId="21799"/>
    <tableColumn id="5720" xr3:uid="{737857AD-D0B9-4B01-BDEC-C7E157261BD0}" name="Column5706" dataDxfId="21798" totalsRowDxfId="21797"/>
    <tableColumn id="5721" xr3:uid="{6DE5EC32-2D1B-4891-9A69-E95FB6C5C072}" name="Column5707" dataDxfId="21796" totalsRowDxfId="21795"/>
    <tableColumn id="5722" xr3:uid="{81F5C94B-A98C-4B74-A06B-8C326562B298}" name="Column5708" dataDxfId="21794" totalsRowDxfId="21793"/>
    <tableColumn id="5723" xr3:uid="{3CE8365C-1A12-4B4E-AADA-5A9941A50C5E}" name="Column5709" dataDxfId="21792" totalsRowDxfId="21791"/>
    <tableColumn id="5724" xr3:uid="{2C9BF78A-4FD3-4B6A-9EAA-F112BF7D7F82}" name="Column5710" dataDxfId="21790" totalsRowDxfId="21789"/>
    <tableColumn id="5725" xr3:uid="{4D457A55-F1D3-423D-AEEA-CBEEDC7B830C}" name="Column5711" dataDxfId="21788" totalsRowDxfId="21787"/>
    <tableColumn id="5726" xr3:uid="{825F768C-34FE-4406-AC85-9DC70D1EAC2C}" name="Column5712" dataDxfId="21786" totalsRowDxfId="21785"/>
    <tableColumn id="5727" xr3:uid="{6BA280EF-91AC-4B08-8824-1A4068E69186}" name="Column5713" dataDxfId="21784" totalsRowDxfId="21783"/>
    <tableColumn id="5728" xr3:uid="{83B2A96F-3BA3-4127-9920-F2FD67904B2F}" name="Column5714" dataDxfId="21782" totalsRowDxfId="21781"/>
    <tableColumn id="5729" xr3:uid="{5A3A7489-427B-48EF-A02A-CBB11205BB4D}" name="Column5715" dataDxfId="21780" totalsRowDxfId="21779"/>
    <tableColumn id="5730" xr3:uid="{C81BB1B5-4C44-45BD-9431-9FADDF69784E}" name="Column5716" dataDxfId="21778" totalsRowDxfId="21777"/>
    <tableColumn id="5731" xr3:uid="{6A326246-53CF-4F05-8D07-05C442CCBDF8}" name="Column5717" dataDxfId="21776" totalsRowDxfId="21775"/>
    <tableColumn id="5732" xr3:uid="{D55E3F3B-1237-40CC-AE93-78FA2BD11020}" name="Column5718" dataDxfId="21774" totalsRowDxfId="21773"/>
    <tableColumn id="5733" xr3:uid="{1DD67CC4-1ACC-42B6-84CE-903FEF89517B}" name="Column5719" dataDxfId="21772" totalsRowDxfId="21771"/>
    <tableColumn id="5734" xr3:uid="{39D78108-0099-4420-AAF6-59B71EDCFD04}" name="Column5720" dataDxfId="21770" totalsRowDxfId="21769"/>
    <tableColumn id="5735" xr3:uid="{F29F5442-1DE7-4776-9FFA-C4638B2210E4}" name="Column5721" dataDxfId="21768" totalsRowDxfId="21767"/>
    <tableColumn id="5736" xr3:uid="{8112CDC1-4733-406D-8606-D29AD3635E4E}" name="Column5722" dataDxfId="21766" totalsRowDxfId="21765"/>
    <tableColumn id="5737" xr3:uid="{7EDF93BB-2E09-40B9-BEE2-AE4FD4CD4035}" name="Column5723" dataDxfId="21764" totalsRowDxfId="21763"/>
    <tableColumn id="5738" xr3:uid="{1A58F04E-4DA6-4F86-B9C0-4CF7A432ECBE}" name="Column5724" dataDxfId="21762" totalsRowDxfId="21761"/>
    <tableColumn id="5739" xr3:uid="{A0544512-6691-4BD1-9428-98EBE5A972BA}" name="Column5725" dataDxfId="21760" totalsRowDxfId="21759"/>
    <tableColumn id="5740" xr3:uid="{896DD389-83D2-4303-BE15-9DF21340E731}" name="Column5726" dataDxfId="21758" totalsRowDxfId="21757"/>
    <tableColumn id="5741" xr3:uid="{3BAB5357-35BA-46DF-90A4-86717825CE11}" name="Column5727" dataDxfId="21756" totalsRowDxfId="21755"/>
    <tableColumn id="5742" xr3:uid="{43FFC3B8-CA2C-4C47-AFA8-41793F3DC89C}" name="Column5728" dataDxfId="21754" totalsRowDxfId="21753"/>
    <tableColumn id="5743" xr3:uid="{C3A1CC04-F993-4F66-8C0A-C51445C407D5}" name="Column5729" dataDxfId="21752" totalsRowDxfId="21751"/>
    <tableColumn id="5744" xr3:uid="{7C27B3DF-780A-43FE-BE12-03B16B8D0CAE}" name="Column5730" dataDxfId="21750" totalsRowDxfId="21749"/>
    <tableColumn id="5745" xr3:uid="{5505E15A-5273-4A39-B3F4-DB7139BDD4E6}" name="Column5731" dataDxfId="21748" totalsRowDxfId="21747"/>
    <tableColumn id="5746" xr3:uid="{FB3817DC-9549-4C23-B14D-5C7B0B5AD55C}" name="Column5732" dataDxfId="21746" totalsRowDxfId="21745"/>
    <tableColumn id="5747" xr3:uid="{11568F4D-A79B-4247-A69B-3C8FD0D5A0AA}" name="Column5733" dataDxfId="21744" totalsRowDxfId="21743"/>
    <tableColumn id="5748" xr3:uid="{5A725FA2-809D-4B15-AF04-1E68FBF92394}" name="Column5734" dataDxfId="21742" totalsRowDxfId="21741"/>
    <tableColumn id="5749" xr3:uid="{6ACE2F5E-9B11-43C1-AAFF-DFE5D0C345D2}" name="Column5735" dataDxfId="21740" totalsRowDxfId="21739"/>
    <tableColumn id="5750" xr3:uid="{76BAD228-75EE-4EB9-9BEE-28A866278F9D}" name="Column5736" dataDxfId="21738" totalsRowDxfId="21737"/>
    <tableColumn id="5751" xr3:uid="{A21062F4-DBC1-40A4-988F-9CA192FE2E21}" name="Column5737" dataDxfId="21736" totalsRowDxfId="21735"/>
    <tableColumn id="5752" xr3:uid="{D3017907-54AF-4AB3-B6C6-86DB64992050}" name="Column5738" dataDxfId="21734" totalsRowDxfId="21733"/>
    <tableColumn id="5753" xr3:uid="{3D3B86F8-CE8E-40AB-A4CB-219198031809}" name="Column5739" dataDxfId="21732" totalsRowDxfId="21731"/>
    <tableColumn id="5754" xr3:uid="{16C6A2C4-7AA4-4B77-8C7B-D2A8DF810FD5}" name="Column5740" dataDxfId="21730" totalsRowDxfId="21729"/>
    <tableColumn id="5755" xr3:uid="{FBBE2CC9-7A35-4E1C-8208-F2976F52C338}" name="Column5741" dataDxfId="21728" totalsRowDxfId="21727"/>
    <tableColumn id="5756" xr3:uid="{125D43E1-B626-440A-9B06-AE181A783E9E}" name="Column5742" dataDxfId="21726" totalsRowDxfId="21725"/>
    <tableColumn id="5757" xr3:uid="{E9DBC906-F356-421A-8A72-01B9E1233DD4}" name="Column5743" dataDxfId="21724" totalsRowDxfId="21723"/>
    <tableColumn id="5758" xr3:uid="{17C2A9BF-8639-4AC9-A54C-0AD061034161}" name="Column5744" dataDxfId="21722" totalsRowDxfId="21721"/>
    <tableColumn id="5759" xr3:uid="{735D7E0A-9906-4AAD-A4C4-5530F4346321}" name="Column5745" dataDxfId="21720" totalsRowDxfId="21719"/>
    <tableColumn id="5760" xr3:uid="{4704C233-939D-4BE3-A9CB-32A6ABBAD0E2}" name="Column5746" dataDxfId="21718" totalsRowDxfId="21717"/>
    <tableColumn id="5761" xr3:uid="{09FC8793-3003-4CC6-A00B-7E2458C77C02}" name="Column5747" dataDxfId="21716" totalsRowDxfId="21715"/>
    <tableColumn id="5762" xr3:uid="{6C850890-6C7F-4244-B8BE-D852E4AE7C9C}" name="Column5748" dataDxfId="21714" totalsRowDxfId="21713"/>
    <tableColumn id="5763" xr3:uid="{CC2B2110-7827-4BBA-A16C-170111B7E4AD}" name="Column5749" dataDxfId="21712" totalsRowDxfId="21711"/>
    <tableColumn id="5764" xr3:uid="{78010C78-EC7F-4F46-8388-0528DAC236CD}" name="Column5750" dataDxfId="21710" totalsRowDxfId="21709"/>
    <tableColumn id="5765" xr3:uid="{2510E9EE-DE41-492D-AFAD-26A8857B4B4E}" name="Column5751" dataDxfId="21708" totalsRowDxfId="21707"/>
    <tableColumn id="5766" xr3:uid="{4B2F69C0-FFCE-43A3-B1BA-21B037CD9BC7}" name="Column5752" dataDxfId="21706" totalsRowDxfId="21705"/>
    <tableColumn id="5767" xr3:uid="{7F720E1B-4406-4434-AADE-C06C16C2BC39}" name="Column5753" dataDxfId="21704" totalsRowDxfId="21703"/>
    <tableColumn id="5768" xr3:uid="{1C35B373-9BBC-423D-8709-C07DEDF374A1}" name="Column5754" dataDxfId="21702" totalsRowDxfId="21701"/>
    <tableColumn id="5769" xr3:uid="{C0E52099-258A-480F-8BC7-B33D7D0C12D0}" name="Column5755" dataDxfId="21700" totalsRowDxfId="21699"/>
    <tableColumn id="5770" xr3:uid="{8C4D050E-F545-4145-878C-011A1F5A6F7E}" name="Column5756" dataDxfId="21698" totalsRowDxfId="21697"/>
    <tableColumn id="5771" xr3:uid="{C41E3ED0-C556-4F9F-B437-42995FCD07DC}" name="Column5757" dataDxfId="21696" totalsRowDxfId="21695"/>
    <tableColumn id="5772" xr3:uid="{399A22FD-A7C3-4A4F-A3C4-EAAF62A4741B}" name="Column5758" dataDxfId="21694" totalsRowDxfId="21693"/>
    <tableColumn id="5773" xr3:uid="{EC061F65-7BAE-4369-B046-DA202ADC03B4}" name="Column5759" dataDxfId="21692" totalsRowDxfId="21691"/>
    <tableColumn id="5774" xr3:uid="{5E9686D5-12B8-4294-A9DC-1A5B1AF68684}" name="Column5760" dataDxfId="21690" totalsRowDxfId="21689"/>
    <tableColumn id="5775" xr3:uid="{D4B01277-2FF6-418A-86E9-62ECC751DE11}" name="Column5761" dataDxfId="21688" totalsRowDxfId="21687"/>
    <tableColumn id="5776" xr3:uid="{6F72BCE8-A75B-4DAD-B6F2-41BAC207444E}" name="Column5762" dataDxfId="21686" totalsRowDxfId="21685"/>
    <tableColumn id="5777" xr3:uid="{4B2A3541-CDD4-487B-92A2-9B2F70ED5939}" name="Column5763" dataDxfId="21684" totalsRowDxfId="21683"/>
    <tableColumn id="5778" xr3:uid="{7ECE8ADE-BC2A-42F3-AA1E-C22B3A6B69D6}" name="Column5764" dataDxfId="21682" totalsRowDxfId="21681"/>
    <tableColumn id="5779" xr3:uid="{AA84B5DA-018E-46D9-B2A4-0E85403D060B}" name="Column5765" dataDxfId="21680" totalsRowDxfId="21679"/>
    <tableColumn id="5780" xr3:uid="{E26DFB4E-2942-47AA-902A-C3E7DDCE4129}" name="Column5766" dataDxfId="21678" totalsRowDxfId="21677"/>
    <tableColumn id="5781" xr3:uid="{942130CC-0480-481F-8F94-1D83E2B655CD}" name="Column5767" dataDxfId="21676" totalsRowDxfId="21675"/>
    <tableColumn id="5782" xr3:uid="{BCB2054F-E797-45D3-B1AF-D16A4D7A3644}" name="Column5768" dataDxfId="21674" totalsRowDxfId="21673"/>
    <tableColumn id="5783" xr3:uid="{54B7A89C-2564-4E5E-A87A-92D99FE81A6C}" name="Column5769" dataDxfId="21672" totalsRowDxfId="21671"/>
    <tableColumn id="5784" xr3:uid="{E15E4231-E821-4DB8-8C72-7BEDA592A2CF}" name="Column5770" dataDxfId="21670" totalsRowDxfId="21669"/>
    <tableColumn id="5785" xr3:uid="{3DF7ABD6-8F03-4563-ABED-9B5E9D5A6D9D}" name="Column5771" dataDxfId="21668" totalsRowDxfId="21667"/>
    <tableColumn id="5786" xr3:uid="{B2D1D6A3-544B-4F4D-91DF-E74E14B1D2FE}" name="Column5772" dataDxfId="21666" totalsRowDxfId="21665"/>
    <tableColumn id="5787" xr3:uid="{8D03AA4D-2CA6-447A-A804-D924E0A930E5}" name="Column5773" dataDxfId="21664" totalsRowDxfId="21663"/>
    <tableColumn id="5788" xr3:uid="{40A0286D-F464-447D-BE0C-99405526632A}" name="Column5774" dataDxfId="21662" totalsRowDxfId="21661"/>
    <tableColumn id="5789" xr3:uid="{85E5004A-3870-4B1B-BF86-FC6F046B0C39}" name="Column5775" dataDxfId="21660" totalsRowDxfId="21659"/>
    <tableColumn id="5790" xr3:uid="{E29E880E-BA8F-4C20-BEA1-82637E171D53}" name="Column5776" dataDxfId="21658" totalsRowDxfId="21657"/>
    <tableColumn id="5791" xr3:uid="{B7E30A6C-E4B8-4020-A57E-325EC330377A}" name="Column5777" dataDxfId="21656" totalsRowDxfId="21655"/>
    <tableColumn id="5792" xr3:uid="{D423D7D5-6748-4D43-B0A6-CF26D9BCD612}" name="Column5778" dataDxfId="21654" totalsRowDxfId="21653"/>
    <tableColumn id="5793" xr3:uid="{E1857CA8-0692-413B-9BDE-0BAB7D3A8DE0}" name="Column5779" dataDxfId="21652" totalsRowDxfId="21651"/>
    <tableColumn id="5794" xr3:uid="{2A03EDD4-D192-4C43-BFE6-0A337E83CE84}" name="Column5780" dataDxfId="21650" totalsRowDxfId="21649"/>
    <tableColumn id="5795" xr3:uid="{9F730779-2584-428C-8A02-AA5AAC015A8D}" name="Column5781" dataDxfId="21648" totalsRowDxfId="21647"/>
    <tableColumn id="5796" xr3:uid="{23F54AA8-6940-467E-A29A-A23EDD862712}" name="Column5782" dataDxfId="21646" totalsRowDxfId="21645"/>
    <tableColumn id="5797" xr3:uid="{BF01BAA3-EB0B-4B52-A68E-F754F5F879E4}" name="Column5783" dataDxfId="21644" totalsRowDxfId="21643"/>
    <tableColumn id="5798" xr3:uid="{75364D9C-0266-4BB9-8E97-284597877E04}" name="Column5784" dataDxfId="21642" totalsRowDxfId="21641"/>
    <tableColumn id="5799" xr3:uid="{D781BC02-058C-418C-B7AB-0754BAAEDFB9}" name="Column5785" dataDxfId="21640" totalsRowDxfId="21639"/>
    <tableColumn id="5800" xr3:uid="{AA85C8FB-4B6A-41D5-ADA7-C2E581E849B8}" name="Column5786" dataDxfId="21638" totalsRowDxfId="21637"/>
    <tableColumn id="5801" xr3:uid="{E1B0D40D-1FE0-45E4-BEC2-AB7D7EE53A86}" name="Column5787" dataDxfId="21636" totalsRowDxfId="21635"/>
    <tableColumn id="5802" xr3:uid="{0F246304-790B-4982-98DA-2305B1A1CBD3}" name="Column5788" dataDxfId="21634" totalsRowDxfId="21633"/>
    <tableColumn id="5803" xr3:uid="{F207B829-B818-42AE-9713-09F0C5534D0A}" name="Column5789" dataDxfId="21632" totalsRowDxfId="21631"/>
    <tableColumn id="5804" xr3:uid="{8A636086-0118-4C62-9B8F-B0869D8C1393}" name="Column5790" dataDxfId="21630" totalsRowDxfId="21629"/>
    <tableColumn id="5805" xr3:uid="{72FBEBA3-BE22-4C8C-8810-CC022D3AD35E}" name="Column5791" dataDxfId="21628" totalsRowDxfId="21627"/>
    <tableColumn id="5806" xr3:uid="{95E55F6B-18CA-46F0-80F6-7B5BC46EEE61}" name="Column5792" dataDxfId="21626" totalsRowDxfId="21625"/>
    <tableColumn id="5807" xr3:uid="{5CA79852-4C0F-485B-A0D1-8F64A97FF0C1}" name="Column5793" dataDxfId="21624" totalsRowDxfId="21623"/>
    <tableColumn id="5808" xr3:uid="{2AC0FBD4-F643-4919-9A73-E4DAEB56791A}" name="Column5794" dataDxfId="21622" totalsRowDxfId="21621"/>
    <tableColumn id="5809" xr3:uid="{922CAFD1-8B49-4B76-B7B2-9768515FC29B}" name="Column5795" dataDxfId="21620" totalsRowDxfId="21619"/>
    <tableColumn id="5810" xr3:uid="{80DF1D60-F5F3-432A-9BE6-0259252A2A68}" name="Column5796" dataDxfId="21618" totalsRowDxfId="21617"/>
    <tableColumn id="5811" xr3:uid="{E40BF954-E2A3-4F47-8395-5021B94DE2EC}" name="Column5797" dataDxfId="21616" totalsRowDxfId="21615"/>
    <tableColumn id="5812" xr3:uid="{99C15F1B-33BC-464C-94E7-34DEE3CFADA6}" name="Column5798" dataDxfId="21614" totalsRowDxfId="21613"/>
    <tableColumn id="5813" xr3:uid="{A6B18E29-C5CA-49E2-BC7F-D410F9C510EF}" name="Column5799" dataDxfId="21612" totalsRowDxfId="21611"/>
    <tableColumn id="5814" xr3:uid="{08030E1A-CE4B-4CE9-B127-EA9BF61C5105}" name="Column5800" dataDxfId="21610" totalsRowDxfId="21609"/>
    <tableColumn id="5815" xr3:uid="{32C2B27C-7955-45D1-8003-DA5B20531A2F}" name="Column5801" dataDxfId="21608" totalsRowDxfId="21607"/>
    <tableColumn id="5816" xr3:uid="{09D0F946-907A-4F90-9B38-6FCB4E220BFE}" name="Column5802" dataDxfId="21606" totalsRowDxfId="21605"/>
    <tableColumn id="5817" xr3:uid="{83E0C580-C66A-4D0A-AC28-C90C83747863}" name="Column5803" dataDxfId="21604" totalsRowDxfId="21603"/>
    <tableColumn id="5818" xr3:uid="{8874C777-57D6-4AED-A944-58FD56B3CC42}" name="Column5804" dataDxfId="21602" totalsRowDxfId="21601"/>
    <tableColumn id="5819" xr3:uid="{26CD533A-2303-438E-BDD4-A14421A31DA7}" name="Column5805" dataDxfId="21600" totalsRowDxfId="21599"/>
    <tableColumn id="5820" xr3:uid="{44F52AD8-1761-4A2F-8937-D7F893201AB9}" name="Column5806" dataDxfId="21598" totalsRowDxfId="21597"/>
    <tableColumn id="5821" xr3:uid="{3F10A60D-1134-4E43-AD39-A4E6B7DE9760}" name="Column5807" dataDxfId="21596" totalsRowDxfId="21595"/>
    <tableColumn id="5822" xr3:uid="{415FEF5A-1B08-46D0-A5EA-FB934FFFCCFA}" name="Column5808" dataDxfId="21594" totalsRowDxfId="21593"/>
    <tableColumn id="5823" xr3:uid="{F3015E80-2230-4F43-9B21-5A06FDC1D850}" name="Column5809" dataDxfId="21592" totalsRowDxfId="21591"/>
    <tableColumn id="5824" xr3:uid="{BEA96A70-8511-44AE-B585-DCB666121AC4}" name="Column5810" dataDxfId="21590" totalsRowDxfId="21589"/>
    <tableColumn id="5825" xr3:uid="{23D457F7-1764-4359-B058-A2B689885621}" name="Column5811" dataDxfId="21588" totalsRowDxfId="21587"/>
    <tableColumn id="5826" xr3:uid="{F5221312-0312-4322-91A3-2959C0966EC9}" name="Column5812" dataDxfId="21586" totalsRowDxfId="21585"/>
    <tableColumn id="5827" xr3:uid="{1625C3D7-5B42-4895-8B59-3DA003A93FC9}" name="Column5813" dataDxfId="21584" totalsRowDxfId="21583"/>
    <tableColumn id="5828" xr3:uid="{7634BE25-692E-4D24-8573-3C278EEA86AA}" name="Column5814" dataDxfId="21582" totalsRowDxfId="21581"/>
    <tableColumn id="5829" xr3:uid="{170B2291-2EFC-4F63-9518-CD4C394FEE93}" name="Column5815" dataDxfId="21580" totalsRowDxfId="21579"/>
    <tableColumn id="5830" xr3:uid="{B3F51622-B1C2-4164-8033-B8916AF9AB68}" name="Column5816" dataDxfId="21578" totalsRowDxfId="21577"/>
    <tableColumn id="5831" xr3:uid="{B1A98521-3583-477B-9004-35556D10A5DA}" name="Column5817" dataDxfId="21576" totalsRowDxfId="21575"/>
    <tableColumn id="5832" xr3:uid="{5B942011-4BCD-492C-B505-464B0EE77B0A}" name="Column5818" dataDxfId="21574" totalsRowDxfId="21573"/>
    <tableColumn id="5833" xr3:uid="{1C322181-EC8D-4094-BF03-4883B7EA121B}" name="Column5819" dataDxfId="21572" totalsRowDxfId="21571"/>
    <tableColumn id="5834" xr3:uid="{60C901DC-269C-401D-89A8-7498F881F59A}" name="Column5820" dataDxfId="21570" totalsRowDxfId="21569"/>
    <tableColumn id="5835" xr3:uid="{F860858E-20AE-498B-88B7-F624BD90A1AE}" name="Column5821" dataDxfId="21568" totalsRowDxfId="21567"/>
    <tableColumn id="5836" xr3:uid="{46B1AECD-0275-4832-A35B-6899069B5CDB}" name="Column5822" dataDxfId="21566" totalsRowDxfId="21565"/>
    <tableColumn id="5837" xr3:uid="{30B66606-F42E-4F72-AA3B-CD5686E1136E}" name="Column5823" dataDxfId="21564" totalsRowDxfId="21563"/>
    <tableColumn id="5838" xr3:uid="{2133DDFD-06D7-49A3-B9DE-1EED85F22256}" name="Column5824" dataDxfId="21562" totalsRowDxfId="21561"/>
    <tableColumn id="5839" xr3:uid="{559252C0-D88D-45C3-94A4-50E83EF459A6}" name="Column5825" dataDxfId="21560" totalsRowDxfId="21559"/>
    <tableColumn id="5840" xr3:uid="{D994D2BD-A928-4F78-97B5-E85655F8A2A6}" name="Column5826" dataDxfId="21558" totalsRowDxfId="21557"/>
    <tableColumn id="5841" xr3:uid="{3448B427-A26C-4062-A06E-23D4A98BD19D}" name="Column5827" dataDxfId="21556" totalsRowDxfId="21555"/>
    <tableColumn id="5842" xr3:uid="{B1D2F32B-2B85-45DE-8348-6B591F321C96}" name="Column5828" dataDxfId="21554" totalsRowDxfId="21553"/>
    <tableColumn id="5843" xr3:uid="{BA244BA4-C8C9-44D9-BE76-6267028687AE}" name="Column5829" dataDxfId="21552" totalsRowDxfId="21551"/>
    <tableColumn id="5844" xr3:uid="{E8282E8E-640A-431D-B4A3-83D1F1A2F0E1}" name="Column5830" dataDxfId="21550" totalsRowDxfId="21549"/>
    <tableColumn id="5845" xr3:uid="{F92CF8DC-0C8A-43A6-83E9-FD5ABB23111D}" name="Column5831" dataDxfId="21548" totalsRowDxfId="21547"/>
    <tableColumn id="5846" xr3:uid="{FAF6BE66-DFA3-480F-B47A-70361D9CDBCC}" name="Column5832" dataDxfId="21546" totalsRowDxfId="21545"/>
    <tableColumn id="5847" xr3:uid="{3BBE0CC1-67BC-47A7-94C7-6F8C2E5A766C}" name="Column5833" dataDxfId="21544" totalsRowDxfId="21543"/>
    <tableColumn id="5848" xr3:uid="{342611FC-2E40-42B7-BCEA-8C10E548EDAA}" name="Column5834" dataDxfId="21542" totalsRowDxfId="21541"/>
    <tableColumn id="5849" xr3:uid="{C56FA319-8459-4204-805D-7BC7F3EF16E7}" name="Column5835" dataDxfId="21540" totalsRowDxfId="21539"/>
    <tableColumn id="5850" xr3:uid="{AEBD05B5-6B2D-43F5-8478-C0228F7FCF01}" name="Column5836" dataDxfId="21538" totalsRowDxfId="21537"/>
    <tableColumn id="5851" xr3:uid="{4409023F-E2E5-407A-9031-2BA2AAA28443}" name="Column5837" dataDxfId="21536" totalsRowDxfId="21535"/>
    <tableColumn id="5852" xr3:uid="{2056CFFA-C01B-4802-BF30-7EBAAEC6F22F}" name="Column5838" dataDxfId="21534" totalsRowDxfId="21533"/>
    <tableColumn id="5853" xr3:uid="{42830138-FC25-4063-B3CD-3FE2D34E3BFE}" name="Column5839" dataDxfId="21532" totalsRowDxfId="21531"/>
    <tableColumn id="5854" xr3:uid="{990343AD-C631-43A9-85BC-64FC441A3EB9}" name="Column5840" dataDxfId="21530" totalsRowDxfId="21529"/>
    <tableColumn id="5855" xr3:uid="{07963CDF-EBDB-4F30-87B1-822582DF8671}" name="Column5841" dataDxfId="21528" totalsRowDxfId="21527"/>
    <tableColumn id="5856" xr3:uid="{27EEC0E6-CF39-40F0-870C-E067C3DB75AD}" name="Column5842" dataDxfId="21526" totalsRowDxfId="21525"/>
    <tableColumn id="5857" xr3:uid="{81756114-7268-40AF-88E4-92F3CBD7DA82}" name="Column5843" dataDxfId="21524" totalsRowDxfId="21523"/>
    <tableColumn id="5858" xr3:uid="{6632B93E-A883-4408-AE77-4022E98388CC}" name="Column5844" dataDxfId="21522" totalsRowDxfId="21521"/>
    <tableColumn id="5859" xr3:uid="{CF5A8736-A898-46C3-BA69-7900D04D37FE}" name="Column5845" dataDxfId="21520" totalsRowDxfId="21519"/>
    <tableColumn id="5860" xr3:uid="{78E6C56B-AF6F-4098-AE07-348B3BB15452}" name="Column5846" dataDxfId="21518" totalsRowDxfId="21517"/>
    <tableColumn id="5861" xr3:uid="{D7633F8D-FD66-4716-A301-3B0CEEEEC897}" name="Column5847" dataDxfId="21516" totalsRowDxfId="21515"/>
    <tableColumn id="5862" xr3:uid="{332F6A27-C264-4FD5-97FB-86D17AFF08E9}" name="Column5848" dataDxfId="21514" totalsRowDxfId="21513"/>
    <tableColumn id="5863" xr3:uid="{026A6501-14DC-49F9-A988-69989C50544C}" name="Column5849" dataDxfId="21512" totalsRowDxfId="21511"/>
    <tableColumn id="5864" xr3:uid="{1C620BDA-5C11-42BE-9FE2-F65378AF25FB}" name="Column5850" dataDxfId="21510" totalsRowDxfId="21509"/>
    <tableColumn id="5865" xr3:uid="{9320DED5-9488-4467-BD3F-487BB9F4BD98}" name="Column5851" dataDxfId="21508" totalsRowDxfId="21507"/>
    <tableColumn id="5866" xr3:uid="{A6CD39E0-788E-40BC-AEEA-98F82D45BFBB}" name="Column5852" dataDxfId="21506" totalsRowDxfId="21505"/>
    <tableColumn id="5867" xr3:uid="{1C24C9AC-136A-43D6-A9AB-071BC03C542F}" name="Column5853" dataDxfId="21504" totalsRowDxfId="21503"/>
    <tableColumn id="5868" xr3:uid="{87DB5D76-A03F-4CE4-85B0-4FD3A8712E73}" name="Column5854" dataDxfId="21502" totalsRowDxfId="21501"/>
    <tableColumn id="5869" xr3:uid="{AEB4832B-E4CE-493A-A285-BE12C5373D49}" name="Column5855" dataDxfId="21500" totalsRowDxfId="21499"/>
    <tableColumn id="5870" xr3:uid="{A65F0E1E-0BEF-4482-991B-761DDF1C7D13}" name="Column5856" dataDxfId="21498" totalsRowDxfId="21497"/>
    <tableColumn id="5871" xr3:uid="{AEE61E9F-683A-44C8-B2EE-55DB24F37CE1}" name="Column5857" dataDxfId="21496" totalsRowDxfId="21495"/>
    <tableColumn id="5872" xr3:uid="{F8441B35-B441-4C3F-8B01-093DBB00D3FC}" name="Column5858" dataDxfId="21494" totalsRowDxfId="21493"/>
    <tableColumn id="5873" xr3:uid="{CDB38779-E53D-4B90-9F65-5C1122A9038B}" name="Column5859" dataDxfId="21492" totalsRowDxfId="21491"/>
    <tableColumn id="5874" xr3:uid="{8C98274A-3B67-4C2F-9476-3C5B4F090D5D}" name="Column5860" dataDxfId="21490" totalsRowDxfId="21489"/>
    <tableColumn id="5875" xr3:uid="{4100CF10-C28D-4F47-96FD-CE2EF352BB1E}" name="Column5861" dataDxfId="21488" totalsRowDxfId="21487"/>
    <tableColumn id="5876" xr3:uid="{6C08CB87-3D60-42A0-B9FC-1A27BB8C975F}" name="Column5862" dataDxfId="21486" totalsRowDxfId="21485"/>
    <tableColumn id="5877" xr3:uid="{9C8A7C95-C949-452D-A9F5-29D86189B4D7}" name="Column5863" dataDxfId="21484" totalsRowDxfId="21483"/>
    <tableColumn id="5878" xr3:uid="{C1652F29-5AB2-422A-99E4-AE1E164FB8FD}" name="Column5864" dataDxfId="21482" totalsRowDxfId="21481"/>
    <tableColumn id="5879" xr3:uid="{58A4484C-95EA-49C6-8519-EF3A5CF7396C}" name="Column5865" dataDxfId="21480" totalsRowDxfId="21479"/>
    <tableColumn id="5880" xr3:uid="{D4021D06-3414-441C-A8CE-0BB05044ADF4}" name="Column5866" dataDxfId="21478" totalsRowDxfId="21477"/>
    <tableColumn id="5881" xr3:uid="{4F8D8431-D5A4-4056-8FAA-F8AD7AE6B91E}" name="Column5867" dataDxfId="21476" totalsRowDxfId="21475"/>
    <tableColumn id="5882" xr3:uid="{5DE9CF21-45E4-496C-AB76-B0BA3FEC4B57}" name="Column5868" dataDxfId="21474" totalsRowDxfId="21473"/>
    <tableColumn id="5883" xr3:uid="{9B487248-6519-4B01-84AA-6EA38CCDB6E1}" name="Column5869" dataDxfId="21472" totalsRowDxfId="21471"/>
    <tableColumn id="5884" xr3:uid="{63D09876-CAB8-4174-9D74-48C5EA2BD730}" name="Column5870" dataDxfId="21470" totalsRowDxfId="21469"/>
    <tableColumn id="5885" xr3:uid="{948AF6E5-D18A-45A2-84E7-B62ED9447FD3}" name="Column5871" dataDxfId="21468" totalsRowDxfId="21467"/>
    <tableColumn id="5886" xr3:uid="{32DB2415-29E1-46F7-B777-3666E3BF8ED1}" name="Column5872" dataDxfId="21466" totalsRowDxfId="21465"/>
    <tableColumn id="5887" xr3:uid="{50319321-1520-4674-9925-4797BC0D24EF}" name="Column5873" dataDxfId="21464" totalsRowDxfId="21463"/>
    <tableColumn id="5888" xr3:uid="{0A55D5C2-B809-45AF-A65E-CF5AE495F282}" name="Column5874" dataDxfId="21462" totalsRowDxfId="21461"/>
    <tableColumn id="5889" xr3:uid="{466E27BB-BBAF-40D1-8EF9-0C43B8A7E815}" name="Column5875" dataDxfId="21460" totalsRowDxfId="21459"/>
    <tableColumn id="5890" xr3:uid="{23D45994-959B-470A-B6B7-FBBCAFED5A1F}" name="Column5876" dataDxfId="21458" totalsRowDxfId="21457"/>
    <tableColumn id="5891" xr3:uid="{6113B0BB-2115-4F37-91AA-83A8044F1158}" name="Column5877" dataDxfId="21456" totalsRowDxfId="21455"/>
    <tableColumn id="5892" xr3:uid="{6BF12AC9-73C5-4FEB-93D3-76358FC39BB1}" name="Column5878" dataDxfId="21454" totalsRowDxfId="21453"/>
    <tableColumn id="5893" xr3:uid="{2A0DAA35-8E6C-4F4B-A942-9EEE244DAE84}" name="Column5879" dataDxfId="21452" totalsRowDxfId="21451"/>
    <tableColumn id="5894" xr3:uid="{E2E40E51-F394-42AD-AD89-94F76ED52FC8}" name="Column5880" dataDxfId="21450" totalsRowDxfId="21449"/>
    <tableColumn id="5895" xr3:uid="{1343C7A8-E220-47E2-9961-92AE46DEA773}" name="Column5881" dataDxfId="21448" totalsRowDxfId="21447"/>
    <tableColumn id="5896" xr3:uid="{1349CCCF-5D38-443C-AA9C-2232068161BD}" name="Column5882" dataDxfId="21446" totalsRowDxfId="21445"/>
    <tableColumn id="5897" xr3:uid="{A1ED00DD-5496-4B4D-990D-2D6649CE9945}" name="Column5883" dataDxfId="21444" totalsRowDxfId="21443"/>
    <tableColumn id="5898" xr3:uid="{1FC48305-BABE-4547-9DE5-DA51397F5DAA}" name="Column5884" dataDxfId="21442" totalsRowDxfId="21441"/>
    <tableColumn id="5899" xr3:uid="{37AEA34B-8453-4B24-915A-71C810954E75}" name="Column5885" dataDxfId="21440" totalsRowDxfId="21439"/>
    <tableColumn id="5900" xr3:uid="{80E0C8D2-2E96-4089-9F28-1630664CDE4C}" name="Column5886" dataDxfId="21438" totalsRowDxfId="21437"/>
    <tableColumn id="5901" xr3:uid="{D59A7934-908E-468A-AF18-40A9CE39B9CB}" name="Column5887" dataDxfId="21436" totalsRowDxfId="21435"/>
    <tableColumn id="5902" xr3:uid="{6532E1EA-79FF-4593-BA13-3C41374EF1E9}" name="Column5888" dataDxfId="21434" totalsRowDxfId="21433"/>
    <tableColumn id="5903" xr3:uid="{DB00A28D-E133-4B82-BBD4-AB1B58C87563}" name="Column5889" dataDxfId="21432" totalsRowDxfId="21431"/>
    <tableColumn id="5904" xr3:uid="{55045760-2D21-4668-B99B-D8F2DF4A5B47}" name="Column5890" dataDxfId="21430" totalsRowDxfId="21429"/>
    <tableColumn id="5905" xr3:uid="{10228ACF-E61A-43DC-9427-89AC749D5AD8}" name="Column5891" dataDxfId="21428" totalsRowDxfId="21427"/>
    <tableColumn id="5906" xr3:uid="{DC2D8B10-10AF-44E1-A8DC-AFE5C32703B2}" name="Column5892" dataDxfId="21426" totalsRowDxfId="21425"/>
    <tableColumn id="5907" xr3:uid="{5FCDE048-560D-4166-AD80-145880D1F711}" name="Column5893" dataDxfId="21424" totalsRowDxfId="21423"/>
    <tableColumn id="5908" xr3:uid="{E2B77E10-476D-47DE-BE8A-FA4A8193CBD8}" name="Column5894" dataDxfId="21422" totalsRowDxfId="21421"/>
    <tableColumn id="5909" xr3:uid="{EE5045B7-4E23-46E7-B7B8-3DD51B3287D5}" name="Column5895" dataDxfId="21420" totalsRowDxfId="21419"/>
    <tableColumn id="5910" xr3:uid="{A78AD2BC-5234-4EB4-BD8A-8DD3E07015EE}" name="Column5896" dataDxfId="21418" totalsRowDxfId="21417"/>
    <tableColumn id="5911" xr3:uid="{70B5F4C9-7291-4C81-A5AD-7831B7D12122}" name="Column5897" dataDxfId="21416" totalsRowDxfId="21415"/>
    <tableColumn id="5912" xr3:uid="{A86FB81E-CFCE-4ED2-BAE2-8EB35274EB30}" name="Column5898" dataDxfId="21414" totalsRowDxfId="21413"/>
    <tableColumn id="5913" xr3:uid="{A01FE8EC-AF30-4669-81EE-C473B8B5A37E}" name="Column5899" dataDxfId="21412" totalsRowDxfId="21411"/>
    <tableColumn id="5914" xr3:uid="{44417D59-0161-4828-AF5D-93BE1F43A9B4}" name="Column5900" dataDxfId="21410" totalsRowDxfId="21409"/>
    <tableColumn id="5915" xr3:uid="{C955C339-8108-4A89-9527-EE5770E4A49A}" name="Column5901" dataDxfId="21408" totalsRowDxfId="21407"/>
    <tableColumn id="5916" xr3:uid="{BE392323-1E4E-4548-AC96-62587F786538}" name="Column5902" dataDxfId="21406" totalsRowDxfId="21405"/>
    <tableColumn id="5917" xr3:uid="{AA59FC60-9A93-41A8-9A2D-18BB75D77EA6}" name="Column5903" dataDxfId="21404" totalsRowDxfId="21403"/>
    <tableColumn id="5918" xr3:uid="{3270C531-555B-448F-89DB-515550000648}" name="Column5904" dataDxfId="21402" totalsRowDxfId="21401"/>
    <tableColumn id="5919" xr3:uid="{C5A4D77E-DA47-49ED-95FF-2E878C891177}" name="Column5905" dataDxfId="21400" totalsRowDxfId="21399"/>
    <tableColumn id="5920" xr3:uid="{A8B9D784-A469-4A36-BF79-CB43E89A64E2}" name="Column5906" dataDxfId="21398" totalsRowDxfId="21397"/>
    <tableColumn id="5921" xr3:uid="{7C524D8F-CC14-4013-BBFC-A571690546DA}" name="Column5907" dataDxfId="21396" totalsRowDxfId="21395"/>
    <tableColumn id="5922" xr3:uid="{76AF244D-B8E0-4BCE-B1D5-ED7F2B4699DD}" name="Column5908" dataDxfId="21394" totalsRowDxfId="21393"/>
    <tableColumn id="5923" xr3:uid="{3BC8CDC3-07A2-4D6B-9424-16DE32126790}" name="Column5909" dataDxfId="21392" totalsRowDxfId="21391"/>
    <tableColumn id="5924" xr3:uid="{9C2AFD89-C3A9-4478-B0AD-E37AD4C90C36}" name="Column5910" dataDxfId="21390" totalsRowDxfId="21389"/>
    <tableColumn id="5925" xr3:uid="{DCA336FB-EEE6-4E3F-9BBF-58F04E7102C2}" name="Column5911" dataDxfId="21388" totalsRowDxfId="21387"/>
    <tableColumn id="5926" xr3:uid="{6041AA68-D393-4967-8423-507E23ACB435}" name="Column5912" dataDxfId="21386" totalsRowDxfId="21385"/>
    <tableColumn id="5927" xr3:uid="{4E0BD923-919C-484B-92F7-CEA50E255D5B}" name="Column5913" dataDxfId="21384" totalsRowDxfId="21383"/>
    <tableColumn id="5928" xr3:uid="{577A3282-B831-4353-883F-CB3D222107B2}" name="Column5914" dataDxfId="21382" totalsRowDxfId="21381"/>
    <tableColumn id="5929" xr3:uid="{F81EAE4D-E7F1-49F0-8851-5BB19DA7FB31}" name="Column5915" dataDxfId="21380" totalsRowDxfId="21379"/>
    <tableColumn id="5930" xr3:uid="{F4748861-D3E4-4243-8120-E214CD05A8F1}" name="Column5916" dataDxfId="21378" totalsRowDxfId="21377"/>
    <tableColumn id="5931" xr3:uid="{3CCD98C9-4FBD-44E1-9736-21E6C957BE89}" name="Column5917" dataDxfId="21376" totalsRowDxfId="21375"/>
    <tableColumn id="5932" xr3:uid="{9327D11A-54FF-4245-AC24-A8759F1B29DB}" name="Column5918" dataDxfId="21374" totalsRowDxfId="21373"/>
    <tableColumn id="5933" xr3:uid="{A62A4502-1A80-4A77-B141-E75D93CF6392}" name="Column5919" dataDxfId="21372" totalsRowDxfId="21371"/>
    <tableColumn id="5934" xr3:uid="{FCDFC7B6-19C1-4BCA-8AEB-C8EBA87EFFCC}" name="Column5920" dataDxfId="21370" totalsRowDxfId="21369"/>
    <tableColumn id="5935" xr3:uid="{4A47311F-0046-4C10-AC1C-B64E5BBFA866}" name="Column5921" dataDxfId="21368" totalsRowDxfId="21367"/>
    <tableColumn id="5936" xr3:uid="{3650D7E9-4F0C-4A78-AC54-6E0D6D0D0A9A}" name="Column5922" dataDxfId="21366" totalsRowDxfId="21365"/>
    <tableColumn id="5937" xr3:uid="{D64A6A23-3D10-4180-B167-C18BC261F2BB}" name="Column5923" dataDxfId="21364" totalsRowDxfId="21363"/>
    <tableColumn id="5938" xr3:uid="{01386887-D703-45F4-8419-C911FFEC2B0A}" name="Column5924" dataDxfId="21362" totalsRowDxfId="21361"/>
    <tableColumn id="5939" xr3:uid="{D4779084-21F8-470B-B340-CDD55C3AE0AD}" name="Column5925" dataDxfId="21360" totalsRowDxfId="21359"/>
    <tableColumn id="5940" xr3:uid="{1A9BDD23-4715-4130-B7C7-6C6CA972F9D0}" name="Column5926" dataDxfId="21358" totalsRowDxfId="21357"/>
    <tableColumn id="5941" xr3:uid="{F85EEB30-1CEA-4F00-A7F4-D90E59B4875B}" name="Column5927" dataDxfId="21356" totalsRowDxfId="21355"/>
    <tableColumn id="5942" xr3:uid="{4D357C30-3DA9-4C21-899D-3764A9D34F04}" name="Column5928" dataDxfId="21354" totalsRowDxfId="21353"/>
    <tableColumn id="5943" xr3:uid="{2AF7D904-4FAB-474A-B767-B2A9F6B52396}" name="Column5929" dataDxfId="21352" totalsRowDxfId="21351"/>
    <tableColumn id="5944" xr3:uid="{46D753BD-2819-4A3F-B03D-621CB08FC592}" name="Column5930" dataDxfId="21350" totalsRowDxfId="21349"/>
    <tableColumn id="5945" xr3:uid="{F8D9D5E1-3C07-427A-BD9C-A0EC662DE616}" name="Column5931" dataDxfId="21348" totalsRowDxfId="21347"/>
    <tableColumn id="5946" xr3:uid="{950EB540-8786-4C10-8501-ABDCCFD1696F}" name="Column5932" dataDxfId="21346" totalsRowDxfId="21345"/>
    <tableColumn id="5947" xr3:uid="{84DAF1A4-B5F8-47F4-BCEF-E63D8EFFD77A}" name="Column5933" dataDxfId="21344" totalsRowDxfId="21343"/>
    <tableColumn id="5948" xr3:uid="{1A40AF50-BE36-48C5-AAD4-93D3B667F4AE}" name="Column5934" dataDxfId="21342" totalsRowDxfId="21341"/>
    <tableColumn id="5949" xr3:uid="{B62D77FD-76AC-427E-A0EB-AFCEE0F71736}" name="Column5935" dataDxfId="21340" totalsRowDxfId="21339"/>
    <tableColumn id="5950" xr3:uid="{613ACF52-3E6E-4A25-A5E6-B2EEF13D3E7F}" name="Column5936" dataDxfId="21338" totalsRowDxfId="21337"/>
    <tableColumn id="5951" xr3:uid="{4D59AFC0-8A71-46BD-9974-E4E0CB40BB9C}" name="Column5937" dataDxfId="21336" totalsRowDxfId="21335"/>
    <tableColumn id="5952" xr3:uid="{702C66D4-0660-49F2-8E76-D711D06E9B39}" name="Column5938" dataDxfId="21334" totalsRowDxfId="21333"/>
    <tableColumn id="5953" xr3:uid="{D88D86A2-D5B5-4BE9-8B61-C0A223551879}" name="Column5939" dataDxfId="21332" totalsRowDxfId="21331"/>
    <tableColumn id="5954" xr3:uid="{4D622D6C-036E-421C-A3DD-524F006F83F5}" name="Column5940" dataDxfId="21330" totalsRowDxfId="21329"/>
    <tableColumn id="5955" xr3:uid="{6EDDDFD3-8F73-4B3C-B77D-581A98925D5F}" name="Column5941" dataDxfId="21328" totalsRowDxfId="21327"/>
    <tableColumn id="5956" xr3:uid="{9EFCADCF-90CF-4100-BA1B-0BB87EB65BF0}" name="Column5942" dataDxfId="21326" totalsRowDxfId="21325"/>
    <tableColumn id="5957" xr3:uid="{B0C705DC-FFEC-43B8-B343-7948260491BA}" name="Column5943" dataDxfId="21324" totalsRowDxfId="21323"/>
    <tableColumn id="5958" xr3:uid="{37E60601-7510-4F80-8942-DA2DACDAB1D0}" name="Column5944" dataDxfId="21322" totalsRowDxfId="21321"/>
    <tableColumn id="5959" xr3:uid="{155FB2C6-B285-41A8-BE1A-98D5DC3D02F8}" name="Column5945" dataDxfId="21320" totalsRowDxfId="21319"/>
    <tableColumn id="5960" xr3:uid="{92B26418-09B7-4A70-9290-69AFAE061510}" name="Column5946" dataDxfId="21318" totalsRowDxfId="21317"/>
    <tableColumn id="5961" xr3:uid="{89A1964A-CB3B-4126-AAF1-71990E0B7B3F}" name="Column5947" dataDxfId="21316" totalsRowDxfId="21315"/>
    <tableColumn id="5962" xr3:uid="{FAD2A5A6-DBEC-46EE-9164-0679BDF75065}" name="Column5948" dataDxfId="21314" totalsRowDxfId="21313"/>
    <tableColumn id="5963" xr3:uid="{8FBF17A3-7302-483B-A966-34B22A2AB9E3}" name="Column5949" dataDxfId="21312" totalsRowDxfId="21311"/>
    <tableColumn id="5964" xr3:uid="{20705E6C-03E9-4C01-9BF5-F0D39031C88F}" name="Column5950" dataDxfId="21310" totalsRowDxfId="21309"/>
    <tableColumn id="5965" xr3:uid="{F665D1EE-8401-4141-8282-53CCDF0E4CF7}" name="Column5951" dataDxfId="21308" totalsRowDxfId="21307"/>
    <tableColumn id="5966" xr3:uid="{B812B052-7C78-4125-B4F6-D23878349558}" name="Column5952" dataDxfId="21306" totalsRowDxfId="21305"/>
    <tableColumn id="5967" xr3:uid="{0EA585FF-F1AE-4279-828E-6A7ACA1DEFA7}" name="Column5953" dataDxfId="21304" totalsRowDxfId="21303"/>
    <tableColumn id="5968" xr3:uid="{A94435E3-1C43-49F0-9FC6-8CE6B1DAB031}" name="Column5954" dataDxfId="21302" totalsRowDxfId="21301"/>
    <tableColumn id="5969" xr3:uid="{78F211AE-E20D-4050-B8F1-AB0D515B6EFD}" name="Column5955" dataDxfId="21300" totalsRowDxfId="21299"/>
    <tableColumn id="5970" xr3:uid="{4E98954F-D95F-4702-B23D-7C59E28AB7F3}" name="Column5956" dataDxfId="21298" totalsRowDxfId="21297"/>
    <tableColumn id="5971" xr3:uid="{DE4C9E15-C858-4144-BC94-9196B32CEF2A}" name="Column5957" dataDxfId="21296" totalsRowDxfId="21295"/>
    <tableColumn id="5972" xr3:uid="{12E4BB09-425C-40E7-8E44-9F379B83E8CC}" name="Column5958" dataDxfId="21294" totalsRowDxfId="21293"/>
    <tableColumn id="5973" xr3:uid="{6585BFE2-3C03-4051-AD8D-0CCD08BD4478}" name="Column5959" dataDxfId="21292" totalsRowDxfId="21291"/>
    <tableColumn id="5974" xr3:uid="{C245ACE6-5332-404E-8AE1-421E4EC59D63}" name="Column5960" dataDxfId="21290" totalsRowDxfId="21289"/>
    <tableColumn id="5975" xr3:uid="{39EE6DD0-05AC-4BD7-A494-19AFBBB4AABB}" name="Column5961" dataDxfId="21288" totalsRowDxfId="21287"/>
    <tableColumn id="5976" xr3:uid="{D24BDD99-5AA1-4731-866C-38D2F52C3413}" name="Column5962" dataDxfId="21286" totalsRowDxfId="21285"/>
    <tableColumn id="5977" xr3:uid="{5FEF5E37-DE0B-4277-899C-168EA1F342F1}" name="Column5963" dataDxfId="21284" totalsRowDxfId="21283"/>
    <tableColumn id="5978" xr3:uid="{A4F961B0-7B0E-48B6-ABD9-35A7B18F39A7}" name="Column5964" dataDxfId="21282" totalsRowDxfId="21281"/>
    <tableColumn id="5979" xr3:uid="{DE1F9A22-1D13-4F7A-83DF-A99BA702ED9A}" name="Column5965" dataDxfId="21280" totalsRowDxfId="21279"/>
    <tableColumn id="5980" xr3:uid="{5D65768D-EC35-4194-8B98-C68B0AC8B912}" name="Column5966" dataDxfId="21278" totalsRowDxfId="21277"/>
    <tableColumn id="5981" xr3:uid="{39D68595-057C-4042-9BDB-ED336216540C}" name="Column5967" dataDxfId="21276" totalsRowDxfId="21275"/>
    <tableColumn id="5982" xr3:uid="{00620094-A533-4A50-970A-5827CC5E05FB}" name="Column5968" dataDxfId="21274" totalsRowDxfId="21273"/>
    <tableColumn id="5983" xr3:uid="{22566363-81FF-4B8F-9010-2DB98086D9EE}" name="Column5969" dataDxfId="21272" totalsRowDxfId="21271"/>
    <tableColumn id="5984" xr3:uid="{D524E42B-136D-404D-87F8-D377CA02D0AE}" name="Column5970" dataDxfId="21270" totalsRowDxfId="21269"/>
    <tableColumn id="5985" xr3:uid="{C7A04C32-5617-4682-95C2-9F825C176F39}" name="Column5971" dataDxfId="21268" totalsRowDxfId="21267"/>
    <tableColumn id="5986" xr3:uid="{C7267A98-F673-40EE-92AC-C3176035E5C6}" name="Column5972" dataDxfId="21266" totalsRowDxfId="21265"/>
    <tableColumn id="5987" xr3:uid="{2A9E1C73-B414-4A6A-B336-46AF9E7ABFDD}" name="Column5973" dataDxfId="21264" totalsRowDxfId="21263"/>
    <tableColumn id="5988" xr3:uid="{4C0F475E-B89A-465B-8E9D-094FB1B78655}" name="Column5974" dataDxfId="21262" totalsRowDxfId="21261"/>
    <tableColumn id="5989" xr3:uid="{E59D462A-D51F-47F1-BEC2-05E53C0977DC}" name="Column5975" dataDxfId="21260" totalsRowDxfId="21259"/>
    <tableColumn id="5990" xr3:uid="{9B240AF9-08F1-43D9-BF25-A0208A07913B}" name="Column5976" dataDxfId="21258" totalsRowDxfId="21257"/>
    <tableColumn id="5991" xr3:uid="{C78818A3-4A1E-43E0-BEBF-BB1A16DACC34}" name="Column5977" dataDxfId="21256" totalsRowDxfId="21255"/>
    <tableColumn id="5992" xr3:uid="{F59BB788-D201-4DB5-A469-DB32D99AD336}" name="Column5978" dataDxfId="21254" totalsRowDxfId="21253"/>
    <tableColumn id="5993" xr3:uid="{CBE9D7C8-B2B9-4171-8C51-2827BCC3985D}" name="Column5979" dataDxfId="21252" totalsRowDxfId="21251"/>
    <tableColumn id="5994" xr3:uid="{24E0251E-D663-46D1-9A90-1923BB973CB0}" name="Column5980" dataDxfId="21250" totalsRowDxfId="21249"/>
    <tableColumn id="5995" xr3:uid="{75BEBBA7-CDC0-4858-87BA-365891B9E64A}" name="Column5981" dataDxfId="21248" totalsRowDxfId="21247"/>
    <tableColumn id="5996" xr3:uid="{85EE77BB-79DF-4B2C-B943-A080469F7746}" name="Column5982" dataDxfId="21246" totalsRowDxfId="21245"/>
    <tableColumn id="5997" xr3:uid="{E241DCF1-F889-4CBC-8DC7-84747E8F9204}" name="Column5983" dataDxfId="21244" totalsRowDxfId="21243"/>
    <tableColumn id="5998" xr3:uid="{759AA0AB-B25F-445D-9FCC-4577A69D8321}" name="Column5984" dataDxfId="21242" totalsRowDxfId="21241"/>
    <tableColumn id="5999" xr3:uid="{7436F8CA-CC36-483F-B0E4-7DC813F9029A}" name="Column5985" dataDxfId="21240" totalsRowDxfId="21239"/>
    <tableColumn id="6000" xr3:uid="{447F1763-4CE6-464C-9863-F23F5A7A77FC}" name="Column5986" dataDxfId="21238" totalsRowDxfId="21237"/>
    <tableColumn id="6001" xr3:uid="{34D2211E-F4C2-4FF4-A53F-13B95F26BD71}" name="Column5987" dataDxfId="21236" totalsRowDxfId="21235"/>
    <tableColumn id="6002" xr3:uid="{487A4CC1-9B54-4966-8E04-DE01F623ADFC}" name="Column5988" dataDxfId="21234" totalsRowDxfId="21233"/>
    <tableColumn id="6003" xr3:uid="{56A128BB-AFBE-4951-8052-9BD29B86C11B}" name="Column5989" dataDxfId="21232" totalsRowDxfId="21231"/>
    <tableColumn id="6004" xr3:uid="{82404F9B-3C19-4929-A793-BC301DEA6EA3}" name="Column5990" dataDxfId="21230" totalsRowDxfId="21229"/>
    <tableColumn id="6005" xr3:uid="{3F46DA85-75F3-4754-9A10-58ACF9FE0A13}" name="Column5991" dataDxfId="21228" totalsRowDxfId="21227"/>
    <tableColumn id="6006" xr3:uid="{7910A5F1-91D4-494E-AD14-7FBC4B44F0C6}" name="Column5992" dataDxfId="21226" totalsRowDxfId="21225"/>
    <tableColumn id="6007" xr3:uid="{9D3B87D5-9B4A-4768-AC00-B74E12D50599}" name="Column5993" dataDxfId="21224" totalsRowDxfId="21223"/>
    <tableColumn id="6008" xr3:uid="{0CAB059F-976B-4480-84A4-7A107FF17455}" name="Column5994" dataDxfId="21222" totalsRowDxfId="21221"/>
    <tableColumn id="6009" xr3:uid="{8C856B72-4D12-47F5-A3C2-0060F8767C2F}" name="Column5995" dataDxfId="21220" totalsRowDxfId="21219"/>
    <tableColumn id="6010" xr3:uid="{5E56D10A-3BC1-421F-A15B-29A3BC090207}" name="Column5996" dataDxfId="21218" totalsRowDxfId="21217"/>
    <tableColumn id="6011" xr3:uid="{E5A7CCD7-20DE-43D0-93EA-4519A730B492}" name="Column5997" dataDxfId="21216" totalsRowDxfId="21215"/>
    <tableColumn id="6012" xr3:uid="{FC49BDF2-5F89-4AA4-90AD-6A64E6F04279}" name="Column5998" dataDxfId="21214" totalsRowDxfId="21213"/>
    <tableColumn id="6013" xr3:uid="{3B1C0F04-E559-4C9D-BBDC-1301BFCE9E5B}" name="Column5999" dataDxfId="21212" totalsRowDxfId="21211"/>
    <tableColumn id="6014" xr3:uid="{41794AFC-D42A-4E11-833C-A33ADE74F789}" name="Column6000" dataDxfId="21210" totalsRowDxfId="21209"/>
    <tableColumn id="6015" xr3:uid="{C43CBD9A-1496-42BC-B446-6212D72AEBE9}" name="Column6001" dataDxfId="21208" totalsRowDxfId="21207"/>
    <tableColumn id="6016" xr3:uid="{4CD80F57-AECF-4732-BFA2-2F1AE8258DBA}" name="Column6002" dataDxfId="21206" totalsRowDxfId="21205"/>
    <tableColumn id="6017" xr3:uid="{8BB47B37-DC2E-4F95-BA23-B3C813DEDEDB}" name="Column6003" dataDxfId="21204" totalsRowDxfId="21203"/>
    <tableColumn id="6018" xr3:uid="{DEAB3DF6-545B-436D-A044-2417D21954A1}" name="Column6004" dataDxfId="21202" totalsRowDxfId="21201"/>
    <tableColumn id="6019" xr3:uid="{2B8AE64C-3C92-4141-B49E-CBDB744B0849}" name="Column6005" dataDxfId="21200" totalsRowDxfId="21199"/>
    <tableColumn id="6020" xr3:uid="{E25DAB57-2F3A-46BA-A02A-50E5A5E4E31A}" name="Column6006" dataDxfId="21198" totalsRowDxfId="21197"/>
    <tableColumn id="6021" xr3:uid="{9809F075-DF97-4A2A-A8E1-D2D051009F04}" name="Column6007" dataDxfId="21196" totalsRowDxfId="21195"/>
    <tableColumn id="6022" xr3:uid="{9F5CE950-CE21-419D-BB4D-263533EF65F1}" name="Column6008" dataDxfId="21194" totalsRowDxfId="21193"/>
    <tableColumn id="6023" xr3:uid="{14B224A3-4A9D-4616-867F-12EB9D23FC5D}" name="Column6009" dataDxfId="21192" totalsRowDxfId="21191"/>
    <tableColumn id="6024" xr3:uid="{8CDF138A-D2A1-4FF5-9E85-9CFDA31414D5}" name="Column6010" dataDxfId="21190" totalsRowDxfId="21189"/>
    <tableColumn id="6025" xr3:uid="{96F7B71A-29E4-48B9-BCD5-A6E1F5A59104}" name="Column6011" dataDxfId="21188" totalsRowDxfId="21187"/>
    <tableColumn id="6026" xr3:uid="{C2BD477D-D53A-4502-B5E1-18FECC009280}" name="Column6012" dataDxfId="21186" totalsRowDxfId="21185"/>
    <tableColumn id="6027" xr3:uid="{21EC6937-4971-4B3F-9328-FB9293C20999}" name="Column6013" dataDxfId="21184" totalsRowDxfId="21183"/>
    <tableColumn id="6028" xr3:uid="{0A05BF39-9002-4BC1-8167-8BF2E3B8B680}" name="Column6014" dataDxfId="21182" totalsRowDxfId="21181"/>
    <tableColumn id="6029" xr3:uid="{A00D02C8-7407-48AE-AB51-05D8C900B45A}" name="Column6015" dataDxfId="21180" totalsRowDxfId="21179"/>
    <tableColumn id="6030" xr3:uid="{2F7EB819-8FC6-48F6-AFA2-DF6E2CB47B64}" name="Column6016" dataDxfId="21178" totalsRowDxfId="21177"/>
    <tableColumn id="6031" xr3:uid="{4ADAFF4A-CA55-4999-919A-CC484411F828}" name="Column6017" dataDxfId="21176" totalsRowDxfId="21175"/>
    <tableColumn id="6032" xr3:uid="{B23380A0-5F91-4654-A904-B012244259BE}" name="Column6018" dataDxfId="21174" totalsRowDxfId="21173"/>
    <tableColumn id="6033" xr3:uid="{A172658A-1A92-4E40-9326-F684A5E0C3D0}" name="Column6019" dataDxfId="21172" totalsRowDxfId="21171"/>
    <tableColumn id="6034" xr3:uid="{B28AFD96-8256-488F-B7EF-E506B474CE46}" name="Column6020" dataDxfId="21170" totalsRowDxfId="21169"/>
    <tableColumn id="6035" xr3:uid="{8745A75C-AE83-4A38-AEFF-24CFCA063628}" name="Column6021" dataDxfId="21168" totalsRowDxfId="21167"/>
    <tableColumn id="6036" xr3:uid="{6F71679F-951C-470E-BDF8-E3328C4712C1}" name="Column6022" dataDxfId="21166" totalsRowDxfId="21165"/>
    <tableColumn id="6037" xr3:uid="{978096D2-7AEF-44A2-80BE-567DDC8CCB3D}" name="Column6023" dataDxfId="21164" totalsRowDxfId="21163"/>
    <tableColumn id="6038" xr3:uid="{1E7B6823-44C7-4D18-B559-47E4064060F8}" name="Column6024" dataDxfId="21162" totalsRowDxfId="21161"/>
    <tableColumn id="6039" xr3:uid="{A2A18766-7B66-4572-93F9-2B0E31E1624E}" name="Column6025" dataDxfId="21160" totalsRowDxfId="21159"/>
    <tableColumn id="6040" xr3:uid="{10CDABEB-F615-4FDC-9F82-0D39F095F410}" name="Column6026" dataDxfId="21158" totalsRowDxfId="21157"/>
    <tableColumn id="6041" xr3:uid="{A1F33081-FCD9-4DFF-9670-84E622AE7DD2}" name="Column6027" dataDxfId="21156" totalsRowDxfId="21155"/>
    <tableColumn id="6042" xr3:uid="{7538D7C3-4512-4949-9743-F0A2D9093CDE}" name="Column6028" dataDxfId="21154" totalsRowDxfId="21153"/>
    <tableColumn id="6043" xr3:uid="{F39BACDA-78F8-4785-A5ED-F6AEFDE869CC}" name="Column6029" dataDxfId="21152" totalsRowDxfId="21151"/>
    <tableColumn id="6044" xr3:uid="{807CB5C9-9DF7-4540-BDFE-3AC39B236F4B}" name="Column6030" dataDxfId="21150" totalsRowDxfId="21149"/>
    <tableColumn id="6045" xr3:uid="{9F991D18-688D-46E4-9341-F09A80C3BE4D}" name="Column6031" dataDxfId="21148" totalsRowDxfId="21147"/>
    <tableColumn id="6046" xr3:uid="{1C8DB6A2-0B63-4E2A-B84A-B0B2D511B9F7}" name="Column6032" dataDxfId="21146" totalsRowDxfId="21145"/>
    <tableColumn id="6047" xr3:uid="{65AD4D3B-2E59-4265-8252-C08FD7183030}" name="Column6033" dataDxfId="21144" totalsRowDxfId="21143"/>
    <tableColumn id="6048" xr3:uid="{7340157C-2A4F-40CA-AF50-3C6F1017F1A3}" name="Column6034" dataDxfId="21142" totalsRowDxfId="21141"/>
    <tableColumn id="6049" xr3:uid="{5BFD85C8-2D57-42BB-9C04-A26D41F55310}" name="Column6035" dataDxfId="21140" totalsRowDxfId="21139"/>
    <tableColumn id="6050" xr3:uid="{5B4EE8AD-29CC-4327-92D3-2D7CAC15E1A5}" name="Column6036" dataDxfId="21138" totalsRowDxfId="21137"/>
    <tableColumn id="6051" xr3:uid="{9FADF474-E590-4AB1-94E1-788DC7C43017}" name="Column6037" dataDxfId="21136" totalsRowDxfId="21135"/>
    <tableColumn id="6052" xr3:uid="{BCB6F363-ED08-43A1-97EA-4F8FD1D45EAF}" name="Column6038" dataDxfId="21134" totalsRowDxfId="21133"/>
    <tableColumn id="6053" xr3:uid="{50E2CF8C-6A98-426E-A418-DDB3C6B420C7}" name="Column6039" dataDxfId="21132" totalsRowDxfId="21131"/>
    <tableColumn id="6054" xr3:uid="{BCD83E4D-2C13-4BFD-B50B-4B3EA07AB6B6}" name="Column6040" dataDxfId="21130" totalsRowDxfId="21129"/>
    <tableColumn id="6055" xr3:uid="{C23E34B9-C647-4DB9-82A1-8276C2C8F74D}" name="Column6041" dataDxfId="21128" totalsRowDxfId="21127"/>
    <tableColumn id="6056" xr3:uid="{F4C5EE17-B5F8-4633-9BC7-D82D221AB732}" name="Column6042" dataDxfId="21126" totalsRowDxfId="21125"/>
    <tableColumn id="6057" xr3:uid="{50E90883-D133-490E-8C7F-EB4752547276}" name="Column6043" dataDxfId="21124" totalsRowDxfId="21123"/>
    <tableColumn id="6058" xr3:uid="{7B1C3D1D-4524-4410-BBAF-B8F9BF5414A5}" name="Column6044" dataDxfId="21122" totalsRowDxfId="21121"/>
    <tableColumn id="6059" xr3:uid="{7CEE7F45-0495-4719-8CF4-BCD624237A3F}" name="Column6045" dataDxfId="21120" totalsRowDxfId="21119"/>
    <tableColumn id="6060" xr3:uid="{1827B1CA-A30D-4864-8F58-A320AAFD7E0A}" name="Column6046" dataDxfId="21118" totalsRowDxfId="21117"/>
    <tableColumn id="6061" xr3:uid="{60FAB01E-6A3A-41CD-AB5C-2842A1E57F9E}" name="Column6047" dataDxfId="21116" totalsRowDxfId="21115"/>
    <tableColumn id="6062" xr3:uid="{EBC784DB-CA50-4A53-90F2-607A73433C8B}" name="Column6048" dataDxfId="21114" totalsRowDxfId="21113"/>
    <tableColumn id="6063" xr3:uid="{F7FC788F-6ED5-4B68-8890-2193B857B103}" name="Column6049" dataDxfId="21112" totalsRowDxfId="21111"/>
    <tableColumn id="6064" xr3:uid="{03CE8E23-3AF4-4EFA-A146-289699938DCE}" name="Column6050" dataDxfId="21110" totalsRowDxfId="21109"/>
    <tableColumn id="6065" xr3:uid="{C2E1647D-19E4-4B6E-A2F8-8C9AE641DAD6}" name="Column6051" dataDxfId="21108" totalsRowDxfId="21107"/>
    <tableColumn id="6066" xr3:uid="{392F552B-50E6-4236-BEB5-39008BEB8DD2}" name="Column6052" dataDxfId="21106" totalsRowDxfId="21105"/>
    <tableColumn id="6067" xr3:uid="{A42923F7-FF07-4CD2-8B53-439826E4F09C}" name="Column6053" dataDxfId="21104" totalsRowDxfId="21103"/>
    <tableColumn id="6068" xr3:uid="{91FBED09-BB3B-4FDA-A1E0-7EEE3A30DEC9}" name="Column6054" dataDxfId="21102" totalsRowDxfId="21101"/>
    <tableColumn id="6069" xr3:uid="{117A3E68-6F0A-4B66-A360-C54F3D01A5A9}" name="Column6055" dataDxfId="21100" totalsRowDxfId="21099"/>
    <tableColumn id="6070" xr3:uid="{66681980-ECA2-4333-B0BD-D275A4F15B38}" name="Column6056" dataDxfId="21098" totalsRowDxfId="21097"/>
    <tableColumn id="6071" xr3:uid="{2B4C3A1B-121F-4666-9E6F-A19E8D7B1D3B}" name="Column6057" dataDxfId="21096" totalsRowDxfId="21095"/>
    <tableColumn id="6072" xr3:uid="{99DFF3C0-F41E-4448-8DFF-DF62B201E3A4}" name="Column6058" dataDxfId="21094" totalsRowDxfId="21093"/>
    <tableColumn id="6073" xr3:uid="{54D7A4CA-2A25-4611-984B-A4CD9272EF99}" name="Column6059" dataDxfId="21092" totalsRowDxfId="21091"/>
    <tableColumn id="6074" xr3:uid="{6ED8BB44-F399-489E-8B5F-7D994862E0CD}" name="Column6060" dataDxfId="21090" totalsRowDxfId="21089"/>
    <tableColumn id="6075" xr3:uid="{5FD0696F-2578-490F-B3E2-A3E594A5FA42}" name="Column6061" dataDxfId="21088" totalsRowDxfId="21087"/>
    <tableColumn id="6076" xr3:uid="{7793E426-86FE-4630-94EB-32F0BDB8F42B}" name="Column6062" dataDxfId="21086" totalsRowDxfId="21085"/>
    <tableColumn id="6077" xr3:uid="{BA518E34-EDC5-4205-B99D-7BD32F00106B}" name="Column6063" dataDxfId="21084" totalsRowDxfId="21083"/>
    <tableColumn id="6078" xr3:uid="{E1BFC81F-CBA1-4B8A-B370-78106AE44A1B}" name="Column6064" dataDxfId="21082" totalsRowDxfId="21081"/>
    <tableColumn id="6079" xr3:uid="{F42F23B4-3CEB-458A-9DC7-65DBE6163233}" name="Column6065" dataDxfId="21080" totalsRowDxfId="21079"/>
    <tableColumn id="6080" xr3:uid="{F54E097C-BF4F-4BC7-AFB0-23F83E0352DA}" name="Column6066" dataDxfId="21078" totalsRowDxfId="21077"/>
    <tableColumn id="6081" xr3:uid="{FA8B8322-8583-4773-92A5-C83F5435AAFE}" name="Column6067" dataDxfId="21076" totalsRowDxfId="21075"/>
    <tableColumn id="6082" xr3:uid="{3CF6D01B-1D79-40A5-9ACC-F1EC8E64C0D1}" name="Column6068" dataDxfId="21074" totalsRowDxfId="21073"/>
    <tableColumn id="6083" xr3:uid="{F633A210-0625-4B5F-9E1F-55FA675A662C}" name="Column6069" dataDxfId="21072" totalsRowDxfId="21071"/>
    <tableColumn id="6084" xr3:uid="{BC6109BE-0E74-4612-B263-6F09203BDF11}" name="Column6070" dataDxfId="21070" totalsRowDxfId="21069"/>
    <tableColumn id="6085" xr3:uid="{6CF4786E-FC54-4F59-A80B-7C32AC3F1DE5}" name="Column6071" dataDxfId="21068" totalsRowDxfId="21067"/>
    <tableColumn id="6086" xr3:uid="{AAEA5B48-54C5-41A7-BACD-F4A2CCF6BA5A}" name="Column6072" dataDxfId="21066" totalsRowDxfId="21065"/>
    <tableColumn id="6087" xr3:uid="{47E04FC9-EBA3-407A-BBAA-652B96533D26}" name="Column6073" dataDxfId="21064" totalsRowDxfId="21063"/>
    <tableColumn id="6088" xr3:uid="{579C6A2D-FB09-46D9-A44E-D51F7E41A2C6}" name="Column6074" dataDxfId="21062" totalsRowDxfId="21061"/>
    <tableColumn id="6089" xr3:uid="{1FF56675-E4A7-4332-B631-A578EE4D909E}" name="Column6075" dataDxfId="21060" totalsRowDxfId="21059"/>
    <tableColumn id="6090" xr3:uid="{81FCCF91-17C0-44E8-A07E-CCB8C384A6B3}" name="Column6076" dataDxfId="21058" totalsRowDxfId="21057"/>
    <tableColumn id="6091" xr3:uid="{C6985225-B534-440C-95A0-3A3ECE5928AA}" name="Column6077" dataDxfId="21056" totalsRowDxfId="21055"/>
    <tableColumn id="6092" xr3:uid="{047D60B1-04FF-4CFC-B6D2-01B1DCBB8327}" name="Column6078" dataDxfId="21054" totalsRowDxfId="21053"/>
    <tableColumn id="6093" xr3:uid="{5F42B0F4-3B5E-403E-957A-2230F2DBDF90}" name="Column6079" dataDxfId="21052" totalsRowDxfId="21051"/>
    <tableColumn id="6094" xr3:uid="{3882DE45-9163-44EF-84A3-95552FAFD97E}" name="Column6080" dataDxfId="21050" totalsRowDxfId="21049"/>
    <tableColumn id="6095" xr3:uid="{D3967389-26D9-44CF-82F3-861456FE2FD4}" name="Column6081" dataDxfId="21048" totalsRowDxfId="21047"/>
    <tableColumn id="6096" xr3:uid="{86A83DCA-B3F8-4AAE-8895-E8D01E8FB326}" name="Column6082" dataDxfId="21046" totalsRowDxfId="21045"/>
    <tableColumn id="6097" xr3:uid="{58C65E5C-C53C-4CFA-9136-582DB24E9D90}" name="Column6083" dataDxfId="21044" totalsRowDxfId="21043"/>
    <tableColumn id="6098" xr3:uid="{F97C05C1-97E5-4D59-A55C-4F3BC47D81FA}" name="Column6084" dataDxfId="21042" totalsRowDxfId="21041"/>
    <tableColumn id="6099" xr3:uid="{F8056305-7FDB-4507-BB9D-766D062387D7}" name="Column6085" dataDxfId="21040" totalsRowDxfId="21039"/>
    <tableColumn id="6100" xr3:uid="{82CAC131-9D59-444F-BEAB-4616606B463A}" name="Column6086" dataDxfId="21038" totalsRowDxfId="21037"/>
    <tableColumn id="6101" xr3:uid="{DB035FDE-F5E8-4B97-846E-90CCF4150062}" name="Column6087" dataDxfId="21036" totalsRowDxfId="21035"/>
    <tableColumn id="6102" xr3:uid="{49362FBD-39F0-4F60-9355-A04A4046019B}" name="Column6088" dataDxfId="21034" totalsRowDxfId="21033"/>
    <tableColumn id="6103" xr3:uid="{DD665A03-9077-4BC2-80AA-6264CA6A3D67}" name="Column6089" dataDxfId="21032" totalsRowDxfId="21031"/>
    <tableColumn id="6104" xr3:uid="{BA57C21C-F5EB-48C8-B2E5-7E5B23ED8EC3}" name="Column6090" dataDxfId="21030" totalsRowDxfId="21029"/>
    <tableColumn id="6105" xr3:uid="{3548B1D4-EBEF-47ED-9CE6-774DD54B4D38}" name="Column6091" dataDxfId="21028" totalsRowDxfId="21027"/>
    <tableColumn id="6106" xr3:uid="{75B7E624-2C57-4E43-A65E-655E3C510534}" name="Column6092" dataDxfId="21026" totalsRowDxfId="21025"/>
    <tableColumn id="6107" xr3:uid="{BD93F958-CF62-460C-8270-CAC349CF2849}" name="Column6093" dataDxfId="21024" totalsRowDxfId="21023"/>
    <tableColumn id="6108" xr3:uid="{6DDEAC03-0D34-4011-8482-D62BF0B99215}" name="Column6094" dataDxfId="21022" totalsRowDxfId="21021"/>
    <tableColumn id="6109" xr3:uid="{AD39FE09-4414-4663-8EFB-05042B6AC3A8}" name="Column6095" dataDxfId="21020" totalsRowDxfId="21019"/>
    <tableColumn id="6110" xr3:uid="{9EFD75D4-068D-430A-8A92-CE3D86778420}" name="Column6096" dataDxfId="21018" totalsRowDxfId="21017"/>
    <tableColumn id="6111" xr3:uid="{E86E7110-2028-4B49-BB83-C5EAE9E96D94}" name="Column6097" dataDxfId="21016" totalsRowDxfId="21015"/>
    <tableColumn id="6112" xr3:uid="{610F8501-0108-48C3-A9D1-8C7DEBE5A80D}" name="Column6098" dataDxfId="21014" totalsRowDxfId="21013"/>
    <tableColumn id="6113" xr3:uid="{499863F9-C467-4F39-9AF7-9032851E4505}" name="Column6099" dataDxfId="21012" totalsRowDxfId="21011"/>
    <tableColumn id="6114" xr3:uid="{60324BAC-1C05-4BC7-A3C1-1583CFEF5D3A}" name="Column6100" dataDxfId="21010" totalsRowDxfId="21009"/>
    <tableColumn id="6115" xr3:uid="{F6276091-BC21-4B6F-AD83-3DBB13665839}" name="Column6101" dataDxfId="21008" totalsRowDxfId="21007"/>
    <tableColumn id="6116" xr3:uid="{D63A886A-50DD-44C8-9CAB-593B95643CD6}" name="Column6102" dataDxfId="21006" totalsRowDxfId="21005"/>
    <tableColumn id="6117" xr3:uid="{ED978FE1-AEFA-4B09-86E1-C3FF6B6CF099}" name="Column6103" dataDxfId="21004" totalsRowDxfId="21003"/>
    <tableColumn id="6118" xr3:uid="{0868B813-9ABA-499D-AB1B-7D4E2CDE5378}" name="Column6104" dataDxfId="21002" totalsRowDxfId="21001"/>
    <tableColumn id="6119" xr3:uid="{BFB166B2-19F1-4290-A62A-442B1E70DA83}" name="Column6105" dataDxfId="21000" totalsRowDxfId="20999"/>
    <tableColumn id="6120" xr3:uid="{2159F0E4-6E3F-434C-9D64-FE9F54B68562}" name="Column6106" dataDxfId="20998" totalsRowDxfId="20997"/>
    <tableColumn id="6121" xr3:uid="{7E8D78DB-618D-4062-BBE0-478D9E2D488D}" name="Column6107" dataDxfId="20996" totalsRowDxfId="20995"/>
    <tableColumn id="6122" xr3:uid="{6CECDD0F-6EF2-4AFE-9BCF-211F3F5D34E0}" name="Column6108" dataDxfId="20994" totalsRowDxfId="20993"/>
    <tableColumn id="6123" xr3:uid="{F1A37164-54A0-4AF6-923F-FE67AE85B946}" name="Column6109" dataDxfId="20992" totalsRowDxfId="20991"/>
    <tableColumn id="6124" xr3:uid="{3879B9E4-09CA-4676-87E9-D41E74E4B096}" name="Column6110" dataDxfId="20990" totalsRowDxfId="20989"/>
    <tableColumn id="6125" xr3:uid="{975A24BA-D1E9-4F2E-855E-7723572EF595}" name="Column6111" dataDxfId="20988" totalsRowDxfId="20987"/>
    <tableColumn id="6126" xr3:uid="{41374B95-C918-4096-A9B6-64B3BCC1D24F}" name="Column6112" dataDxfId="20986" totalsRowDxfId="20985"/>
    <tableColumn id="6127" xr3:uid="{0259F1FD-B8A4-4131-B0C1-D1AAF8622460}" name="Column6113" dataDxfId="20984" totalsRowDxfId="20983"/>
    <tableColumn id="6128" xr3:uid="{C89E9B4F-3ADF-4E8F-8FBD-ADC8701BA3CE}" name="Column6114" dataDxfId="20982" totalsRowDxfId="20981"/>
    <tableColumn id="6129" xr3:uid="{6FAB4F93-CB66-41EE-B823-E9890E02AF73}" name="Column6115" dataDxfId="20980" totalsRowDxfId="20979"/>
    <tableColumn id="6130" xr3:uid="{5176E65F-6912-4365-ABEE-EE7CE6546488}" name="Column6116" dataDxfId="20978" totalsRowDxfId="20977"/>
    <tableColumn id="6131" xr3:uid="{50E466FD-1514-42E5-89AC-E1F8BB51E5AF}" name="Column6117" dataDxfId="20976" totalsRowDxfId="20975"/>
    <tableColumn id="6132" xr3:uid="{9BA58D9E-D4EE-4ACA-8C97-C538EA70C30B}" name="Column6118" dataDxfId="20974" totalsRowDxfId="20973"/>
    <tableColumn id="6133" xr3:uid="{CAB45F40-E257-4BDC-8F98-1EA6BF2CE754}" name="Column6119" dataDxfId="20972" totalsRowDxfId="20971"/>
    <tableColumn id="6134" xr3:uid="{EC657A08-DACE-44B3-BF19-469CD6CF498D}" name="Column6120" dataDxfId="20970" totalsRowDxfId="20969"/>
    <tableColumn id="6135" xr3:uid="{9CDE7893-7FEC-47A4-B16A-214FE4445D44}" name="Column6121" dataDxfId="20968" totalsRowDxfId="20967"/>
    <tableColumn id="6136" xr3:uid="{D388E736-0A15-412C-8643-66EC56D4E797}" name="Column6122" dataDxfId="20966" totalsRowDxfId="20965"/>
    <tableColumn id="6137" xr3:uid="{F4231375-FFC0-4670-997D-FBCB68D4C248}" name="Column6123" dataDxfId="20964" totalsRowDxfId="20963"/>
    <tableColumn id="6138" xr3:uid="{F6D47459-C5C7-407E-ABB3-EA7D7D17829A}" name="Column6124" dataDxfId="20962" totalsRowDxfId="20961"/>
    <tableColumn id="6139" xr3:uid="{B30A7575-5E73-4368-805D-4E86722E57E1}" name="Column6125" dataDxfId="20960" totalsRowDxfId="20959"/>
    <tableColumn id="6140" xr3:uid="{08A16CB5-7283-41CF-9756-890296DA9D2A}" name="Column6126" dataDxfId="20958" totalsRowDxfId="20957"/>
    <tableColumn id="6141" xr3:uid="{E0CA977D-B666-4285-92A1-519473A61AA9}" name="Column6127" dataDxfId="20956" totalsRowDxfId="20955"/>
    <tableColumn id="6142" xr3:uid="{87F0B7A9-7DC1-432C-B6A8-19FDAF2397B5}" name="Column6128" dataDxfId="20954" totalsRowDxfId="20953"/>
    <tableColumn id="6143" xr3:uid="{35434AE1-215D-4A5B-9F3C-9A05F9ACA962}" name="Column6129" dataDxfId="20952" totalsRowDxfId="20951"/>
    <tableColumn id="6144" xr3:uid="{CF1523FA-D815-40EF-8A21-5A18E71DDF47}" name="Column6130" dataDxfId="20950" totalsRowDxfId="20949"/>
    <tableColumn id="6145" xr3:uid="{AE21F9E8-330C-48F8-83CD-A83864B84A1C}" name="Column6131" dataDxfId="20948" totalsRowDxfId="20947"/>
    <tableColumn id="6146" xr3:uid="{9964EA5D-FFFD-490E-8023-AF3BC33DD775}" name="Column6132" dataDxfId="20946" totalsRowDxfId="20945"/>
    <tableColumn id="6147" xr3:uid="{7D6D11DD-014D-490A-8F0E-54BDA1861F3B}" name="Column6133" dataDxfId="20944" totalsRowDxfId="20943"/>
    <tableColumn id="6148" xr3:uid="{2524C901-9A0B-4FAC-A6BE-10C00DEC4F4D}" name="Column6134" dataDxfId="20942" totalsRowDxfId="20941"/>
    <tableColumn id="6149" xr3:uid="{5AB803B9-9358-4713-87CF-D0AF6BDFD2D7}" name="Column6135" dataDxfId="20940" totalsRowDxfId="20939"/>
    <tableColumn id="6150" xr3:uid="{B1C5830C-3254-4C83-B540-6B3CED08E93B}" name="Column6136" dataDxfId="20938" totalsRowDxfId="20937"/>
    <tableColumn id="6151" xr3:uid="{CB78488B-BB07-411F-AB53-C51312A0231B}" name="Column6137" dataDxfId="20936" totalsRowDxfId="20935"/>
    <tableColumn id="6152" xr3:uid="{A398A351-468F-40A5-BBED-24AD1F954E71}" name="Column6138" dataDxfId="20934" totalsRowDxfId="20933"/>
    <tableColumn id="6153" xr3:uid="{3FBEB5C1-E856-4FE0-BC60-F765799EEB3D}" name="Column6139" dataDxfId="20932" totalsRowDxfId="20931"/>
    <tableColumn id="6154" xr3:uid="{6178E2CB-F837-4EA7-A42A-E69414B81692}" name="Column6140" dataDxfId="20930" totalsRowDxfId="20929"/>
    <tableColumn id="6155" xr3:uid="{5FCA5CCF-DC50-4073-8B05-0190376F6B3F}" name="Column6141" dataDxfId="20928" totalsRowDxfId="20927"/>
    <tableColumn id="6156" xr3:uid="{21CC6264-6DD4-493F-A678-F4BEE1ADFDF8}" name="Column6142" dataDxfId="20926" totalsRowDxfId="20925"/>
    <tableColumn id="6157" xr3:uid="{3B388664-021B-43D4-AB70-14C490BFA057}" name="Column6143" dataDxfId="20924" totalsRowDxfId="20923"/>
    <tableColumn id="6158" xr3:uid="{847904A0-D2DD-483B-9C32-D758B44B6776}" name="Column6144" dataDxfId="20922" totalsRowDxfId="20921"/>
    <tableColumn id="6159" xr3:uid="{BE69DC93-1AB3-4659-BFFC-7BF1AE0A5858}" name="Column6145" dataDxfId="20920" totalsRowDxfId="20919"/>
    <tableColumn id="6160" xr3:uid="{2C0B05E6-C75D-4025-B22C-93DF353E75BD}" name="Column6146" dataDxfId="20918" totalsRowDxfId="20917"/>
    <tableColumn id="6161" xr3:uid="{088608AA-A3A5-4C59-BEFF-15B22FAAB332}" name="Column6147" dataDxfId="20916" totalsRowDxfId="20915"/>
    <tableColumn id="6162" xr3:uid="{85EA8C25-6F1F-4366-A739-F221A16DC19E}" name="Column6148" dataDxfId="20914" totalsRowDxfId="20913"/>
    <tableColumn id="6163" xr3:uid="{3D46C625-90FF-4B7A-A10C-50254303E7C4}" name="Column6149" dataDxfId="20912" totalsRowDxfId="20911"/>
    <tableColumn id="6164" xr3:uid="{6F680D82-450F-4D94-8325-6C1B00578DB3}" name="Column6150" dataDxfId="20910" totalsRowDxfId="20909"/>
    <tableColumn id="6165" xr3:uid="{A79CDDD3-52DF-4B0D-9CBE-8E13185B9A17}" name="Column6151" dataDxfId="20908" totalsRowDxfId="20907"/>
    <tableColumn id="6166" xr3:uid="{BCFCF594-34EC-4702-A787-0C02FF5D5F2A}" name="Column6152" dataDxfId="20906" totalsRowDxfId="20905"/>
    <tableColumn id="6167" xr3:uid="{543510F2-C465-4762-B64A-55BE4634AFC8}" name="Column6153" dataDxfId="20904" totalsRowDxfId="20903"/>
    <tableColumn id="6168" xr3:uid="{47C44C81-3BA5-4EEB-8801-60EFF9538BA5}" name="Column6154" dataDxfId="20902" totalsRowDxfId="20901"/>
    <tableColumn id="6169" xr3:uid="{AB5278CD-5A7D-4E30-8963-DCB13B65BD79}" name="Column6155" dataDxfId="20900" totalsRowDxfId="20899"/>
    <tableColumn id="6170" xr3:uid="{E1BBB55E-6E6B-4A18-94F9-D48C4BF64D19}" name="Column6156" dataDxfId="20898" totalsRowDxfId="20897"/>
    <tableColumn id="6171" xr3:uid="{29516976-5350-498F-9E23-9BA01574F328}" name="Column6157" dataDxfId="20896" totalsRowDxfId="20895"/>
    <tableColumn id="6172" xr3:uid="{AF08ED29-B1F9-44F7-9B0A-1CA51D455EC8}" name="Column6158" dataDxfId="20894" totalsRowDxfId="20893"/>
    <tableColumn id="6173" xr3:uid="{B9DD9672-EADA-4A9F-A3F5-4A983ADBF7BB}" name="Column6159" dataDxfId="20892" totalsRowDxfId="20891"/>
    <tableColumn id="6174" xr3:uid="{81F9FFAC-3DE8-4424-9C77-741566D6D7DF}" name="Column6160" dataDxfId="20890" totalsRowDxfId="20889"/>
    <tableColumn id="6175" xr3:uid="{09A2D434-66D6-4239-B642-D8163B64BB22}" name="Column6161" dataDxfId="20888" totalsRowDxfId="20887"/>
    <tableColumn id="6176" xr3:uid="{4C3267D2-446A-4D32-B689-465D5D56E0FD}" name="Column6162" dataDxfId="20886" totalsRowDxfId="20885"/>
    <tableColumn id="6177" xr3:uid="{6F92BBE1-7AFD-4C47-B1C1-DD59F5B37FBE}" name="Column6163" dataDxfId="20884" totalsRowDxfId="20883"/>
    <tableColumn id="6178" xr3:uid="{F501EE44-36A6-4B0D-815B-96DB6F54FCA3}" name="Column6164" dataDxfId="20882" totalsRowDxfId="20881"/>
    <tableColumn id="6179" xr3:uid="{799B9467-0091-41E7-BB08-B67492978F02}" name="Column6165" dataDxfId="20880" totalsRowDxfId="20879"/>
    <tableColumn id="6180" xr3:uid="{14F27AF0-8368-436A-BAD6-13C692A02D54}" name="Column6166" dataDxfId="20878" totalsRowDxfId="20877"/>
    <tableColumn id="6181" xr3:uid="{8374429F-75EF-4155-86FD-E1B0A94C26B8}" name="Column6167" dataDxfId="20876" totalsRowDxfId="20875"/>
    <tableColumn id="6182" xr3:uid="{76429C5E-3783-465C-BAE4-E3ACB442BE99}" name="Column6168" dataDxfId="20874" totalsRowDxfId="20873"/>
    <tableColumn id="6183" xr3:uid="{5C59FD22-367B-4B70-AA61-9FF6D40EE9F2}" name="Column6169" dataDxfId="20872" totalsRowDxfId="20871"/>
    <tableColumn id="6184" xr3:uid="{69C940C2-0A1F-4843-9FFC-E52C3A4E5DFF}" name="Column6170" dataDxfId="20870" totalsRowDxfId="20869"/>
    <tableColumn id="6185" xr3:uid="{1C02700B-EE5A-4D38-BFC5-EE6A8B40A23D}" name="Column6171" dataDxfId="20868" totalsRowDxfId="20867"/>
    <tableColumn id="6186" xr3:uid="{3B05C6BF-55D5-4149-A629-A7DFC6B5D6CE}" name="Column6172" dataDxfId="20866" totalsRowDxfId="20865"/>
    <tableColumn id="6187" xr3:uid="{D3375CB9-EB4F-4993-A6D4-8A2F4F7DAEEB}" name="Column6173" dataDxfId="20864" totalsRowDxfId="20863"/>
    <tableColumn id="6188" xr3:uid="{4CA416F2-46F4-4C99-9713-160F86AED715}" name="Column6174" dataDxfId="20862" totalsRowDxfId="20861"/>
    <tableColumn id="6189" xr3:uid="{E4EABAEA-6972-41ED-B3A4-7EF0EB92E74B}" name="Column6175" dataDxfId="20860" totalsRowDxfId="20859"/>
    <tableColumn id="6190" xr3:uid="{69F9023A-2E1E-4D59-8ACC-BA24637E7889}" name="Column6176" dataDxfId="20858" totalsRowDxfId="20857"/>
    <tableColumn id="6191" xr3:uid="{14FE73E8-1A2A-4661-B4B7-274D2D6B3B08}" name="Column6177" dataDxfId="20856" totalsRowDxfId="20855"/>
    <tableColumn id="6192" xr3:uid="{18D0BB2B-393E-4CEA-B845-7C6157F1F1E8}" name="Column6178" dataDxfId="20854" totalsRowDxfId="20853"/>
    <tableColumn id="6193" xr3:uid="{134D9900-6EBE-45EA-855D-A51F463182CA}" name="Column6179" dataDxfId="20852" totalsRowDxfId="20851"/>
    <tableColumn id="6194" xr3:uid="{2CF2B2C0-0BE6-4314-98EE-EAC503C53DF7}" name="Column6180" dataDxfId="20850" totalsRowDxfId="20849"/>
    <tableColumn id="6195" xr3:uid="{BEAC4ADD-3996-4EEB-AE17-0FFFE3CB0AAA}" name="Column6181" dataDxfId="20848" totalsRowDxfId="20847"/>
    <tableColumn id="6196" xr3:uid="{FF47BE47-42D3-4E6F-9996-F006ECE0BB97}" name="Column6182" dataDxfId="20846" totalsRowDxfId="20845"/>
    <tableColumn id="6197" xr3:uid="{AB76A0A6-7098-409E-9CBB-487B950CB725}" name="Column6183" dataDxfId="20844" totalsRowDxfId="20843"/>
    <tableColumn id="6198" xr3:uid="{9A5F675E-4BC8-4609-A35C-9972EAAC4AAD}" name="Column6184" dataDxfId="20842" totalsRowDxfId="20841"/>
    <tableColumn id="6199" xr3:uid="{E95A513B-1017-4537-91EC-7CDF2D905F23}" name="Column6185" dataDxfId="20840" totalsRowDxfId="20839"/>
    <tableColumn id="6200" xr3:uid="{E38E9E2F-2C85-4549-8B04-972A50D80299}" name="Column6186" dataDxfId="20838" totalsRowDxfId="20837"/>
    <tableColumn id="6201" xr3:uid="{1D00A2BD-1B6D-4BA8-AA41-3E28652D9147}" name="Column6187" dataDxfId="20836" totalsRowDxfId="20835"/>
    <tableColumn id="6202" xr3:uid="{50861C7C-08F0-4232-8343-146CC6E14BAF}" name="Column6188" dataDxfId="20834" totalsRowDxfId="20833"/>
    <tableColumn id="6203" xr3:uid="{2B8A3C42-884C-4F3F-B27C-198571D8D3C1}" name="Column6189" dataDxfId="20832" totalsRowDxfId="20831"/>
    <tableColumn id="6204" xr3:uid="{C0667687-B457-4FCC-96CD-E23C52CCAED7}" name="Column6190" dataDxfId="20830" totalsRowDxfId="20829"/>
    <tableColumn id="6205" xr3:uid="{0F310298-BC53-4A68-A008-E5D98564341B}" name="Column6191" dataDxfId="20828" totalsRowDxfId="20827"/>
    <tableColumn id="6206" xr3:uid="{55B873BC-3C52-44B2-A150-EF77A14DA54E}" name="Column6192" dataDxfId="20826" totalsRowDxfId="20825"/>
    <tableColumn id="6207" xr3:uid="{61C474AC-4B4F-43A4-AFE8-A66CB904C10E}" name="Column6193" dataDxfId="20824" totalsRowDxfId="20823"/>
    <tableColumn id="6208" xr3:uid="{799D1E5E-B29F-41FE-A461-0FBD419BD151}" name="Column6194" dataDxfId="20822" totalsRowDxfId="20821"/>
    <tableColumn id="6209" xr3:uid="{D9C914A9-D88A-4083-8D4C-6A76DC30355B}" name="Column6195" dataDxfId="20820" totalsRowDxfId="20819"/>
    <tableColumn id="6210" xr3:uid="{F9A546C3-5536-4188-9775-6CA594014AAC}" name="Column6196" dataDxfId="20818" totalsRowDxfId="20817"/>
    <tableColumn id="6211" xr3:uid="{D81E8EEE-416D-4240-BF88-9C09C204CB53}" name="Column6197" dataDxfId="20816" totalsRowDxfId="20815"/>
    <tableColumn id="6212" xr3:uid="{EBBC99CF-5C2D-458F-B42D-ADE37E94E52F}" name="Column6198" dataDxfId="20814" totalsRowDxfId="20813"/>
    <tableColumn id="6213" xr3:uid="{95CF09EA-D614-4940-B156-271D8DC2453D}" name="Column6199" dataDxfId="20812" totalsRowDxfId="20811"/>
    <tableColumn id="6214" xr3:uid="{D0DC2473-0B93-4373-B0BC-F4F4E1F847C3}" name="Column6200" dataDxfId="20810" totalsRowDxfId="20809"/>
    <tableColumn id="6215" xr3:uid="{592A8410-572E-4665-8417-C707D6A64E96}" name="Column6201" dataDxfId="20808" totalsRowDxfId="20807"/>
    <tableColumn id="6216" xr3:uid="{10A8C54B-6150-450E-BE6D-A2B971B4D556}" name="Column6202" dataDxfId="20806" totalsRowDxfId="20805"/>
    <tableColumn id="6217" xr3:uid="{8384022C-5E41-4BB7-9F52-8625D63E44B2}" name="Column6203" dataDxfId="20804" totalsRowDxfId="20803"/>
    <tableColumn id="6218" xr3:uid="{BB8AC604-0187-49F6-8DD0-862F0A62C57C}" name="Column6204" dataDxfId="20802" totalsRowDxfId="20801"/>
    <tableColumn id="6219" xr3:uid="{93D27E9D-A30B-40E9-A98A-0883BCB4979A}" name="Column6205" dataDxfId="20800" totalsRowDxfId="20799"/>
    <tableColumn id="6220" xr3:uid="{77219080-E597-4B2D-8A0F-BE2D149E7376}" name="Column6206" dataDxfId="20798" totalsRowDxfId="20797"/>
    <tableColumn id="6221" xr3:uid="{AE8B6F56-D634-4C06-8BE6-F3B1B314E931}" name="Column6207" dataDxfId="20796" totalsRowDxfId="20795"/>
    <tableColumn id="6222" xr3:uid="{168FFDE6-E935-4544-81DA-BA81F6761F8D}" name="Column6208" dataDxfId="20794" totalsRowDxfId="20793"/>
    <tableColumn id="6223" xr3:uid="{B7865310-9EBA-4947-8504-F550E12E89B5}" name="Column6209" dataDxfId="20792" totalsRowDxfId="20791"/>
    <tableColumn id="6224" xr3:uid="{4ACC121B-AA8F-43CF-B48F-3884E70F79BA}" name="Column6210" dataDxfId="20790" totalsRowDxfId="20789"/>
    <tableColumn id="6225" xr3:uid="{0B1EF0AA-02DA-44C8-A681-497FE6D42AAF}" name="Column6211" dataDxfId="20788" totalsRowDxfId="20787"/>
    <tableColumn id="6226" xr3:uid="{5C6D5B32-CD61-4383-A13F-C9B635805EDA}" name="Column6212" dataDxfId="20786" totalsRowDxfId="20785"/>
    <tableColumn id="6227" xr3:uid="{E8B1D52A-95BF-403A-AA57-202DF4D7E200}" name="Column6213" dataDxfId="20784" totalsRowDxfId="20783"/>
    <tableColumn id="6228" xr3:uid="{9B80DD7B-A4C1-4C6E-8C3C-CADC734612CB}" name="Column6214" dataDxfId="20782" totalsRowDxfId="20781"/>
    <tableColumn id="6229" xr3:uid="{18F56FBC-B290-4867-AAB1-3262C6151C32}" name="Column6215" dataDxfId="20780" totalsRowDxfId="20779"/>
    <tableColumn id="6230" xr3:uid="{BFD8019B-4B50-4B87-9F3B-57032A2C45FA}" name="Column6216" dataDxfId="20778" totalsRowDxfId="20777"/>
    <tableColumn id="6231" xr3:uid="{74404387-12C6-4E0C-92C9-1A9299BD83BA}" name="Column6217" dataDxfId="20776" totalsRowDxfId="20775"/>
    <tableColumn id="6232" xr3:uid="{77B31726-7CF3-4DD2-B351-AF09299A1DB5}" name="Column6218" dataDxfId="20774" totalsRowDxfId="20773"/>
    <tableColumn id="6233" xr3:uid="{9ED65B63-4CBE-4701-8A7D-4FD9F8ED18FC}" name="Column6219" dataDxfId="20772" totalsRowDxfId="20771"/>
    <tableColumn id="6234" xr3:uid="{EAD38C2F-C8C1-4E59-937D-F72A7D60456F}" name="Column6220" dataDxfId="20770" totalsRowDxfId="20769"/>
    <tableColumn id="6235" xr3:uid="{04A6C421-1F1B-4099-A983-F665DC0ABAF3}" name="Column6221" dataDxfId="20768" totalsRowDxfId="20767"/>
    <tableColumn id="6236" xr3:uid="{034F1CE7-B8BA-45C6-BAC8-27F96455E8B8}" name="Column6222" dataDxfId="20766" totalsRowDxfId="20765"/>
    <tableColumn id="6237" xr3:uid="{E500924C-5BCD-49EE-83E6-4A367BAE41AA}" name="Column6223" dataDxfId="20764" totalsRowDxfId="20763"/>
    <tableColumn id="6238" xr3:uid="{F82512BC-B861-47E6-AB4F-184D3F038537}" name="Column6224" dataDxfId="20762" totalsRowDxfId="20761"/>
    <tableColumn id="6239" xr3:uid="{F8F9EAC2-DC41-4823-A235-CE5B257F39AA}" name="Column6225" dataDxfId="20760" totalsRowDxfId="20759"/>
    <tableColumn id="6240" xr3:uid="{F44D5747-3E26-4A83-9677-72412A511CB6}" name="Column6226" dataDxfId="20758" totalsRowDxfId="20757"/>
    <tableColumn id="6241" xr3:uid="{616FE4B6-DBB3-4C4E-B009-2631D9F40229}" name="Column6227" dataDxfId="20756" totalsRowDxfId="20755"/>
    <tableColumn id="6242" xr3:uid="{A497A60C-5F52-4FC3-B1B8-1B9B7C8F7068}" name="Column6228" dataDxfId="20754" totalsRowDxfId="20753"/>
    <tableColumn id="6243" xr3:uid="{4DA2AE20-11CC-450D-A7A7-EB7D77E9A9A1}" name="Column6229" dataDxfId="20752" totalsRowDxfId="20751"/>
    <tableColumn id="6244" xr3:uid="{027AF86F-FDB9-45D4-9C28-ECB3C4414079}" name="Column6230" dataDxfId="20750" totalsRowDxfId="20749"/>
    <tableColumn id="6245" xr3:uid="{8D5827BC-B015-4DEB-964B-890D30144754}" name="Column6231" dataDxfId="20748" totalsRowDxfId="20747"/>
    <tableColumn id="6246" xr3:uid="{15D9B8B0-0B47-4634-96FD-DFBC0425B139}" name="Column6232" dataDxfId="20746" totalsRowDxfId="20745"/>
    <tableColumn id="6247" xr3:uid="{3060A26A-5C1D-4B65-8C18-E915E78A89AE}" name="Column6233" dataDxfId="20744" totalsRowDxfId="20743"/>
    <tableColumn id="6248" xr3:uid="{760C8B0E-360F-4A15-8095-4AF3F0A778F7}" name="Column6234" dataDxfId="20742" totalsRowDxfId="20741"/>
    <tableColumn id="6249" xr3:uid="{396F7C61-DF25-456B-9098-02B5E858DC21}" name="Column6235" dataDxfId="20740" totalsRowDxfId="20739"/>
    <tableColumn id="6250" xr3:uid="{443A162D-8E2E-4714-A0E1-AEDED3521713}" name="Column6236" dataDxfId="20738" totalsRowDxfId="20737"/>
    <tableColumn id="6251" xr3:uid="{EFB7385C-0DB1-4BAB-928E-B3916315BBA5}" name="Column6237" dataDxfId="20736" totalsRowDxfId="20735"/>
    <tableColumn id="6252" xr3:uid="{595B7400-AD41-4D53-87B0-F544237B88D3}" name="Column6238" dataDxfId="20734" totalsRowDxfId="20733"/>
    <tableColumn id="6253" xr3:uid="{472D112B-1B91-4287-9992-196BC0582884}" name="Column6239" dataDxfId="20732" totalsRowDxfId="20731"/>
    <tableColumn id="6254" xr3:uid="{B14E0068-8CE6-4DCD-B6CD-210D44624B9B}" name="Column6240" dataDxfId="20730" totalsRowDxfId="20729"/>
    <tableColumn id="6255" xr3:uid="{33A3902B-4DF7-4186-856B-04333517C894}" name="Column6241" dataDxfId="20728" totalsRowDxfId="20727"/>
    <tableColumn id="6256" xr3:uid="{A63AD11C-CC13-4FF7-8AB8-4F0F8F980D90}" name="Column6242" dataDxfId="20726" totalsRowDxfId="20725"/>
    <tableColumn id="6257" xr3:uid="{DE002443-9AB3-4E1E-AF2F-74377EB76F05}" name="Column6243" dataDxfId="20724" totalsRowDxfId="20723"/>
    <tableColumn id="6258" xr3:uid="{92244FE3-CF49-4481-9146-7EFC98472311}" name="Column6244" dataDxfId="20722" totalsRowDxfId="20721"/>
    <tableColumn id="6259" xr3:uid="{EFF4BC7F-45E8-451B-877C-77F1077ECCCB}" name="Column6245" dataDxfId="20720" totalsRowDxfId="20719"/>
    <tableColumn id="6260" xr3:uid="{09E20124-775F-426F-9B8F-9C8C846A2C50}" name="Column6246" dataDxfId="20718" totalsRowDxfId="20717"/>
    <tableColumn id="6261" xr3:uid="{8FC2EAAD-97A0-40CE-964F-D58828C2C2BD}" name="Column6247" dataDxfId="20716" totalsRowDxfId="20715"/>
    <tableColumn id="6262" xr3:uid="{C961227D-1168-485E-B457-D120DFAF879C}" name="Column6248" dataDxfId="20714" totalsRowDxfId="20713"/>
    <tableColumn id="6263" xr3:uid="{B6692D89-9DD8-4A2F-8872-421FBDEDBB34}" name="Column6249" dataDxfId="20712" totalsRowDxfId="20711"/>
    <tableColumn id="6264" xr3:uid="{C460B75A-0428-4B2F-810A-1D9F255E7933}" name="Column6250" dataDxfId="20710" totalsRowDxfId="20709"/>
    <tableColumn id="6265" xr3:uid="{54A79785-08D7-4167-ACF7-8604E6245FA8}" name="Column6251" dataDxfId="20708" totalsRowDxfId="20707"/>
    <tableColumn id="6266" xr3:uid="{ED53E474-181D-4F24-88DC-9D24ECB9F56A}" name="Column6252" dataDxfId="20706" totalsRowDxfId="20705"/>
    <tableColumn id="6267" xr3:uid="{AFCCFB9D-63AA-4A6E-AF36-DE4217F4672F}" name="Column6253" dataDxfId="20704" totalsRowDxfId="20703"/>
    <tableColumn id="6268" xr3:uid="{360F2DAC-203E-423C-B271-7278332058AF}" name="Column6254" dataDxfId="20702" totalsRowDxfId="20701"/>
    <tableColumn id="6269" xr3:uid="{6E4727E1-7B42-408D-AD91-B1A86F7B2E80}" name="Column6255" dataDxfId="20700" totalsRowDxfId="20699"/>
    <tableColumn id="6270" xr3:uid="{4F2BC91A-4BF4-4934-A2AA-79D2869B2C8C}" name="Column6256" dataDxfId="20698" totalsRowDxfId="20697"/>
    <tableColumn id="6271" xr3:uid="{B03EDC0E-8502-401E-9888-2048BC9882D7}" name="Column6257" dataDxfId="20696" totalsRowDxfId="20695"/>
    <tableColumn id="6272" xr3:uid="{68A71349-EF32-463A-AB77-62FFF7A2C44A}" name="Column6258" dataDxfId="20694" totalsRowDxfId="20693"/>
    <tableColumn id="6273" xr3:uid="{7D291F74-8254-478B-89A1-A581687BAE28}" name="Column6259" dataDxfId="20692" totalsRowDxfId="20691"/>
    <tableColumn id="6274" xr3:uid="{BC9C6C6D-9558-4A81-905C-BEF5C5F29BD5}" name="Column6260" dataDxfId="20690" totalsRowDxfId="20689"/>
    <tableColumn id="6275" xr3:uid="{FAF738AC-DFFE-4FEF-B22E-C8E1E969BE5D}" name="Column6261" dataDxfId="20688" totalsRowDxfId="20687"/>
    <tableColumn id="6276" xr3:uid="{2A9E7A86-7EA4-4C43-8679-CAEBC543AA6E}" name="Column6262" dataDxfId="20686" totalsRowDxfId="20685"/>
    <tableColumn id="6277" xr3:uid="{8AB3C69A-983A-48F2-901C-F0E709016B21}" name="Column6263" dataDxfId="20684" totalsRowDxfId="20683"/>
    <tableColumn id="6278" xr3:uid="{4B273F38-06E9-4AAF-A867-0C5B70E1A11A}" name="Column6264" dataDxfId="20682" totalsRowDxfId="20681"/>
    <tableColumn id="6279" xr3:uid="{E6C20D87-0DA0-42C9-9BDB-69875B881AB9}" name="Column6265" dataDxfId="20680" totalsRowDxfId="20679"/>
    <tableColumn id="6280" xr3:uid="{33F4A2A7-78D3-4A9C-B021-63063159B184}" name="Column6266" dataDxfId="20678" totalsRowDxfId="20677"/>
    <tableColumn id="6281" xr3:uid="{09F246B0-584F-44AD-A9E4-9ECF5D3EA2AF}" name="Column6267" dataDxfId="20676" totalsRowDxfId="20675"/>
    <tableColumn id="6282" xr3:uid="{AE7A4640-8D14-4BEC-BA0A-C4831E2BA9D7}" name="Column6268" dataDxfId="20674" totalsRowDxfId="20673"/>
    <tableColumn id="6283" xr3:uid="{38AB1870-5899-497C-A610-460FEF6C3B5D}" name="Column6269" dataDxfId="20672" totalsRowDxfId="20671"/>
    <tableColumn id="6284" xr3:uid="{5F447871-FDFB-4EB4-9762-5950A3AB5125}" name="Column6270" dataDxfId="20670" totalsRowDxfId="20669"/>
    <tableColumn id="6285" xr3:uid="{38BC323D-3625-4B3A-8C9A-BD2022EE9870}" name="Column6271" dataDxfId="20668" totalsRowDxfId="20667"/>
    <tableColumn id="6286" xr3:uid="{B0B3DAC3-AFC7-4D66-B578-3C2F932B63EC}" name="Column6272" dataDxfId="20666" totalsRowDxfId="20665"/>
    <tableColumn id="6287" xr3:uid="{8D2B0024-E128-4E59-8446-04E979659F70}" name="Column6273" dataDxfId="20664" totalsRowDxfId="20663"/>
    <tableColumn id="6288" xr3:uid="{AE7C396B-E55A-4466-A000-BA1448C9C3FC}" name="Column6274" dataDxfId="20662" totalsRowDxfId="20661"/>
    <tableColumn id="6289" xr3:uid="{D53318AA-1F6F-48AE-8F81-BD7ECEC7002C}" name="Column6275" dataDxfId="20660" totalsRowDxfId="20659"/>
    <tableColumn id="6290" xr3:uid="{856A40AE-F804-4BFD-A920-CE5927862503}" name="Column6276" dataDxfId="20658" totalsRowDxfId="20657"/>
    <tableColumn id="6291" xr3:uid="{F7B2AB52-0F9D-4C5C-8C8B-45231CCA01D0}" name="Column6277" dataDxfId="20656" totalsRowDxfId="20655"/>
    <tableColumn id="6292" xr3:uid="{0A3284C9-F7DC-41C0-8EBA-37012ECBA0EE}" name="Column6278" dataDxfId="20654" totalsRowDxfId="20653"/>
    <tableColumn id="6293" xr3:uid="{E3061429-2110-4C0E-9434-A18D01A7B000}" name="Column6279" dataDxfId="20652" totalsRowDxfId="20651"/>
    <tableColumn id="6294" xr3:uid="{3FA3540F-9536-47D6-8BBF-AF04A0FF6DF6}" name="Column6280" dataDxfId="20650" totalsRowDxfId="20649"/>
    <tableColumn id="6295" xr3:uid="{7CB029BE-B0BB-4EC0-A2AA-CC14AE35F839}" name="Column6281" dataDxfId="20648" totalsRowDxfId="20647"/>
    <tableColumn id="6296" xr3:uid="{49EF2FF5-21A8-4AA8-9C56-9E66D71770F0}" name="Column6282" dataDxfId="20646" totalsRowDxfId="20645"/>
    <tableColumn id="6297" xr3:uid="{028669F5-10FC-49EA-8AC2-9B224C9090D0}" name="Column6283" dataDxfId="20644" totalsRowDxfId="20643"/>
    <tableColumn id="6298" xr3:uid="{42D32FD2-4E7F-4C62-8133-50D3C6D189E5}" name="Column6284" dataDxfId="20642" totalsRowDxfId="20641"/>
    <tableColumn id="6299" xr3:uid="{3B8D1F0B-644B-4F75-906A-A07D0C8F9301}" name="Column6285" dataDxfId="20640" totalsRowDxfId="20639"/>
    <tableColumn id="6300" xr3:uid="{AD23D11B-B18F-404C-885B-F69FF2DDCC52}" name="Column6286" dataDxfId="20638" totalsRowDxfId="20637"/>
    <tableColumn id="6301" xr3:uid="{27915B1B-C036-4BB3-84EB-A40E08BCDC14}" name="Column6287" dataDxfId="20636" totalsRowDxfId="20635"/>
    <tableColumn id="6302" xr3:uid="{94780FF6-406C-4D44-81C4-B967B9141C5F}" name="Column6288" dataDxfId="20634" totalsRowDxfId="20633"/>
    <tableColumn id="6303" xr3:uid="{A5558E74-8D73-4C9B-956D-6EBFE12913E5}" name="Column6289" dataDxfId="20632" totalsRowDxfId="20631"/>
    <tableColumn id="6304" xr3:uid="{14B28756-A9F7-45DF-A9DA-4DFF90890D1B}" name="Column6290" dataDxfId="20630" totalsRowDxfId="20629"/>
    <tableColumn id="6305" xr3:uid="{0BB4BCAE-F0C5-49B5-9411-4567FDE26047}" name="Column6291" dataDxfId="20628" totalsRowDxfId="20627"/>
    <tableColumn id="6306" xr3:uid="{C7B9E8CA-D284-4ED6-AE81-D05A3E74C53F}" name="Column6292" dataDxfId="20626" totalsRowDxfId="20625"/>
    <tableColumn id="6307" xr3:uid="{18770798-A840-4540-A8C1-DBF396436BF7}" name="Column6293" dataDxfId="20624" totalsRowDxfId="20623"/>
    <tableColumn id="6308" xr3:uid="{F5D9999B-DE6B-4238-9434-A648702D1533}" name="Column6294" dataDxfId="20622" totalsRowDxfId="20621"/>
    <tableColumn id="6309" xr3:uid="{F8FE95D9-BD98-436D-979B-48D6D03C9DB7}" name="Column6295" dataDxfId="20620" totalsRowDxfId="20619"/>
    <tableColumn id="6310" xr3:uid="{1784FCC5-43C0-4067-815D-AA9BA8B92944}" name="Column6296" dataDxfId="20618" totalsRowDxfId="20617"/>
    <tableColumn id="6311" xr3:uid="{F3410CF1-1795-4343-B469-91088884393C}" name="Column6297" dataDxfId="20616" totalsRowDxfId="20615"/>
    <tableColumn id="6312" xr3:uid="{24E898BB-727A-464A-B2FD-5A3B910FC9AF}" name="Column6298" dataDxfId="20614" totalsRowDxfId="20613"/>
    <tableColumn id="6313" xr3:uid="{CBDAAF4E-114B-43BD-9192-72975C52CB93}" name="Column6299" dataDxfId="20612" totalsRowDxfId="20611"/>
    <tableColumn id="6314" xr3:uid="{9BECECB0-184A-4CAC-8759-38CE38D7068C}" name="Column6300" dataDxfId="20610" totalsRowDxfId="20609"/>
    <tableColumn id="6315" xr3:uid="{D6647E88-7D0C-4A71-870F-EAC3BB703BE2}" name="Column6301" dataDxfId="20608" totalsRowDxfId="20607"/>
    <tableColumn id="6316" xr3:uid="{6B70A3CA-81A0-46C7-8E59-66ECD14793A8}" name="Column6302" dataDxfId="20606" totalsRowDxfId="20605"/>
    <tableColumn id="6317" xr3:uid="{9379B7BD-654F-4704-90B4-70D74702D0C6}" name="Column6303" dataDxfId="20604" totalsRowDxfId="20603"/>
    <tableColumn id="6318" xr3:uid="{09A39F57-878B-425B-96E1-4A2827EBD313}" name="Column6304" dataDxfId="20602" totalsRowDxfId="20601"/>
    <tableColumn id="6319" xr3:uid="{8378A23E-6F0E-4608-BDAE-ECF51C44CFBE}" name="Column6305" dataDxfId="20600" totalsRowDxfId="20599"/>
    <tableColumn id="6320" xr3:uid="{2944C4D0-60B6-4143-8B4F-00D868FC246B}" name="Column6306" dataDxfId="20598" totalsRowDxfId="20597"/>
    <tableColumn id="6321" xr3:uid="{166F7F99-9901-4239-BD11-B53676C6F32A}" name="Column6307" dataDxfId="20596" totalsRowDxfId="20595"/>
    <tableColumn id="6322" xr3:uid="{7D3CFB9E-D679-498B-9B4D-F0141562F0EF}" name="Column6308" dataDxfId="20594" totalsRowDxfId="20593"/>
    <tableColumn id="6323" xr3:uid="{B54368E5-28B9-4ED8-A9E8-7D584DBDA9D4}" name="Column6309" dataDxfId="20592" totalsRowDxfId="20591"/>
    <tableColumn id="6324" xr3:uid="{C8BB0562-D9BF-41CE-BA09-7DE0D21162FD}" name="Column6310" dataDxfId="20590" totalsRowDxfId="20589"/>
    <tableColumn id="6325" xr3:uid="{6E734800-A929-4637-8F65-DF7235FDE3B9}" name="Column6311" dataDxfId="20588" totalsRowDxfId="20587"/>
    <tableColumn id="6326" xr3:uid="{18CCFEE7-1379-4192-B7E7-1A061C783E35}" name="Column6312" dataDxfId="20586" totalsRowDxfId="20585"/>
    <tableColumn id="6327" xr3:uid="{AA4B6870-DF19-4CAA-832B-CBDF9D576A30}" name="Column6313" dataDxfId="20584" totalsRowDxfId="20583"/>
    <tableColumn id="6328" xr3:uid="{BCC30615-359B-438C-95A0-5182784AB9E8}" name="Column6314" dataDxfId="20582" totalsRowDxfId="20581"/>
    <tableColumn id="6329" xr3:uid="{0E648A7A-5DAC-4175-BE82-F5CA8E9F8FEA}" name="Column6315" dataDxfId="20580" totalsRowDxfId="20579"/>
    <tableColumn id="6330" xr3:uid="{536B49C6-03D7-4DC6-808A-3BE1E4533D0D}" name="Column6316" dataDxfId="20578" totalsRowDxfId="20577"/>
    <tableColumn id="6331" xr3:uid="{2D1B4CFA-AC71-4DF0-8AF1-DD9337F8A6F1}" name="Column6317" dataDxfId="20576" totalsRowDxfId="20575"/>
    <tableColumn id="6332" xr3:uid="{A27C4A0F-9947-4ED4-ADB6-34A55BEDD815}" name="Column6318" dataDxfId="20574" totalsRowDxfId="20573"/>
    <tableColumn id="6333" xr3:uid="{A52DC614-DC8A-4032-814D-E6235D022C12}" name="Column6319" dataDxfId="20572" totalsRowDxfId="20571"/>
    <tableColumn id="6334" xr3:uid="{1B4C8BC1-51A2-4014-88B3-D692CD0E7AAC}" name="Column6320" dataDxfId="20570" totalsRowDxfId="20569"/>
    <tableColumn id="6335" xr3:uid="{BEF4926C-AC57-45B8-AD52-A06DFED9112A}" name="Column6321" dataDxfId="20568" totalsRowDxfId="20567"/>
    <tableColumn id="6336" xr3:uid="{F7561876-D8AD-470A-9DF5-DC169A8705F6}" name="Column6322" dataDxfId="20566" totalsRowDxfId="20565"/>
    <tableColumn id="6337" xr3:uid="{A28E9272-9F31-49B2-A117-E639C22E3741}" name="Column6323" dataDxfId="20564" totalsRowDxfId="20563"/>
    <tableColumn id="6338" xr3:uid="{F40E2D53-A111-44C5-ABD8-B7C720000AEE}" name="Column6324" dataDxfId="20562" totalsRowDxfId="20561"/>
    <tableColumn id="6339" xr3:uid="{ACDA0E42-3D75-46C0-B146-AD53F3D74722}" name="Column6325" dataDxfId="20560" totalsRowDxfId="20559"/>
    <tableColumn id="6340" xr3:uid="{010B04F3-7F31-46BE-9FE4-213D2BAD119D}" name="Column6326" dataDxfId="20558" totalsRowDxfId="20557"/>
    <tableColumn id="6341" xr3:uid="{501F7C41-F155-4637-B503-B8625F8CDADC}" name="Column6327" dataDxfId="20556" totalsRowDxfId="20555"/>
    <tableColumn id="6342" xr3:uid="{982F4729-065F-4EEE-BD18-E5E3DFA1E294}" name="Column6328" dataDxfId="20554" totalsRowDxfId="20553"/>
    <tableColumn id="6343" xr3:uid="{10E5E4E2-1076-4D52-A9FA-1D6946C3D558}" name="Column6329" dataDxfId="20552" totalsRowDxfId="20551"/>
    <tableColumn id="6344" xr3:uid="{77DC48C2-28A0-4B33-8AAD-DF385114FD11}" name="Column6330" dataDxfId="20550" totalsRowDxfId="20549"/>
    <tableColumn id="6345" xr3:uid="{F2FD55E8-3D14-476C-8AA0-A0FE8325F073}" name="Column6331" dataDxfId="20548" totalsRowDxfId="20547"/>
    <tableColumn id="6346" xr3:uid="{39BF1E8A-973B-46E9-A2CD-2C9F09A3632F}" name="Column6332" dataDxfId="20546" totalsRowDxfId="20545"/>
    <tableColumn id="6347" xr3:uid="{3312F581-9398-471F-A1C3-7479B63D8A5B}" name="Column6333" dataDxfId="20544" totalsRowDxfId="20543"/>
    <tableColumn id="6348" xr3:uid="{A681FA7C-E51C-4C10-A68E-7787B3A2B9CB}" name="Column6334" dataDxfId="20542" totalsRowDxfId="20541"/>
    <tableColumn id="6349" xr3:uid="{AC757753-3578-4B37-ADB2-49365FD5AD8D}" name="Column6335" dataDxfId="20540" totalsRowDxfId="20539"/>
    <tableColumn id="6350" xr3:uid="{95A1CA50-5DE7-4A79-8CB5-F52778225892}" name="Column6336" dataDxfId="20538" totalsRowDxfId="20537"/>
    <tableColumn id="6351" xr3:uid="{BA4E43E2-DE6A-416F-9C17-358288D77AD4}" name="Column6337" dataDxfId="20536" totalsRowDxfId="20535"/>
    <tableColumn id="6352" xr3:uid="{7E6937D6-3BDF-4F64-A6F7-6A9211110FA1}" name="Column6338" dataDxfId="20534" totalsRowDxfId="20533"/>
    <tableColumn id="6353" xr3:uid="{C486488A-8105-4236-82B0-4FA7DC0B8306}" name="Column6339" dataDxfId="20532" totalsRowDxfId="20531"/>
    <tableColumn id="6354" xr3:uid="{D8F0AFF6-B2BE-46FD-A188-E0AE147E1C2B}" name="Column6340" dataDxfId="20530" totalsRowDxfId="20529"/>
    <tableColumn id="6355" xr3:uid="{48921DC0-E9BE-48E7-9B92-BF3C5C0CD3F4}" name="Column6341" dataDxfId="20528" totalsRowDxfId="20527"/>
    <tableColumn id="6356" xr3:uid="{833AA310-3B45-406F-A9BE-BFF8ABCB0153}" name="Column6342" dataDxfId="20526" totalsRowDxfId="20525"/>
    <tableColumn id="6357" xr3:uid="{186CC0DD-23E6-42DE-ADC4-ADCFCE5CC70A}" name="Column6343" dataDxfId="20524" totalsRowDxfId="20523"/>
    <tableColumn id="6358" xr3:uid="{81F4E2B3-4457-4896-9CE4-35FB52949E6A}" name="Column6344" dataDxfId="20522" totalsRowDxfId="20521"/>
    <tableColumn id="6359" xr3:uid="{C0A166EA-8372-46FE-9198-C1869E392425}" name="Column6345" dataDxfId="20520" totalsRowDxfId="20519"/>
    <tableColumn id="6360" xr3:uid="{29209800-43D8-44CA-8A0F-9BEF69C790AC}" name="Column6346" dataDxfId="20518" totalsRowDxfId="20517"/>
    <tableColumn id="6361" xr3:uid="{A50922BD-C851-43A8-B74C-1D652F49BDD8}" name="Column6347" dataDxfId="20516" totalsRowDxfId="20515"/>
    <tableColumn id="6362" xr3:uid="{D206B452-8878-42BC-8136-2BEF032657A5}" name="Column6348" dataDxfId="20514" totalsRowDxfId="20513"/>
    <tableColumn id="6363" xr3:uid="{30F45056-A919-49E6-B925-2D1808D4AF62}" name="Column6349" dataDxfId="20512" totalsRowDxfId="20511"/>
    <tableColumn id="6364" xr3:uid="{7778E08B-26CD-407A-B8FC-80324C0C306D}" name="Column6350" dataDxfId="20510" totalsRowDxfId="20509"/>
    <tableColumn id="6365" xr3:uid="{0D04083F-D76C-4559-9F86-EEA23C1B80AD}" name="Column6351" dataDxfId="20508" totalsRowDxfId="20507"/>
    <tableColumn id="6366" xr3:uid="{3DAC97CD-4B75-42C1-B2D8-D73FAB17DA82}" name="Column6352" dataDxfId="20506" totalsRowDxfId="20505"/>
    <tableColumn id="6367" xr3:uid="{8EFD8FEB-CB97-4B8D-BC33-BE8C953B68E8}" name="Column6353" dataDxfId="20504" totalsRowDxfId="20503"/>
    <tableColumn id="6368" xr3:uid="{CACFFF10-C382-463C-A235-EC3DB13001FB}" name="Column6354" dataDxfId="20502" totalsRowDxfId="20501"/>
    <tableColumn id="6369" xr3:uid="{FC2C3E42-0AFC-4C9B-BFAD-A9C7C81C17F9}" name="Column6355" dataDxfId="20500" totalsRowDxfId="20499"/>
    <tableColumn id="6370" xr3:uid="{49BE125B-CBC3-448F-8E31-DDEAEEE9EA61}" name="Column6356" dataDxfId="20498" totalsRowDxfId="20497"/>
    <tableColumn id="6371" xr3:uid="{E8BA4C82-C3E5-40CC-9E3F-47619611F4E3}" name="Column6357" dataDxfId="20496" totalsRowDxfId="20495"/>
    <tableColumn id="6372" xr3:uid="{C8B6358E-EE97-4A9A-AE60-EC7EAA65FA03}" name="Column6358" dataDxfId="20494" totalsRowDxfId="20493"/>
    <tableColumn id="6373" xr3:uid="{C7228521-702A-444D-BB88-946D138C732D}" name="Column6359" dataDxfId="20492" totalsRowDxfId="20491"/>
    <tableColumn id="6374" xr3:uid="{BBFE1C4D-FA02-4FFE-8EC8-B2942C641F1C}" name="Column6360" dataDxfId="20490" totalsRowDxfId="20489"/>
    <tableColumn id="6375" xr3:uid="{08E73DD0-6029-42E6-95F1-BA604D8A2145}" name="Column6361" dataDxfId="20488" totalsRowDxfId="20487"/>
    <tableColumn id="6376" xr3:uid="{4BB114EA-0186-4384-8BED-110EFC65D921}" name="Column6362" dataDxfId="20486" totalsRowDxfId="20485"/>
    <tableColumn id="6377" xr3:uid="{C764B4CD-F490-4C89-BA27-26C0BC011985}" name="Column6363" dataDxfId="20484" totalsRowDxfId="20483"/>
    <tableColumn id="6378" xr3:uid="{60B2746E-B53F-4A94-A1E6-EE53481E0C83}" name="Column6364" dataDxfId="20482" totalsRowDxfId="20481"/>
    <tableColumn id="6379" xr3:uid="{06380156-921E-4C05-B61E-4A81A372A1C4}" name="Column6365" dataDxfId="20480" totalsRowDxfId="20479"/>
    <tableColumn id="6380" xr3:uid="{C6ECB192-C911-4F2C-ACC8-69284F44D6D8}" name="Column6366" dataDxfId="20478" totalsRowDxfId="20477"/>
    <tableColumn id="6381" xr3:uid="{32732A9F-B9E2-4D33-A1F6-F9A4B3BB2A09}" name="Column6367" dataDxfId="20476" totalsRowDxfId="20475"/>
    <tableColumn id="6382" xr3:uid="{2E263C36-5535-4213-AC3C-53853FFCB801}" name="Column6368" dataDxfId="20474" totalsRowDxfId="20473"/>
    <tableColumn id="6383" xr3:uid="{8A0DB441-B20B-43DD-97EF-5BD33D49935E}" name="Column6369" dataDxfId="20472" totalsRowDxfId="20471"/>
    <tableColumn id="6384" xr3:uid="{C9C4CEDF-7DC1-466A-B5B7-9BAAB006186D}" name="Column6370" dataDxfId="20470" totalsRowDxfId="20469"/>
    <tableColumn id="6385" xr3:uid="{4B0ABFE7-8746-4819-A925-3B8E0B1B13C3}" name="Column6371" dataDxfId="20468" totalsRowDxfId="20467"/>
    <tableColumn id="6386" xr3:uid="{EA81AEC0-983F-4E99-8EF7-F0370A44BDAA}" name="Column6372" dataDxfId="20466" totalsRowDxfId="20465"/>
    <tableColumn id="6387" xr3:uid="{93E5A09B-4091-4CD5-9D6D-3FB5EF843A0B}" name="Column6373" dataDxfId="20464" totalsRowDxfId="20463"/>
    <tableColumn id="6388" xr3:uid="{2F03F6EC-989E-4452-89A8-94074864B28D}" name="Column6374" dataDxfId="20462" totalsRowDxfId="20461"/>
    <tableColumn id="6389" xr3:uid="{27009918-3938-407F-8931-9F79E50525A1}" name="Column6375" dataDxfId="20460" totalsRowDxfId="20459"/>
    <tableColumn id="6390" xr3:uid="{86B905E8-F89D-4320-AA49-72AFE5981071}" name="Column6376" dataDxfId="20458" totalsRowDxfId="20457"/>
    <tableColumn id="6391" xr3:uid="{EB00B9D0-D897-4DF1-9EB7-18BBFEE782BB}" name="Column6377" dataDxfId="20456" totalsRowDxfId="20455"/>
    <tableColumn id="6392" xr3:uid="{989EE3F3-C3D1-4F46-9A6E-4CA1205C2C11}" name="Column6378" dataDxfId="20454" totalsRowDxfId="20453"/>
    <tableColumn id="6393" xr3:uid="{31953463-C8BB-4D73-A777-EEA670AEB857}" name="Column6379" dataDxfId="20452" totalsRowDxfId="20451"/>
    <tableColumn id="6394" xr3:uid="{DDC21237-ABC4-493E-AF0A-05A84BF2B6D5}" name="Column6380" dataDxfId="20450" totalsRowDxfId="20449"/>
    <tableColumn id="6395" xr3:uid="{E1F1191F-AACA-4B1C-A87B-6C451269EC27}" name="Column6381" dataDxfId="20448" totalsRowDxfId="20447"/>
    <tableColumn id="6396" xr3:uid="{615DE65E-7F79-406B-8F1C-39D3FDFFD53C}" name="Column6382" dataDxfId="20446" totalsRowDxfId="20445"/>
    <tableColumn id="6397" xr3:uid="{B34B78ED-2B5D-428C-BF60-74B2B4ACAB47}" name="Column6383" dataDxfId="20444" totalsRowDxfId="20443"/>
    <tableColumn id="6398" xr3:uid="{FE5F4A42-6A2A-4771-8627-E6AF7619314B}" name="Column6384" dataDxfId="20442" totalsRowDxfId="20441"/>
    <tableColumn id="6399" xr3:uid="{2DCDEDE1-0650-434A-808D-0436DF20B496}" name="Column6385" dataDxfId="20440" totalsRowDxfId="20439"/>
    <tableColumn id="6400" xr3:uid="{7F133CE7-797E-4D02-B688-D09AF8E6D37F}" name="Column6386" dataDxfId="20438" totalsRowDxfId="20437"/>
    <tableColumn id="6401" xr3:uid="{7756CE58-0327-47EC-938B-115980EBBF60}" name="Column6387" dataDxfId="20436" totalsRowDxfId="20435"/>
    <tableColumn id="6402" xr3:uid="{13E32453-4DC9-4F45-8E26-5352B8EA49CB}" name="Column6388" dataDxfId="20434" totalsRowDxfId="20433"/>
    <tableColumn id="6403" xr3:uid="{30D52BE1-034F-4A37-9D11-040C0764CDFE}" name="Column6389" dataDxfId="20432" totalsRowDxfId="20431"/>
    <tableColumn id="6404" xr3:uid="{C4943529-E0DE-45D5-901C-CCDC690FAD39}" name="Column6390" dataDxfId="20430" totalsRowDxfId="20429"/>
    <tableColumn id="6405" xr3:uid="{5CAB0B4D-25EF-48B3-A2AE-F317A8A1F9D7}" name="Column6391" dataDxfId="20428" totalsRowDxfId="20427"/>
    <tableColumn id="6406" xr3:uid="{B8F6D5B6-5C2E-4F59-B9B6-4617CC981A9C}" name="Column6392" dataDxfId="20426" totalsRowDxfId="20425"/>
    <tableColumn id="6407" xr3:uid="{884A5816-7E38-4795-A3E0-F5D14F38D5E3}" name="Column6393" dataDxfId="20424" totalsRowDxfId="20423"/>
    <tableColumn id="6408" xr3:uid="{FF93E81C-0D32-4D81-9D55-2811A42EEFEB}" name="Column6394" dataDxfId="20422" totalsRowDxfId="20421"/>
    <tableColumn id="6409" xr3:uid="{BC003079-EBEB-4531-BB2B-CE27ADD8261E}" name="Column6395" dataDxfId="20420" totalsRowDxfId="20419"/>
    <tableColumn id="6410" xr3:uid="{74C9EA61-FBAA-4566-8DF3-5311D1321FB1}" name="Column6396" dataDxfId="20418" totalsRowDxfId="20417"/>
    <tableColumn id="6411" xr3:uid="{7504E44D-1C92-4AB3-A4D1-8C19CDCC26F7}" name="Column6397" dataDxfId="20416" totalsRowDxfId="20415"/>
    <tableColumn id="6412" xr3:uid="{7F549E8D-75DC-410F-91AC-89E1B275953E}" name="Column6398" dataDxfId="20414" totalsRowDxfId="20413"/>
    <tableColumn id="6413" xr3:uid="{AB4E8466-0858-47B7-9513-CEBA9DA44183}" name="Column6399" dataDxfId="20412" totalsRowDxfId="20411"/>
    <tableColumn id="6414" xr3:uid="{8ACDC1C4-40BB-4F4C-BA94-35E56AE095C4}" name="Column6400" dataDxfId="20410" totalsRowDxfId="20409"/>
    <tableColumn id="6415" xr3:uid="{8580E0D5-10C7-4FB7-99E1-783E324759EC}" name="Column6401" dataDxfId="20408" totalsRowDxfId="20407"/>
    <tableColumn id="6416" xr3:uid="{FB32352D-7A3C-440B-B4E6-831C67639D0D}" name="Column6402" dataDxfId="20406" totalsRowDxfId="20405"/>
    <tableColumn id="6417" xr3:uid="{F36656B9-6CB8-446A-B185-E557F8D3DAAF}" name="Column6403" dataDxfId="20404" totalsRowDxfId="20403"/>
    <tableColumn id="6418" xr3:uid="{653B1B40-AFA3-49CB-ADA0-418D9C34691D}" name="Column6404" dataDxfId="20402" totalsRowDxfId="20401"/>
    <tableColumn id="6419" xr3:uid="{F0708024-E612-4917-BE31-3ED87F4F3714}" name="Column6405" dataDxfId="20400" totalsRowDxfId="20399"/>
    <tableColumn id="6420" xr3:uid="{C98C1577-D9E2-46C3-A0C1-A3D42B709D98}" name="Column6406" dataDxfId="20398" totalsRowDxfId="20397"/>
    <tableColumn id="6421" xr3:uid="{AE4C08B4-4824-438F-BFC6-27B22A9B591A}" name="Column6407" dataDxfId="20396" totalsRowDxfId="20395"/>
    <tableColumn id="6422" xr3:uid="{7B44ADC6-06FA-407A-86A6-BDCE00BAE24B}" name="Column6408" dataDxfId="20394" totalsRowDxfId="20393"/>
    <tableColumn id="6423" xr3:uid="{59CED8BD-7F39-4AC0-A82B-29CB179F8348}" name="Column6409" dataDxfId="20392" totalsRowDxfId="20391"/>
    <tableColumn id="6424" xr3:uid="{46BC1014-DD43-4F1C-AA6D-5F9F4461A22E}" name="Column6410" dataDxfId="20390" totalsRowDxfId="20389"/>
    <tableColumn id="6425" xr3:uid="{2BEF2F35-4937-4389-BBAC-12FB3140DBC6}" name="Column6411" dataDxfId="20388" totalsRowDxfId="20387"/>
    <tableColumn id="6426" xr3:uid="{24372CE5-B2CB-484A-BDAF-DCF5C2FE7CB1}" name="Column6412" dataDxfId="20386" totalsRowDxfId="20385"/>
    <tableColumn id="6427" xr3:uid="{6A28FA07-FD54-429F-9290-60252B11532F}" name="Column6413" dataDxfId="20384" totalsRowDxfId="20383"/>
    <tableColumn id="6428" xr3:uid="{845F9CBE-9BDC-44A8-BAC8-F699BB69F844}" name="Column6414" dataDxfId="20382" totalsRowDxfId="20381"/>
    <tableColumn id="6429" xr3:uid="{259BA113-9C68-4F95-866F-E73C00697CF5}" name="Column6415" dataDxfId="20380" totalsRowDxfId="20379"/>
    <tableColumn id="6430" xr3:uid="{5D4BC1A5-1C58-4F17-A32F-629D3A11D211}" name="Column6416" dataDxfId="20378" totalsRowDxfId="20377"/>
    <tableColumn id="6431" xr3:uid="{381638D7-D6E3-44B2-8CF4-9D0F381B3475}" name="Column6417" dataDxfId="20376" totalsRowDxfId="20375"/>
    <tableColumn id="6432" xr3:uid="{A5E2586D-BA27-4C3C-914F-5E842E2ED5C0}" name="Column6418" dataDxfId="20374" totalsRowDxfId="20373"/>
    <tableColumn id="6433" xr3:uid="{AD270F83-52E8-46BE-B0E3-41F3AA232FD2}" name="Column6419" dataDxfId="20372" totalsRowDxfId="20371"/>
    <tableColumn id="6434" xr3:uid="{E0450192-91A8-481D-9E0B-2014581AC332}" name="Column6420" dataDxfId="20370" totalsRowDxfId="20369"/>
    <tableColumn id="6435" xr3:uid="{4E03B404-1BD3-49C0-BB04-3651D0CDBBB2}" name="Column6421" dataDxfId="20368" totalsRowDxfId="20367"/>
    <tableColumn id="6436" xr3:uid="{2E8268BB-9AD7-4B49-B36E-B13B2CB321F5}" name="Column6422" dataDxfId="20366" totalsRowDxfId="20365"/>
    <tableColumn id="6437" xr3:uid="{F4855802-FFDD-4017-9729-62DAE3CCF87A}" name="Column6423" dataDxfId="20364" totalsRowDxfId="20363"/>
    <tableColumn id="6438" xr3:uid="{FA80012E-B0EC-460F-87C6-BB1732F67F04}" name="Column6424" dataDxfId="20362" totalsRowDxfId="20361"/>
    <tableColumn id="6439" xr3:uid="{888EED49-096D-4C54-91CA-D0EAB3D7E640}" name="Column6425" dataDxfId="20360" totalsRowDxfId="20359"/>
    <tableColumn id="6440" xr3:uid="{AAA1BA34-7DCF-4DC9-A765-C46B2228BF55}" name="Column6426" dataDxfId="20358" totalsRowDxfId="20357"/>
    <tableColumn id="6441" xr3:uid="{A07DB7D3-08C7-4158-AC71-6CFC9F665FFC}" name="Column6427" dataDxfId="20356" totalsRowDxfId="20355"/>
    <tableColumn id="6442" xr3:uid="{23F7AB09-BD0C-4A08-9D52-3465DE33CCFE}" name="Column6428" dataDxfId="20354" totalsRowDxfId="20353"/>
    <tableColumn id="6443" xr3:uid="{3757B766-7541-4704-9DD3-FB8BF927EFD9}" name="Column6429" dataDxfId="20352" totalsRowDxfId="20351"/>
    <tableColumn id="6444" xr3:uid="{DA819F68-EFA8-492D-A46A-11DCE59BAF21}" name="Column6430" dataDxfId="20350" totalsRowDxfId="20349"/>
    <tableColumn id="6445" xr3:uid="{810AF74F-914B-4302-83D5-BBAC8E5F56C4}" name="Column6431" dataDxfId="20348" totalsRowDxfId="20347"/>
    <tableColumn id="6446" xr3:uid="{F2FEFFBE-0F3A-45CE-B9C8-30F9E71B283B}" name="Column6432" dataDxfId="20346" totalsRowDxfId="20345"/>
    <tableColumn id="6447" xr3:uid="{F73A0F35-26D4-4BA0-85BD-311037662358}" name="Column6433" dataDxfId="20344" totalsRowDxfId="20343"/>
    <tableColumn id="6448" xr3:uid="{565B1FBF-4A35-4A7E-AF59-8B70082A48C8}" name="Column6434" dataDxfId="20342" totalsRowDxfId="20341"/>
    <tableColumn id="6449" xr3:uid="{C27830C5-8F40-4135-AA70-853308B6C719}" name="Column6435" dataDxfId="20340" totalsRowDxfId="20339"/>
    <tableColumn id="6450" xr3:uid="{A1664CC2-7EA2-4FEA-BEB3-9ECE3DC71E54}" name="Column6436" dataDxfId="20338" totalsRowDxfId="20337"/>
    <tableColumn id="6451" xr3:uid="{1457504A-0761-48C4-A3DB-354E636CFB9A}" name="Column6437" dataDxfId="20336" totalsRowDxfId="20335"/>
    <tableColumn id="6452" xr3:uid="{086C75F3-C6A5-4DB6-9BF8-EEE9B5C25AFC}" name="Column6438" dataDxfId="20334" totalsRowDxfId="20333"/>
    <tableColumn id="6453" xr3:uid="{A58C19D2-2552-4FBA-AFBE-FF24E4820AAE}" name="Column6439" dataDxfId="20332" totalsRowDxfId="20331"/>
    <tableColumn id="6454" xr3:uid="{EB8FDF0A-2A5C-455A-A086-F0B9D0F826B7}" name="Column6440" dataDxfId="20330" totalsRowDxfId="20329"/>
    <tableColumn id="6455" xr3:uid="{41E698BD-AA8A-42FF-AEE6-8C03A310A75A}" name="Column6441" dataDxfId="20328" totalsRowDxfId="20327"/>
    <tableColumn id="6456" xr3:uid="{3CAD45CD-631A-48BF-B2F0-3E7F93A1533F}" name="Column6442" dataDxfId="20326" totalsRowDxfId="20325"/>
    <tableColumn id="6457" xr3:uid="{679A8548-08EE-4126-832B-B2E91FA31C7C}" name="Column6443" dataDxfId="20324" totalsRowDxfId="20323"/>
    <tableColumn id="6458" xr3:uid="{25D9F4B3-CD38-4C51-BD9D-E8E0C589122A}" name="Column6444" dataDxfId="20322" totalsRowDxfId="20321"/>
    <tableColumn id="6459" xr3:uid="{90063F98-EFE5-4A33-B3F0-1618E7B8B851}" name="Column6445" dataDxfId="20320" totalsRowDxfId="20319"/>
    <tableColumn id="6460" xr3:uid="{ACEDEE5E-6B13-4993-8D69-BD82E118925E}" name="Column6446" dataDxfId="20318" totalsRowDxfId="20317"/>
    <tableColumn id="6461" xr3:uid="{7FDC5FC4-A84B-4877-A981-8A63AAA59249}" name="Column6447" dataDxfId="20316" totalsRowDxfId="20315"/>
    <tableColumn id="6462" xr3:uid="{FEAF1BE0-1B68-4C0D-9B64-C2317087685B}" name="Column6448" dataDxfId="20314" totalsRowDxfId="20313"/>
    <tableColumn id="6463" xr3:uid="{BB36EDC6-D53E-4CF2-80F4-A7CA989EC5E1}" name="Column6449" dataDxfId="20312" totalsRowDxfId="20311"/>
    <tableColumn id="6464" xr3:uid="{000F2DD2-995C-4201-8B80-9A5D3D45553C}" name="Column6450" dataDxfId="20310" totalsRowDxfId="20309"/>
    <tableColumn id="6465" xr3:uid="{667B2385-9EB3-4AC1-93C9-2D9F8B6D15CB}" name="Column6451" dataDxfId="20308" totalsRowDxfId="20307"/>
    <tableColumn id="6466" xr3:uid="{4ADDA720-D344-4BBE-AA70-D68C5C9E7F30}" name="Column6452" dataDxfId="20306" totalsRowDxfId="20305"/>
    <tableColumn id="6467" xr3:uid="{2ED3D8D5-551B-4B10-837F-AAD3056E8EE5}" name="Column6453" dataDxfId="20304" totalsRowDxfId="20303"/>
    <tableColumn id="6468" xr3:uid="{EDC5BF02-FFF8-4FB2-857D-A5871E0530EC}" name="Column6454" dataDxfId="20302" totalsRowDxfId="20301"/>
    <tableColumn id="6469" xr3:uid="{A4626FE2-F1FA-4536-B2D3-9D6DBB471DC5}" name="Column6455" dataDxfId="20300" totalsRowDxfId="20299"/>
    <tableColumn id="6470" xr3:uid="{A283ABA3-27BD-4801-A505-13C0ADB3009E}" name="Column6456" dataDxfId="20298" totalsRowDxfId="20297"/>
    <tableColumn id="6471" xr3:uid="{E3548009-49E0-4A4F-B8A0-CFE5512FA934}" name="Column6457" dataDxfId="20296" totalsRowDxfId="20295"/>
    <tableColumn id="6472" xr3:uid="{7D6131B5-AAC9-40BE-9091-C516436BF07F}" name="Column6458" dataDxfId="20294" totalsRowDxfId="20293"/>
    <tableColumn id="6473" xr3:uid="{3902EF5C-6BE8-4AEA-9B55-CDD184535172}" name="Column6459" dataDxfId="20292" totalsRowDxfId="20291"/>
    <tableColumn id="6474" xr3:uid="{FA92CAEB-B7E2-486F-A887-1D4B2982288E}" name="Column6460" dataDxfId="20290" totalsRowDxfId="20289"/>
    <tableColumn id="6475" xr3:uid="{EB186E78-4173-40F5-A61C-B33EF27DFD27}" name="Column6461" dataDxfId="20288" totalsRowDxfId="20287"/>
    <tableColumn id="6476" xr3:uid="{2866B7AE-0E73-486D-9394-4181D5479679}" name="Column6462" dataDxfId="20286" totalsRowDxfId="20285"/>
    <tableColumn id="6477" xr3:uid="{E2430881-89FE-4B04-A256-D91C8B66CCC8}" name="Column6463" dataDxfId="20284" totalsRowDxfId="20283"/>
    <tableColumn id="6478" xr3:uid="{419F962F-3EA8-4464-96FF-E03A6F8C6C24}" name="Column6464" dataDxfId="20282" totalsRowDxfId="20281"/>
    <tableColumn id="6479" xr3:uid="{732DBB99-E4FA-44AB-8D1C-173F78C47684}" name="Column6465" dataDxfId="20280" totalsRowDxfId="20279"/>
    <tableColumn id="6480" xr3:uid="{4543B566-26D9-44D7-82F7-0AA5B3DA630D}" name="Column6466" dataDxfId="20278" totalsRowDxfId="20277"/>
    <tableColumn id="6481" xr3:uid="{FFC37434-C1B2-4D51-95FA-9BBA0D7E0DDE}" name="Column6467" dataDxfId="20276" totalsRowDxfId="20275"/>
    <tableColumn id="6482" xr3:uid="{31944860-8402-4AEC-8709-43875F92C639}" name="Column6468" dataDxfId="20274" totalsRowDxfId="20273"/>
    <tableColumn id="6483" xr3:uid="{5E9FFC45-42A1-423D-8FE2-117D273617DB}" name="Column6469" dataDxfId="20272" totalsRowDxfId="20271"/>
    <tableColumn id="6484" xr3:uid="{CF15E466-648C-4CEB-9C37-B3D7AA29FEA1}" name="Column6470" dataDxfId="20270" totalsRowDxfId="20269"/>
    <tableColumn id="6485" xr3:uid="{446BB329-1596-4FD8-B19A-4F97124E42A5}" name="Column6471" dataDxfId="20268" totalsRowDxfId="20267"/>
    <tableColumn id="6486" xr3:uid="{9A15A65A-B85D-467F-B18E-33B6A8B1F643}" name="Column6472" dataDxfId="20266" totalsRowDxfId="20265"/>
    <tableColumn id="6487" xr3:uid="{397AF860-2602-4F9E-889A-DE44CA45BE82}" name="Column6473" dataDxfId="20264" totalsRowDxfId="20263"/>
    <tableColumn id="6488" xr3:uid="{6EE22FAB-DB54-44AC-BEF5-AA55F0317563}" name="Column6474" dataDxfId="20262" totalsRowDxfId="20261"/>
    <tableColumn id="6489" xr3:uid="{5F3204A1-EBA2-4AB2-ADC1-ED185BA7EACD}" name="Column6475" dataDxfId="20260" totalsRowDxfId="20259"/>
    <tableColumn id="6490" xr3:uid="{BF88B68A-B2C4-48C6-A779-735D469A60BE}" name="Column6476" dataDxfId="20258" totalsRowDxfId="20257"/>
    <tableColumn id="6491" xr3:uid="{64B3797F-3126-4BE5-90AB-514381D65D09}" name="Column6477" dataDxfId="20256" totalsRowDxfId="20255"/>
    <tableColumn id="6492" xr3:uid="{0630A1D2-F80D-4610-8E0B-CBA97904DCE5}" name="Column6478" dataDxfId="20254" totalsRowDxfId="20253"/>
    <tableColumn id="6493" xr3:uid="{27DD6053-E825-4013-9D79-B528AE21C3A6}" name="Column6479" dataDxfId="20252" totalsRowDxfId="20251"/>
    <tableColumn id="6494" xr3:uid="{ED3FF34E-F141-480B-A805-F3EE8AB98DFA}" name="Column6480" dataDxfId="20250" totalsRowDxfId="20249"/>
    <tableColumn id="6495" xr3:uid="{C160A1B1-3039-40E3-ACB7-BED1FFFF8EF8}" name="Column6481" dataDxfId="20248" totalsRowDxfId="20247"/>
    <tableColumn id="6496" xr3:uid="{FA7D4382-C83E-4025-81FF-46152AC66FDD}" name="Column6482" dataDxfId="20246" totalsRowDxfId="20245"/>
    <tableColumn id="6497" xr3:uid="{4348E0A9-7C70-4F7B-9046-9DEAE3700A9E}" name="Column6483" dataDxfId="20244" totalsRowDxfId="20243"/>
    <tableColumn id="6498" xr3:uid="{9F384975-3F53-406A-88E6-6D54516D3EC3}" name="Column6484" dataDxfId="20242" totalsRowDxfId="20241"/>
    <tableColumn id="6499" xr3:uid="{5EF8BCB6-EAEE-4905-81F3-48063398CBF5}" name="Column6485" dataDxfId="20240" totalsRowDxfId="20239"/>
    <tableColumn id="6500" xr3:uid="{4A6D26F4-E959-4DB4-9C7D-D8BD24296499}" name="Column6486" dataDxfId="20238" totalsRowDxfId="20237"/>
    <tableColumn id="6501" xr3:uid="{1B4E25E0-1EAD-44BA-BA13-03DF541DAE82}" name="Column6487" dataDxfId="20236" totalsRowDxfId="20235"/>
    <tableColumn id="6502" xr3:uid="{DE96E6DB-DAC2-48E5-9F43-E90A82638787}" name="Column6488" dataDxfId="20234" totalsRowDxfId="20233"/>
    <tableColumn id="6503" xr3:uid="{C6DBE3C6-7DD2-4DFA-95D0-C6896BACEE09}" name="Column6489" dataDxfId="20232" totalsRowDxfId="20231"/>
    <tableColumn id="6504" xr3:uid="{18086751-281A-4107-93E2-DDBF5B54D847}" name="Column6490" dataDxfId="20230" totalsRowDxfId="20229"/>
    <tableColumn id="6505" xr3:uid="{4BEF08EB-25FA-4CFF-A6E3-013E78A1B3A0}" name="Column6491" dataDxfId="20228" totalsRowDxfId="20227"/>
    <tableColumn id="6506" xr3:uid="{EA1BE9C8-6174-4F1D-897D-7526017EEB46}" name="Column6492" dataDxfId="20226" totalsRowDxfId="20225"/>
    <tableColumn id="6507" xr3:uid="{22F85B3B-50CB-43C5-B74E-C78E566AE1EC}" name="Column6493" dataDxfId="20224" totalsRowDxfId="20223"/>
    <tableColumn id="6508" xr3:uid="{FBA4D9C5-97FA-47F9-9B0D-5D0F1AEC10AB}" name="Column6494" dataDxfId="20222" totalsRowDxfId="20221"/>
    <tableColumn id="6509" xr3:uid="{C501926D-AD73-4C42-8516-DA691E193A9F}" name="Column6495" dataDxfId="20220" totalsRowDxfId="20219"/>
    <tableColumn id="6510" xr3:uid="{3EF030F1-98D7-41C0-A4FE-713DC9226B9A}" name="Column6496" dataDxfId="20218" totalsRowDxfId="20217"/>
    <tableColumn id="6511" xr3:uid="{D0121E3A-9AC6-4B9D-AEEA-2E09C193FB17}" name="Column6497" dataDxfId="20216" totalsRowDxfId="20215"/>
    <tableColumn id="6512" xr3:uid="{3CC5B3FD-5CE0-4BFD-8FF4-15FCD8E24F2C}" name="Column6498" dataDxfId="20214" totalsRowDxfId="20213"/>
    <tableColumn id="6513" xr3:uid="{5D581BFD-CA78-44D5-A9B7-56B25447FE34}" name="Column6499" dataDxfId="20212" totalsRowDxfId="20211"/>
    <tableColumn id="6514" xr3:uid="{D2687D8D-6974-4EB6-B3A7-D0C886493A86}" name="Column6500" dataDxfId="20210" totalsRowDxfId="20209"/>
    <tableColumn id="6515" xr3:uid="{3FCC0AFD-114F-4968-A893-233F5725C088}" name="Column6501" dataDxfId="20208" totalsRowDxfId="20207"/>
    <tableColumn id="6516" xr3:uid="{DA9E55D0-38E1-448E-B848-8981BC7A608A}" name="Column6502" dataDxfId="20206" totalsRowDxfId="20205"/>
    <tableColumn id="6517" xr3:uid="{8F03EB1B-55F4-475E-97F4-E4082D19076C}" name="Column6503" dataDxfId="20204" totalsRowDxfId="20203"/>
    <tableColumn id="6518" xr3:uid="{EFEC0982-7CE7-4C9B-AF74-10F7B34092B9}" name="Column6504" dataDxfId="20202" totalsRowDxfId="20201"/>
    <tableColumn id="6519" xr3:uid="{3E317A72-DA76-4F55-B937-3F38DC96CD2E}" name="Column6505" dataDxfId="20200" totalsRowDxfId="20199"/>
    <tableColumn id="6520" xr3:uid="{BE05D2B3-7A52-44B2-9BC8-CDF8FCF4481A}" name="Column6506" dataDxfId="20198" totalsRowDxfId="20197"/>
    <tableColumn id="6521" xr3:uid="{33B0860E-1B21-4ADE-BF4C-884311BF14CB}" name="Column6507" dataDxfId="20196" totalsRowDxfId="20195"/>
    <tableColumn id="6522" xr3:uid="{ED2D4B8C-2A6B-4B6C-9F57-62110903D92D}" name="Column6508" dataDxfId="20194" totalsRowDxfId="20193"/>
    <tableColumn id="6523" xr3:uid="{867118F9-7FD5-4947-9DA3-5B4178FBA42B}" name="Column6509" dataDxfId="20192" totalsRowDxfId="20191"/>
    <tableColumn id="6524" xr3:uid="{E437AB59-BD49-4F8B-B75A-9968A1171BD1}" name="Column6510" dataDxfId="20190" totalsRowDxfId="20189"/>
    <tableColumn id="6525" xr3:uid="{B16B5600-D3D1-40E4-8920-585717F94F3B}" name="Column6511" dataDxfId="20188" totalsRowDxfId="20187"/>
    <tableColumn id="6526" xr3:uid="{13B61B98-9E31-4F76-A927-BFDA4D854996}" name="Column6512" dataDxfId="20186" totalsRowDxfId="20185"/>
    <tableColumn id="6527" xr3:uid="{17028D05-B550-428A-81D1-CF9FD6090A4B}" name="Column6513" dataDxfId="20184" totalsRowDxfId="20183"/>
    <tableColumn id="6528" xr3:uid="{F527370B-2195-47A6-9D58-20A01F370B11}" name="Column6514" dataDxfId="20182" totalsRowDxfId="20181"/>
    <tableColumn id="6529" xr3:uid="{2B29A71D-1E32-4C4C-97D4-F1EA9A49E0FA}" name="Column6515" dataDxfId="20180" totalsRowDxfId="20179"/>
    <tableColumn id="6530" xr3:uid="{8CBDDC78-D138-4CD9-AC90-00E4D1C77767}" name="Column6516" dataDxfId="20178" totalsRowDxfId="20177"/>
    <tableColumn id="6531" xr3:uid="{D6DD45A5-5317-40A0-AC52-86C646E4BE35}" name="Column6517" dataDxfId="20176" totalsRowDxfId="20175"/>
    <tableColumn id="6532" xr3:uid="{7A1B8A0E-BD76-4BAE-9F17-DA82EDE7BEB7}" name="Column6518" dataDxfId="20174" totalsRowDxfId="20173"/>
    <tableColumn id="6533" xr3:uid="{24B282AB-C2B3-4781-9517-16A1390BE0B0}" name="Column6519" dataDxfId="20172" totalsRowDxfId="20171"/>
    <tableColumn id="6534" xr3:uid="{F310DD4C-D9FC-44FE-A226-969D0AEAB947}" name="Column6520" dataDxfId="20170" totalsRowDxfId="20169"/>
    <tableColumn id="6535" xr3:uid="{37DAD6FB-A178-4CD4-8BA3-D6C97E23E67C}" name="Column6521" dataDxfId="20168" totalsRowDxfId="20167"/>
    <tableColumn id="6536" xr3:uid="{5CF23098-436C-4834-84C7-2635FB51933A}" name="Column6522" dataDxfId="20166" totalsRowDxfId="20165"/>
    <tableColumn id="6537" xr3:uid="{136DDF5C-265D-4610-A40B-539FC2BB761D}" name="Column6523" dataDxfId="20164" totalsRowDxfId="20163"/>
    <tableColumn id="6538" xr3:uid="{0CF67F70-055A-48DD-880F-00EAA6C1DBF3}" name="Column6524" dataDxfId="20162" totalsRowDxfId="20161"/>
    <tableColumn id="6539" xr3:uid="{C482A895-77AE-466A-9092-D12D1DCFD49C}" name="Column6525" dataDxfId="20160" totalsRowDxfId="20159"/>
    <tableColumn id="6540" xr3:uid="{2DD24E9C-FA32-4BD4-AC65-2584ECF5449D}" name="Column6526" dataDxfId="20158" totalsRowDxfId="20157"/>
    <tableColumn id="6541" xr3:uid="{D3DC4592-9E9A-42BB-9921-A25E28B18E4E}" name="Column6527" dataDxfId="20156" totalsRowDxfId="20155"/>
    <tableColumn id="6542" xr3:uid="{0B93DACF-2AEC-4784-AA07-0560B6BEAF15}" name="Column6528" dataDxfId="20154" totalsRowDxfId="20153"/>
    <tableColumn id="6543" xr3:uid="{0268E324-664E-416A-87C4-285B6FAB2719}" name="Column6529" dataDxfId="20152" totalsRowDxfId="20151"/>
    <tableColumn id="6544" xr3:uid="{557F1F61-C780-4C78-A62E-41766E1218A3}" name="Column6530" dataDxfId="20150" totalsRowDxfId="20149"/>
    <tableColumn id="6545" xr3:uid="{3E3CAE05-288A-45E3-95DD-C0C749C200AB}" name="Column6531" dataDxfId="20148" totalsRowDxfId="20147"/>
    <tableColumn id="6546" xr3:uid="{DE71D6BB-D802-411A-8902-B48412115D0C}" name="Column6532" dataDxfId="20146" totalsRowDxfId="20145"/>
    <tableColumn id="6547" xr3:uid="{7C0AB07B-208C-4BA8-8DF3-8D1420601901}" name="Column6533" dataDxfId="20144" totalsRowDxfId="20143"/>
    <tableColumn id="6548" xr3:uid="{1B251871-44BF-4661-921C-4FD995F12418}" name="Column6534" dataDxfId="20142" totalsRowDxfId="20141"/>
    <tableColumn id="6549" xr3:uid="{05123DC4-7514-4AF6-83AF-A583D298F46F}" name="Column6535" dataDxfId="20140" totalsRowDxfId="20139"/>
    <tableColumn id="6550" xr3:uid="{21174F98-BE3D-458A-B8C8-729184FDCFE6}" name="Column6536" dataDxfId="20138" totalsRowDxfId="20137"/>
    <tableColumn id="6551" xr3:uid="{786AA1CF-7239-4567-AA69-EEB422004921}" name="Column6537" dataDxfId="20136" totalsRowDxfId="20135"/>
    <tableColumn id="6552" xr3:uid="{0D09C292-D257-4C46-8577-4A671DF891DD}" name="Column6538" dataDxfId="20134" totalsRowDxfId="20133"/>
    <tableColumn id="6553" xr3:uid="{DA55BBAC-7FA2-4A72-9678-5F665E9D34DD}" name="Column6539" dataDxfId="20132" totalsRowDxfId="20131"/>
    <tableColumn id="6554" xr3:uid="{62F21556-7AF1-4EC1-B5F3-9852C90B43CE}" name="Column6540" dataDxfId="20130" totalsRowDxfId="20129"/>
    <tableColumn id="6555" xr3:uid="{F08C7AD0-5394-4B05-8C3B-1F03445ADA7F}" name="Column6541" dataDxfId="20128" totalsRowDxfId="20127"/>
    <tableColumn id="6556" xr3:uid="{BF727E4A-A2B3-470D-8FF8-BE5E58FBC489}" name="Column6542" dataDxfId="20126" totalsRowDxfId="20125"/>
    <tableColumn id="6557" xr3:uid="{83FFFBB0-EF57-407E-AF3A-5ED08E444838}" name="Column6543" dataDxfId="20124" totalsRowDxfId="20123"/>
    <tableColumn id="6558" xr3:uid="{C9F4B225-0D59-4E28-84BB-5F52DAE9DCBD}" name="Column6544" dataDxfId="20122" totalsRowDxfId="20121"/>
    <tableColumn id="6559" xr3:uid="{4C7E923F-E250-4E81-9C0B-8C30E17CB8E3}" name="Column6545" dataDxfId="20120" totalsRowDxfId="20119"/>
    <tableColumn id="6560" xr3:uid="{88D2FFA4-BC8A-4C8F-B0C5-8880D08DB6EE}" name="Column6546" dataDxfId="20118" totalsRowDxfId="20117"/>
    <tableColumn id="6561" xr3:uid="{E1A01AB3-AA63-47DA-B25D-01C9B91A4919}" name="Column6547" dataDxfId="20116" totalsRowDxfId="20115"/>
    <tableColumn id="6562" xr3:uid="{01167349-FE19-45E2-8FFC-30201345F285}" name="Column6548" dataDxfId="20114" totalsRowDxfId="20113"/>
    <tableColumn id="6563" xr3:uid="{7900F826-74CA-42E5-A849-8ED72B2C1849}" name="Column6549" dataDxfId="20112" totalsRowDxfId="20111"/>
    <tableColumn id="6564" xr3:uid="{397A6586-9B38-45E9-BD7E-9E58BD52F8CD}" name="Column6550" dataDxfId="20110" totalsRowDxfId="20109"/>
    <tableColumn id="6565" xr3:uid="{1C57FA8D-CE59-4F41-AB6A-F634468B31C1}" name="Column6551" dataDxfId="20108" totalsRowDxfId="20107"/>
    <tableColumn id="6566" xr3:uid="{8BC84637-35D2-45AC-AC86-A2F1FAF90939}" name="Column6552" dataDxfId="20106" totalsRowDxfId="20105"/>
    <tableColumn id="6567" xr3:uid="{735CFC2C-27F5-47FF-91B0-7ED6DA0D32DC}" name="Column6553" dataDxfId="20104" totalsRowDxfId="20103"/>
    <tableColumn id="6568" xr3:uid="{66B93AE7-244D-49B6-82DE-B2CD853D3AFB}" name="Column6554" dataDxfId="20102" totalsRowDxfId="20101"/>
    <tableColumn id="6569" xr3:uid="{63256339-2B0E-4E49-8D5F-C00ABC2B5ACC}" name="Column6555" dataDxfId="20100" totalsRowDxfId="20099"/>
    <tableColumn id="6570" xr3:uid="{24661529-194E-4DFC-BC7C-F312C3C1474E}" name="Column6556" dataDxfId="20098" totalsRowDxfId="20097"/>
    <tableColumn id="6571" xr3:uid="{BF079622-E626-4AD1-8C8A-910ED1AB76B0}" name="Column6557" dataDxfId="20096" totalsRowDxfId="20095"/>
    <tableColumn id="6572" xr3:uid="{C57300E5-46B3-48C8-B57A-43E73FEF628E}" name="Column6558" dataDxfId="20094" totalsRowDxfId="20093"/>
    <tableColumn id="6573" xr3:uid="{C99A09B6-4980-41E8-A9E4-DF00E550FEDD}" name="Column6559" dataDxfId="20092" totalsRowDxfId="20091"/>
    <tableColumn id="6574" xr3:uid="{A52860DE-9B24-47C9-B32B-CB93583280CF}" name="Column6560" dataDxfId="20090" totalsRowDxfId="20089"/>
    <tableColumn id="6575" xr3:uid="{90F6058C-CF4E-40BE-9E09-E6CD05548D84}" name="Column6561" dataDxfId="20088" totalsRowDxfId="20087"/>
    <tableColumn id="6576" xr3:uid="{B1D7000B-A92B-4AD6-B75B-4E8817DC4961}" name="Column6562" dataDxfId="20086" totalsRowDxfId="20085"/>
    <tableColumn id="6577" xr3:uid="{894143DD-6435-4D8A-B06B-E6C09B904AE6}" name="Column6563" dataDxfId="20084" totalsRowDxfId="20083"/>
    <tableColumn id="6578" xr3:uid="{51CF809E-2284-4942-BCB7-BF5445767D05}" name="Column6564" dataDxfId="20082" totalsRowDxfId="20081"/>
    <tableColumn id="6579" xr3:uid="{E2516D14-C8CA-4B96-9488-C794284E38D6}" name="Column6565" dataDxfId="20080" totalsRowDxfId="20079"/>
    <tableColumn id="6580" xr3:uid="{8FB40437-9823-4AB1-8FF0-04F71CF11698}" name="Column6566" dataDxfId="20078" totalsRowDxfId="20077"/>
    <tableColumn id="6581" xr3:uid="{5366D197-5B8D-4B55-914D-FC3CCA674425}" name="Column6567" dataDxfId="20076" totalsRowDxfId="20075"/>
    <tableColumn id="6582" xr3:uid="{D239D17A-1FA1-47D3-8516-9FFDB18F010E}" name="Column6568" dataDxfId="20074" totalsRowDxfId="20073"/>
    <tableColumn id="6583" xr3:uid="{61F25231-E4CD-451E-ADA6-687FEB3BDF87}" name="Column6569" dataDxfId="20072" totalsRowDxfId="20071"/>
    <tableColumn id="6584" xr3:uid="{2BE96E20-F319-42E8-A099-88BC40A27500}" name="Column6570" dataDxfId="20070" totalsRowDxfId="20069"/>
    <tableColumn id="6585" xr3:uid="{9A552465-251B-4C9A-A9DA-97FCA47247EC}" name="Column6571" dataDxfId="20068" totalsRowDxfId="20067"/>
    <tableColumn id="6586" xr3:uid="{A48F1DFA-97BC-4F13-AD08-B88FEA6F517B}" name="Column6572" dataDxfId="20066" totalsRowDxfId="20065"/>
    <tableColumn id="6587" xr3:uid="{EBF74A72-F6A3-4E1D-A111-151C71E54F2B}" name="Column6573" dataDxfId="20064" totalsRowDxfId="20063"/>
    <tableColumn id="6588" xr3:uid="{01E12054-B56D-4509-BBA4-CBD56BF4A315}" name="Column6574" dataDxfId="20062" totalsRowDxfId="20061"/>
    <tableColumn id="6589" xr3:uid="{56E084B7-2484-4A6B-9AFA-C588A9302AB7}" name="Column6575" dataDxfId="20060" totalsRowDxfId="20059"/>
    <tableColumn id="6590" xr3:uid="{9E7EEE0B-BD11-4AF0-9624-981F10527B68}" name="Column6576" dataDxfId="20058" totalsRowDxfId="20057"/>
    <tableColumn id="6591" xr3:uid="{3B1A31A8-2256-49DD-BC07-7FBD71C19ED6}" name="Column6577" dataDxfId="20056" totalsRowDxfId="20055"/>
    <tableColumn id="6592" xr3:uid="{D5211277-2D29-4963-820C-51DF5A5226B7}" name="Column6578" dataDxfId="20054" totalsRowDxfId="20053"/>
    <tableColumn id="6593" xr3:uid="{5200382B-3F48-46B0-8550-9235F41AE752}" name="Column6579" dataDxfId="20052" totalsRowDxfId="20051"/>
    <tableColumn id="6594" xr3:uid="{F86212FA-0393-4A60-9662-20F3C3796215}" name="Column6580" dataDxfId="20050" totalsRowDxfId="20049"/>
    <tableColumn id="6595" xr3:uid="{F6EC7939-2044-4CAC-8B30-70109EF10108}" name="Column6581" dataDxfId="20048" totalsRowDxfId="20047"/>
    <tableColumn id="6596" xr3:uid="{93570E0E-1FB5-42DA-83A9-273A4C1500CB}" name="Column6582" dataDxfId="20046" totalsRowDxfId="20045"/>
    <tableColumn id="6597" xr3:uid="{CB52F5B0-EB74-453A-9A3D-E13D0EDBFEDA}" name="Column6583" dataDxfId="20044" totalsRowDxfId="20043"/>
    <tableColumn id="6598" xr3:uid="{46BE752F-6680-4763-8803-2E9CDF041371}" name="Column6584" dataDxfId="20042" totalsRowDxfId="20041"/>
    <tableColumn id="6599" xr3:uid="{E54BF6FF-D603-4861-A19B-0DD3677FDCEC}" name="Column6585" dataDxfId="20040" totalsRowDxfId="20039"/>
    <tableColumn id="6600" xr3:uid="{52F69AE5-FA8C-4AB7-89BF-C74D52C28591}" name="Column6586" dataDxfId="20038" totalsRowDxfId="20037"/>
    <tableColumn id="6601" xr3:uid="{0B2FAA1C-6CF6-4236-BB1A-71CDB5E0C6F1}" name="Column6587" dataDxfId="20036" totalsRowDxfId="20035"/>
    <tableColumn id="6602" xr3:uid="{1B039AA9-44B0-4C3E-B527-B3F83778449D}" name="Column6588" dataDxfId="20034" totalsRowDxfId="20033"/>
    <tableColumn id="6603" xr3:uid="{6EAE461B-6083-48CC-8130-BEF642803F5D}" name="Column6589" dataDxfId="20032" totalsRowDxfId="20031"/>
    <tableColumn id="6604" xr3:uid="{D3972DF2-F2BA-42A6-B233-8A5FF8D8F7CE}" name="Column6590" dataDxfId="20030" totalsRowDxfId="20029"/>
    <tableColumn id="6605" xr3:uid="{9CB90FB5-7560-4AF0-B668-CA2698CF374C}" name="Column6591" dataDxfId="20028" totalsRowDxfId="20027"/>
    <tableColumn id="6606" xr3:uid="{88BF3BC5-CE15-49A9-A951-D40DF4BBE997}" name="Column6592" dataDxfId="20026" totalsRowDxfId="20025"/>
    <tableColumn id="6607" xr3:uid="{2B99AB2D-8853-46BB-A8C5-AB12FC2C6A7A}" name="Column6593" dataDxfId="20024" totalsRowDxfId="20023"/>
    <tableColumn id="6608" xr3:uid="{B5C7EBCD-C328-4F31-A753-8D7C43553F54}" name="Column6594" dataDxfId="20022" totalsRowDxfId="20021"/>
    <tableColumn id="6609" xr3:uid="{6A289FC8-1DA6-417B-AFB9-A9AB7C1A3863}" name="Column6595" dataDxfId="20020" totalsRowDxfId="20019"/>
    <tableColumn id="6610" xr3:uid="{B8008FA7-E1F6-4807-AC9C-8CDAE05083F6}" name="Column6596" dataDxfId="20018" totalsRowDxfId="20017"/>
    <tableColumn id="6611" xr3:uid="{4196A39D-B373-463D-BFD1-593C14C0C962}" name="Column6597" dataDxfId="20016" totalsRowDxfId="20015"/>
    <tableColumn id="6612" xr3:uid="{35174846-7E54-4463-894D-2469F7D6DFC9}" name="Column6598" dataDxfId="20014" totalsRowDxfId="20013"/>
    <tableColumn id="6613" xr3:uid="{9D4F3E42-EEDE-43E1-AE81-04FD540F10DE}" name="Column6599" dataDxfId="20012" totalsRowDxfId="20011"/>
    <tableColumn id="6614" xr3:uid="{04ED9DDB-4DAE-4FBD-A904-629E17963B31}" name="Column6600" dataDxfId="20010" totalsRowDxfId="20009"/>
    <tableColumn id="6615" xr3:uid="{A90A8A1F-6406-462C-8F46-A658B3C06726}" name="Column6601" dataDxfId="20008" totalsRowDxfId="20007"/>
    <tableColumn id="6616" xr3:uid="{749E8AFD-D29D-40C9-BBAA-A221B151DEE0}" name="Column6602" dataDxfId="20006" totalsRowDxfId="20005"/>
    <tableColumn id="6617" xr3:uid="{FA9C8CCD-BA6D-4E4A-BB5B-698BD0121FF6}" name="Column6603" dataDxfId="20004" totalsRowDxfId="20003"/>
    <tableColumn id="6618" xr3:uid="{92EE06DD-BD23-40CB-A2DA-6BB8DDE59842}" name="Column6604" dataDxfId="20002" totalsRowDxfId="20001"/>
    <tableColumn id="6619" xr3:uid="{D14529B7-8EE6-47E8-A91D-7FA709489D83}" name="Column6605" dataDxfId="20000" totalsRowDxfId="19999"/>
    <tableColumn id="6620" xr3:uid="{804F6D60-2415-4F51-A561-4A49218E32C3}" name="Column6606" dataDxfId="19998" totalsRowDxfId="19997"/>
    <tableColumn id="6621" xr3:uid="{E3166B6A-D4FD-40B5-A43B-78684D8519E7}" name="Column6607" dataDxfId="19996" totalsRowDxfId="19995"/>
    <tableColumn id="6622" xr3:uid="{717ECD9C-F86A-4C6B-B063-B56522C4C0B0}" name="Column6608" dataDxfId="19994" totalsRowDxfId="19993"/>
    <tableColumn id="6623" xr3:uid="{77AF46A9-FF9E-4D75-BB10-54252AC3D533}" name="Column6609" dataDxfId="19992" totalsRowDxfId="19991"/>
    <tableColumn id="6624" xr3:uid="{B8C5B795-9001-4349-819D-1852480CCCB3}" name="Column6610" dataDxfId="19990" totalsRowDxfId="19989"/>
    <tableColumn id="6625" xr3:uid="{A56D0AE4-156A-4556-AD41-9EDF3B725293}" name="Column6611" dataDxfId="19988" totalsRowDxfId="19987"/>
    <tableColumn id="6626" xr3:uid="{D4ADAA32-F85C-4AE0-8B76-4A1F76BB63B3}" name="Column6612" dataDxfId="19986" totalsRowDxfId="19985"/>
    <tableColumn id="6627" xr3:uid="{E3B47FDC-AA8C-42B8-9DD9-EFA54C93BDAE}" name="Column6613" dataDxfId="19984" totalsRowDxfId="19983"/>
    <tableColumn id="6628" xr3:uid="{E3AB86B4-EA33-4484-B1D4-B6F9F2F0FA08}" name="Column6614" dataDxfId="19982" totalsRowDxfId="19981"/>
    <tableColumn id="6629" xr3:uid="{FF3109BF-F24C-41B4-84B4-5361BA384C00}" name="Column6615" dataDxfId="19980" totalsRowDxfId="19979"/>
    <tableColumn id="6630" xr3:uid="{5E2649BA-59FE-4656-A546-61C86B917548}" name="Column6616" dataDxfId="19978" totalsRowDxfId="19977"/>
    <tableColumn id="6631" xr3:uid="{7CE096B7-B9D0-4DB7-B418-DD60876C76E6}" name="Column6617" dataDxfId="19976" totalsRowDxfId="19975"/>
    <tableColumn id="6632" xr3:uid="{4A31CDA1-E18D-494C-A4E1-CFF2EC91EA06}" name="Column6618" dataDxfId="19974" totalsRowDxfId="19973"/>
    <tableColumn id="6633" xr3:uid="{AE695C66-2FFD-41C2-802D-83DEA209CDD9}" name="Column6619" dataDxfId="19972" totalsRowDxfId="19971"/>
    <tableColumn id="6634" xr3:uid="{15ED4BD0-886A-4D14-9A31-2DE1A6060D72}" name="Column6620" dataDxfId="19970" totalsRowDxfId="19969"/>
    <tableColumn id="6635" xr3:uid="{B4596600-14C6-40E7-92A4-455202CAF3C8}" name="Column6621" dataDxfId="19968" totalsRowDxfId="19967"/>
    <tableColumn id="6636" xr3:uid="{8C873E7B-2854-44B2-89CE-FCE3A057018F}" name="Column6622" dataDxfId="19966" totalsRowDxfId="19965"/>
    <tableColumn id="6637" xr3:uid="{4AD9A1FE-0060-4951-A5D1-CC58FBBA1F9E}" name="Column6623" dataDxfId="19964" totalsRowDxfId="19963"/>
    <tableColumn id="6638" xr3:uid="{AC7FD8AD-1C3F-43EB-B4D1-8F631013C9AE}" name="Column6624" dataDxfId="19962" totalsRowDxfId="19961"/>
    <tableColumn id="6639" xr3:uid="{10808C1C-F678-4CB9-93C0-37DAE86C14E6}" name="Column6625" dataDxfId="19960" totalsRowDxfId="19959"/>
    <tableColumn id="6640" xr3:uid="{C01B6F69-15A2-42C5-B784-11F4A293AFA5}" name="Column6626" dataDxfId="19958" totalsRowDxfId="19957"/>
    <tableColumn id="6641" xr3:uid="{61572301-82E8-4896-8D08-9AFF4502DD4D}" name="Column6627" dataDxfId="19956" totalsRowDxfId="19955"/>
    <tableColumn id="6642" xr3:uid="{CD6DC064-E876-4613-B336-7BEB8B257E92}" name="Column6628" dataDxfId="19954" totalsRowDxfId="19953"/>
    <tableColumn id="6643" xr3:uid="{F251C2A5-237E-49A1-AB32-510C9D3E4822}" name="Column6629" dataDxfId="19952" totalsRowDxfId="19951"/>
    <tableColumn id="6644" xr3:uid="{1B8E218B-92D5-4BCA-B3F4-C438BC774E6C}" name="Column6630" dataDxfId="19950" totalsRowDxfId="19949"/>
    <tableColumn id="6645" xr3:uid="{360DBDB1-0398-487A-AC40-CADCFBC82AD8}" name="Column6631" dataDxfId="19948" totalsRowDxfId="19947"/>
    <tableColumn id="6646" xr3:uid="{810E42FD-9B61-4F3A-BB9D-AC74870558EE}" name="Column6632" dataDxfId="19946" totalsRowDxfId="19945"/>
    <tableColumn id="6647" xr3:uid="{1CECEF1D-9093-4ACA-8A5E-027428F2FE81}" name="Column6633" dataDxfId="19944" totalsRowDxfId="19943"/>
    <tableColumn id="6648" xr3:uid="{7A06CCD3-A7B9-4C15-92EF-143EA6676F40}" name="Column6634" dataDxfId="19942" totalsRowDxfId="19941"/>
    <tableColumn id="6649" xr3:uid="{570B0D8B-C127-423B-B72F-A96D3F9ABD52}" name="Column6635" dataDxfId="19940" totalsRowDxfId="19939"/>
    <tableColumn id="6650" xr3:uid="{B38CA745-9BDD-4360-BF30-4E6C86A7B54E}" name="Column6636" dataDxfId="19938" totalsRowDxfId="19937"/>
    <tableColumn id="6651" xr3:uid="{75161B15-786E-4A0C-B24A-8F0DA2C08D4F}" name="Column6637" dataDxfId="19936" totalsRowDxfId="19935"/>
    <tableColumn id="6652" xr3:uid="{A2772EE4-0326-4FC1-9092-28A707F01A15}" name="Column6638" dataDxfId="19934" totalsRowDxfId="19933"/>
    <tableColumn id="6653" xr3:uid="{BB47E86E-79EB-4B0D-B744-78C890ABA4E8}" name="Column6639" dataDxfId="19932" totalsRowDxfId="19931"/>
    <tableColumn id="6654" xr3:uid="{83695AC4-CED1-4FE1-88F0-947808A93C70}" name="Column6640" dataDxfId="19930" totalsRowDxfId="19929"/>
    <tableColumn id="6655" xr3:uid="{1DA57351-BC2C-4893-AE35-1F6C5000A411}" name="Column6641" dataDxfId="19928" totalsRowDxfId="19927"/>
    <tableColumn id="6656" xr3:uid="{2355A09D-6A06-4F05-877E-37806677FF61}" name="Column6642" dataDxfId="19926" totalsRowDxfId="19925"/>
    <tableColumn id="6657" xr3:uid="{686A2848-0448-4518-ABD4-F215C1CEAB7A}" name="Column6643" dataDxfId="19924" totalsRowDxfId="19923"/>
    <tableColumn id="6658" xr3:uid="{0A6CFA1E-1875-4664-9C0C-4A22F93A7FC8}" name="Column6644" dataDxfId="19922" totalsRowDxfId="19921"/>
    <tableColumn id="6659" xr3:uid="{FFB61733-1962-4A03-B93E-9B1AC15162B4}" name="Column6645" dataDxfId="19920" totalsRowDxfId="19919"/>
    <tableColumn id="6660" xr3:uid="{FA276869-933A-4AD4-9B44-8DF6B1C493D8}" name="Column6646" dataDxfId="19918" totalsRowDxfId="19917"/>
    <tableColumn id="6661" xr3:uid="{BFBB2C9F-DFC9-42AE-97B4-3B01C2D23EC1}" name="Column6647" dataDxfId="19916" totalsRowDxfId="19915"/>
    <tableColumn id="6662" xr3:uid="{5A7D5BAB-4E80-427D-A44D-EFA5B0A876EA}" name="Column6648" dataDxfId="19914" totalsRowDxfId="19913"/>
    <tableColumn id="6663" xr3:uid="{A629CB56-ECA8-454D-BEA5-D5D2D02A31BB}" name="Column6649" dataDxfId="19912" totalsRowDxfId="19911"/>
    <tableColumn id="6664" xr3:uid="{00F59669-DE43-4FE0-82D0-C8A54AE9C5D4}" name="Column6650" dataDxfId="19910" totalsRowDxfId="19909"/>
    <tableColumn id="6665" xr3:uid="{C28F5CB0-787B-4B52-BAB1-8EC1AFE6BF98}" name="Column6651" dataDxfId="19908" totalsRowDxfId="19907"/>
    <tableColumn id="6666" xr3:uid="{D77B4B45-7AD1-43EF-9528-7DC51F83DA3A}" name="Column6652" dataDxfId="19906" totalsRowDxfId="19905"/>
    <tableColumn id="6667" xr3:uid="{F9E6684C-2928-460E-8043-421821CD28EB}" name="Column6653" dataDxfId="19904" totalsRowDxfId="19903"/>
    <tableColumn id="6668" xr3:uid="{80628A67-E425-406C-A8D2-A3827E22F46D}" name="Column6654" dataDxfId="19902" totalsRowDxfId="19901"/>
    <tableColumn id="6669" xr3:uid="{772D61A3-FE46-49C7-B541-CF9EDEAF89AE}" name="Column6655" dataDxfId="19900" totalsRowDxfId="19899"/>
    <tableColumn id="6670" xr3:uid="{4E7273FE-AE20-4C97-ADC1-74468B36CC57}" name="Column6656" dataDxfId="19898" totalsRowDxfId="19897"/>
    <tableColumn id="6671" xr3:uid="{BC5B9E15-C3AF-4A8F-86F2-8C63EFD70BD5}" name="Column6657" dataDxfId="19896" totalsRowDxfId="19895"/>
    <tableColumn id="6672" xr3:uid="{102570A3-8BBC-439D-9F98-F9107F472DD1}" name="Column6658" dataDxfId="19894" totalsRowDxfId="19893"/>
    <tableColumn id="6673" xr3:uid="{A2133A24-F58F-4C24-B8D0-575CC53A6A7D}" name="Column6659" dataDxfId="19892" totalsRowDxfId="19891"/>
    <tableColumn id="6674" xr3:uid="{93826F88-3DE6-4B35-B780-6C8A6CB520E6}" name="Column6660" dataDxfId="19890" totalsRowDxfId="19889"/>
    <tableColumn id="6675" xr3:uid="{9DD56395-4750-4F16-848E-4276EE8DDD83}" name="Column6661" dataDxfId="19888" totalsRowDxfId="19887"/>
    <tableColumn id="6676" xr3:uid="{A3653A15-52BE-425F-AF4C-5EFFF94BC2C7}" name="Column6662" dataDxfId="19886" totalsRowDxfId="19885"/>
    <tableColumn id="6677" xr3:uid="{A41BA87C-F181-43A3-97D2-0E344FD8C91B}" name="Column6663" dataDxfId="19884" totalsRowDxfId="19883"/>
    <tableColumn id="6678" xr3:uid="{BD0293D6-348A-494B-8B1E-B73993104E62}" name="Column6664" dataDxfId="19882" totalsRowDxfId="19881"/>
    <tableColumn id="6679" xr3:uid="{17C6A936-3925-4C3C-9B93-F4B3246DEB5B}" name="Column6665" dataDxfId="19880" totalsRowDxfId="19879"/>
    <tableColumn id="6680" xr3:uid="{3596AA72-C73B-46EA-AEC6-7B5557FED1E4}" name="Column6666" dataDxfId="19878" totalsRowDxfId="19877"/>
    <tableColumn id="6681" xr3:uid="{82EBDD4E-CD25-428A-9AD4-AD14BA7361EE}" name="Column6667" dataDxfId="19876" totalsRowDxfId="19875"/>
    <tableColumn id="6682" xr3:uid="{1954311B-CD79-497D-B3EC-1E8BE8957443}" name="Column6668" dataDxfId="19874" totalsRowDxfId="19873"/>
    <tableColumn id="6683" xr3:uid="{4B5001D6-AF6A-4398-AEEF-AEDDF00C6E32}" name="Column6669" dataDxfId="19872" totalsRowDxfId="19871"/>
    <tableColumn id="6684" xr3:uid="{20F7FDAA-B04F-439D-AD64-24D340685D36}" name="Column6670" dataDxfId="19870" totalsRowDxfId="19869"/>
    <tableColumn id="6685" xr3:uid="{1AA023F4-E6B1-4E6E-8B18-5E3BE2AABD14}" name="Column6671" dataDxfId="19868" totalsRowDxfId="19867"/>
    <tableColumn id="6686" xr3:uid="{7390898C-21FF-4A03-B92C-D884EFC65D9D}" name="Column6672" dataDxfId="19866" totalsRowDxfId="19865"/>
    <tableColumn id="6687" xr3:uid="{0A568F0B-D6C9-4F31-B155-35AD47F5123F}" name="Column6673" dataDxfId="19864" totalsRowDxfId="19863"/>
    <tableColumn id="6688" xr3:uid="{026AEA64-6455-4076-9DDD-46BE7A4417C4}" name="Column6674" dataDxfId="19862" totalsRowDxfId="19861"/>
    <tableColumn id="6689" xr3:uid="{3418496A-738A-4999-8D79-F41120B97A69}" name="Column6675" dataDxfId="19860" totalsRowDxfId="19859"/>
    <tableColumn id="6690" xr3:uid="{B3EAF2B8-E914-44F0-BAC0-12CBDA7AEEFB}" name="Column6676" dataDxfId="19858" totalsRowDxfId="19857"/>
    <tableColumn id="6691" xr3:uid="{C03FDDBE-15C0-4A97-94DA-5F17E28A27D6}" name="Column6677" dataDxfId="19856" totalsRowDxfId="19855"/>
    <tableColumn id="6692" xr3:uid="{4AA349E6-C149-4CE6-89B7-3BBA8F8B7234}" name="Column6678" dataDxfId="19854" totalsRowDxfId="19853"/>
    <tableColumn id="6693" xr3:uid="{AD075A80-71D5-4082-8116-17D438E289D7}" name="Column6679" dataDxfId="19852" totalsRowDxfId="19851"/>
    <tableColumn id="6694" xr3:uid="{73DC9FF5-F258-436F-8297-A40E99EF9AAB}" name="Column6680" dataDxfId="19850" totalsRowDxfId="19849"/>
    <tableColumn id="6695" xr3:uid="{357ED422-1912-422B-93DE-092FEAFE2239}" name="Column6681" dataDxfId="19848" totalsRowDxfId="19847"/>
    <tableColumn id="6696" xr3:uid="{C2858C70-6697-4282-8F96-D055E9A1BE4F}" name="Column6682" dataDxfId="19846" totalsRowDxfId="19845"/>
    <tableColumn id="6697" xr3:uid="{024D8F99-81D2-4751-B2FA-89D2BA765F60}" name="Column6683" dataDxfId="19844" totalsRowDxfId="19843"/>
    <tableColumn id="6698" xr3:uid="{013A7B1A-6D25-4BDF-BC99-A69F079A43F8}" name="Column6684" dataDxfId="19842" totalsRowDxfId="19841"/>
    <tableColumn id="6699" xr3:uid="{9E87DA09-237C-441F-8D20-642DEDBBF767}" name="Column6685" dataDxfId="19840" totalsRowDxfId="19839"/>
    <tableColumn id="6700" xr3:uid="{50EBF1BA-F934-4DCE-9131-B794441C63DF}" name="Column6686" dataDxfId="19838" totalsRowDxfId="19837"/>
    <tableColumn id="6701" xr3:uid="{ECD19D64-6897-4C53-99C8-1F00F8FD54C7}" name="Column6687" dataDxfId="19836" totalsRowDxfId="19835"/>
    <tableColumn id="6702" xr3:uid="{E3C8D812-7C1D-4D46-85D3-D593BC63906D}" name="Column6688" dataDxfId="19834" totalsRowDxfId="19833"/>
    <tableColumn id="6703" xr3:uid="{4CE757F1-C1C3-4B0D-86D8-1FB7A94B193C}" name="Column6689" dataDxfId="19832" totalsRowDxfId="19831"/>
    <tableColumn id="6704" xr3:uid="{1484B6B0-53EC-410E-BD92-E0284A4EA9C5}" name="Column6690" dataDxfId="19830" totalsRowDxfId="19829"/>
    <tableColumn id="6705" xr3:uid="{7F8436C5-3D04-47C6-A97C-165F2D5A7044}" name="Column6691" dataDxfId="19828" totalsRowDxfId="19827"/>
    <tableColumn id="6706" xr3:uid="{3EDD236E-2B92-49C5-90CA-B8DA92473D60}" name="Column6692" dataDxfId="19826" totalsRowDxfId="19825"/>
    <tableColumn id="6707" xr3:uid="{5393AAFA-F4FD-49B6-B51D-903C09722FF8}" name="Column6693" dataDxfId="19824" totalsRowDxfId="19823"/>
    <tableColumn id="6708" xr3:uid="{D3178D3D-434D-424E-88C9-C0E6944513B9}" name="Column6694" dataDxfId="19822" totalsRowDxfId="19821"/>
    <tableColumn id="6709" xr3:uid="{5D3A6DAE-F0E5-448C-B0C0-4A211116EF69}" name="Column6695" dataDxfId="19820" totalsRowDxfId="19819"/>
    <tableColumn id="6710" xr3:uid="{EB4C08F2-43CC-4D99-91A9-952042899ECE}" name="Column6696" dataDxfId="19818" totalsRowDxfId="19817"/>
    <tableColumn id="6711" xr3:uid="{A24D9C37-97B3-4E17-8863-B464E10CC0CE}" name="Column6697" dataDxfId="19816" totalsRowDxfId="19815"/>
    <tableColumn id="6712" xr3:uid="{AC0BCB0A-569E-45EE-A7A8-2C1A308819DC}" name="Column6698" dataDxfId="19814" totalsRowDxfId="19813"/>
    <tableColumn id="6713" xr3:uid="{2673F0B2-7532-4BFA-9B17-029567D1E052}" name="Column6699" dataDxfId="19812" totalsRowDxfId="19811"/>
    <tableColumn id="6714" xr3:uid="{06B2FB1F-EB44-4173-8E31-FC0109E1C0AB}" name="Column6700" dataDxfId="19810" totalsRowDxfId="19809"/>
    <tableColumn id="6715" xr3:uid="{F62030F1-B6BD-4776-BBED-46FBDBA956CF}" name="Column6701" dataDxfId="19808" totalsRowDxfId="19807"/>
    <tableColumn id="6716" xr3:uid="{549B1958-FDFF-4957-86C3-0FDE7B8FE830}" name="Column6702" dataDxfId="19806" totalsRowDxfId="19805"/>
    <tableColumn id="6717" xr3:uid="{A368BC55-3BFC-4565-B6C9-EAB6C442A1D4}" name="Column6703" dataDxfId="19804" totalsRowDxfId="19803"/>
    <tableColumn id="6718" xr3:uid="{EF16510C-53A5-43EA-8863-8FF2D71424E2}" name="Column6704" dataDxfId="19802" totalsRowDxfId="19801"/>
    <tableColumn id="6719" xr3:uid="{70041C22-5E37-4404-BE73-62F1AB539E30}" name="Column6705" dataDxfId="19800" totalsRowDxfId="19799"/>
    <tableColumn id="6720" xr3:uid="{B8F3CDE9-BE5D-4FAA-B929-2099265ECBFD}" name="Column6706" dataDxfId="19798" totalsRowDxfId="19797"/>
    <tableColumn id="6721" xr3:uid="{7CFD0029-4908-4226-A543-07359CEBF3DB}" name="Column6707" dataDxfId="19796" totalsRowDxfId="19795"/>
    <tableColumn id="6722" xr3:uid="{D972AB9C-1919-4A0A-8B06-F4C06DA0CFEE}" name="Column6708" dataDxfId="19794" totalsRowDxfId="19793"/>
    <tableColumn id="6723" xr3:uid="{2C43BAB5-0629-4A84-825D-7E190A0190B8}" name="Column6709" dataDxfId="19792" totalsRowDxfId="19791"/>
    <tableColumn id="6724" xr3:uid="{BB2E8776-DA1D-42AC-94D9-0DB7619A7D31}" name="Column6710" dataDxfId="19790" totalsRowDxfId="19789"/>
    <tableColumn id="6725" xr3:uid="{6DF3213B-4889-48F1-B974-E612E332329A}" name="Column6711" dataDxfId="19788" totalsRowDxfId="19787"/>
    <tableColumn id="6726" xr3:uid="{79923056-947B-4237-A4CE-D24AD7512C23}" name="Column6712" dataDxfId="19786" totalsRowDxfId="19785"/>
    <tableColumn id="6727" xr3:uid="{EADCFA16-932B-4270-B4E4-59C5EB3B67D7}" name="Column6713" dataDxfId="19784" totalsRowDxfId="19783"/>
    <tableColumn id="6728" xr3:uid="{264B3F23-207A-4E55-9702-515C3E978E9E}" name="Column6714" dataDxfId="19782" totalsRowDxfId="19781"/>
    <tableColumn id="6729" xr3:uid="{5C2A52F1-C4A9-4DE5-87EC-E33F88F987C9}" name="Column6715" dataDxfId="19780" totalsRowDxfId="19779"/>
    <tableColumn id="6730" xr3:uid="{E48DBCC3-0E62-4182-9C2B-2E817B10AF40}" name="Column6716" dataDxfId="19778" totalsRowDxfId="19777"/>
    <tableColumn id="6731" xr3:uid="{5A7E6953-7E45-4DA5-93D0-C614FFF973A7}" name="Column6717" dataDxfId="19776" totalsRowDxfId="19775"/>
    <tableColumn id="6732" xr3:uid="{95093D59-1655-4402-A07C-8AD435B6C07A}" name="Column6718" dataDxfId="19774" totalsRowDxfId="19773"/>
    <tableColumn id="6733" xr3:uid="{746B600D-BF28-49BB-AC5D-9EFAE2AAA72B}" name="Column6719" dataDxfId="19772" totalsRowDxfId="19771"/>
    <tableColumn id="6734" xr3:uid="{A0CEBBDA-ECD9-42B1-BB07-4CB8868F720F}" name="Column6720" dataDxfId="19770" totalsRowDxfId="19769"/>
    <tableColumn id="6735" xr3:uid="{9FDF25EB-744E-4E5E-8AB2-466A1790691A}" name="Column6721" dataDxfId="19768" totalsRowDxfId="19767"/>
    <tableColumn id="6736" xr3:uid="{BA689A54-489E-48CD-BAFA-19368BA559D0}" name="Column6722" dataDxfId="19766" totalsRowDxfId="19765"/>
    <tableColumn id="6737" xr3:uid="{5597D768-30CA-4450-AD0F-A4EBBE4E15D3}" name="Column6723" dataDxfId="19764" totalsRowDxfId="19763"/>
    <tableColumn id="6738" xr3:uid="{4240EB9D-D00E-4009-BFD0-F1F4734D9D5B}" name="Column6724" dataDxfId="19762" totalsRowDxfId="19761"/>
    <tableColumn id="6739" xr3:uid="{B0F27A04-6145-42FC-998B-C096529208D4}" name="Column6725" dataDxfId="19760" totalsRowDxfId="19759"/>
    <tableColumn id="6740" xr3:uid="{05546A26-BD2D-4CB9-AEEE-9F6FDBD77F9E}" name="Column6726" dataDxfId="19758" totalsRowDxfId="19757"/>
    <tableColumn id="6741" xr3:uid="{53267210-D8A3-436E-AC05-794040CDD8A3}" name="Column6727" dataDxfId="19756" totalsRowDxfId="19755"/>
    <tableColumn id="6742" xr3:uid="{EA94E646-EF6F-428C-BBF7-E0CB95212ABD}" name="Column6728" dataDxfId="19754" totalsRowDxfId="19753"/>
    <tableColumn id="6743" xr3:uid="{693C7231-3FC4-42C5-9AB0-6422F03C8D0F}" name="Column6729" dataDxfId="19752" totalsRowDxfId="19751"/>
    <tableColumn id="6744" xr3:uid="{F64D3D94-AF4F-4BB3-AD80-3556C057EF9A}" name="Column6730" dataDxfId="19750" totalsRowDxfId="19749"/>
    <tableColumn id="6745" xr3:uid="{B8103934-9DF3-4359-A5E9-2AC2F21DD429}" name="Column6731" dataDxfId="19748" totalsRowDxfId="19747"/>
    <tableColumn id="6746" xr3:uid="{99296896-0596-4C05-B421-C4A80696A4E6}" name="Column6732" dataDxfId="19746" totalsRowDxfId="19745"/>
    <tableColumn id="6747" xr3:uid="{A17FF028-25B7-473A-98FE-4F6990B76DF4}" name="Column6733" dataDxfId="19744" totalsRowDxfId="19743"/>
    <tableColumn id="6748" xr3:uid="{CD0FCCDB-86B2-44A6-8455-3C2FF57F2FCC}" name="Column6734" dataDxfId="19742" totalsRowDxfId="19741"/>
    <tableColumn id="6749" xr3:uid="{49C350D7-1D23-4046-9897-5F8B40936C73}" name="Column6735" dataDxfId="19740" totalsRowDxfId="19739"/>
    <tableColumn id="6750" xr3:uid="{B2890E3A-9171-4621-8853-B9F4EA52DBFA}" name="Column6736" dataDxfId="19738" totalsRowDxfId="19737"/>
    <tableColumn id="6751" xr3:uid="{B4E73F44-5D68-491C-AF58-AFA2BD979C9B}" name="Column6737" dataDxfId="19736" totalsRowDxfId="19735"/>
    <tableColumn id="6752" xr3:uid="{59002346-B0E7-412E-8CA7-48144260A899}" name="Column6738" dataDxfId="19734" totalsRowDxfId="19733"/>
    <tableColumn id="6753" xr3:uid="{B690BCCD-391E-4F99-A0DB-F4194035BFD4}" name="Column6739" dataDxfId="19732" totalsRowDxfId="19731"/>
    <tableColumn id="6754" xr3:uid="{E226808A-26A1-4E18-AAE9-80437132A381}" name="Column6740" dataDxfId="19730" totalsRowDxfId="19729"/>
    <tableColumn id="6755" xr3:uid="{35FAEFC3-1FAD-4183-B87F-F4947D19386A}" name="Column6741" dataDxfId="19728" totalsRowDxfId="19727"/>
    <tableColumn id="6756" xr3:uid="{36A340B1-EC77-4F06-A842-124093C0EFD2}" name="Column6742" dataDxfId="19726" totalsRowDxfId="19725"/>
    <tableColumn id="6757" xr3:uid="{2A8E2396-5343-4BEF-95C8-6E862AE5AD40}" name="Column6743" dataDxfId="19724" totalsRowDxfId="19723"/>
    <tableColumn id="6758" xr3:uid="{31F4D429-86F0-4263-B80C-61748EC518AF}" name="Column6744" dataDxfId="19722" totalsRowDxfId="19721"/>
    <tableColumn id="6759" xr3:uid="{1AC51C3E-FECE-498F-9D69-277D1A2A6429}" name="Column6745" dataDxfId="19720" totalsRowDxfId="19719"/>
    <tableColumn id="6760" xr3:uid="{C9736B82-61CB-4835-A681-0AA307AD9571}" name="Column6746" dataDxfId="19718" totalsRowDxfId="19717"/>
    <tableColumn id="6761" xr3:uid="{1525E76E-713B-4169-9B92-F12279C0D2E4}" name="Column6747" dataDxfId="19716" totalsRowDxfId="19715"/>
    <tableColumn id="6762" xr3:uid="{2CF470E8-F6CC-4C2A-B9C7-79A6D6C9CD33}" name="Column6748" dataDxfId="19714" totalsRowDxfId="19713"/>
    <tableColumn id="6763" xr3:uid="{74031D34-9BA8-4527-83E1-570D99708226}" name="Column6749" dataDxfId="19712" totalsRowDxfId="19711"/>
    <tableColumn id="6764" xr3:uid="{06D14395-ADCB-44DE-A99E-5495DC4A096F}" name="Column6750" dataDxfId="19710" totalsRowDxfId="19709"/>
    <tableColumn id="6765" xr3:uid="{1C648CAF-40D0-443B-A674-0D301A0F9D38}" name="Column6751" dataDxfId="19708" totalsRowDxfId="19707"/>
    <tableColumn id="6766" xr3:uid="{5AD8BB84-F825-4AC5-A1E7-04AE90DB1E97}" name="Column6752" dataDxfId="19706" totalsRowDxfId="19705"/>
    <tableColumn id="6767" xr3:uid="{24B9773B-B939-47FD-BEC0-E846C5627D32}" name="Column6753" dataDxfId="19704" totalsRowDxfId="19703"/>
    <tableColumn id="6768" xr3:uid="{44363989-1C2F-47F7-BEAB-19CE894219AB}" name="Column6754" dataDxfId="19702" totalsRowDxfId="19701"/>
    <tableColumn id="6769" xr3:uid="{63566E4B-9541-47CB-A09D-F101DEB48E2B}" name="Column6755" dataDxfId="19700" totalsRowDxfId="19699"/>
    <tableColumn id="6770" xr3:uid="{FF2E1FC1-B089-4518-B4BF-86024CFC16DC}" name="Column6756" dataDxfId="19698" totalsRowDxfId="19697"/>
    <tableColumn id="6771" xr3:uid="{A042C1BC-BDB7-4B04-8E47-890270B370EC}" name="Column6757" dataDxfId="19696" totalsRowDxfId="19695"/>
    <tableColumn id="6772" xr3:uid="{95839696-3378-4DF4-81DF-326852187DB2}" name="Column6758" dataDxfId="19694" totalsRowDxfId="19693"/>
    <tableColumn id="6773" xr3:uid="{15747F90-87BE-43F0-BA7F-E7C9A3168617}" name="Column6759" dataDxfId="19692" totalsRowDxfId="19691"/>
    <tableColumn id="6774" xr3:uid="{5246FB5C-A026-4589-80BC-976F458CADEC}" name="Column6760" dataDxfId="19690" totalsRowDxfId="19689"/>
    <tableColumn id="6775" xr3:uid="{19491F3F-F7B3-45A7-AAC2-38C07E299659}" name="Column6761" dataDxfId="19688" totalsRowDxfId="19687"/>
    <tableColumn id="6776" xr3:uid="{B5A27348-4AEC-4DA7-8A7F-FB96D1021135}" name="Column6762" dataDxfId="19686" totalsRowDxfId="19685"/>
    <tableColumn id="6777" xr3:uid="{41DC20DF-845D-4F5F-8743-D79DFCF99B3D}" name="Column6763" dataDxfId="19684" totalsRowDxfId="19683"/>
    <tableColumn id="6778" xr3:uid="{2199C218-A7B4-4423-AC1F-452DD1E3460E}" name="Column6764" dataDxfId="19682" totalsRowDxfId="19681"/>
    <tableColumn id="6779" xr3:uid="{0BD746D7-3480-4554-88FA-FE5FD94E84B0}" name="Column6765" dataDxfId="19680" totalsRowDxfId="19679"/>
    <tableColumn id="6780" xr3:uid="{704A75A5-95B3-4134-90EB-880F7EFEA3ED}" name="Column6766" dataDxfId="19678" totalsRowDxfId="19677"/>
    <tableColumn id="6781" xr3:uid="{0A506853-5D40-4F23-ABA6-CF83658213C7}" name="Column6767" dataDxfId="19676" totalsRowDxfId="19675"/>
    <tableColumn id="6782" xr3:uid="{D21BEA93-A23E-4D97-A21D-DF04542F8BFD}" name="Column6768" dataDxfId="19674" totalsRowDxfId="19673"/>
    <tableColumn id="6783" xr3:uid="{1B073A7F-6173-48A6-8A8E-0B87E0EEF55F}" name="Column6769" dataDxfId="19672" totalsRowDxfId="19671"/>
    <tableColumn id="6784" xr3:uid="{12A2EB80-1CFA-40FD-ABDA-81B69E592947}" name="Column6770" dataDxfId="19670" totalsRowDxfId="19669"/>
    <tableColumn id="6785" xr3:uid="{2BF4C1FB-BAD8-4A63-9804-6A450562E9A0}" name="Column6771" dataDxfId="19668" totalsRowDxfId="19667"/>
    <tableColumn id="6786" xr3:uid="{8D470849-3AEB-4A95-9A38-3F3C08E9E73F}" name="Column6772" dataDxfId="19666" totalsRowDxfId="19665"/>
    <tableColumn id="6787" xr3:uid="{1764614D-4582-41D1-9CC1-CA54FAAE0567}" name="Column6773" dataDxfId="19664" totalsRowDxfId="19663"/>
    <tableColumn id="6788" xr3:uid="{D8BEB639-BFA2-4684-A1DB-C325D014D378}" name="Column6774" dataDxfId="19662" totalsRowDxfId="19661"/>
    <tableColumn id="6789" xr3:uid="{A8C1206C-FFA1-4D10-A0F7-CFA469434CA9}" name="Column6775" dataDxfId="19660" totalsRowDxfId="19659"/>
    <tableColumn id="6790" xr3:uid="{28C05CB6-69A4-4ED0-BBCB-A8371EE58C90}" name="Column6776" dataDxfId="19658" totalsRowDxfId="19657"/>
    <tableColumn id="6791" xr3:uid="{5E08F4FA-FB40-4873-88AC-2AF07A0E8E2E}" name="Column6777" dataDxfId="19656" totalsRowDxfId="19655"/>
    <tableColumn id="6792" xr3:uid="{C700E93E-5900-4691-8DF0-D4161D90C3D7}" name="Column6778" dataDxfId="19654" totalsRowDxfId="19653"/>
    <tableColumn id="6793" xr3:uid="{78BC9066-B483-437B-86E0-5FE69402F796}" name="Column6779" dataDxfId="19652" totalsRowDxfId="19651"/>
    <tableColumn id="6794" xr3:uid="{DC398D81-610F-4A6A-834E-7DC8602246D3}" name="Column6780" dataDxfId="19650" totalsRowDxfId="19649"/>
    <tableColumn id="6795" xr3:uid="{9E048843-510E-4514-9945-0C412D742880}" name="Column6781" dataDxfId="19648" totalsRowDxfId="19647"/>
    <tableColumn id="6796" xr3:uid="{55945ED3-0CAC-436D-8411-0E2F0CC10FA2}" name="Column6782" dataDxfId="19646" totalsRowDxfId="19645"/>
    <tableColumn id="6797" xr3:uid="{1E948E60-407E-419F-8C4B-11CBB0161DCD}" name="Column6783" dataDxfId="19644" totalsRowDxfId="19643"/>
    <tableColumn id="6798" xr3:uid="{72F03500-11C5-4626-B052-D9F086A33053}" name="Column6784" dataDxfId="19642" totalsRowDxfId="19641"/>
    <tableColumn id="6799" xr3:uid="{6869041A-2670-4A9C-A6BA-8B43DE6B0AE7}" name="Column6785" dataDxfId="19640" totalsRowDxfId="19639"/>
    <tableColumn id="6800" xr3:uid="{AFD0F591-B853-400B-B132-3D3CC2F17038}" name="Column6786" dataDxfId="19638" totalsRowDxfId="19637"/>
    <tableColumn id="6801" xr3:uid="{D4B95572-31FB-4E52-81B7-82A084257D7B}" name="Column6787" dataDxfId="19636" totalsRowDxfId="19635"/>
    <tableColumn id="6802" xr3:uid="{F07C3DAE-40CA-4AE6-B8CD-D27A2D6B254B}" name="Column6788" dataDxfId="19634" totalsRowDxfId="19633"/>
    <tableColumn id="6803" xr3:uid="{5FC5FD1A-B3AC-4B41-A9D8-372202AE84BB}" name="Column6789" dataDxfId="19632" totalsRowDxfId="19631"/>
    <tableColumn id="6804" xr3:uid="{278B5255-8DCF-48C6-BD88-86A6FB291DAB}" name="Column6790" dataDxfId="19630" totalsRowDxfId="19629"/>
    <tableColumn id="6805" xr3:uid="{817D3520-47EB-490C-8583-8750D3D9BBDA}" name="Column6791" dataDxfId="19628" totalsRowDxfId="19627"/>
    <tableColumn id="6806" xr3:uid="{4E3474E3-8AEA-425A-A9E2-D5ABA57B9F71}" name="Column6792" dataDxfId="19626" totalsRowDxfId="19625"/>
    <tableColumn id="6807" xr3:uid="{F5F5570D-08D7-4817-91B2-61B94C9FFF1B}" name="Column6793" dataDxfId="19624" totalsRowDxfId="19623"/>
    <tableColumn id="6808" xr3:uid="{E1FC6304-FFB0-4228-974B-5DC029CBE5F7}" name="Column6794" dataDxfId="19622" totalsRowDxfId="19621"/>
    <tableColumn id="6809" xr3:uid="{661A0EE1-6855-406D-B75F-2FD0083101A4}" name="Column6795" dataDxfId="19620" totalsRowDxfId="19619"/>
    <tableColumn id="6810" xr3:uid="{9D9A276B-5195-4088-B106-254F03A3A82E}" name="Column6796" dataDxfId="19618" totalsRowDxfId="19617"/>
    <tableColumn id="6811" xr3:uid="{3190FFF1-E920-4A19-B731-19F342114E6D}" name="Column6797" dataDxfId="19616" totalsRowDxfId="19615"/>
    <tableColumn id="6812" xr3:uid="{BF2C4521-C244-49F9-8ABA-10369DF302BC}" name="Column6798" dataDxfId="19614" totalsRowDxfId="19613"/>
    <tableColumn id="6813" xr3:uid="{0A04469D-DF7F-41D3-8FF0-C1DC8F48845A}" name="Column6799" dataDxfId="19612" totalsRowDxfId="19611"/>
    <tableColumn id="6814" xr3:uid="{CBFE1571-405A-466A-B751-E95F6FA3F628}" name="Column6800" dataDxfId="19610" totalsRowDxfId="19609"/>
    <tableColumn id="6815" xr3:uid="{3C2D15A9-1176-448C-ABF2-18EE8AFDAD7C}" name="Column6801" dataDxfId="19608" totalsRowDxfId="19607"/>
    <tableColumn id="6816" xr3:uid="{EA525609-5665-46CC-A81A-BFB56210EE12}" name="Column6802" dataDxfId="19606" totalsRowDxfId="19605"/>
    <tableColumn id="6817" xr3:uid="{A637EB9D-CF99-4390-9BA0-144776D52B4F}" name="Column6803" dataDxfId="19604" totalsRowDxfId="19603"/>
    <tableColumn id="6818" xr3:uid="{5BE24D9B-41E6-40D6-B8BD-624C5415163D}" name="Column6804" dataDxfId="19602" totalsRowDxfId="19601"/>
    <tableColumn id="6819" xr3:uid="{23DB1BD5-26C0-4AD9-B6DB-D8505C593216}" name="Column6805" dataDxfId="19600" totalsRowDxfId="19599"/>
    <tableColumn id="6820" xr3:uid="{62FBF746-1BD0-422B-B7EA-2D414B87700A}" name="Column6806" dataDxfId="19598" totalsRowDxfId="19597"/>
    <tableColumn id="6821" xr3:uid="{E269B8C2-50DD-42BD-B1E8-351DBB8CFD53}" name="Column6807" dataDxfId="19596" totalsRowDxfId="19595"/>
    <tableColumn id="6822" xr3:uid="{E5F3B0E1-A066-4794-878E-9BBC76C251B6}" name="Column6808" dataDxfId="19594" totalsRowDxfId="19593"/>
    <tableColumn id="6823" xr3:uid="{9A5D664C-9624-4790-9D22-EC53B446E6FE}" name="Column6809" dataDxfId="19592" totalsRowDxfId="19591"/>
    <tableColumn id="6824" xr3:uid="{8015F0F7-19DE-4DB4-86BD-EF9F08F3DC3E}" name="Column6810" dataDxfId="19590" totalsRowDxfId="19589"/>
    <tableColumn id="6825" xr3:uid="{E181910B-6030-4005-AECD-6A52B5BC23FE}" name="Column6811" dataDxfId="19588" totalsRowDxfId="19587"/>
    <tableColumn id="6826" xr3:uid="{C4C03ED8-12BC-498E-A5CB-371F05A9966D}" name="Column6812" dataDxfId="19586" totalsRowDxfId="19585"/>
    <tableColumn id="6827" xr3:uid="{3BF9573A-AADD-43AD-88FB-F7FD968D7D42}" name="Column6813" dataDxfId="19584" totalsRowDxfId="19583"/>
    <tableColumn id="6828" xr3:uid="{84418421-961C-4DAE-8BE7-1E20025E85A5}" name="Column6814" dataDxfId="19582" totalsRowDxfId="19581"/>
    <tableColumn id="6829" xr3:uid="{4A3F116C-EBD6-4DB4-A85B-BDFAF58AABCF}" name="Column6815" dataDxfId="19580" totalsRowDxfId="19579"/>
    <tableColumn id="6830" xr3:uid="{340D53BE-D05F-4EAA-A6EA-9AA2324C21DF}" name="Column6816" dataDxfId="19578" totalsRowDxfId="19577"/>
    <tableColumn id="6831" xr3:uid="{16CF1086-2096-4E57-85DD-02A4F2C848D1}" name="Column6817" dataDxfId="19576" totalsRowDxfId="19575"/>
    <tableColumn id="6832" xr3:uid="{0E677E81-7190-4806-A1A4-A603F9C8FD0E}" name="Column6818" dataDxfId="19574" totalsRowDxfId="19573"/>
    <tableColumn id="6833" xr3:uid="{4A2A57AE-9296-4F41-A257-AE0C85C8ACE7}" name="Column6819" dataDxfId="19572" totalsRowDxfId="19571"/>
    <tableColumn id="6834" xr3:uid="{BC66ABC1-E22C-4320-89B7-27B5C07196AD}" name="Column6820" dataDxfId="19570" totalsRowDxfId="19569"/>
    <tableColumn id="6835" xr3:uid="{3F674E0E-C31E-4BA8-BFFD-ED40E6348A66}" name="Column6821" dataDxfId="19568" totalsRowDxfId="19567"/>
    <tableColumn id="6836" xr3:uid="{83E4F9A0-A6BD-422C-9B41-9A0BE6CFDD4E}" name="Column6822" dataDxfId="19566" totalsRowDxfId="19565"/>
    <tableColumn id="6837" xr3:uid="{02A613C7-8DFC-49EF-94BF-9FC7CADCE7A8}" name="Column6823" dataDxfId="19564" totalsRowDxfId="19563"/>
    <tableColumn id="6838" xr3:uid="{23BEFCEE-161F-44C9-911C-97385427BA16}" name="Column6824" dataDxfId="19562" totalsRowDxfId="19561"/>
    <tableColumn id="6839" xr3:uid="{585353D0-DD26-479E-AE5E-6FB416590E1B}" name="Column6825" dataDxfId="19560" totalsRowDxfId="19559"/>
    <tableColumn id="6840" xr3:uid="{ADA8F091-5095-4E87-B327-3CB406FF0420}" name="Column6826" dataDxfId="19558" totalsRowDxfId="19557"/>
    <tableColumn id="6841" xr3:uid="{79AC37D7-64B4-4881-8D75-E25C5FD689D7}" name="Column6827" dataDxfId="19556" totalsRowDxfId="19555"/>
    <tableColumn id="6842" xr3:uid="{B86E9DDC-F90E-403B-AEC5-CFEE437CEFB5}" name="Column6828" dataDxfId="19554" totalsRowDxfId="19553"/>
    <tableColumn id="6843" xr3:uid="{63FEC268-81D5-4A9C-A4BE-7235429AD6A3}" name="Column6829" dataDxfId="19552" totalsRowDxfId="19551"/>
    <tableColumn id="6844" xr3:uid="{1F8583D7-6F4C-4A69-9773-F146ABAE7883}" name="Column6830" dataDxfId="19550" totalsRowDxfId="19549"/>
    <tableColumn id="6845" xr3:uid="{37593657-1161-48F3-B514-66713E05BE34}" name="Column6831" dataDxfId="19548" totalsRowDxfId="19547"/>
    <tableColumn id="6846" xr3:uid="{68234C51-F9B8-41DA-9175-6FE57BE85356}" name="Column6832" dataDxfId="19546" totalsRowDxfId="19545"/>
    <tableColumn id="6847" xr3:uid="{EA08E189-C2E2-458D-946E-B1D23FAF4DF0}" name="Column6833" dataDxfId="19544" totalsRowDxfId="19543"/>
    <tableColumn id="6848" xr3:uid="{499711E0-F4EA-41E4-904E-616A8BE38366}" name="Column6834" dataDxfId="19542" totalsRowDxfId="19541"/>
    <tableColumn id="6849" xr3:uid="{8307EBDA-ECB4-4A7F-8CDF-B38550CB0D05}" name="Column6835" dataDxfId="19540" totalsRowDxfId="19539"/>
    <tableColumn id="6850" xr3:uid="{71ADE715-561A-46C6-BB96-93487AD34B71}" name="Column6836" dataDxfId="19538" totalsRowDxfId="19537"/>
    <tableColumn id="6851" xr3:uid="{91D5A47B-D5FC-4634-B3C7-F6E2B660F564}" name="Column6837" dataDxfId="19536" totalsRowDxfId="19535"/>
    <tableColumn id="6852" xr3:uid="{7432F668-A179-4A83-BCF8-47E5AA3A78E0}" name="Column6838" dataDxfId="19534" totalsRowDxfId="19533"/>
    <tableColumn id="6853" xr3:uid="{46EF7221-8057-486D-94A6-605E3102C7AB}" name="Column6839" dataDxfId="19532" totalsRowDxfId="19531"/>
    <tableColumn id="6854" xr3:uid="{27B2426A-1445-40E0-A163-0214B40730B6}" name="Column6840" dataDxfId="19530" totalsRowDxfId="19529"/>
    <tableColumn id="6855" xr3:uid="{947AC9AD-5DE9-4892-A542-DC558AF07D89}" name="Column6841" dataDxfId="19528" totalsRowDxfId="19527"/>
    <tableColumn id="6856" xr3:uid="{1F14832E-D2F5-42E8-B5FD-7E417447A917}" name="Column6842" dataDxfId="19526" totalsRowDxfId="19525"/>
    <tableColumn id="6857" xr3:uid="{93528309-9E19-4DF5-A7BF-3F3D495C77D8}" name="Column6843" dataDxfId="19524" totalsRowDxfId="19523"/>
    <tableColumn id="6858" xr3:uid="{3F0FDDE8-3926-40FC-9CFF-86371D18BC60}" name="Column6844" dataDxfId="19522" totalsRowDxfId="19521"/>
    <tableColumn id="6859" xr3:uid="{5E4A52BB-6A47-4682-B174-0BA9C5726F58}" name="Column6845" dataDxfId="19520" totalsRowDxfId="19519"/>
    <tableColumn id="6860" xr3:uid="{7AA448C7-9B3D-4DD9-87C1-BDB2359F7082}" name="Column6846" dataDxfId="19518" totalsRowDxfId="19517"/>
    <tableColumn id="6861" xr3:uid="{1FF74E52-A9E6-48C1-A7EA-F5D46C9E9720}" name="Column6847" dataDxfId="19516" totalsRowDxfId="19515"/>
    <tableColumn id="6862" xr3:uid="{800486B1-269F-4FA1-A156-963B56C1EE5D}" name="Column6848" dataDxfId="19514" totalsRowDxfId="19513"/>
    <tableColumn id="6863" xr3:uid="{FF84D8AD-2280-4046-9144-8FDB2502C4C6}" name="Column6849" dataDxfId="19512" totalsRowDxfId="19511"/>
    <tableColumn id="6864" xr3:uid="{5083F582-7E3D-4B33-A58F-13DD2DC5E66B}" name="Column6850" dataDxfId="19510" totalsRowDxfId="19509"/>
    <tableColumn id="6865" xr3:uid="{F9621E3C-039B-436C-BF87-40AC7757172C}" name="Column6851" dataDxfId="19508" totalsRowDxfId="19507"/>
    <tableColumn id="6866" xr3:uid="{05C05A93-03C5-4512-AC3D-9573B3AB660A}" name="Column6852" dataDxfId="19506" totalsRowDxfId="19505"/>
    <tableColumn id="6867" xr3:uid="{BB45FD02-6262-4887-BAED-6776AB0567B1}" name="Column6853" dataDxfId="19504" totalsRowDxfId="19503"/>
    <tableColumn id="6868" xr3:uid="{E68A20F4-8260-4BDE-9BAC-11DB97A66683}" name="Column6854" dataDxfId="19502" totalsRowDxfId="19501"/>
    <tableColumn id="6869" xr3:uid="{142090D7-5296-46D4-9488-8B01D96D0F71}" name="Column6855" dataDxfId="19500" totalsRowDxfId="19499"/>
    <tableColumn id="6870" xr3:uid="{9A8F4048-7B24-458E-B0C5-71C14BE2197A}" name="Column6856" dataDxfId="19498" totalsRowDxfId="19497"/>
    <tableColumn id="6871" xr3:uid="{12C7282A-6490-474C-B4C7-F45C31A18507}" name="Column6857" dataDxfId="19496" totalsRowDxfId="19495"/>
    <tableColumn id="6872" xr3:uid="{3EFA1CB4-3997-41F0-B2DA-A6EEF405D478}" name="Column6858" dataDxfId="19494" totalsRowDxfId="19493"/>
    <tableColumn id="6873" xr3:uid="{57120C4E-A97A-4482-AE3F-BF0A81A1A501}" name="Column6859" dataDxfId="19492" totalsRowDxfId="19491"/>
    <tableColumn id="6874" xr3:uid="{2180AB6E-8C2D-40CF-978A-EBCC997C6CBE}" name="Column6860" dataDxfId="19490" totalsRowDxfId="19489"/>
    <tableColumn id="6875" xr3:uid="{2743F447-B028-438F-AC4C-B60CB5F77185}" name="Column6861" dataDxfId="19488" totalsRowDxfId="19487"/>
    <tableColumn id="6876" xr3:uid="{024A6F3D-1057-4B8B-A6C0-A94886FABC14}" name="Column6862" dataDxfId="19486" totalsRowDxfId="19485"/>
    <tableColumn id="6877" xr3:uid="{F820F640-8241-4FA2-A195-756E85DC09CE}" name="Column6863" dataDxfId="19484" totalsRowDxfId="19483"/>
    <tableColumn id="6878" xr3:uid="{3A454E86-FA1E-4FDB-BB97-0DA74D9FBD7E}" name="Column6864" dataDxfId="19482" totalsRowDxfId="19481"/>
    <tableColumn id="6879" xr3:uid="{0746BDF1-BF95-42CC-8681-4A0912716046}" name="Column6865" dataDxfId="19480" totalsRowDxfId="19479"/>
    <tableColumn id="6880" xr3:uid="{59D42693-747C-47A9-8F07-76B2BB32F0D0}" name="Column6866" dataDxfId="19478" totalsRowDxfId="19477"/>
    <tableColumn id="6881" xr3:uid="{45AEB3B0-4DF1-414F-8ACB-6853CEA0FF4A}" name="Column6867" dataDxfId="19476" totalsRowDxfId="19475"/>
    <tableColumn id="6882" xr3:uid="{9BC6092D-5A84-4D67-9051-C2CD083D1ED9}" name="Column6868" dataDxfId="19474" totalsRowDxfId="19473"/>
    <tableColumn id="6883" xr3:uid="{57C8E942-8AF5-4A6B-9C70-ECD2C8CB245D}" name="Column6869" dataDxfId="19472" totalsRowDxfId="19471"/>
    <tableColumn id="6884" xr3:uid="{08379606-0192-47C3-8A9D-2020FAB4C585}" name="Column6870" dataDxfId="19470" totalsRowDxfId="19469"/>
    <tableColumn id="6885" xr3:uid="{D6DB8CF4-3D3B-4D00-B40B-42CA9D7FF453}" name="Column6871" dataDxfId="19468" totalsRowDxfId="19467"/>
    <tableColumn id="6886" xr3:uid="{7350F7F3-F027-4C52-B9D9-1552F422A4AE}" name="Column6872" dataDxfId="19466" totalsRowDxfId="19465"/>
    <tableColumn id="6887" xr3:uid="{E0BDECDB-E0E9-4C21-A0BE-22DD9636781A}" name="Column6873" dataDxfId="19464" totalsRowDxfId="19463"/>
    <tableColumn id="6888" xr3:uid="{BA0BFA7B-1555-4468-A654-32FED6FE56A6}" name="Column6874" dataDxfId="19462" totalsRowDxfId="19461"/>
    <tableColumn id="6889" xr3:uid="{FC43B96F-69CA-478B-8148-409F62CF53C6}" name="Column6875" dataDxfId="19460" totalsRowDxfId="19459"/>
    <tableColumn id="6890" xr3:uid="{649B50F4-69AC-49AE-84FB-DC66CB100C76}" name="Column6876" dataDxfId="19458" totalsRowDxfId="19457"/>
    <tableColumn id="6891" xr3:uid="{749CC777-85AD-4C2C-B07A-AF9A2B0F15EB}" name="Column6877" dataDxfId="19456" totalsRowDxfId="19455"/>
    <tableColumn id="6892" xr3:uid="{674AEAF1-3BF8-437D-B2AE-BBFF877ED24E}" name="Column6878" dataDxfId="19454" totalsRowDxfId="19453"/>
    <tableColumn id="6893" xr3:uid="{E5CD41F2-0900-42F6-A20A-722947B8AEB5}" name="Column6879" dataDxfId="19452" totalsRowDxfId="19451"/>
    <tableColumn id="6894" xr3:uid="{6BA3FD2E-D646-4406-8D2D-2007DFDF918B}" name="Column6880" dataDxfId="19450" totalsRowDxfId="19449"/>
    <tableColumn id="6895" xr3:uid="{B015F76F-DE8E-4F65-899E-0DC850C56E65}" name="Column6881" dataDxfId="19448" totalsRowDxfId="19447"/>
    <tableColumn id="6896" xr3:uid="{ED430C3B-1BAD-485B-8D97-FF9A1E8E2822}" name="Column6882" dataDxfId="19446" totalsRowDxfId="19445"/>
    <tableColumn id="6897" xr3:uid="{F266AE5E-E331-4272-AD26-C11BE39F69D1}" name="Column6883" dataDxfId="19444" totalsRowDxfId="19443"/>
    <tableColumn id="6898" xr3:uid="{45A3C41B-8A16-496B-9F85-57B0A76A1F44}" name="Column6884" dataDxfId="19442" totalsRowDxfId="19441"/>
    <tableColumn id="6899" xr3:uid="{2021EAEB-EC71-46B1-B1CE-82001FDDA651}" name="Column6885" dataDxfId="19440" totalsRowDxfId="19439"/>
    <tableColumn id="6900" xr3:uid="{3AA3917A-1F14-4B65-8164-D1CA1D6B8E2C}" name="Column6886" dataDxfId="19438" totalsRowDxfId="19437"/>
    <tableColumn id="6901" xr3:uid="{FB34F85A-84F0-4A4C-A308-77A39EE1EDA6}" name="Column6887" dataDxfId="19436" totalsRowDxfId="19435"/>
    <tableColumn id="6902" xr3:uid="{FDEC737D-4039-4267-ADA3-5E78DF7AC77B}" name="Column6888" dataDxfId="19434" totalsRowDxfId="19433"/>
    <tableColumn id="6903" xr3:uid="{E06A5088-6C95-4252-88F5-57127C886E0F}" name="Column6889" dataDxfId="19432" totalsRowDxfId="19431"/>
    <tableColumn id="6904" xr3:uid="{D2FE562D-F6F4-4CA2-92BE-31C9A0C874E4}" name="Column6890" dataDxfId="19430" totalsRowDxfId="19429"/>
    <tableColumn id="6905" xr3:uid="{517F8419-3EB2-4511-B3A6-5787C09BEE63}" name="Column6891" dataDxfId="19428" totalsRowDxfId="19427"/>
    <tableColumn id="6906" xr3:uid="{922D0569-CB6A-43B7-876E-72D7AE4113C8}" name="Column6892" dataDxfId="19426" totalsRowDxfId="19425"/>
    <tableColumn id="6907" xr3:uid="{D803B859-B494-4C53-8DF8-E12AE106C563}" name="Column6893" dataDxfId="19424" totalsRowDxfId="19423"/>
    <tableColumn id="6908" xr3:uid="{23A5A537-75D3-44D6-9D70-3A9C7DD48AD0}" name="Column6894" dataDxfId="19422" totalsRowDxfId="19421"/>
    <tableColumn id="6909" xr3:uid="{10189C0B-97FE-430A-AB17-989B63363AE2}" name="Column6895" dataDxfId="19420" totalsRowDxfId="19419"/>
    <tableColumn id="6910" xr3:uid="{2305544E-8014-48B2-BAA6-47CA8920C3FA}" name="Column6896" dataDxfId="19418" totalsRowDxfId="19417"/>
    <tableColumn id="6911" xr3:uid="{4CB9A811-B316-4FA8-A8C9-AB73ACD4EC7B}" name="Column6897" dataDxfId="19416" totalsRowDxfId="19415"/>
    <tableColumn id="6912" xr3:uid="{611A2ADC-6BD3-4104-84E6-A78A3CBAD87A}" name="Column6898" dataDxfId="19414" totalsRowDxfId="19413"/>
    <tableColumn id="6913" xr3:uid="{D85E25B6-A4E3-4827-A1F4-09A57D18CEC0}" name="Column6899" dataDxfId="19412" totalsRowDxfId="19411"/>
    <tableColumn id="6914" xr3:uid="{D6B89D58-FE54-4616-B860-2288D51D3976}" name="Column6900" dataDxfId="19410" totalsRowDxfId="19409"/>
    <tableColumn id="6915" xr3:uid="{91A8C386-85B7-485D-A534-7CD9D5041BC0}" name="Column6901" dataDxfId="19408" totalsRowDxfId="19407"/>
    <tableColumn id="6916" xr3:uid="{8C798611-C4C0-4586-93CA-ADEE2CC21475}" name="Column6902" dataDxfId="19406" totalsRowDxfId="19405"/>
    <tableColumn id="6917" xr3:uid="{379939E9-F4A5-4E3F-A922-965E0C5B815E}" name="Column6903" dataDxfId="19404" totalsRowDxfId="19403"/>
    <tableColumn id="6918" xr3:uid="{B257C7F1-1074-4E7B-841E-9342F34001D6}" name="Column6904" dataDxfId="19402" totalsRowDxfId="19401"/>
    <tableColumn id="6919" xr3:uid="{7D1059E5-16D9-4EFB-9648-706EA85E2030}" name="Column6905" dataDxfId="19400" totalsRowDxfId="19399"/>
    <tableColumn id="6920" xr3:uid="{BE24BDEF-3879-494D-AD11-1B193650ECC4}" name="Column6906" dataDxfId="19398" totalsRowDxfId="19397"/>
    <tableColumn id="6921" xr3:uid="{15CE1F74-D3CD-4C1D-B8A4-F2F9554C8AD5}" name="Column6907" dataDxfId="19396" totalsRowDxfId="19395"/>
    <tableColumn id="6922" xr3:uid="{FAEEDDE8-A921-4E40-A251-96CBB5B1C142}" name="Column6908" dataDxfId="19394" totalsRowDxfId="19393"/>
    <tableColumn id="6923" xr3:uid="{4552E19B-EE70-43FF-A2EF-9D2156B9138B}" name="Column6909" dataDxfId="19392" totalsRowDxfId="19391"/>
    <tableColumn id="6924" xr3:uid="{13889CB8-0CB0-4819-9C0B-7FDA6BE1C694}" name="Column6910" dataDxfId="19390" totalsRowDxfId="19389"/>
    <tableColumn id="6925" xr3:uid="{4B1B5E33-4098-4437-8DF4-8D1060E3BEA1}" name="Column6911" dataDxfId="19388" totalsRowDxfId="19387"/>
    <tableColumn id="6926" xr3:uid="{6CB3EC24-8DD1-4B57-88CE-5E299A6B1CC6}" name="Column6912" dataDxfId="19386" totalsRowDxfId="19385"/>
    <tableColumn id="6927" xr3:uid="{C6CD9D92-ACA9-4E28-8B4F-B6D1A64C9D76}" name="Column6913" dataDxfId="19384" totalsRowDxfId="19383"/>
    <tableColumn id="6928" xr3:uid="{453135D4-29A8-42FD-87C4-91ADE39DB1A4}" name="Column6914" dataDxfId="19382" totalsRowDxfId="19381"/>
    <tableColumn id="6929" xr3:uid="{35AFC779-98E2-42F1-9222-90A5F8AF8468}" name="Column6915" dataDxfId="19380" totalsRowDxfId="19379"/>
    <tableColumn id="6930" xr3:uid="{98C752E8-D9E3-4764-B236-103CE22BE46A}" name="Column6916" dataDxfId="19378" totalsRowDxfId="19377"/>
    <tableColumn id="6931" xr3:uid="{74A7B3E0-40D4-48E2-A74F-FFCD46E4B1CF}" name="Column6917" dataDxfId="19376" totalsRowDxfId="19375"/>
    <tableColumn id="6932" xr3:uid="{643D0240-5B4B-40B0-9975-E11B8D73E886}" name="Column6918" dataDxfId="19374" totalsRowDxfId="19373"/>
    <tableColumn id="6933" xr3:uid="{F66A6CD9-8EA1-4769-9E62-46858EB27B77}" name="Column6919" dataDxfId="19372" totalsRowDxfId="19371"/>
    <tableColumn id="6934" xr3:uid="{0A5D87D7-4B74-4455-8701-300B22833785}" name="Column6920" dataDxfId="19370" totalsRowDxfId="19369"/>
    <tableColumn id="6935" xr3:uid="{1959FEFE-CBA1-48B9-AC4C-DC8CD8A95557}" name="Column6921" dataDxfId="19368" totalsRowDxfId="19367"/>
    <tableColumn id="6936" xr3:uid="{08C968F0-328F-4306-AAE6-6EBD55AB0174}" name="Column6922" dataDxfId="19366" totalsRowDxfId="19365"/>
    <tableColumn id="6937" xr3:uid="{9345F128-AED5-40C5-9BA0-71D5BCC1C568}" name="Column6923" dataDxfId="19364" totalsRowDxfId="19363"/>
    <tableColumn id="6938" xr3:uid="{2430B4BC-A030-4147-8465-B618C6750413}" name="Column6924" dataDxfId="19362" totalsRowDxfId="19361"/>
    <tableColumn id="6939" xr3:uid="{12FA65AA-E9FC-47E8-88EA-686E08833D94}" name="Column6925" dataDxfId="19360" totalsRowDxfId="19359"/>
    <tableColumn id="6940" xr3:uid="{81D07E22-D908-48D3-850A-7FC8DFC4ADD0}" name="Column6926" dataDxfId="19358" totalsRowDxfId="19357"/>
    <tableColumn id="6941" xr3:uid="{28696B72-7092-4EE4-9377-000BF9853C18}" name="Column6927" dataDxfId="19356" totalsRowDxfId="19355"/>
    <tableColumn id="6942" xr3:uid="{0FE33F4A-AC4B-4975-AFCC-94AC60967456}" name="Column6928" dataDxfId="19354" totalsRowDxfId="19353"/>
    <tableColumn id="6943" xr3:uid="{EAA4EC4A-66F8-435B-AD85-2FF0AF99AC9B}" name="Column6929" dataDxfId="19352" totalsRowDxfId="19351"/>
    <tableColumn id="6944" xr3:uid="{14E6D3BB-19ED-4429-982A-5363C66CE797}" name="Column6930" dataDxfId="19350" totalsRowDxfId="19349"/>
    <tableColumn id="6945" xr3:uid="{CCEC5946-AC22-4F32-A58C-5FA5620D2E72}" name="Column6931" dataDxfId="19348" totalsRowDxfId="19347"/>
    <tableColumn id="6946" xr3:uid="{BDB320DF-E154-4972-BC47-8113AB6C2464}" name="Column6932" dataDxfId="19346" totalsRowDxfId="19345"/>
    <tableColumn id="6947" xr3:uid="{3F7C057C-BB3F-4CC8-AFE8-03C5EC128C23}" name="Column6933" dataDxfId="19344" totalsRowDxfId="19343"/>
    <tableColumn id="6948" xr3:uid="{3C06BF51-4E93-410B-8790-19F9BAA6E491}" name="Column6934" dataDxfId="19342" totalsRowDxfId="19341"/>
    <tableColumn id="6949" xr3:uid="{FE9C81E1-34F4-4FEA-987A-31BDC629BB4D}" name="Column6935" dataDxfId="19340" totalsRowDxfId="19339"/>
    <tableColumn id="6950" xr3:uid="{58DCB1AA-F0CA-4486-89F3-880404979CA2}" name="Column6936" dataDxfId="19338" totalsRowDxfId="19337"/>
    <tableColumn id="6951" xr3:uid="{B6E8B03E-316E-4969-934D-7008A2FF8A1E}" name="Column6937" dataDxfId="19336" totalsRowDxfId="19335"/>
    <tableColumn id="6952" xr3:uid="{7BCEEA79-4FC0-4260-AA7B-29BC5CAFE228}" name="Column6938" dataDxfId="19334" totalsRowDxfId="19333"/>
    <tableColumn id="6953" xr3:uid="{8A8848DF-5BC4-4540-BED3-1692493ADDE8}" name="Column6939" dataDxfId="19332" totalsRowDxfId="19331"/>
    <tableColumn id="6954" xr3:uid="{3F89D6D4-E542-40F3-A67B-F310801306DB}" name="Column6940" dataDxfId="19330" totalsRowDxfId="19329"/>
    <tableColumn id="6955" xr3:uid="{A9E71CE0-E57E-4F49-9419-682A6A947520}" name="Column6941" dataDxfId="19328" totalsRowDxfId="19327"/>
    <tableColumn id="6956" xr3:uid="{FA46A783-47C4-403E-B21F-318A2EBA75FA}" name="Column6942" dataDxfId="19326" totalsRowDxfId="19325"/>
    <tableColumn id="6957" xr3:uid="{C7DB369D-F45C-480C-B1EA-3607DED51D6E}" name="Column6943" dataDxfId="19324" totalsRowDxfId="19323"/>
    <tableColumn id="6958" xr3:uid="{25FE53F1-E1A6-480C-A205-A3B69DA65BFF}" name="Column6944" dataDxfId="19322" totalsRowDxfId="19321"/>
    <tableColumn id="6959" xr3:uid="{31D5BC49-01ED-4175-8C37-7FAAB1DE5187}" name="Column6945" dataDxfId="19320" totalsRowDxfId="19319"/>
    <tableColumn id="6960" xr3:uid="{28B5AA15-D595-459D-ABB0-13C13C6840A4}" name="Column6946" dataDxfId="19318" totalsRowDxfId="19317"/>
    <tableColumn id="6961" xr3:uid="{4C4BBB14-8597-4B65-9A71-CE8A79532695}" name="Column6947" dataDxfId="19316" totalsRowDxfId="19315"/>
    <tableColumn id="6962" xr3:uid="{297E0D39-23B6-4E71-AB76-48FB5207A009}" name="Column6948" dataDxfId="19314" totalsRowDxfId="19313"/>
    <tableColumn id="6963" xr3:uid="{DC9172D1-11B5-413D-84FB-F44262A9C8BF}" name="Column6949" dataDxfId="19312" totalsRowDxfId="19311"/>
    <tableColumn id="6964" xr3:uid="{8F26D9D1-44D5-4EF4-B2FA-6DA380A877FD}" name="Column6950" dataDxfId="19310" totalsRowDxfId="19309"/>
    <tableColumn id="6965" xr3:uid="{B5EE6D80-DEDD-40F9-BED6-E21E27AA719F}" name="Column6951" dataDxfId="19308" totalsRowDxfId="19307"/>
    <tableColumn id="6966" xr3:uid="{E9CB4109-7798-4181-A914-4A2EAA21EF67}" name="Column6952" dataDxfId="19306" totalsRowDxfId="19305"/>
    <tableColumn id="6967" xr3:uid="{0B9DD534-94C3-4C7A-ADEC-F1B9A5875DFA}" name="Column6953" dataDxfId="19304" totalsRowDxfId="19303"/>
    <tableColumn id="6968" xr3:uid="{A64B32DF-C18C-4EA7-85F9-02E244165926}" name="Column6954" dataDxfId="19302" totalsRowDxfId="19301"/>
    <tableColumn id="6969" xr3:uid="{6FFF5CE6-3D0F-48BA-B93E-4289CFB290D7}" name="Column6955" dataDxfId="19300" totalsRowDxfId="19299"/>
    <tableColumn id="6970" xr3:uid="{253858E4-B00A-4A1C-9B10-BA0DC5FE3267}" name="Column6956" dataDxfId="19298" totalsRowDxfId="19297"/>
    <tableColumn id="6971" xr3:uid="{290587F9-B003-480E-A1C1-1C67C3567525}" name="Column6957" dataDxfId="19296" totalsRowDxfId="19295"/>
    <tableColumn id="6972" xr3:uid="{18938966-1144-4CC7-B57D-F5B2EE73EF03}" name="Column6958" dataDxfId="19294" totalsRowDxfId="19293"/>
    <tableColumn id="6973" xr3:uid="{BC544965-444B-42A6-8BE7-21840693A2C3}" name="Column6959" dataDxfId="19292" totalsRowDxfId="19291"/>
    <tableColumn id="6974" xr3:uid="{0C33EC84-86A1-4FE5-951F-694062E014FB}" name="Column6960" dataDxfId="19290" totalsRowDxfId="19289"/>
    <tableColumn id="6975" xr3:uid="{4FF0916B-300D-47B1-8BE4-A331DA51072D}" name="Column6961" dataDxfId="19288" totalsRowDxfId="19287"/>
    <tableColumn id="6976" xr3:uid="{5E5165A8-E5F1-4769-AD58-B47A94169AC7}" name="Column6962" dataDxfId="19286" totalsRowDxfId="19285"/>
    <tableColumn id="6977" xr3:uid="{22400B6E-CEE1-4B9B-8403-C1D2DA8D6D98}" name="Column6963" dataDxfId="19284" totalsRowDxfId="19283"/>
    <tableColumn id="6978" xr3:uid="{855B642E-5B20-4125-B29C-75E073F02323}" name="Column6964" dataDxfId="19282" totalsRowDxfId="19281"/>
    <tableColumn id="6979" xr3:uid="{593C580F-78A8-4EA8-A840-17B9C47A5EA4}" name="Column6965" dataDxfId="19280" totalsRowDxfId="19279"/>
    <tableColumn id="6980" xr3:uid="{1B160520-BAAD-4214-8CA9-E8BD715883D7}" name="Column6966" dataDxfId="19278" totalsRowDxfId="19277"/>
    <tableColumn id="6981" xr3:uid="{42B612D2-F623-484C-B8B3-34CD809F0743}" name="Column6967" dataDxfId="19276" totalsRowDxfId="19275"/>
    <tableColumn id="6982" xr3:uid="{1897E076-3E1B-4DAB-A3E3-835F2B84F615}" name="Column6968" dataDxfId="19274" totalsRowDxfId="19273"/>
    <tableColumn id="6983" xr3:uid="{295B8F62-E643-4CAA-9976-F09BA4C29355}" name="Column6969" dataDxfId="19272" totalsRowDxfId="19271"/>
    <tableColumn id="6984" xr3:uid="{76C51177-D7F2-4253-8D75-F908D63CB7BD}" name="Column6970" dataDxfId="19270" totalsRowDxfId="19269"/>
    <tableColumn id="6985" xr3:uid="{C3FB5BB9-D5C7-4F42-8428-0BD121D40336}" name="Column6971" dataDxfId="19268" totalsRowDxfId="19267"/>
    <tableColumn id="6986" xr3:uid="{688FB3D5-6CB6-410A-9B12-AF9C5751CE7F}" name="Column6972" dataDxfId="19266" totalsRowDxfId="19265"/>
    <tableColumn id="6987" xr3:uid="{8AF42852-3A36-4A6C-AB88-89C655D1A774}" name="Column6973" dataDxfId="19264" totalsRowDxfId="19263"/>
    <tableColumn id="6988" xr3:uid="{19D845C4-1392-4390-9CC9-7B0E2BB994FB}" name="Column6974" dataDxfId="19262" totalsRowDxfId="19261"/>
    <tableColumn id="6989" xr3:uid="{474A2561-605F-44CD-B6FA-71AF5056DD7C}" name="Column6975" dataDxfId="19260" totalsRowDxfId="19259"/>
    <tableColumn id="6990" xr3:uid="{A1C6E1A6-80D0-4643-807B-35744D06FC31}" name="Column6976" dataDxfId="19258" totalsRowDxfId="19257"/>
    <tableColumn id="6991" xr3:uid="{31DB5BF9-30ED-4060-8B5B-9448DB61E346}" name="Column6977" dataDxfId="19256" totalsRowDxfId="19255"/>
    <tableColumn id="6992" xr3:uid="{1246672A-F8F4-41DF-BE80-F93AD31F9E01}" name="Column6978" dataDxfId="19254" totalsRowDxfId="19253"/>
    <tableColumn id="6993" xr3:uid="{80C202F7-644F-478B-A448-222BCC41377A}" name="Column6979" dataDxfId="19252" totalsRowDxfId="19251"/>
    <tableColumn id="6994" xr3:uid="{707BAD4E-B4CB-47AE-8924-AFF8865728E8}" name="Column6980" dataDxfId="19250" totalsRowDxfId="19249"/>
    <tableColumn id="6995" xr3:uid="{0828EA26-4950-4C64-BA70-299FF44A88E9}" name="Column6981" dataDxfId="19248" totalsRowDxfId="19247"/>
    <tableColumn id="6996" xr3:uid="{2848CC79-D4FA-43A8-A3AE-E7531F920520}" name="Column6982" dataDxfId="19246" totalsRowDxfId="19245"/>
    <tableColumn id="6997" xr3:uid="{25D93CAD-AC7E-4B52-9B18-2CA49EBC0834}" name="Column6983" dataDxfId="19244" totalsRowDxfId="19243"/>
    <tableColumn id="6998" xr3:uid="{89155EAE-47CC-4D08-80CC-64DFB2B8B16A}" name="Column6984" dataDxfId="19242" totalsRowDxfId="19241"/>
    <tableColumn id="6999" xr3:uid="{67454B12-6E79-4F80-ADE0-F3D8E7945FBC}" name="Column6985" dataDxfId="19240" totalsRowDxfId="19239"/>
    <tableColumn id="7000" xr3:uid="{DF83AFB9-8341-43CE-95F5-C925B31819AA}" name="Column6986" dataDxfId="19238" totalsRowDxfId="19237"/>
    <tableColumn id="7001" xr3:uid="{C88ADB85-05AE-4EDF-9A56-0809C7E2A650}" name="Column6987" dataDxfId="19236" totalsRowDxfId="19235"/>
    <tableColumn id="7002" xr3:uid="{F6991034-B869-49C3-BDB9-030FB5B5DE2A}" name="Column6988" dataDxfId="19234" totalsRowDxfId="19233"/>
    <tableColumn id="7003" xr3:uid="{7F3E8862-92CB-4C33-8FAA-24D675F962DF}" name="Column6989" dataDxfId="19232" totalsRowDxfId="19231"/>
    <tableColumn id="7004" xr3:uid="{44CA4D45-39CE-45A2-A1BC-466EDC6B0086}" name="Column6990" dataDxfId="19230" totalsRowDxfId="19229"/>
    <tableColumn id="7005" xr3:uid="{CCB08DB0-724E-4561-9A43-48935AD46392}" name="Column6991" dataDxfId="19228" totalsRowDxfId="19227"/>
    <tableColumn id="7006" xr3:uid="{21ABD07F-50B9-4D35-91C1-086E73CBB03E}" name="Column6992" dataDxfId="19226" totalsRowDxfId="19225"/>
    <tableColumn id="7007" xr3:uid="{022236E0-8260-42A6-8310-790AE929B4E6}" name="Column6993" dataDxfId="19224" totalsRowDxfId="19223"/>
    <tableColumn id="7008" xr3:uid="{ED9C4B56-2E12-4DFB-B78B-C6E99CC3D77C}" name="Column6994" dataDxfId="19222" totalsRowDxfId="19221"/>
    <tableColumn id="7009" xr3:uid="{D70AB1FD-BDA5-4C6C-B0E1-8C8CDFF91634}" name="Column6995" dataDxfId="19220" totalsRowDxfId="19219"/>
    <tableColumn id="7010" xr3:uid="{15C3055A-89B0-451F-8C7D-BBDC2A921D7C}" name="Column6996" dataDxfId="19218" totalsRowDxfId="19217"/>
    <tableColumn id="7011" xr3:uid="{2C924C2E-F47B-46D1-A4A8-2943686D7BE5}" name="Column6997" dataDxfId="19216" totalsRowDxfId="19215"/>
    <tableColumn id="7012" xr3:uid="{133EAA74-F76F-456C-AF46-9448AA471BEB}" name="Column6998" dataDxfId="19214" totalsRowDxfId="19213"/>
    <tableColumn id="7013" xr3:uid="{959DE6F0-4981-4633-B00A-E8E0F8AFC353}" name="Column6999" dataDxfId="19212" totalsRowDxfId="19211"/>
    <tableColumn id="7014" xr3:uid="{9E24F5FF-74E5-43DF-9586-8320BB5A684F}" name="Column7000" dataDxfId="19210" totalsRowDxfId="19209"/>
    <tableColumn id="7015" xr3:uid="{06194DEB-D5D6-486E-AC07-03EEDDE9A245}" name="Column7001" dataDxfId="19208" totalsRowDxfId="19207"/>
    <tableColumn id="7016" xr3:uid="{CC16A332-A426-4C41-B7F6-E5AA95C2AA09}" name="Column7002" dataDxfId="19206" totalsRowDxfId="19205"/>
    <tableColumn id="7017" xr3:uid="{AC29384D-B89B-4DA1-82AA-2241A8070D25}" name="Column7003" dataDxfId="19204" totalsRowDxfId="19203"/>
    <tableColumn id="7018" xr3:uid="{30F151F3-3B43-4E86-B413-66DCE15199EC}" name="Column7004" dataDxfId="19202" totalsRowDxfId="19201"/>
    <tableColumn id="7019" xr3:uid="{A64CFFFB-8FE9-4E57-90B4-E3813C087D4F}" name="Column7005" dataDxfId="19200" totalsRowDxfId="19199"/>
    <tableColumn id="7020" xr3:uid="{A57DEBF8-0319-46D4-9173-309026AECB3A}" name="Column7006" dataDxfId="19198" totalsRowDxfId="19197"/>
    <tableColumn id="7021" xr3:uid="{3E022FC5-1287-49D0-AB35-291DDA4EA632}" name="Column7007" dataDxfId="19196" totalsRowDxfId="19195"/>
    <tableColumn id="7022" xr3:uid="{21D96BB5-999C-4543-AD24-B9B548886602}" name="Column7008" dataDxfId="19194" totalsRowDxfId="19193"/>
    <tableColumn id="7023" xr3:uid="{2A2AA35D-CC46-4E2A-9DDA-EEE9995E7C0C}" name="Column7009" dataDxfId="19192" totalsRowDxfId="19191"/>
    <tableColumn id="7024" xr3:uid="{E8C226E0-3BA7-4F23-8190-031D06A4B379}" name="Column7010" dataDxfId="19190" totalsRowDxfId="19189"/>
    <tableColumn id="7025" xr3:uid="{27B19CC4-9072-43D2-8498-7E1C729213F9}" name="Column7011" dataDxfId="19188" totalsRowDxfId="19187"/>
    <tableColumn id="7026" xr3:uid="{8C1A4F58-A3D8-419B-B54C-B95AFFE79B08}" name="Column7012" dataDxfId="19186" totalsRowDxfId="19185"/>
    <tableColumn id="7027" xr3:uid="{1BD87DA7-5C17-43A5-839D-FBF3F2D7C173}" name="Column7013" dataDxfId="19184" totalsRowDxfId="19183"/>
    <tableColumn id="7028" xr3:uid="{793E7985-AFA0-4C2F-BE0E-10256EF24262}" name="Column7014" dataDxfId="19182" totalsRowDxfId="19181"/>
    <tableColumn id="7029" xr3:uid="{4B70A358-A0A5-4DC5-B4C3-26E62BED129E}" name="Column7015" dataDxfId="19180" totalsRowDxfId="19179"/>
    <tableColumn id="7030" xr3:uid="{B108575A-174B-4422-ABDD-E2FCBE108036}" name="Column7016" dataDxfId="19178" totalsRowDxfId="19177"/>
    <tableColumn id="7031" xr3:uid="{CFC9FAB5-7BF6-4EAC-BE4B-7D60A269D8DB}" name="Column7017" dataDxfId="19176" totalsRowDxfId="19175"/>
    <tableColumn id="7032" xr3:uid="{DA80CCF2-5DC1-40E6-9412-77A3489941EB}" name="Column7018" dataDxfId="19174" totalsRowDxfId="19173"/>
    <tableColumn id="7033" xr3:uid="{38B2D801-7072-4924-9E54-AC44253D1386}" name="Column7019" dataDxfId="19172" totalsRowDxfId="19171"/>
    <tableColumn id="7034" xr3:uid="{91E744CA-202C-4389-92A9-EC5B936A3D14}" name="Column7020" dataDxfId="19170" totalsRowDxfId="19169"/>
    <tableColumn id="7035" xr3:uid="{D26201CA-8331-4879-98E0-EA9BB8D5A8D9}" name="Column7021" dataDxfId="19168" totalsRowDxfId="19167"/>
    <tableColumn id="7036" xr3:uid="{3401E0D5-64A4-4B48-83AC-A107D43A9F36}" name="Column7022" dataDxfId="19166" totalsRowDxfId="19165"/>
    <tableColumn id="7037" xr3:uid="{F288C2A9-0FF9-48A2-B33A-E7DF6486D9E3}" name="Column7023" dataDxfId="19164" totalsRowDxfId="19163"/>
    <tableColumn id="7038" xr3:uid="{E05620F1-4425-46E5-8CB8-095D2C2ABB81}" name="Column7024" dataDxfId="19162" totalsRowDxfId="19161"/>
    <tableColumn id="7039" xr3:uid="{FABF28F7-B66B-489E-91AE-0971906048AE}" name="Column7025" dataDxfId="19160" totalsRowDxfId="19159"/>
    <tableColumn id="7040" xr3:uid="{0F435357-4B00-4CE1-A77C-E451FE5F3E73}" name="Column7026" dataDxfId="19158" totalsRowDxfId="19157"/>
    <tableColumn id="7041" xr3:uid="{6053E4B5-060A-4D60-B5B8-2777091CF807}" name="Column7027" dataDxfId="19156" totalsRowDxfId="19155"/>
    <tableColumn id="7042" xr3:uid="{CC11D996-48FA-40FD-9F5E-8600BC2F1686}" name="Column7028" dataDxfId="19154" totalsRowDxfId="19153"/>
    <tableColumn id="7043" xr3:uid="{2F19A36E-B860-4522-B76B-AA02DA7E60EC}" name="Column7029" dataDxfId="19152" totalsRowDxfId="19151"/>
    <tableColumn id="7044" xr3:uid="{8A1DAA14-9323-4C5A-9C18-E9970FE98DE9}" name="Column7030" dataDxfId="19150" totalsRowDxfId="19149"/>
    <tableColumn id="7045" xr3:uid="{0DCB2470-FDFA-49F1-8DEE-4C2B74F84B23}" name="Column7031" dataDxfId="19148" totalsRowDxfId="19147"/>
    <tableColumn id="7046" xr3:uid="{67000CA5-687D-401D-9C22-354F68FDD20C}" name="Column7032" dataDxfId="19146" totalsRowDxfId="19145"/>
    <tableColumn id="7047" xr3:uid="{7439C102-F457-44BA-95FF-28A6F73CB48D}" name="Column7033" dataDxfId="19144" totalsRowDxfId="19143"/>
    <tableColumn id="7048" xr3:uid="{987E112A-0A19-4D37-8D0B-673A4AD79D25}" name="Column7034" dataDxfId="19142" totalsRowDxfId="19141"/>
    <tableColumn id="7049" xr3:uid="{052C5FCF-2841-499E-8E63-102F5551EE50}" name="Column7035" dataDxfId="19140" totalsRowDxfId="19139"/>
    <tableColumn id="7050" xr3:uid="{393B7254-3FA5-422A-822C-E558B6EAA69B}" name="Column7036" dataDxfId="19138" totalsRowDxfId="19137"/>
    <tableColumn id="7051" xr3:uid="{75B84573-EB2C-4D4E-879E-8AA395179FB5}" name="Column7037" dataDxfId="19136" totalsRowDxfId="19135"/>
    <tableColumn id="7052" xr3:uid="{81DD5962-5F9F-4AD6-981A-05BC8E4E2407}" name="Column7038" dataDxfId="19134" totalsRowDxfId="19133"/>
    <tableColumn id="7053" xr3:uid="{681DE189-F185-47AE-A4FF-6F43A60386F6}" name="Column7039" dataDxfId="19132" totalsRowDxfId="19131"/>
    <tableColumn id="7054" xr3:uid="{AB499FE6-9319-4CA8-8023-C06AA2F02DCA}" name="Column7040" dataDxfId="19130" totalsRowDxfId="19129"/>
    <tableColumn id="7055" xr3:uid="{09072395-CBA3-4D4A-B61D-B804653D85B1}" name="Column7041" dataDxfId="19128" totalsRowDxfId="19127"/>
    <tableColumn id="7056" xr3:uid="{95A2B162-3066-44EA-AEEB-008F625B795F}" name="Column7042" dataDxfId="19126" totalsRowDxfId="19125"/>
    <tableColumn id="7057" xr3:uid="{BF831EB8-70C0-456A-8F4F-E9623EAC1EFC}" name="Column7043" dataDxfId="19124" totalsRowDxfId="19123"/>
    <tableColumn id="7058" xr3:uid="{7512EE14-A9E3-4068-9554-EC9FD760D23D}" name="Column7044" dataDxfId="19122" totalsRowDxfId="19121"/>
    <tableColumn id="7059" xr3:uid="{3CE97673-95CC-4A8A-8C22-F8065A0ECF29}" name="Column7045" dataDxfId="19120" totalsRowDxfId="19119"/>
    <tableColumn id="7060" xr3:uid="{32703BD6-8642-4254-A043-1E0DF8D58A97}" name="Column7046" dataDxfId="19118" totalsRowDxfId="19117"/>
    <tableColumn id="7061" xr3:uid="{BAD5D9D2-2F0C-41CA-ADE7-7E488A6F0BF8}" name="Column7047" dataDxfId="19116" totalsRowDxfId="19115"/>
    <tableColumn id="7062" xr3:uid="{D902EC42-76BB-4C1E-91D8-02F090E13305}" name="Column7048" dataDxfId="19114" totalsRowDxfId="19113"/>
    <tableColumn id="7063" xr3:uid="{30073CD3-9CDF-4894-AFFF-2CBE39011CA0}" name="Column7049" dataDxfId="19112" totalsRowDxfId="19111"/>
    <tableColumn id="7064" xr3:uid="{E7C2E4A5-A0CB-45EB-A2AB-DC1AD20984FB}" name="Column7050" dataDxfId="19110" totalsRowDxfId="19109"/>
    <tableColumn id="7065" xr3:uid="{85CF58FA-80F0-48EF-9E99-570E163D44D6}" name="Column7051" dataDxfId="19108" totalsRowDxfId="19107"/>
    <tableColumn id="7066" xr3:uid="{67546F37-8AE3-427B-8C7D-FD420A1A21D8}" name="Column7052" dataDxfId="19106" totalsRowDxfId="19105"/>
    <tableColumn id="7067" xr3:uid="{FF502D5C-193C-4220-BF16-BA0C802B3716}" name="Column7053" dataDxfId="19104" totalsRowDxfId="19103"/>
    <tableColumn id="7068" xr3:uid="{74611982-592E-4AF9-BCE5-709DB157DD3C}" name="Column7054" dataDxfId="19102" totalsRowDxfId="19101"/>
    <tableColumn id="7069" xr3:uid="{915F789E-EB91-4556-85C6-D41938AB0A8F}" name="Column7055" dataDxfId="19100" totalsRowDxfId="19099"/>
    <tableColumn id="7070" xr3:uid="{BABAE4EA-E618-4432-A589-ACC380B14F7F}" name="Column7056" dataDxfId="19098" totalsRowDxfId="19097"/>
    <tableColumn id="7071" xr3:uid="{0DA0CE0E-7615-471F-9E07-2B071176961C}" name="Column7057" dataDxfId="19096" totalsRowDxfId="19095"/>
    <tableColumn id="7072" xr3:uid="{A50FB2AE-B40C-4163-8528-E41E24D6A45A}" name="Column7058" dataDxfId="19094" totalsRowDxfId="19093"/>
    <tableColumn id="7073" xr3:uid="{B9DAE5A2-D9CD-4C2F-997E-8ED44B63688E}" name="Column7059" dataDxfId="19092" totalsRowDxfId="19091"/>
    <tableColumn id="7074" xr3:uid="{A910F595-FC7C-4F2E-B02F-95EFEC3D8F7F}" name="Column7060" dataDxfId="19090" totalsRowDxfId="19089"/>
    <tableColumn id="7075" xr3:uid="{E61ED1D0-3580-4B53-978E-4FD7C4E800C1}" name="Column7061" dataDxfId="19088" totalsRowDxfId="19087"/>
    <tableColumn id="7076" xr3:uid="{AF6B899F-022E-4F39-861F-80A28006818B}" name="Column7062" dataDxfId="19086" totalsRowDxfId="19085"/>
    <tableColumn id="7077" xr3:uid="{45CCDF05-1F36-4775-B91E-117032BC0BB1}" name="Column7063" dataDxfId="19084" totalsRowDxfId="19083"/>
    <tableColumn id="7078" xr3:uid="{71255E1E-03FA-443C-9690-1940D1B22AAF}" name="Column7064" dataDxfId="19082" totalsRowDxfId="19081"/>
    <tableColumn id="7079" xr3:uid="{93344105-06F9-4C80-ABE0-9BAA23B5E458}" name="Column7065" dataDxfId="19080" totalsRowDxfId="19079"/>
    <tableColumn id="7080" xr3:uid="{7B0D6ECE-861A-4DA4-9744-69FC581A8387}" name="Column7066" dataDxfId="19078" totalsRowDxfId="19077"/>
    <tableColumn id="7081" xr3:uid="{5A4A0EC7-109A-44A1-9D2A-883BA944351B}" name="Column7067" dataDxfId="19076" totalsRowDxfId="19075"/>
    <tableColumn id="7082" xr3:uid="{80CB7FF1-7F03-4540-AEED-F747B7C98897}" name="Column7068" dataDxfId="19074" totalsRowDxfId="19073"/>
    <tableColumn id="7083" xr3:uid="{DA752161-7D20-416C-8668-E2FA137CDE6E}" name="Column7069" dataDxfId="19072" totalsRowDxfId="19071"/>
    <tableColumn id="7084" xr3:uid="{557776C3-8E45-493C-8465-27E66D0A230F}" name="Column7070" dataDxfId="19070" totalsRowDxfId="19069"/>
    <tableColumn id="7085" xr3:uid="{D430461E-046B-4F85-BA4A-FB65BDB2F5FD}" name="Column7071" dataDxfId="19068" totalsRowDxfId="19067"/>
    <tableColumn id="7086" xr3:uid="{8AC7F3BD-5B84-4A75-B85B-0608643E6765}" name="Column7072" dataDxfId="19066" totalsRowDxfId="19065"/>
    <tableColumn id="7087" xr3:uid="{3C01777A-888B-46FA-8C07-2DB67031498D}" name="Column7073" dataDxfId="19064" totalsRowDxfId="19063"/>
    <tableColumn id="7088" xr3:uid="{0687D8F8-348A-4AD9-A2A8-34904732AD32}" name="Column7074" dataDxfId="19062" totalsRowDxfId="19061"/>
    <tableColumn id="7089" xr3:uid="{86697C24-1580-4336-9B96-AB0563A3EE85}" name="Column7075" dataDxfId="19060" totalsRowDxfId="19059"/>
    <tableColumn id="7090" xr3:uid="{AE60DCA0-3235-4731-AC12-78CBB4A884B2}" name="Column7076" dataDxfId="19058" totalsRowDxfId="19057"/>
    <tableColumn id="7091" xr3:uid="{86EAB626-E666-4DD0-92D5-8044949ED1BD}" name="Column7077" dataDxfId="19056" totalsRowDxfId="19055"/>
    <tableColumn id="7092" xr3:uid="{E1728249-9114-465C-8A53-987B55893D43}" name="Column7078" dataDxfId="19054" totalsRowDxfId="19053"/>
    <tableColumn id="7093" xr3:uid="{BFB20255-4E13-49F3-B933-6F1C008D1AAF}" name="Column7079" dataDxfId="19052" totalsRowDxfId="19051"/>
    <tableColumn id="7094" xr3:uid="{2F1A0F6C-EF56-4FBB-83EB-9D5BF73CBF66}" name="Column7080" dataDxfId="19050" totalsRowDxfId="19049"/>
    <tableColumn id="7095" xr3:uid="{6ECD7307-8216-4A83-ADF7-0C40D18AE780}" name="Column7081" dataDxfId="19048" totalsRowDxfId="19047"/>
    <tableColumn id="7096" xr3:uid="{946A6BD1-B241-4E7C-AAE4-F26D38E57A1F}" name="Column7082" dataDxfId="19046" totalsRowDxfId="19045"/>
    <tableColumn id="7097" xr3:uid="{74A00E0F-0925-4E76-8FB5-38921E17C4E3}" name="Column7083" dataDxfId="19044" totalsRowDxfId="19043"/>
    <tableColumn id="7098" xr3:uid="{33CD6C05-D5D8-4EAC-9E6B-896F7C4FA0C5}" name="Column7084" dataDxfId="19042" totalsRowDxfId="19041"/>
    <tableColumn id="7099" xr3:uid="{781E9780-AE31-4B87-80A2-CB6CBB884023}" name="Column7085" dataDxfId="19040" totalsRowDxfId="19039"/>
    <tableColumn id="7100" xr3:uid="{FA852CF2-400C-4776-B97B-3DD3ED62B46D}" name="Column7086" dataDxfId="19038" totalsRowDxfId="19037"/>
    <tableColumn id="7101" xr3:uid="{DCC105B2-31FB-4950-AB89-BD879C382B3A}" name="Column7087" dataDxfId="19036" totalsRowDxfId="19035"/>
    <tableColumn id="7102" xr3:uid="{DE89236F-6849-4652-98AB-6692BA477116}" name="Column7088" dataDxfId="19034" totalsRowDxfId="19033"/>
    <tableColumn id="7103" xr3:uid="{B724664C-C2C0-4D35-AAFC-3E8D85BACBC9}" name="Column7089" dataDxfId="19032" totalsRowDxfId="19031"/>
    <tableColumn id="7104" xr3:uid="{368505A9-1A11-4411-BE17-D45858C9BD71}" name="Column7090" dataDxfId="19030" totalsRowDxfId="19029"/>
    <tableColumn id="7105" xr3:uid="{A5CD9599-2098-42EC-AD12-2E91284ACDC2}" name="Column7091" dataDxfId="19028" totalsRowDxfId="19027"/>
    <tableColumn id="7106" xr3:uid="{4B8E95E5-87A9-4381-A43A-795617AB51B3}" name="Column7092" dataDxfId="19026" totalsRowDxfId="19025"/>
    <tableColumn id="7107" xr3:uid="{B90CB218-B08A-40DF-B4CB-0DBBEED397A0}" name="Column7093" dataDxfId="19024" totalsRowDxfId="19023"/>
    <tableColumn id="7108" xr3:uid="{F35A6B04-7883-4E5A-9DD5-38F110A4F7BC}" name="Column7094" dataDxfId="19022" totalsRowDxfId="19021"/>
    <tableColumn id="7109" xr3:uid="{4A79E7A7-FD05-42FC-AB01-96F8D54BB04E}" name="Column7095" dataDxfId="19020" totalsRowDxfId="19019"/>
    <tableColumn id="7110" xr3:uid="{A9133F3C-EDC9-4C3B-8D92-8FDFE6BE62BB}" name="Column7096" dataDxfId="19018" totalsRowDxfId="19017"/>
    <tableColumn id="7111" xr3:uid="{D8821BDA-74B3-426F-A16F-81B0535F4D61}" name="Column7097" dataDxfId="19016" totalsRowDxfId="19015"/>
    <tableColumn id="7112" xr3:uid="{B289D5F6-37C0-49B8-BF97-440CC08801F3}" name="Column7098" dataDxfId="19014" totalsRowDxfId="19013"/>
    <tableColumn id="7113" xr3:uid="{1E632F72-F43D-4D21-BC00-A62157A2607E}" name="Column7099" dataDxfId="19012" totalsRowDxfId="19011"/>
    <tableColumn id="7114" xr3:uid="{43237A16-4E4C-43F7-91E2-5C0F20AF8CDF}" name="Column7100" dataDxfId="19010" totalsRowDxfId="19009"/>
    <tableColumn id="7115" xr3:uid="{9AF38696-4385-439B-A0AE-FC6CB8E7E0A2}" name="Column7101" dataDxfId="19008" totalsRowDxfId="19007"/>
    <tableColumn id="7116" xr3:uid="{67268ACA-64D9-4167-B813-B5941E4DF940}" name="Column7102" dataDxfId="19006" totalsRowDxfId="19005"/>
    <tableColumn id="7117" xr3:uid="{6A2D9970-384C-4CB1-AAEA-E2B06BBE4E1C}" name="Column7103" dataDxfId="19004" totalsRowDxfId="19003"/>
    <tableColumn id="7118" xr3:uid="{41EAB10C-DCBB-4EF9-B6A1-25D691DC9C45}" name="Column7104" dataDxfId="19002" totalsRowDxfId="19001"/>
    <tableColumn id="7119" xr3:uid="{D2DAD722-A02A-443B-AE84-46C50AD957D4}" name="Column7105" dataDxfId="19000" totalsRowDxfId="18999"/>
    <tableColumn id="7120" xr3:uid="{8677970F-E8BA-47A2-AF3F-8A35F292E007}" name="Column7106" dataDxfId="18998" totalsRowDxfId="18997"/>
    <tableColumn id="7121" xr3:uid="{F8B8588F-5D51-43A2-8382-C692EBEF2DFA}" name="Column7107" dataDxfId="18996" totalsRowDxfId="18995"/>
    <tableColumn id="7122" xr3:uid="{987C053B-6C0D-49C7-B4E4-537A8783EBD1}" name="Column7108" dataDxfId="18994" totalsRowDxfId="18993"/>
    <tableColumn id="7123" xr3:uid="{FB22371E-50EB-4D5A-88A2-5C442CDB62BC}" name="Column7109" dataDxfId="18992" totalsRowDxfId="18991"/>
    <tableColumn id="7124" xr3:uid="{94D61043-9304-4160-B10B-A368F39837E3}" name="Column7110" dataDxfId="18990" totalsRowDxfId="18989"/>
    <tableColumn id="7125" xr3:uid="{25D8C39D-40E7-40DF-B480-6B516DD032F4}" name="Column7111" dataDxfId="18988" totalsRowDxfId="18987"/>
    <tableColumn id="7126" xr3:uid="{9D95DC6C-7B66-41FD-8910-B89C359F3330}" name="Column7112" dataDxfId="18986" totalsRowDxfId="18985"/>
    <tableColumn id="7127" xr3:uid="{CCEF5DE3-6AAF-4CE0-B2FD-BBB484699174}" name="Column7113" dataDxfId="18984" totalsRowDxfId="18983"/>
    <tableColumn id="7128" xr3:uid="{0857D5A9-797C-4A04-8DB4-25DF9CF9518D}" name="Column7114" dataDxfId="18982" totalsRowDxfId="18981"/>
    <tableColumn id="7129" xr3:uid="{A79B2854-B58A-450E-8EBF-407BC32F4D12}" name="Column7115" dataDxfId="18980" totalsRowDxfId="18979"/>
    <tableColumn id="7130" xr3:uid="{A3659FC2-0193-490C-843D-F949435B4831}" name="Column7116" dataDxfId="18978" totalsRowDxfId="18977"/>
    <tableColumn id="7131" xr3:uid="{081BC994-182F-48EE-96B0-C69AC3169B06}" name="Column7117" dataDxfId="18976" totalsRowDxfId="18975"/>
    <tableColumn id="7132" xr3:uid="{3699D520-A640-4A6E-A547-9EE0B54BF87B}" name="Column7118" dataDxfId="18974" totalsRowDxfId="18973"/>
    <tableColumn id="7133" xr3:uid="{62B78442-F7E3-43D3-BABF-4018D951A1ED}" name="Column7119" dataDxfId="18972" totalsRowDxfId="18971"/>
    <tableColumn id="7134" xr3:uid="{6883C64F-83C9-4E90-BB42-95A4FA4352BD}" name="Column7120" dataDxfId="18970" totalsRowDxfId="18969"/>
    <tableColumn id="7135" xr3:uid="{9B4374C2-657E-4D40-9E31-2CD6BB99F526}" name="Column7121" dataDxfId="18968" totalsRowDxfId="18967"/>
    <tableColumn id="7136" xr3:uid="{0B14E46C-DC42-4945-9D21-4CFD28E9237F}" name="Column7122" dataDxfId="18966" totalsRowDxfId="18965"/>
    <tableColumn id="7137" xr3:uid="{6C19ED20-12EA-4689-A815-7A89FF7C5280}" name="Column7123" dataDxfId="18964" totalsRowDxfId="18963"/>
    <tableColumn id="7138" xr3:uid="{522E3D5D-6EE7-4CD7-A260-8AA2205C83E9}" name="Column7124" dataDxfId="18962" totalsRowDxfId="18961"/>
    <tableColumn id="7139" xr3:uid="{2AB6E472-15EF-400C-A851-B738C608FFE7}" name="Column7125" dataDxfId="18960" totalsRowDxfId="18959"/>
    <tableColumn id="7140" xr3:uid="{5D13222F-460F-4F4E-87A4-CEDE7B2E9D3C}" name="Column7126" dataDxfId="18958" totalsRowDxfId="18957"/>
    <tableColumn id="7141" xr3:uid="{DC9658B7-261E-4382-9B8A-BEB6A436270A}" name="Column7127" dataDxfId="18956" totalsRowDxfId="18955"/>
    <tableColumn id="7142" xr3:uid="{95A6F49C-6E4A-40C1-866D-DF0429580D20}" name="Column7128" dataDxfId="18954" totalsRowDxfId="18953"/>
    <tableColumn id="7143" xr3:uid="{5B60305A-020A-4F20-A0E7-B3678352311C}" name="Column7129" dataDxfId="18952" totalsRowDxfId="18951"/>
    <tableColumn id="7144" xr3:uid="{C7848FC6-31C1-4ECB-82BB-D4697B58F350}" name="Column7130" dataDxfId="18950" totalsRowDxfId="18949"/>
    <tableColumn id="7145" xr3:uid="{E50CE9A5-B489-4CFA-A47B-A28D84B26EEB}" name="Column7131" dataDxfId="18948" totalsRowDxfId="18947"/>
    <tableColumn id="7146" xr3:uid="{DDCFD22F-A19A-4F29-A70B-363763305866}" name="Column7132" dataDxfId="18946" totalsRowDxfId="18945"/>
    <tableColumn id="7147" xr3:uid="{902E780E-B2B8-4CEE-8B0A-EAE773AF1D20}" name="Column7133" dataDxfId="18944" totalsRowDxfId="18943"/>
    <tableColumn id="7148" xr3:uid="{207F155E-F8C5-4D09-884D-F1C9C74C6B85}" name="Column7134" dataDxfId="18942" totalsRowDxfId="18941"/>
    <tableColumn id="7149" xr3:uid="{874A4B12-4999-4F45-A51F-D94E2BDEC8D9}" name="Column7135" dataDxfId="18940" totalsRowDxfId="18939"/>
    <tableColumn id="7150" xr3:uid="{86418D7C-C15A-4B8E-9136-FCA691AB3E6F}" name="Column7136" dataDxfId="18938" totalsRowDxfId="18937"/>
    <tableColumn id="7151" xr3:uid="{C623CADA-D568-4340-B670-A7FCA383DC37}" name="Column7137" dataDxfId="18936" totalsRowDxfId="18935"/>
    <tableColumn id="7152" xr3:uid="{62071CFC-D70A-415F-9B1D-681A08C83C6A}" name="Column7138" dataDxfId="18934" totalsRowDxfId="18933"/>
    <tableColumn id="7153" xr3:uid="{7018EEBA-C0B6-4118-A2FA-FC4893A8FCEE}" name="Column7139" dataDxfId="18932" totalsRowDxfId="18931"/>
    <tableColumn id="7154" xr3:uid="{557C7DBF-1E9F-4A31-AF38-8051708CF665}" name="Column7140" dataDxfId="18930" totalsRowDxfId="18929"/>
    <tableColumn id="7155" xr3:uid="{692917A0-B3ED-46DC-BF80-987A2CD8B9F7}" name="Column7141" dataDxfId="18928" totalsRowDxfId="18927"/>
    <tableColumn id="7156" xr3:uid="{D2E89C7B-A68A-401E-B850-FD9C08CEBFED}" name="Column7142" dataDxfId="18926" totalsRowDxfId="18925"/>
    <tableColumn id="7157" xr3:uid="{822C9F8D-1886-4088-8554-F0A87C3930F4}" name="Column7143" dataDxfId="18924" totalsRowDxfId="18923"/>
    <tableColumn id="7158" xr3:uid="{02B464CC-8994-4C00-94D7-3578E14E173A}" name="Column7144" dataDxfId="18922" totalsRowDxfId="18921"/>
    <tableColumn id="7159" xr3:uid="{E97CC813-9C08-44EF-9B86-6DDEC5C4145C}" name="Column7145" dataDxfId="18920" totalsRowDxfId="18919"/>
    <tableColumn id="7160" xr3:uid="{E3636107-2BA9-4188-95F9-F34CA929ABB5}" name="Column7146" dataDxfId="18918" totalsRowDxfId="18917"/>
    <tableColumn id="7161" xr3:uid="{B4776C86-3017-404D-921A-67E407EEACE4}" name="Column7147" dataDxfId="18916" totalsRowDxfId="18915"/>
    <tableColumn id="7162" xr3:uid="{8E3B2338-2111-4782-B978-0360FDBA1F5F}" name="Column7148" dataDxfId="18914" totalsRowDxfId="18913"/>
    <tableColumn id="7163" xr3:uid="{9E85215F-DA36-4446-A098-9CE736679D68}" name="Column7149" dataDxfId="18912" totalsRowDxfId="18911"/>
    <tableColumn id="7164" xr3:uid="{6645710D-9CA6-424C-817A-455247C67D49}" name="Column7150" dataDxfId="18910" totalsRowDxfId="18909"/>
    <tableColumn id="7165" xr3:uid="{94675116-923F-4F26-B846-8CD6234A06E9}" name="Column7151" dataDxfId="18908" totalsRowDxfId="18907"/>
    <tableColumn id="7166" xr3:uid="{D5B4AB3E-C2CD-47CD-987A-9160A5376641}" name="Column7152" dataDxfId="18906" totalsRowDxfId="18905"/>
    <tableColumn id="7167" xr3:uid="{D70174DF-83F1-49F9-B9CB-422A4C62A995}" name="Column7153" dataDxfId="18904" totalsRowDxfId="18903"/>
    <tableColumn id="7168" xr3:uid="{026A67E1-F305-4F5F-B58D-CC6924E39C94}" name="Column7154" dataDxfId="18902" totalsRowDxfId="18901"/>
    <tableColumn id="7169" xr3:uid="{FCD50BEC-4151-4491-9FD4-B2B2BB862762}" name="Column7155" dataDxfId="18900" totalsRowDxfId="18899"/>
    <tableColumn id="7170" xr3:uid="{E4416C04-7E34-4375-B45A-CF37BDC5A5D4}" name="Column7156" dataDxfId="18898" totalsRowDxfId="18897"/>
    <tableColumn id="7171" xr3:uid="{FE97BC80-14A2-4D44-8F87-7456589FD614}" name="Column7157" dataDxfId="18896" totalsRowDxfId="18895"/>
    <tableColumn id="7172" xr3:uid="{DE846494-C26C-4C4D-AA71-4EC96B132E40}" name="Column7158" dataDxfId="18894" totalsRowDxfId="18893"/>
    <tableColumn id="7173" xr3:uid="{F54063E9-F67F-4F85-A25B-E38B9D5A96A4}" name="Column7159" dataDxfId="18892" totalsRowDxfId="18891"/>
    <tableColumn id="7174" xr3:uid="{AB832568-C680-4B86-B4A9-CABE13426030}" name="Column7160" dataDxfId="18890" totalsRowDxfId="18889"/>
    <tableColumn id="7175" xr3:uid="{34592770-9D7F-4F5E-920A-CF6B25BF0EF9}" name="Column7161" dataDxfId="18888" totalsRowDxfId="18887"/>
    <tableColumn id="7176" xr3:uid="{C19FF6DE-B3DD-41D8-B7B9-BA73E31C527E}" name="Column7162" dataDxfId="18886" totalsRowDxfId="18885"/>
    <tableColumn id="7177" xr3:uid="{018FB8EC-2A8D-43F7-A5D2-B994824657AB}" name="Column7163" dataDxfId="18884" totalsRowDxfId="18883"/>
    <tableColumn id="7178" xr3:uid="{97DBAC55-EB06-4FD7-AFB8-2117363EF2D8}" name="Column7164" dataDxfId="18882" totalsRowDxfId="18881"/>
    <tableColumn id="7179" xr3:uid="{CC88271B-C1A2-43C4-9540-2711B8EFE1A1}" name="Column7165" dataDxfId="18880" totalsRowDxfId="18879"/>
    <tableColumn id="7180" xr3:uid="{5153C66A-CBA6-4CEF-8B2E-EB918EAA569E}" name="Column7166" dataDxfId="18878" totalsRowDxfId="18877"/>
    <tableColumn id="7181" xr3:uid="{94231AB9-AAD5-4EDA-8D42-FA66790B4A9C}" name="Column7167" dataDxfId="18876" totalsRowDxfId="18875"/>
    <tableColumn id="7182" xr3:uid="{23E1E074-3A6F-426A-908A-FED93D08A718}" name="Column7168" dataDxfId="18874" totalsRowDxfId="18873"/>
    <tableColumn id="7183" xr3:uid="{C9D7ABCB-05C6-4B7D-A73E-5CA2CEC1C50A}" name="Column7169" dataDxfId="18872" totalsRowDxfId="18871"/>
    <tableColumn id="7184" xr3:uid="{C3754A5D-4056-4B6A-BBCC-8B01CA9C2A1F}" name="Column7170" dataDxfId="18870" totalsRowDxfId="18869"/>
    <tableColumn id="7185" xr3:uid="{38B17647-B823-47AE-A7D9-9343A3FE21E8}" name="Column7171" dataDxfId="18868" totalsRowDxfId="18867"/>
    <tableColumn id="7186" xr3:uid="{BB98A273-65B5-40AA-88DB-FD3A2292EBA6}" name="Column7172" dataDxfId="18866" totalsRowDxfId="18865"/>
    <tableColumn id="7187" xr3:uid="{273C32ED-82AC-4D36-9A59-2583FBDC0750}" name="Column7173" dataDxfId="18864" totalsRowDxfId="18863"/>
    <tableColumn id="7188" xr3:uid="{6E6EA31E-4F93-44E2-B9DF-96CAA062F476}" name="Column7174" dataDxfId="18862" totalsRowDxfId="18861"/>
    <tableColumn id="7189" xr3:uid="{0BE9912B-94C2-4351-954E-F8C80809DEB1}" name="Column7175" dataDxfId="18860" totalsRowDxfId="18859"/>
    <tableColumn id="7190" xr3:uid="{76F4205B-2CC9-404B-9996-4EA00B9D31F4}" name="Column7176" dataDxfId="18858" totalsRowDxfId="18857"/>
    <tableColumn id="7191" xr3:uid="{C35CE124-047F-4F26-ACA1-825DECD1663F}" name="Column7177" dataDxfId="18856" totalsRowDxfId="18855"/>
    <tableColumn id="7192" xr3:uid="{115DED91-9D72-4EF5-B481-8907B9D7E435}" name="Column7178" dataDxfId="18854" totalsRowDxfId="18853"/>
    <tableColumn id="7193" xr3:uid="{9F8DA8FC-5D15-4193-87DD-086F7484175E}" name="Column7179" dataDxfId="18852" totalsRowDxfId="18851"/>
    <tableColumn id="7194" xr3:uid="{94FB5F2E-1DF3-4574-B7D5-2C69F3AB456F}" name="Column7180" dataDxfId="18850" totalsRowDxfId="18849"/>
    <tableColumn id="7195" xr3:uid="{6A657C4D-A411-4F4D-9A06-DAA7C04C0D6B}" name="Column7181" dataDxfId="18848" totalsRowDxfId="18847"/>
    <tableColumn id="7196" xr3:uid="{9E105FF4-67A7-48DB-AD57-34418FFEE473}" name="Column7182" dataDxfId="18846" totalsRowDxfId="18845"/>
    <tableColumn id="7197" xr3:uid="{98B8D0DE-3E23-49FF-A03F-7F1D5799C78F}" name="Column7183" dataDxfId="18844" totalsRowDxfId="18843"/>
    <tableColumn id="7198" xr3:uid="{2E58B9A7-DED8-496B-8BB7-B6C5DEE0E142}" name="Column7184" dataDxfId="18842" totalsRowDxfId="18841"/>
    <tableColumn id="7199" xr3:uid="{21C1CB16-5F35-4351-A36D-61680BC5644E}" name="Column7185" dataDxfId="18840" totalsRowDxfId="18839"/>
    <tableColumn id="7200" xr3:uid="{01371CE1-F38F-4549-AF19-68F37BB0902D}" name="Column7186" dataDxfId="18838" totalsRowDxfId="18837"/>
    <tableColumn id="7201" xr3:uid="{3109CB08-C0E8-42F4-BC6B-0B789DA1B260}" name="Column7187" dataDxfId="18836" totalsRowDxfId="18835"/>
    <tableColumn id="7202" xr3:uid="{2E3E3B0A-1E7A-4FDF-B3EC-743FD7EBDA74}" name="Column7188" dataDxfId="18834" totalsRowDxfId="18833"/>
    <tableColumn id="7203" xr3:uid="{952D3EB1-0D4C-465D-A185-E9A2B2CD4836}" name="Column7189" dataDxfId="18832" totalsRowDxfId="18831"/>
    <tableColumn id="7204" xr3:uid="{ECDD36DB-4442-403B-8F6E-86CA352640F4}" name="Column7190" dataDxfId="18830" totalsRowDxfId="18829"/>
    <tableColumn id="7205" xr3:uid="{26AB31A8-33D4-4B6E-BF31-32DAF7383557}" name="Column7191" dataDxfId="18828" totalsRowDxfId="18827"/>
    <tableColumn id="7206" xr3:uid="{35BCAD6A-8752-4231-B3E8-2F5756CD7DF5}" name="Column7192" dataDxfId="18826" totalsRowDxfId="18825"/>
    <tableColumn id="7207" xr3:uid="{CFCB6226-306F-4C19-A04D-D14C930B238A}" name="Column7193" dataDxfId="18824" totalsRowDxfId="18823"/>
    <tableColumn id="7208" xr3:uid="{834158DC-A148-4A82-B51A-78D4936322AF}" name="Column7194" dataDxfId="18822" totalsRowDxfId="18821"/>
    <tableColumn id="7209" xr3:uid="{B31D4FBA-98AD-4615-807C-D5A75558C2ED}" name="Column7195" dataDxfId="18820" totalsRowDxfId="18819"/>
    <tableColumn id="7210" xr3:uid="{13F2E571-28BC-4857-99E7-646EAAE6CA7A}" name="Column7196" dataDxfId="18818" totalsRowDxfId="18817"/>
    <tableColumn id="7211" xr3:uid="{2491AE6A-6359-4503-B751-3062C320F6E8}" name="Column7197" dataDxfId="18816" totalsRowDxfId="18815"/>
    <tableColumn id="7212" xr3:uid="{AD720650-0AD1-4403-AEAE-E74A707D3705}" name="Column7198" dataDxfId="18814" totalsRowDxfId="18813"/>
    <tableColumn id="7213" xr3:uid="{1DC4AF8E-E23E-447F-96E0-54A10CFE388B}" name="Column7199" dataDxfId="18812" totalsRowDxfId="18811"/>
    <tableColumn id="7214" xr3:uid="{22898DAE-BA70-43F4-8B61-978C278553E0}" name="Column7200" dataDxfId="18810" totalsRowDxfId="18809"/>
    <tableColumn id="7215" xr3:uid="{368EE3CB-A878-42FA-8CEB-264A98DB7EB6}" name="Column7201" dataDxfId="18808" totalsRowDxfId="18807"/>
    <tableColumn id="7216" xr3:uid="{797C5911-920F-4441-BB21-16FE3EDFBC84}" name="Column7202" dataDxfId="18806" totalsRowDxfId="18805"/>
    <tableColumn id="7217" xr3:uid="{86680F92-5E3F-4BD9-AA8F-A2994476025F}" name="Column7203" dataDxfId="18804" totalsRowDxfId="18803"/>
    <tableColumn id="7218" xr3:uid="{D988214F-FD14-40C7-B244-A0F5ABC3A5FF}" name="Column7204" dataDxfId="18802" totalsRowDxfId="18801"/>
    <tableColumn id="7219" xr3:uid="{EED28344-36DA-48C8-88DA-CB978C94FB45}" name="Column7205" dataDxfId="18800" totalsRowDxfId="18799"/>
    <tableColumn id="7220" xr3:uid="{7130EE87-E109-4359-9277-9AB5EBB7E213}" name="Column7206" dataDxfId="18798" totalsRowDxfId="18797"/>
    <tableColumn id="7221" xr3:uid="{B5BF22D6-4655-4294-BF4F-DF343494C4E4}" name="Column7207" dataDxfId="18796" totalsRowDxfId="18795"/>
    <tableColumn id="7222" xr3:uid="{7D0768C6-A996-445F-9743-E888C6865E78}" name="Column7208" dataDxfId="18794" totalsRowDxfId="18793"/>
    <tableColumn id="7223" xr3:uid="{B508CE8F-D1AA-4466-B92A-95D86690C87E}" name="Column7209" dataDxfId="18792" totalsRowDxfId="18791"/>
    <tableColumn id="7224" xr3:uid="{C231C28D-6DBC-457C-B755-30A041FF2AAD}" name="Column7210" dataDxfId="18790" totalsRowDxfId="18789"/>
    <tableColumn id="7225" xr3:uid="{1DD4C283-C231-422E-BA28-E61DD7DC846C}" name="Column7211" dataDxfId="18788" totalsRowDxfId="18787"/>
    <tableColumn id="7226" xr3:uid="{3C2DBA7A-BE0C-4D52-83BB-BA8984B0B680}" name="Column7212" dataDxfId="18786" totalsRowDxfId="18785"/>
    <tableColumn id="7227" xr3:uid="{92D573D8-23DB-4729-8EA5-1717B8F9FE58}" name="Column7213" dataDxfId="18784" totalsRowDxfId="18783"/>
    <tableColumn id="7228" xr3:uid="{C274B10A-2E86-4085-AF44-1E6CDFA701BA}" name="Column7214" dataDxfId="18782" totalsRowDxfId="18781"/>
    <tableColumn id="7229" xr3:uid="{9231C755-9950-429A-9377-89848C20B8FC}" name="Column7215" dataDxfId="18780" totalsRowDxfId="18779"/>
    <tableColumn id="7230" xr3:uid="{8B1D8EE2-5910-4E05-941B-ACD43C37B1EC}" name="Column7216" dataDxfId="18778" totalsRowDxfId="18777"/>
    <tableColumn id="7231" xr3:uid="{485F68D3-0A1F-4FB6-A26F-4978F5AD4C62}" name="Column7217" dataDxfId="18776" totalsRowDxfId="18775"/>
    <tableColumn id="7232" xr3:uid="{2C8C84F8-09DE-44D7-9546-46985972D57B}" name="Column7218" dataDxfId="18774" totalsRowDxfId="18773"/>
    <tableColumn id="7233" xr3:uid="{63A504C5-29A1-425E-A976-2B1BEDAFD491}" name="Column7219" dataDxfId="18772" totalsRowDxfId="18771"/>
    <tableColumn id="7234" xr3:uid="{5F167523-DC55-4257-9360-503E49565083}" name="Column7220" dataDxfId="18770" totalsRowDxfId="18769"/>
    <tableColumn id="7235" xr3:uid="{4E786F53-1566-4985-90F3-E3CBA5D1D058}" name="Column7221" dataDxfId="18768" totalsRowDxfId="18767"/>
    <tableColumn id="7236" xr3:uid="{4776BE7C-8925-4F9A-B647-068A7D952E13}" name="Column7222" dataDxfId="18766" totalsRowDxfId="18765"/>
    <tableColumn id="7237" xr3:uid="{7F699E84-05D2-4923-85B2-4B6ECBFD5C4C}" name="Column7223" dataDxfId="18764" totalsRowDxfId="18763"/>
    <tableColumn id="7238" xr3:uid="{D322D6C6-6EED-42B9-A659-0FFE2DC6335A}" name="Column7224" dataDxfId="18762" totalsRowDxfId="18761"/>
    <tableColumn id="7239" xr3:uid="{3D7732CB-882C-4F2B-B93B-7FB53EB03E38}" name="Column7225" dataDxfId="18760" totalsRowDxfId="18759"/>
    <tableColumn id="7240" xr3:uid="{2EEB8AF0-E63A-4F9A-B08E-00EBE4641847}" name="Column7226" dataDxfId="18758" totalsRowDxfId="18757"/>
    <tableColumn id="7241" xr3:uid="{A4AEF4F3-AD6B-42C4-85EE-F46EFF6BDBD7}" name="Column7227" dataDxfId="18756" totalsRowDxfId="18755"/>
    <tableColumn id="7242" xr3:uid="{B9982AE3-624F-4893-9FBB-18596FCE80BF}" name="Column7228" dataDxfId="18754" totalsRowDxfId="18753"/>
    <tableColumn id="7243" xr3:uid="{618CDB3B-8BCF-42BB-8A7C-BBA3AAD138E6}" name="Column7229" dataDxfId="18752" totalsRowDxfId="18751"/>
    <tableColumn id="7244" xr3:uid="{791AC84D-51C8-4500-B6E2-69B5039C6CC9}" name="Column7230" dataDxfId="18750" totalsRowDxfId="18749"/>
    <tableColumn id="7245" xr3:uid="{171F3355-45B9-43C2-ADA9-52ED2AB8A3B0}" name="Column7231" dataDxfId="18748" totalsRowDxfId="18747"/>
    <tableColumn id="7246" xr3:uid="{CC7FA3A1-46F3-45E6-8CC3-A34AB1CA90DB}" name="Column7232" dataDxfId="18746" totalsRowDxfId="18745"/>
    <tableColumn id="7247" xr3:uid="{543EDC64-36B5-465F-8946-69301C7DC646}" name="Column7233" dataDxfId="18744" totalsRowDxfId="18743"/>
    <tableColumn id="7248" xr3:uid="{52C2CDBD-7381-4D4B-A318-FF23A2CEA959}" name="Column7234" dataDxfId="18742" totalsRowDxfId="18741"/>
    <tableColumn id="7249" xr3:uid="{7BD6C432-85D1-4358-8131-69507D2E5B74}" name="Column7235" dataDxfId="18740" totalsRowDxfId="18739"/>
    <tableColumn id="7250" xr3:uid="{A8687577-8F15-46E4-8AF5-AC1A843A0152}" name="Column7236" dataDxfId="18738" totalsRowDxfId="18737"/>
    <tableColumn id="7251" xr3:uid="{B983485F-D771-4718-AA7C-DE63140AD7B8}" name="Column7237" dataDxfId="18736" totalsRowDxfId="18735"/>
    <tableColumn id="7252" xr3:uid="{D4D4A1C5-89CB-4A2F-BD0F-4ED48DE3F3B9}" name="Column7238" dataDxfId="18734" totalsRowDxfId="18733"/>
    <tableColumn id="7253" xr3:uid="{29AD277C-4D5D-4FD7-931E-1BE7C72B145C}" name="Column7239" dataDxfId="18732" totalsRowDxfId="18731"/>
    <tableColumn id="7254" xr3:uid="{8A827C52-B8D0-4EF1-BFC5-28B37B78F3EE}" name="Column7240" dataDxfId="18730" totalsRowDxfId="18729"/>
    <tableColumn id="7255" xr3:uid="{E87E3387-04D5-4F03-8075-5CD8B40E0E90}" name="Column7241" dataDxfId="18728" totalsRowDxfId="18727"/>
    <tableColumn id="7256" xr3:uid="{3F90BAE0-F2AA-405F-9657-82428DD2A775}" name="Column7242" dataDxfId="18726" totalsRowDxfId="18725"/>
    <tableColumn id="7257" xr3:uid="{7DBFC31B-BECF-40A4-8B93-783545471F56}" name="Column7243" dataDxfId="18724" totalsRowDxfId="18723"/>
    <tableColumn id="7258" xr3:uid="{8DC857A2-E836-46E3-AC8F-5BF6B311AD6E}" name="Column7244" dataDxfId="18722" totalsRowDxfId="18721"/>
    <tableColumn id="7259" xr3:uid="{E57E015A-A395-4298-8C6B-057F880F6BC7}" name="Column7245" dataDxfId="18720" totalsRowDxfId="18719"/>
    <tableColumn id="7260" xr3:uid="{6EF2093B-3F2F-4599-96FA-26C8C8EF2188}" name="Column7246" dataDxfId="18718" totalsRowDxfId="18717"/>
    <tableColumn id="7261" xr3:uid="{27875781-8449-4AC6-972A-536BA684FBD3}" name="Column7247" dataDxfId="18716" totalsRowDxfId="18715"/>
    <tableColumn id="7262" xr3:uid="{A123A10B-1592-4E56-AA8A-2DC4917E52F0}" name="Column7248" dataDxfId="18714" totalsRowDxfId="18713"/>
    <tableColumn id="7263" xr3:uid="{1CA115BC-3A22-4DBE-A24F-6A1E60D08868}" name="Column7249" dataDxfId="18712" totalsRowDxfId="18711"/>
    <tableColumn id="7264" xr3:uid="{9291B0CD-6793-434C-BD8E-E794A3EF2E4A}" name="Column7250" dataDxfId="18710" totalsRowDxfId="18709"/>
    <tableColumn id="7265" xr3:uid="{C4A86CA2-1FB6-43BA-ABC0-D6D5FAB5319A}" name="Column7251" dataDxfId="18708" totalsRowDxfId="18707"/>
    <tableColumn id="7266" xr3:uid="{4FEA115F-FB6C-42C6-94C0-E7E705462E2E}" name="Column7252" dataDxfId="18706" totalsRowDxfId="18705"/>
    <tableColumn id="7267" xr3:uid="{D2369906-0514-42C0-AFFB-4724E8E9BC07}" name="Column7253" dataDxfId="18704" totalsRowDxfId="18703"/>
    <tableColumn id="7268" xr3:uid="{1FE27597-1C22-4009-81F6-DB40F5B6BD46}" name="Column7254" dataDxfId="18702" totalsRowDxfId="18701"/>
    <tableColumn id="7269" xr3:uid="{D57EA086-761C-41DD-9757-DE623065CF5E}" name="Column7255" dataDxfId="18700" totalsRowDxfId="18699"/>
    <tableColumn id="7270" xr3:uid="{2A07C2F3-4208-459E-88B6-B0CA54E2A961}" name="Column7256" dataDxfId="18698" totalsRowDxfId="18697"/>
    <tableColumn id="7271" xr3:uid="{36BA765D-43A2-47BF-8E30-72A7701B65D8}" name="Column7257" dataDxfId="18696" totalsRowDxfId="18695"/>
    <tableColumn id="7272" xr3:uid="{8A4C53E0-39AE-47DF-86FA-605F1064CD37}" name="Column7258" dataDxfId="18694" totalsRowDxfId="18693"/>
    <tableColumn id="7273" xr3:uid="{DE2AF7BE-4220-4517-AFB6-BFD7852FE0AA}" name="Column7259" dataDxfId="18692" totalsRowDxfId="18691"/>
    <tableColumn id="7274" xr3:uid="{F1BDC54B-F99A-4644-82D0-A1A0D41DDB37}" name="Column7260" dataDxfId="18690" totalsRowDxfId="18689"/>
    <tableColumn id="7275" xr3:uid="{960A950B-F085-43B7-9AD7-211900C3D0BD}" name="Column7261" dataDxfId="18688" totalsRowDxfId="18687"/>
    <tableColumn id="7276" xr3:uid="{00666BE8-226E-4DEF-9C7A-A050C0448C38}" name="Column7262" dataDxfId="18686" totalsRowDxfId="18685"/>
    <tableColumn id="7277" xr3:uid="{B8DAD653-618E-4716-9862-38825996FB5A}" name="Column7263" dataDxfId="18684" totalsRowDxfId="18683"/>
    <tableColumn id="7278" xr3:uid="{28E68CD8-EA18-4233-8875-824215BE5BD8}" name="Column7264" dataDxfId="18682" totalsRowDxfId="18681"/>
    <tableColumn id="7279" xr3:uid="{C26D7869-BA55-4602-AA84-2030BF05AB22}" name="Column7265" dataDxfId="18680" totalsRowDxfId="18679"/>
    <tableColumn id="7280" xr3:uid="{46C12A5A-BA89-49B5-86B7-DA4907F61B51}" name="Column7266" dataDxfId="18678" totalsRowDxfId="18677"/>
    <tableColumn id="7281" xr3:uid="{86F33D49-28F2-499E-A81B-32A41524F5D7}" name="Column7267" dataDxfId="18676" totalsRowDxfId="18675"/>
    <tableColumn id="7282" xr3:uid="{3F2119B9-9EAB-4114-B12B-59B9F2BEB565}" name="Column7268" dataDxfId="18674" totalsRowDxfId="18673"/>
    <tableColumn id="7283" xr3:uid="{1D1E1BA2-3EEE-4600-91A5-3952FF72EABC}" name="Column7269" dataDxfId="18672" totalsRowDxfId="18671"/>
    <tableColumn id="7284" xr3:uid="{7353B566-E583-423F-8DED-33C420DC19AC}" name="Column7270" dataDxfId="18670" totalsRowDxfId="18669"/>
    <tableColumn id="7285" xr3:uid="{BAE92512-7011-43D8-A3B8-4EB395801BB7}" name="Column7271" dataDxfId="18668" totalsRowDxfId="18667"/>
    <tableColumn id="7286" xr3:uid="{7D522CAF-0696-42DC-A846-6CE253B67490}" name="Column7272" dataDxfId="18666" totalsRowDxfId="18665"/>
    <tableColumn id="7287" xr3:uid="{6443B85B-AEA1-43DB-B02F-C505B872F899}" name="Column7273" dataDxfId="18664" totalsRowDxfId="18663"/>
    <tableColumn id="7288" xr3:uid="{3E05BEB6-4082-4230-806A-C0850186AEDB}" name="Column7274" dataDxfId="18662" totalsRowDxfId="18661"/>
    <tableColumn id="7289" xr3:uid="{11569887-6704-436D-B328-1F357100B63F}" name="Column7275" dataDxfId="18660" totalsRowDxfId="18659"/>
    <tableColumn id="7290" xr3:uid="{4B095D63-2967-421C-8B53-55EF7F33850B}" name="Column7276" dataDxfId="18658" totalsRowDxfId="18657"/>
    <tableColumn id="7291" xr3:uid="{27311B76-63D2-438C-B575-8BDAC54C1A39}" name="Column7277" dataDxfId="18656" totalsRowDxfId="18655"/>
    <tableColumn id="7292" xr3:uid="{10C6E63B-4003-4101-9363-B2416978B789}" name="Column7278" dataDxfId="18654" totalsRowDxfId="18653"/>
    <tableColumn id="7293" xr3:uid="{5F2B7CD4-A8D0-4885-8A55-C4EC524FD9BF}" name="Column7279" dataDxfId="18652" totalsRowDxfId="18651"/>
    <tableColumn id="7294" xr3:uid="{3E6EBC0C-833A-4A3B-AE16-651FA9070B59}" name="Column7280" dataDxfId="18650" totalsRowDxfId="18649"/>
    <tableColumn id="7295" xr3:uid="{9E35764A-3BCE-4DE8-A2D5-93C58934BF86}" name="Column7281" dataDxfId="18648" totalsRowDxfId="18647"/>
    <tableColumn id="7296" xr3:uid="{AB044E85-9311-4F94-A9D9-C3E6214AB725}" name="Column7282" dataDxfId="18646" totalsRowDxfId="18645"/>
    <tableColumn id="7297" xr3:uid="{31CBEE50-BDD2-4A6D-8A94-EECBCC3D80EF}" name="Column7283" dataDxfId="18644" totalsRowDxfId="18643"/>
    <tableColumn id="7298" xr3:uid="{FC479408-B147-4695-9D7C-FA09A180EAF6}" name="Column7284" dataDxfId="18642" totalsRowDxfId="18641"/>
    <tableColumn id="7299" xr3:uid="{5D58C517-FE7A-428B-8D54-AD3E7B1D1889}" name="Column7285" dataDxfId="18640" totalsRowDxfId="18639"/>
    <tableColumn id="7300" xr3:uid="{D2D2CC42-070E-4645-854B-A19ED4593AD6}" name="Column7286" dataDxfId="18638" totalsRowDxfId="18637"/>
    <tableColumn id="7301" xr3:uid="{D0A9D30A-CF66-4678-A7FB-F1E69146B46D}" name="Column7287" dataDxfId="18636" totalsRowDxfId="18635"/>
    <tableColumn id="7302" xr3:uid="{F94DF838-503E-40EE-AD94-37B4A95B6109}" name="Column7288" dataDxfId="18634" totalsRowDxfId="18633"/>
    <tableColumn id="7303" xr3:uid="{4184045B-D6C6-4DBC-985F-D4C0DD3FC64E}" name="Column7289" dataDxfId="18632" totalsRowDxfId="18631"/>
    <tableColumn id="7304" xr3:uid="{CF8D9D69-E2B8-409C-B116-6A1C88FDBEF0}" name="Column7290" dataDxfId="18630" totalsRowDxfId="18629"/>
    <tableColumn id="7305" xr3:uid="{A6CE1420-4A79-4C96-A1B8-A01CA17FC5C2}" name="Column7291" dataDxfId="18628" totalsRowDxfId="18627"/>
    <tableColumn id="7306" xr3:uid="{C14EA385-4907-44F5-BE46-3C4D7CF02581}" name="Column7292" dataDxfId="18626" totalsRowDxfId="18625"/>
    <tableColumn id="7307" xr3:uid="{43A8F10D-0F99-4CF8-BAF6-374C8D2B98B3}" name="Column7293" dataDxfId="18624" totalsRowDxfId="18623"/>
    <tableColumn id="7308" xr3:uid="{49895CC7-9E6A-455F-AA05-FE446A8F7972}" name="Column7294" dataDxfId="18622" totalsRowDxfId="18621"/>
    <tableColumn id="7309" xr3:uid="{E9D790A6-8281-4E99-AE56-F60D7BD2C6A8}" name="Column7295" dataDxfId="18620" totalsRowDxfId="18619"/>
    <tableColumn id="7310" xr3:uid="{D7DCD78A-E5A0-4B2C-A989-8B8D2DB924F4}" name="Column7296" dataDxfId="18618" totalsRowDxfId="18617"/>
    <tableColumn id="7311" xr3:uid="{AD8728DE-263B-489D-8065-FD9125BE7467}" name="Column7297" dataDxfId="18616" totalsRowDxfId="18615"/>
    <tableColumn id="7312" xr3:uid="{AB346B25-34A8-4B78-A17B-6BA114BFDC8B}" name="Column7298" dataDxfId="18614" totalsRowDxfId="18613"/>
    <tableColumn id="7313" xr3:uid="{823A111F-D789-4F61-A8D8-A7317F26254A}" name="Column7299" dataDxfId="18612" totalsRowDxfId="18611"/>
    <tableColumn id="7314" xr3:uid="{58BF288A-0CEA-4720-B814-41079E78AADF}" name="Column7300" dataDxfId="18610" totalsRowDxfId="18609"/>
    <tableColumn id="7315" xr3:uid="{78781899-1077-474F-8ACB-D660CD581958}" name="Column7301" dataDxfId="18608" totalsRowDxfId="18607"/>
    <tableColumn id="7316" xr3:uid="{A3CA8972-4ADF-4131-BBDD-4DCC8143A7EA}" name="Column7302" dataDxfId="18606" totalsRowDxfId="18605"/>
    <tableColumn id="7317" xr3:uid="{3F89953F-4ABF-462D-AB95-197EFA3AC0C1}" name="Column7303" dataDxfId="18604" totalsRowDxfId="18603"/>
    <tableColumn id="7318" xr3:uid="{542830E8-2B9B-428C-BD06-45D46C7E7F10}" name="Column7304" dataDxfId="18602" totalsRowDxfId="18601"/>
    <tableColumn id="7319" xr3:uid="{0EED0377-BC5E-4B82-AA1E-DA21185B7D7C}" name="Column7305" dataDxfId="18600" totalsRowDxfId="18599"/>
    <tableColumn id="7320" xr3:uid="{9A4D9635-E07D-490A-96E4-7564F7D9ACA6}" name="Column7306" dataDxfId="18598" totalsRowDxfId="18597"/>
    <tableColumn id="7321" xr3:uid="{4D9D79E9-627A-441C-8757-FCEAC90955F9}" name="Column7307" dataDxfId="18596" totalsRowDxfId="18595"/>
    <tableColumn id="7322" xr3:uid="{894BD180-F7B0-4690-B86F-1ED466B9A8EB}" name="Column7308" dataDxfId="18594" totalsRowDxfId="18593"/>
    <tableColumn id="7323" xr3:uid="{7F6DB680-ABEE-453E-AF4E-A4707C2CCD23}" name="Column7309" dataDxfId="18592" totalsRowDxfId="18591"/>
    <tableColumn id="7324" xr3:uid="{32F749B6-BE2A-4741-9077-D312A24F0F2D}" name="Column7310" dataDxfId="18590" totalsRowDxfId="18589"/>
    <tableColumn id="7325" xr3:uid="{EF08F7CE-F5B6-496A-9B74-CE794A47AB33}" name="Column7311" dataDxfId="18588" totalsRowDxfId="18587"/>
    <tableColumn id="7326" xr3:uid="{179F5C27-1029-46A5-BDA1-3AA49A1692EA}" name="Column7312" dataDxfId="18586" totalsRowDxfId="18585"/>
    <tableColumn id="7327" xr3:uid="{896DA9A5-35CC-4A61-8E1A-84F5226B7A82}" name="Column7313" dataDxfId="18584" totalsRowDxfId="18583"/>
    <tableColumn id="7328" xr3:uid="{B70B4D1B-0DA0-476C-9A6A-05307815CFE4}" name="Column7314" dataDxfId="18582" totalsRowDxfId="18581"/>
    <tableColumn id="7329" xr3:uid="{724CBB46-0FEF-4684-99A6-4FCC8016F0A6}" name="Column7315" dataDxfId="18580" totalsRowDxfId="18579"/>
    <tableColumn id="7330" xr3:uid="{09DF68A2-998C-4621-8962-1B79BEEC1F65}" name="Column7316" dataDxfId="18578" totalsRowDxfId="18577"/>
    <tableColumn id="7331" xr3:uid="{06502CA2-810C-41C0-8809-8F1D063296F3}" name="Column7317" dataDxfId="18576" totalsRowDxfId="18575"/>
    <tableColumn id="7332" xr3:uid="{4F40CDD2-C115-43B4-AE90-4DAB904FDD36}" name="Column7318" dataDxfId="18574" totalsRowDxfId="18573"/>
    <tableColumn id="7333" xr3:uid="{083610D2-5704-4B87-A76C-72BA9C93DEF5}" name="Column7319" dataDxfId="18572" totalsRowDxfId="18571"/>
    <tableColumn id="7334" xr3:uid="{EBEBA1C7-BEFF-4955-B02D-FFDF4B156349}" name="Column7320" dataDxfId="18570" totalsRowDxfId="18569"/>
    <tableColumn id="7335" xr3:uid="{08527DBE-F2E4-44F7-ADE1-E74E7B28A0B6}" name="Column7321" dataDxfId="18568" totalsRowDxfId="18567"/>
    <tableColumn id="7336" xr3:uid="{431CE126-11EA-460A-921C-9C4B8C9E56BB}" name="Column7322" dataDxfId="18566" totalsRowDxfId="18565"/>
    <tableColumn id="7337" xr3:uid="{33AEAABC-B3D4-4D1A-A308-2B0D3E5130B9}" name="Column7323" dataDxfId="18564" totalsRowDxfId="18563"/>
    <tableColumn id="7338" xr3:uid="{4F98ED25-6BA2-4A4D-9958-B2CC5F82B978}" name="Column7324" dataDxfId="18562" totalsRowDxfId="18561"/>
    <tableColumn id="7339" xr3:uid="{8CDC936E-C515-454F-8EC4-EF1BEE76640D}" name="Column7325" dataDxfId="18560" totalsRowDxfId="18559"/>
    <tableColumn id="7340" xr3:uid="{EF2A0E53-2088-4700-9936-F88AF753462B}" name="Column7326" dataDxfId="18558" totalsRowDxfId="18557"/>
    <tableColumn id="7341" xr3:uid="{9C5ACE21-DA78-418D-AB01-383B7BA36518}" name="Column7327" dataDxfId="18556" totalsRowDxfId="18555"/>
    <tableColumn id="7342" xr3:uid="{628ED0CC-6B0E-415A-A84F-1957DB721ECD}" name="Column7328" dataDxfId="18554" totalsRowDxfId="18553"/>
    <tableColumn id="7343" xr3:uid="{F92655BD-D17C-472F-8E90-15AB80773390}" name="Column7329" dataDxfId="18552" totalsRowDxfId="18551"/>
    <tableColumn id="7344" xr3:uid="{D4CD28EA-24DE-4856-9559-753D03741B19}" name="Column7330" dataDxfId="18550" totalsRowDxfId="18549"/>
    <tableColumn id="7345" xr3:uid="{2A8DB941-D2E7-4A5A-BE42-B6EDE229386A}" name="Column7331" dataDxfId="18548" totalsRowDxfId="18547"/>
    <tableColumn id="7346" xr3:uid="{7EB9A97C-91F2-4CD5-8AE3-B6935AC4EDEF}" name="Column7332" dataDxfId="18546" totalsRowDxfId="18545"/>
    <tableColumn id="7347" xr3:uid="{20C92903-65CE-4570-990A-434DA22089CF}" name="Column7333" dataDxfId="18544" totalsRowDxfId="18543"/>
    <tableColumn id="7348" xr3:uid="{BD4BFB0A-2A8F-454A-A667-87080E863F44}" name="Column7334" dataDxfId="18542" totalsRowDxfId="18541"/>
    <tableColumn id="7349" xr3:uid="{E5FB6669-4EFB-4940-BF50-E3B8BE4A1AB7}" name="Column7335" dataDxfId="18540" totalsRowDxfId="18539"/>
    <tableColumn id="7350" xr3:uid="{D540D34A-1B9B-4FC4-8930-7669AEBDE435}" name="Column7336" dataDxfId="18538" totalsRowDxfId="18537"/>
    <tableColumn id="7351" xr3:uid="{35BE6E11-8CDA-4DBB-AE28-AFAF7EBB6D52}" name="Column7337" dataDxfId="18536" totalsRowDxfId="18535"/>
    <tableColumn id="7352" xr3:uid="{B900DB05-B500-4980-8E4B-2149DE1092F7}" name="Column7338" dataDxfId="18534" totalsRowDxfId="18533"/>
    <tableColumn id="7353" xr3:uid="{9EB0A4E9-2F4E-45C7-98B6-3116F8BF9180}" name="Column7339" dataDxfId="18532" totalsRowDxfId="18531"/>
    <tableColumn id="7354" xr3:uid="{BFFEB003-FF6F-40D2-A013-D48941E53070}" name="Column7340" dataDxfId="18530" totalsRowDxfId="18529"/>
    <tableColumn id="7355" xr3:uid="{0478D8E5-9D7C-446D-9698-C4595A343672}" name="Column7341" dataDxfId="18528" totalsRowDxfId="18527"/>
    <tableColumn id="7356" xr3:uid="{60A8B9C3-865E-4631-ABA0-445B67A6FA3C}" name="Column7342" dataDxfId="18526" totalsRowDxfId="18525"/>
    <tableColumn id="7357" xr3:uid="{9EBF5328-6431-4773-BAE5-EC0E796A1712}" name="Column7343" dataDxfId="18524" totalsRowDxfId="18523"/>
    <tableColumn id="7358" xr3:uid="{2B8089FF-602C-4496-9644-4AC0413A8DAB}" name="Column7344" dataDxfId="18522" totalsRowDxfId="18521"/>
    <tableColumn id="7359" xr3:uid="{D543CDD8-7C91-4F59-850C-48142AD4A98B}" name="Column7345" dataDxfId="18520" totalsRowDxfId="18519"/>
    <tableColumn id="7360" xr3:uid="{1AA35C32-99B4-4B9A-8F6B-4A25CAE3B764}" name="Column7346" dataDxfId="18518" totalsRowDxfId="18517"/>
    <tableColumn id="7361" xr3:uid="{FD9553BA-69C6-4404-8DB6-FA9A29834045}" name="Column7347" dataDxfId="18516" totalsRowDxfId="18515"/>
    <tableColumn id="7362" xr3:uid="{340EBC0A-4A11-4933-9449-5F344CD63700}" name="Column7348" dataDxfId="18514" totalsRowDxfId="18513"/>
    <tableColumn id="7363" xr3:uid="{A5C7E7C0-E85E-4D89-92F4-3E70F7F96439}" name="Column7349" dataDxfId="18512" totalsRowDxfId="18511"/>
    <tableColumn id="7364" xr3:uid="{D7D0CF5F-7139-4C88-9FA5-95C481AA864B}" name="Column7350" dataDxfId="18510" totalsRowDxfId="18509"/>
    <tableColumn id="7365" xr3:uid="{6B7E9FB4-3455-40F2-A7C4-53368CF4DD54}" name="Column7351" dataDxfId="18508" totalsRowDxfId="18507"/>
    <tableColumn id="7366" xr3:uid="{9B8EDD70-BA0D-4BBC-AEA3-E93AF242D609}" name="Column7352" dataDxfId="18506" totalsRowDxfId="18505"/>
    <tableColumn id="7367" xr3:uid="{F6CE9C17-E2DB-4B3F-80FC-AA79CE8FE8CB}" name="Column7353" dataDxfId="18504" totalsRowDxfId="18503"/>
    <tableColumn id="7368" xr3:uid="{09C7DB97-AEB6-4D18-ACBF-46761A7B5DBB}" name="Column7354" dataDxfId="18502" totalsRowDxfId="18501"/>
    <tableColumn id="7369" xr3:uid="{A2A8C3F7-5ECC-4804-8823-95FD7DD1D39F}" name="Column7355" dataDxfId="18500" totalsRowDxfId="18499"/>
    <tableColumn id="7370" xr3:uid="{7B20E1D0-992B-42D1-9D2B-2275A3A3842D}" name="Column7356" dataDxfId="18498" totalsRowDxfId="18497"/>
    <tableColumn id="7371" xr3:uid="{BECFF1E3-EE85-4D58-AA5B-309E84577941}" name="Column7357" dataDxfId="18496" totalsRowDxfId="18495"/>
    <tableColumn id="7372" xr3:uid="{7A62B81F-8F18-40BC-B1D4-8588012BAAB2}" name="Column7358" dataDxfId="18494" totalsRowDxfId="18493"/>
    <tableColumn id="7373" xr3:uid="{3777605E-9CBB-4621-A9A8-FDF32FADBC9B}" name="Column7359" dataDxfId="18492" totalsRowDxfId="18491"/>
    <tableColumn id="7374" xr3:uid="{6E4295B6-2639-40D4-B728-55233B7B46E9}" name="Column7360" dataDxfId="18490" totalsRowDxfId="18489"/>
    <tableColumn id="7375" xr3:uid="{6AF93BF0-AAE7-448D-9487-96FCD3885A40}" name="Column7361" dataDxfId="18488" totalsRowDxfId="18487"/>
    <tableColumn id="7376" xr3:uid="{AD7AA36F-E915-4B54-BB03-43FDB0171647}" name="Column7362" dataDxfId="18486" totalsRowDxfId="18485"/>
    <tableColumn id="7377" xr3:uid="{A4E74F49-7520-4546-ABC0-75E4216D4E02}" name="Column7363" dataDxfId="18484" totalsRowDxfId="18483"/>
    <tableColumn id="7378" xr3:uid="{603209DF-5B29-4EF2-864D-B01DFA8C20AD}" name="Column7364" dataDxfId="18482" totalsRowDxfId="18481"/>
    <tableColumn id="7379" xr3:uid="{4AC94601-E300-4A5D-9D4B-631E93C6B596}" name="Column7365" dataDxfId="18480" totalsRowDxfId="18479"/>
    <tableColumn id="7380" xr3:uid="{84F4D0FB-C729-4861-BAAE-26AD44535A68}" name="Column7366" dataDxfId="18478" totalsRowDxfId="18477"/>
    <tableColumn id="7381" xr3:uid="{27C9D67B-3000-4F0C-AAD4-BF64C5E47543}" name="Column7367" dataDxfId="18476" totalsRowDxfId="18475"/>
    <tableColumn id="7382" xr3:uid="{849CB5AF-8410-4CEE-B6AD-4913E3D76917}" name="Column7368" dataDxfId="18474" totalsRowDxfId="18473"/>
    <tableColumn id="7383" xr3:uid="{20796FD0-B83F-4D95-AB64-2664DC904A8C}" name="Column7369" dataDxfId="18472" totalsRowDxfId="18471"/>
    <tableColumn id="7384" xr3:uid="{4E34B556-76C2-46DC-8B9F-08C4D297BFE1}" name="Column7370" dataDxfId="18470" totalsRowDxfId="18469"/>
    <tableColumn id="7385" xr3:uid="{1B1B553E-AE6E-48A8-A567-683EBF96F2A3}" name="Column7371" dataDxfId="18468" totalsRowDxfId="18467"/>
    <tableColumn id="7386" xr3:uid="{C9CF4430-08A1-4329-AE40-C86861540A7C}" name="Column7372" dataDxfId="18466" totalsRowDxfId="18465"/>
    <tableColumn id="7387" xr3:uid="{F24CA9A5-1595-4041-A97F-B54764EA7311}" name="Column7373" dataDxfId="18464" totalsRowDxfId="18463"/>
    <tableColumn id="7388" xr3:uid="{4281D35B-A22C-4B19-A822-5FBE2CA1210C}" name="Column7374" dataDxfId="18462" totalsRowDxfId="18461"/>
    <tableColumn id="7389" xr3:uid="{C42563F4-37C5-4A38-BE42-832DDBFFDF0B}" name="Column7375" dataDxfId="18460" totalsRowDxfId="18459"/>
    <tableColumn id="7390" xr3:uid="{60E90B10-71A6-4E8A-99F2-F6E1A89D46E0}" name="Column7376" dataDxfId="18458" totalsRowDxfId="18457"/>
    <tableColumn id="7391" xr3:uid="{19CF31BE-AAAB-48B9-8FAF-5ED25E4B246F}" name="Column7377" dataDxfId="18456" totalsRowDxfId="18455"/>
    <tableColumn id="7392" xr3:uid="{4D60FFA4-F207-48F7-89DD-371927972DC6}" name="Column7378" dataDxfId="18454" totalsRowDxfId="18453"/>
    <tableColumn id="7393" xr3:uid="{596C069F-BA04-4B12-A725-EAD878C7C55E}" name="Column7379" dataDxfId="18452" totalsRowDxfId="18451"/>
    <tableColumn id="7394" xr3:uid="{1FF99677-BDE9-4808-A097-0AC5F1C87EBB}" name="Column7380" dataDxfId="18450" totalsRowDxfId="18449"/>
    <tableColumn id="7395" xr3:uid="{22417607-2AD8-4E11-B689-0F963D080CCC}" name="Column7381" dataDxfId="18448" totalsRowDxfId="18447"/>
    <tableColumn id="7396" xr3:uid="{97506458-6C32-473B-81BE-30E6EA9895F1}" name="Column7382" dataDxfId="18446" totalsRowDxfId="18445"/>
    <tableColumn id="7397" xr3:uid="{AD59756E-9DC7-4F1E-91F1-D5B92610D275}" name="Column7383" dataDxfId="18444" totalsRowDxfId="18443"/>
    <tableColumn id="7398" xr3:uid="{ACC83121-9CE7-4E3C-A8A8-F2F56CE20F4C}" name="Column7384" dataDxfId="18442" totalsRowDxfId="18441"/>
    <tableColumn id="7399" xr3:uid="{77DAC191-16CF-42D3-A0FC-B4620ABF163C}" name="Column7385" dataDxfId="18440" totalsRowDxfId="18439"/>
    <tableColumn id="7400" xr3:uid="{C73D7A64-F368-4F1C-8E7A-667C91CA2C2D}" name="Column7386" dataDxfId="18438" totalsRowDxfId="18437"/>
    <tableColumn id="7401" xr3:uid="{C1AF9DA9-9064-4C30-97BC-4CC29EB96319}" name="Column7387" dataDxfId="18436" totalsRowDxfId="18435"/>
    <tableColumn id="7402" xr3:uid="{98F5A117-1B92-40E5-83E6-1D5663F38320}" name="Column7388" dataDxfId="18434" totalsRowDxfId="18433"/>
    <tableColumn id="7403" xr3:uid="{5FAE96C4-5A33-43E0-80A4-1C51A9DD7849}" name="Column7389" dataDxfId="18432" totalsRowDxfId="18431"/>
    <tableColumn id="7404" xr3:uid="{391CBEEC-7A8F-4E6A-8AD6-395BE00C942B}" name="Column7390" dataDxfId="18430" totalsRowDxfId="18429"/>
    <tableColumn id="7405" xr3:uid="{37A16F9F-AA8C-48FE-99F8-80898C0CCE1E}" name="Column7391" dataDxfId="18428" totalsRowDxfId="18427"/>
    <tableColumn id="7406" xr3:uid="{2D0B2140-8A03-4D6D-A2FC-0D6178F85A5E}" name="Column7392" dataDxfId="18426" totalsRowDxfId="18425"/>
    <tableColumn id="7407" xr3:uid="{6B4A572D-9197-46C3-9D18-2EE979853BC6}" name="Column7393" dataDxfId="18424" totalsRowDxfId="18423"/>
    <tableColumn id="7408" xr3:uid="{9F3D3FC6-0461-495A-96A1-371D201B9C1D}" name="Column7394" dataDxfId="18422" totalsRowDxfId="18421"/>
    <tableColumn id="7409" xr3:uid="{C19B1B1D-CB47-4D52-9594-97420098162E}" name="Column7395" dataDxfId="18420" totalsRowDxfId="18419"/>
    <tableColumn id="7410" xr3:uid="{A16148D8-4572-43BE-9866-C9F048B8BB7B}" name="Column7396" dataDxfId="18418" totalsRowDxfId="18417"/>
    <tableColumn id="7411" xr3:uid="{C61E34FF-B82A-4132-B646-E9F22AC27FE0}" name="Column7397" dataDxfId="18416" totalsRowDxfId="18415"/>
    <tableColumn id="7412" xr3:uid="{5B8E2E15-ECFC-4C9F-AD50-AE8B42186936}" name="Column7398" dataDxfId="18414" totalsRowDxfId="18413"/>
    <tableColumn id="7413" xr3:uid="{63AB1819-AD38-452B-8460-9EA0A8CAB1C7}" name="Column7399" dataDxfId="18412" totalsRowDxfId="18411"/>
    <tableColumn id="7414" xr3:uid="{59238CDB-255C-45A5-86A3-9536F132F9FF}" name="Column7400" dataDxfId="18410" totalsRowDxfId="18409"/>
    <tableColumn id="7415" xr3:uid="{0B7DF152-E03C-4580-B88D-C6E548704EBD}" name="Column7401" dataDxfId="18408" totalsRowDxfId="18407"/>
    <tableColumn id="7416" xr3:uid="{A9C772DA-854D-4E84-B03A-6C0D043B2523}" name="Column7402" dataDxfId="18406" totalsRowDxfId="18405"/>
    <tableColumn id="7417" xr3:uid="{719523D3-DB7C-4CC6-9A28-E96E9550E269}" name="Column7403" dataDxfId="18404" totalsRowDxfId="18403"/>
    <tableColumn id="7418" xr3:uid="{62CB3EAE-AA5E-485D-BB95-780C38A70258}" name="Column7404" dataDxfId="18402" totalsRowDxfId="18401"/>
    <tableColumn id="7419" xr3:uid="{BAD699A3-E198-4C69-8765-4F2BFDEDC03D}" name="Column7405" dataDxfId="18400" totalsRowDxfId="18399"/>
    <tableColumn id="7420" xr3:uid="{00A5B439-624B-4747-A2AE-1B499BECB253}" name="Column7406" dataDxfId="18398" totalsRowDxfId="18397"/>
    <tableColumn id="7421" xr3:uid="{99E47517-FF96-4107-8007-99FAA1A4B3D5}" name="Column7407" dataDxfId="18396" totalsRowDxfId="18395"/>
    <tableColumn id="7422" xr3:uid="{4BE0F768-0A59-4AC0-947B-3B8E5DF0B027}" name="Column7408" dataDxfId="18394" totalsRowDxfId="18393"/>
    <tableColumn id="7423" xr3:uid="{638821A0-F325-4D3B-861E-F008EEA87742}" name="Column7409" dataDxfId="18392" totalsRowDxfId="18391"/>
    <tableColumn id="7424" xr3:uid="{49D0F296-9AE8-4455-A8EF-9CDAE54DCCE7}" name="Column7410" dataDxfId="18390" totalsRowDxfId="18389"/>
    <tableColumn id="7425" xr3:uid="{B51C8363-85AC-4644-A12D-F459C85A01BE}" name="Column7411" dataDxfId="18388" totalsRowDxfId="18387"/>
    <tableColumn id="7426" xr3:uid="{725AF02F-0E70-492F-B794-AB8A1AB82CD0}" name="Column7412" dataDxfId="18386" totalsRowDxfId="18385"/>
    <tableColumn id="7427" xr3:uid="{7AD9F199-8D6F-42CB-AD34-A6A973AEED38}" name="Column7413" dataDxfId="18384" totalsRowDxfId="18383"/>
    <tableColumn id="7428" xr3:uid="{E02D66EC-1F2A-4434-A60B-2CADB20EBC57}" name="Column7414" dataDxfId="18382" totalsRowDxfId="18381"/>
    <tableColumn id="7429" xr3:uid="{7E507734-FAF1-43B2-B754-9180DF9A36DE}" name="Column7415" dataDxfId="18380" totalsRowDxfId="18379"/>
    <tableColumn id="7430" xr3:uid="{593F86AF-A0B3-488B-B69E-B4D1A54829EB}" name="Column7416" dataDxfId="18378" totalsRowDxfId="18377"/>
    <tableColumn id="7431" xr3:uid="{712A3368-8A66-400F-A1CF-03BB7103B0E3}" name="Column7417" dataDxfId="18376" totalsRowDxfId="18375"/>
    <tableColumn id="7432" xr3:uid="{24D079A2-69B8-4B24-9714-9B2DA79253DF}" name="Column7418" dataDxfId="18374" totalsRowDxfId="18373"/>
    <tableColumn id="7433" xr3:uid="{4BC8F05A-4043-49FB-95F7-6A86316CE3D2}" name="Column7419" dataDxfId="18372" totalsRowDxfId="18371"/>
    <tableColumn id="7434" xr3:uid="{8FB42775-E424-4DFC-895B-A3BB866E9625}" name="Column7420" dataDxfId="18370" totalsRowDxfId="18369"/>
    <tableColumn id="7435" xr3:uid="{4A8EB470-4C52-4F38-96D6-5467B3C67BBB}" name="Column7421" dataDxfId="18368" totalsRowDxfId="18367"/>
    <tableColumn id="7436" xr3:uid="{5F7FB08A-6C93-454B-81FF-FCBAF50471E4}" name="Column7422" dataDxfId="18366" totalsRowDxfId="18365"/>
    <tableColumn id="7437" xr3:uid="{93DE9067-0DE1-4804-83C0-A76DEC8DF0C0}" name="Column7423" dataDxfId="18364" totalsRowDxfId="18363"/>
    <tableColumn id="7438" xr3:uid="{C15EAE9F-30E5-4A9C-A8C2-85C0F2BF7C07}" name="Column7424" dataDxfId="18362" totalsRowDxfId="18361"/>
    <tableColumn id="7439" xr3:uid="{66065118-2843-4D04-B78D-A38FE4E4A786}" name="Column7425" dataDxfId="18360" totalsRowDxfId="18359"/>
    <tableColumn id="7440" xr3:uid="{837F6517-7D1F-45AE-82C0-D28FA5C82B8B}" name="Column7426" dataDxfId="18358" totalsRowDxfId="18357"/>
    <tableColumn id="7441" xr3:uid="{68AD8235-4B52-4F08-BD30-AD3783F430B0}" name="Column7427" dataDxfId="18356" totalsRowDxfId="18355"/>
    <tableColumn id="7442" xr3:uid="{08560CF3-87D5-4BE3-A90E-17A39EF544A1}" name="Column7428" dataDxfId="18354" totalsRowDxfId="18353"/>
    <tableColumn id="7443" xr3:uid="{7561A8F0-CC5A-4319-B8A8-F27B1D43C523}" name="Column7429" dataDxfId="18352" totalsRowDxfId="18351"/>
    <tableColumn id="7444" xr3:uid="{01EEB223-5D3F-426E-8FE6-3FAF55B83E6A}" name="Column7430" dataDxfId="18350" totalsRowDxfId="18349"/>
    <tableColumn id="7445" xr3:uid="{924644B8-47B5-4DF8-A1E8-416064F8539C}" name="Column7431" dataDxfId="18348" totalsRowDxfId="18347"/>
    <tableColumn id="7446" xr3:uid="{49B0B562-F55F-4764-A9CC-E46DAA7A24E7}" name="Column7432" dataDxfId="18346" totalsRowDxfId="18345"/>
    <tableColumn id="7447" xr3:uid="{CE7EDD16-6ED1-4956-AFF9-C46CC8ECBDC5}" name="Column7433" dataDxfId="18344" totalsRowDxfId="18343"/>
    <tableColumn id="7448" xr3:uid="{2E4CB1F7-3C0C-4FD3-8651-E00EE6B0F848}" name="Column7434" dataDxfId="18342" totalsRowDxfId="18341"/>
    <tableColumn id="7449" xr3:uid="{7455EB17-B1D1-4C5F-8737-A99E154438CD}" name="Column7435" dataDxfId="18340" totalsRowDxfId="18339"/>
    <tableColumn id="7450" xr3:uid="{9778FDE7-B33F-487D-A37D-6384933C5B0F}" name="Column7436" dataDxfId="18338" totalsRowDxfId="18337"/>
    <tableColumn id="7451" xr3:uid="{EA1D2DA5-EA12-4FA5-AA28-DF9205C147DD}" name="Column7437" dataDxfId="18336" totalsRowDxfId="18335"/>
    <tableColumn id="7452" xr3:uid="{3C89715F-2292-43CC-A1FD-F2959D0B9014}" name="Column7438" dataDxfId="18334" totalsRowDxfId="18333"/>
    <tableColumn id="7453" xr3:uid="{858A55B5-266C-4599-8E8D-0B5DE633989B}" name="Column7439" dataDxfId="18332" totalsRowDxfId="18331"/>
    <tableColumn id="7454" xr3:uid="{46DCD437-3887-4324-9D87-7B2D3664FACC}" name="Column7440" dataDxfId="18330" totalsRowDxfId="18329"/>
    <tableColumn id="7455" xr3:uid="{18A28136-E99A-4D46-90C7-516A34DF0558}" name="Column7441" dataDxfId="18328" totalsRowDxfId="18327"/>
    <tableColumn id="7456" xr3:uid="{CF665AC9-6D90-40FD-81AD-63C6674C0AC4}" name="Column7442" dataDxfId="18326" totalsRowDxfId="18325"/>
    <tableColumn id="7457" xr3:uid="{BA42C8A0-1FC6-42D3-8ECA-4B9463C671C0}" name="Column7443" dataDxfId="18324" totalsRowDxfId="18323"/>
    <tableColumn id="7458" xr3:uid="{2E1B1683-6755-47B2-AE9C-DED5DB30C0BB}" name="Column7444" dataDxfId="18322" totalsRowDxfId="18321"/>
    <tableColumn id="7459" xr3:uid="{CB39FC4A-6823-4650-A086-E623A5F89ACA}" name="Column7445" dataDxfId="18320" totalsRowDxfId="18319"/>
    <tableColumn id="7460" xr3:uid="{D2B32C62-9B2A-42CB-BC97-4F595C5C96AF}" name="Column7446" dataDxfId="18318" totalsRowDxfId="18317"/>
    <tableColumn id="7461" xr3:uid="{CABECA8E-EC8F-47A2-B0E2-E3BA218CBED2}" name="Column7447" dataDxfId="18316" totalsRowDxfId="18315"/>
    <tableColumn id="7462" xr3:uid="{3410929C-E32A-4867-9519-102C42CB1AA2}" name="Column7448" dataDxfId="18314" totalsRowDxfId="18313"/>
    <tableColumn id="7463" xr3:uid="{19170DBB-9DC1-428C-B9A5-D0CBC4EBDB8F}" name="Column7449" dataDxfId="18312" totalsRowDxfId="18311"/>
    <tableColumn id="7464" xr3:uid="{DC01CF9E-701D-4D4B-A1DA-3072043E2725}" name="Column7450" dataDxfId="18310" totalsRowDxfId="18309"/>
    <tableColumn id="7465" xr3:uid="{F62BF209-168C-4B3A-99A6-1566B0B9880C}" name="Column7451" dataDxfId="18308" totalsRowDxfId="18307"/>
    <tableColumn id="7466" xr3:uid="{86F91F97-1203-448E-98DE-4CD5E77EA8DB}" name="Column7452" dataDxfId="18306" totalsRowDxfId="18305"/>
    <tableColumn id="7467" xr3:uid="{578F159E-16F9-44CB-A6B3-55D74637A9D4}" name="Column7453" dataDxfId="18304" totalsRowDxfId="18303"/>
    <tableColumn id="7468" xr3:uid="{BF400600-9FFE-4161-ACF2-4D115B5DC205}" name="Column7454" dataDxfId="18302" totalsRowDxfId="18301"/>
    <tableColumn id="7469" xr3:uid="{D2250C76-9175-4E1C-8C01-FF654D462A97}" name="Column7455" dataDxfId="18300" totalsRowDxfId="18299"/>
    <tableColumn id="7470" xr3:uid="{9A25C661-C7E1-4654-9A3D-9D84DECCB38E}" name="Column7456" dataDxfId="18298" totalsRowDxfId="18297"/>
    <tableColumn id="7471" xr3:uid="{73207C61-B124-4E44-9B9D-C7E80255FB32}" name="Column7457" dataDxfId="18296" totalsRowDxfId="18295"/>
    <tableColumn id="7472" xr3:uid="{0D182823-6DE5-47F7-8100-7E566C9B3459}" name="Column7458" dataDxfId="18294" totalsRowDxfId="18293"/>
    <tableColumn id="7473" xr3:uid="{7CB3E63C-0452-4D40-BC39-FCC7D53AB246}" name="Column7459" dataDxfId="18292" totalsRowDxfId="18291"/>
    <tableColumn id="7474" xr3:uid="{A947D4EF-D979-49C9-8B7E-4461620743F7}" name="Column7460" dataDxfId="18290" totalsRowDxfId="18289"/>
    <tableColumn id="7475" xr3:uid="{CAD089E8-3CF5-4760-BC79-2F345B9E78C7}" name="Column7461" dataDxfId="18288" totalsRowDxfId="18287"/>
    <tableColumn id="7476" xr3:uid="{2C1D1F80-508C-4B08-ABA2-EA080FEB0EB0}" name="Column7462" dataDxfId="18286" totalsRowDxfId="18285"/>
    <tableColumn id="7477" xr3:uid="{CBD9CBFD-3CAD-4601-B259-253AC2B9C5E2}" name="Column7463" dataDxfId="18284" totalsRowDxfId="18283"/>
    <tableColumn id="7478" xr3:uid="{499B5E0A-1117-437E-8E6D-3A26F2690B68}" name="Column7464" dataDxfId="18282" totalsRowDxfId="18281"/>
    <tableColumn id="7479" xr3:uid="{7A55B222-2DF8-4423-B6A4-5CDE29A20297}" name="Column7465" dataDxfId="18280" totalsRowDxfId="18279"/>
    <tableColumn id="7480" xr3:uid="{1F74FFC4-E732-41AD-895E-9B52E77E446A}" name="Column7466" dataDxfId="18278" totalsRowDxfId="18277"/>
    <tableColumn id="7481" xr3:uid="{0AA4AABC-85A4-4953-945A-11AED2717B0D}" name="Column7467" dataDxfId="18276" totalsRowDxfId="18275"/>
    <tableColumn id="7482" xr3:uid="{8C63D877-3B03-4FAC-BC42-991BBA9DE3B9}" name="Column7468" dataDxfId="18274" totalsRowDxfId="18273"/>
    <tableColumn id="7483" xr3:uid="{FD7DF821-C41F-43C2-84F2-D4530557515B}" name="Column7469" dataDxfId="18272" totalsRowDxfId="18271"/>
    <tableColumn id="7484" xr3:uid="{46150151-F3FA-4969-897F-734DB8000F66}" name="Column7470" dataDxfId="18270" totalsRowDxfId="18269"/>
    <tableColumn id="7485" xr3:uid="{DCA6FF3E-7412-47CE-A237-D31F8DEFF511}" name="Column7471" dataDxfId="18268" totalsRowDxfId="18267"/>
    <tableColumn id="7486" xr3:uid="{2FD86EF2-917E-42B7-8607-5DE9B1F0914B}" name="Column7472" dataDxfId="18266" totalsRowDxfId="18265"/>
    <tableColumn id="7487" xr3:uid="{7DAED112-C762-4CFC-9F66-A91C670FA3A2}" name="Column7473" dataDxfId="18264" totalsRowDxfId="18263"/>
    <tableColumn id="7488" xr3:uid="{E1569BC5-5A90-41B9-8E9B-45AD9F20D89D}" name="Column7474" dataDxfId="18262" totalsRowDxfId="18261"/>
    <tableColumn id="7489" xr3:uid="{214E9B2E-96A6-450A-94AB-EC914547262B}" name="Column7475" dataDxfId="18260" totalsRowDxfId="18259"/>
    <tableColumn id="7490" xr3:uid="{BC8E0366-BCEC-4E84-88CE-5C4B935AFE15}" name="Column7476" dataDxfId="18258" totalsRowDxfId="18257"/>
    <tableColumn id="7491" xr3:uid="{C2AEFD5C-F196-41C8-98BF-A6BAA063381F}" name="Column7477" dataDxfId="18256" totalsRowDxfId="18255"/>
    <tableColumn id="7492" xr3:uid="{EDD918BB-6CBB-4420-BD9A-CA567DC27E29}" name="Column7478" dataDxfId="18254" totalsRowDxfId="18253"/>
    <tableColumn id="7493" xr3:uid="{FBDFF2CB-3042-43D7-81A6-40525C305375}" name="Column7479" dataDxfId="18252" totalsRowDxfId="18251"/>
    <tableColumn id="7494" xr3:uid="{FBCCDB04-D537-4CED-84C3-CBF7A7AC7D14}" name="Column7480" dataDxfId="18250" totalsRowDxfId="18249"/>
    <tableColumn id="7495" xr3:uid="{88250503-FC53-41CD-8CC5-29771E7DB756}" name="Column7481" dataDxfId="18248" totalsRowDxfId="18247"/>
    <tableColumn id="7496" xr3:uid="{E5D97E36-42D2-453D-91C2-D372F38573FD}" name="Column7482" dataDxfId="18246" totalsRowDxfId="18245"/>
    <tableColumn id="7497" xr3:uid="{D15C87AD-2183-478E-AAF0-436AC3E1BC4F}" name="Column7483" dataDxfId="18244" totalsRowDxfId="18243"/>
    <tableColumn id="7498" xr3:uid="{70709083-90D6-4F1D-8674-696F1342C4E3}" name="Column7484" dataDxfId="18242" totalsRowDxfId="18241"/>
    <tableColumn id="7499" xr3:uid="{3205787A-C416-4ECE-B2BC-31B316205CCE}" name="Column7485" dataDxfId="18240" totalsRowDxfId="18239"/>
    <tableColumn id="7500" xr3:uid="{10EC2AC5-02DD-4F29-9E72-480F12AA52FA}" name="Column7486" dataDxfId="18238" totalsRowDxfId="18237"/>
    <tableColumn id="7501" xr3:uid="{19A8BC64-6486-4F84-BBDA-F9E6693D28B7}" name="Column7487" dataDxfId="18236" totalsRowDxfId="18235"/>
    <tableColumn id="7502" xr3:uid="{C6AE83D6-3B2F-4002-BD5A-CC15CC4FCD0E}" name="Column7488" dataDxfId="18234" totalsRowDxfId="18233"/>
    <tableColumn id="7503" xr3:uid="{55C02ACA-1BA9-4535-9FAB-891FBC569432}" name="Column7489" dataDxfId="18232" totalsRowDxfId="18231"/>
    <tableColumn id="7504" xr3:uid="{3D7F897A-F774-40EA-BE6A-E7F97F1C7419}" name="Column7490" dataDxfId="18230" totalsRowDxfId="18229"/>
    <tableColumn id="7505" xr3:uid="{955B2730-4A8B-431E-A8D4-CAC845557FA2}" name="Column7491" dataDxfId="18228" totalsRowDxfId="18227"/>
    <tableColumn id="7506" xr3:uid="{EFBFF393-0C4A-4A1A-8E48-051BAA0A5539}" name="Column7492" dataDxfId="18226" totalsRowDxfId="18225"/>
    <tableColumn id="7507" xr3:uid="{96E2AA63-24F7-4D58-98E3-B6E622FA6109}" name="Column7493" dataDxfId="18224" totalsRowDxfId="18223"/>
    <tableColumn id="7508" xr3:uid="{260346A6-45FA-4446-87E5-8C3F5376D699}" name="Column7494" dataDxfId="18222" totalsRowDxfId="18221"/>
    <tableColumn id="7509" xr3:uid="{6BB6E005-BC36-4A60-B809-3D38A25F7C03}" name="Column7495" dataDxfId="18220" totalsRowDxfId="18219"/>
    <tableColumn id="7510" xr3:uid="{20111D99-03A6-40B7-844B-C9C3D5E85F03}" name="Column7496" dataDxfId="18218" totalsRowDxfId="18217"/>
    <tableColumn id="7511" xr3:uid="{D1BE8FA4-57E2-44F9-A9A3-9A12B6BD9C1B}" name="Column7497" dataDxfId="18216" totalsRowDxfId="18215"/>
    <tableColumn id="7512" xr3:uid="{5E0B9065-86C3-4B8E-9883-3636EE08788C}" name="Column7498" dataDxfId="18214" totalsRowDxfId="18213"/>
    <tableColumn id="7513" xr3:uid="{1EE591B7-9AA1-43FE-86FC-ADEACA5F3B9A}" name="Column7499" dataDxfId="18212" totalsRowDxfId="18211"/>
    <tableColumn id="7514" xr3:uid="{D63E4E0D-1D6B-4447-A938-029A464D5AFD}" name="Column7500" dataDxfId="18210" totalsRowDxfId="18209"/>
    <tableColumn id="7515" xr3:uid="{EC86ADA6-6D9C-4D20-A86F-29D6EC6EB0FF}" name="Column7501" dataDxfId="18208" totalsRowDxfId="18207"/>
    <tableColumn id="7516" xr3:uid="{0BBA247F-D978-42C8-8D98-AC48198A3039}" name="Column7502" dataDxfId="18206" totalsRowDxfId="18205"/>
    <tableColumn id="7517" xr3:uid="{71B6CAD3-2AD6-45E1-89E4-1302BE631B05}" name="Column7503" dataDxfId="18204" totalsRowDxfId="18203"/>
    <tableColumn id="7518" xr3:uid="{8258C6D5-6B49-4763-A3F5-44A7C51FD7D2}" name="Column7504" dataDxfId="18202" totalsRowDxfId="18201"/>
    <tableColumn id="7519" xr3:uid="{5504B6A3-2A8F-4902-8F47-4F1A7C95EC72}" name="Column7505" dataDxfId="18200" totalsRowDxfId="18199"/>
    <tableColumn id="7520" xr3:uid="{CC680091-3357-4922-AEF8-8FFC9CFCAF7E}" name="Column7506" dataDxfId="18198" totalsRowDxfId="18197"/>
    <tableColumn id="7521" xr3:uid="{7EFEDF1A-CB1D-4258-A602-E491D908C75B}" name="Column7507" dataDxfId="18196" totalsRowDxfId="18195"/>
    <tableColumn id="7522" xr3:uid="{7ABD025B-54D2-44A6-96C7-D35CF7E26FFB}" name="Column7508" dataDxfId="18194" totalsRowDxfId="18193"/>
    <tableColumn id="7523" xr3:uid="{8DBBD969-F6A4-4C54-A8F2-9A898865C1DC}" name="Column7509" dataDxfId="18192" totalsRowDxfId="18191"/>
    <tableColumn id="7524" xr3:uid="{B38DA6B1-B234-4D2B-A399-965813A613FA}" name="Column7510" dataDxfId="18190" totalsRowDxfId="18189"/>
    <tableColumn id="7525" xr3:uid="{B6D1DAE2-C152-4246-AAEB-27CFD2CE3B24}" name="Column7511" dataDxfId="18188" totalsRowDxfId="18187"/>
    <tableColumn id="7526" xr3:uid="{54354660-0ABD-4E39-8E83-7A78B7A4865A}" name="Column7512" dataDxfId="18186" totalsRowDxfId="18185"/>
    <tableColumn id="7527" xr3:uid="{4A2D9524-14DC-4FE2-8170-7589737588E0}" name="Column7513" dataDxfId="18184" totalsRowDxfId="18183"/>
    <tableColumn id="7528" xr3:uid="{FD9E69D2-7BD0-4F4A-98E2-30144717DD2C}" name="Column7514" dataDxfId="18182" totalsRowDxfId="18181"/>
    <tableColumn id="7529" xr3:uid="{5ACC5D7C-8AC2-4F6D-B549-A78787B08B16}" name="Column7515" dataDxfId="18180" totalsRowDxfId="18179"/>
    <tableColumn id="7530" xr3:uid="{BB852202-9390-4B1C-A44D-673EFA044B0C}" name="Column7516" dataDxfId="18178" totalsRowDxfId="18177"/>
    <tableColumn id="7531" xr3:uid="{B0058C14-336C-4BAC-91C8-1B450E8BC93B}" name="Column7517" dataDxfId="18176" totalsRowDxfId="18175"/>
    <tableColumn id="7532" xr3:uid="{2DB0F9E5-2759-4FC9-A3A2-4CA973F1CD3C}" name="Column7518" dataDxfId="18174" totalsRowDxfId="18173"/>
    <tableColumn id="7533" xr3:uid="{06137C6C-5E98-4C0C-AA89-EFF1745634C4}" name="Column7519" dataDxfId="18172" totalsRowDxfId="18171"/>
    <tableColumn id="7534" xr3:uid="{2075CBCA-F88E-4B00-A3A9-71D316167EF9}" name="Column7520" dataDxfId="18170" totalsRowDxfId="18169"/>
    <tableColumn id="7535" xr3:uid="{687005CD-0CC3-4CE3-9E21-84C86126307E}" name="Column7521" dataDxfId="18168" totalsRowDxfId="18167"/>
    <tableColumn id="7536" xr3:uid="{C1163780-2EB6-422A-BA5B-E31168694AFE}" name="Column7522" dataDxfId="18166" totalsRowDxfId="18165"/>
    <tableColumn id="7537" xr3:uid="{B7A21B74-6D71-4858-9801-7E5A03C329A6}" name="Column7523" dataDxfId="18164" totalsRowDxfId="18163"/>
    <tableColumn id="7538" xr3:uid="{DC47985E-6CBA-4F2F-89D0-E48E9C8D24ED}" name="Column7524" dataDxfId="18162" totalsRowDxfId="18161"/>
    <tableColumn id="7539" xr3:uid="{94EE0F7F-6CF0-46CB-9A84-43F7D0F3223A}" name="Column7525" dataDxfId="18160" totalsRowDxfId="18159"/>
    <tableColumn id="7540" xr3:uid="{A1AC132F-2C05-4AB0-83C0-B0F95076DB6F}" name="Column7526" dataDxfId="18158" totalsRowDxfId="18157"/>
    <tableColumn id="7541" xr3:uid="{6F178349-EC10-48D2-9901-469EAA487F81}" name="Column7527" dataDxfId="18156" totalsRowDxfId="18155"/>
    <tableColumn id="7542" xr3:uid="{FB07BC69-1EDB-429F-AD7E-870659671441}" name="Column7528" dataDxfId="18154" totalsRowDxfId="18153"/>
    <tableColumn id="7543" xr3:uid="{A3A02B79-2ACE-4634-9BE6-D79631DF534C}" name="Column7529" dataDxfId="18152" totalsRowDxfId="18151"/>
    <tableColumn id="7544" xr3:uid="{EBACFEE9-89D4-4895-BCC1-776AEF9B0DF7}" name="Column7530" dataDxfId="18150" totalsRowDxfId="18149"/>
    <tableColumn id="7545" xr3:uid="{3F43DF00-E48A-4DEF-8B9E-021B6C79AA54}" name="Column7531" dataDxfId="18148" totalsRowDxfId="18147"/>
    <tableColumn id="7546" xr3:uid="{C622F01B-0CBC-4CDF-A4EA-8D793CD20216}" name="Column7532" dataDxfId="18146" totalsRowDxfId="18145"/>
    <tableColumn id="7547" xr3:uid="{E80BE73F-4481-47DF-BF3E-04D4AC37AE0A}" name="Column7533" dataDxfId="18144" totalsRowDxfId="18143"/>
    <tableColumn id="7548" xr3:uid="{072F7AD1-906A-4E27-BC4A-40583D22B91A}" name="Column7534" dataDxfId="18142" totalsRowDxfId="18141"/>
    <tableColumn id="7549" xr3:uid="{F66B6F46-7CB8-4AFC-B00C-FA717721F8EB}" name="Column7535" dataDxfId="18140" totalsRowDxfId="18139"/>
    <tableColumn id="7550" xr3:uid="{AE648733-109D-43E9-B249-1A0B6871E591}" name="Column7536" dataDxfId="18138" totalsRowDxfId="18137"/>
    <tableColumn id="7551" xr3:uid="{A2790289-21CB-4301-9B8D-EC4B2C126FA3}" name="Column7537" dataDxfId="18136" totalsRowDxfId="18135"/>
    <tableColumn id="7552" xr3:uid="{8AABAA74-28F5-4E94-8E52-D77DEA67D480}" name="Column7538" dataDxfId="18134" totalsRowDxfId="18133"/>
    <tableColumn id="7553" xr3:uid="{F8226CF3-6ECF-4F2F-818E-DC47F48A4981}" name="Column7539" dataDxfId="18132" totalsRowDxfId="18131"/>
    <tableColumn id="7554" xr3:uid="{D2AA3105-8D8E-4832-9ED4-1AD25928D2F3}" name="Column7540" dataDxfId="18130" totalsRowDxfId="18129"/>
    <tableColumn id="7555" xr3:uid="{8372DE9A-A303-45D8-A2F9-4AD02C20CF47}" name="Column7541" dataDxfId="18128" totalsRowDxfId="18127"/>
    <tableColumn id="7556" xr3:uid="{D80E7B3D-655F-4D28-80EA-DCA45E4A0ECB}" name="Column7542" dataDxfId="18126" totalsRowDxfId="18125"/>
    <tableColumn id="7557" xr3:uid="{922E5E70-2B23-4EE8-87B4-F47299705894}" name="Column7543" dataDxfId="18124" totalsRowDxfId="18123"/>
    <tableColumn id="7558" xr3:uid="{8C391BB4-2FA9-43C9-A12B-9EF4C8B0715E}" name="Column7544" dataDxfId="18122" totalsRowDxfId="18121"/>
    <tableColumn id="7559" xr3:uid="{45F5FA03-7572-4E14-B4F2-83EB0C22E7E6}" name="Column7545" dataDxfId="18120" totalsRowDxfId="18119"/>
    <tableColumn id="7560" xr3:uid="{50C37F0C-1502-448D-BACC-1C9D19BFCC6D}" name="Column7546" dataDxfId="18118" totalsRowDxfId="18117"/>
    <tableColumn id="7561" xr3:uid="{0EF3788C-445A-4B1E-B9E4-9FD81CDED9F1}" name="Column7547" dataDxfId="18116" totalsRowDxfId="18115"/>
    <tableColumn id="7562" xr3:uid="{DD015C39-8F8D-4946-83EB-DE98E10B0B82}" name="Column7548" dataDxfId="18114" totalsRowDxfId="18113"/>
    <tableColumn id="7563" xr3:uid="{A7B43483-BAB9-4259-84AC-13A866000E23}" name="Column7549" dataDxfId="18112" totalsRowDxfId="18111"/>
    <tableColumn id="7564" xr3:uid="{C450B462-4057-4DFD-A892-DE6BC3D3BF9B}" name="Column7550" dataDxfId="18110" totalsRowDxfId="18109"/>
    <tableColumn id="7565" xr3:uid="{D2C28ECE-375B-47CC-8B05-EF29EA15EE48}" name="Column7551" dataDxfId="18108" totalsRowDxfId="18107"/>
    <tableColumn id="7566" xr3:uid="{E773FF19-A93B-4F16-9955-F5BE4FC4E2D8}" name="Column7552" dataDxfId="18106" totalsRowDxfId="18105"/>
    <tableColumn id="7567" xr3:uid="{60DC8F7F-6DAB-4936-A57C-6631544C4DD7}" name="Column7553" dataDxfId="18104" totalsRowDxfId="18103"/>
    <tableColumn id="7568" xr3:uid="{E8BF2976-7578-4595-9F83-81B16DDF573A}" name="Column7554" dataDxfId="18102" totalsRowDxfId="18101"/>
    <tableColumn id="7569" xr3:uid="{BCCA33A8-B809-4240-834A-08585A2FAEE2}" name="Column7555" dataDxfId="18100" totalsRowDxfId="18099"/>
    <tableColumn id="7570" xr3:uid="{E5B5DD48-5666-49F3-8D6B-4372F49A692D}" name="Column7556" dataDxfId="18098" totalsRowDxfId="18097"/>
    <tableColumn id="7571" xr3:uid="{E71113CA-7A88-4F97-ABE4-640CD1665F59}" name="Column7557" dataDxfId="18096" totalsRowDxfId="18095"/>
    <tableColumn id="7572" xr3:uid="{F2F3897E-ADBD-41CF-91B1-A0F9B8834073}" name="Column7558" dataDxfId="18094" totalsRowDxfId="18093"/>
    <tableColumn id="7573" xr3:uid="{7A76F0C7-2CEC-4CA0-9047-0428D2F8E9EC}" name="Column7559" dataDxfId="18092" totalsRowDxfId="18091"/>
    <tableColumn id="7574" xr3:uid="{A57B6D7A-F583-42B8-99F8-43C8050BD4EC}" name="Column7560" dataDxfId="18090" totalsRowDxfId="18089"/>
    <tableColumn id="7575" xr3:uid="{ABBBC1C4-EF2D-4337-BBF2-FE7744B34BDA}" name="Column7561" dataDxfId="18088" totalsRowDxfId="18087"/>
    <tableColumn id="7576" xr3:uid="{914D3147-32F9-47E7-8B39-107B2093CDF2}" name="Column7562" dataDxfId="18086" totalsRowDxfId="18085"/>
    <tableColumn id="7577" xr3:uid="{EA143238-F9AF-492D-906E-B8D9F0EB974A}" name="Column7563" dataDxfId="18084" totalsRowDxfId="18083"/>
    <tableColumn id="7578" xr3:uid="{8D698206-661B-4073-A430-97F9A9DFC81F}" name="Column7564" dataDxfId="18082" totalsRowDxfId="18081"/>
    <tableColumn id="7579" xr3:uid="{D2E08F6A-0269-424C-BE8C-AFBBB2BAE315}" name="Column7565" dataDxfId="18080" totalsRowDxfId="18079"/>
    <tableColumn id="7580" xr3:uid="{3072FD6D-BDF1-4C3B-9311-26E14D763467}" name="Column7566" dataDxfId="18078" totalsRowDxfId="18077"/>
    <tableColumn id="7581" xr3:uid="{2EF082A1-7B85-4C33-9821-38B80D34D820}" name="Column7567" dataDxfId="18076" totalsRowDxfId="18075"/>
    <tableColumn id="7582" xr3:uid="{4E71DF5A-687D-486B-B497-BC558BDDAF7B}" name="Column7568" dataDxfId="18074" totalsRowDxfId="18073"/>
    <tableColumn id="7583" xr3:uid="{FB6E450C-F1C8-4145-AFB7-C6B7A296313C}" name="Column7569" dataDxfId="18072" totalsRowDxfId="18071"/>
    <tableColumn id="7584" xr3:uid="{3409589F-1609-4B65-99B4-0855E51D4F75}" name="Column7570" dataDxfId="18070" totalsRowDxfId="18069"/>
    <tableColumn id="7585" xr3:uid="{2BFACFF6-8845-4460-849B-6D4AD7C9EC2B}" name="Column7571" dataDxfId="18068" totalsRowDxfId="18067"/>
    <tableColumn id="7586" xr3:uid="{7F86FA5F-8EF7-4545-BAA8-28C6199D1A4F}" name="Column7572" dataDxfId="18066" totalsRowDxfId="18065"/>
    <tableColumn id="7587" xr3:uid="{8A2859A3-5FC6-484B-88C9-C5AD2CAA3F60}" name="Column7573" dataDxfId="18064" totalsRowDxfId="18063"/>
    <tableColumn id="7588" xr3:uid="{9210CBE4-DF26-4995-9827-1E167F06BD4C}" name="Column7574" dataDxfId="18062" totalsRowDxfId="18061"/>
    <tableColumn id="7589" xr3:uid="{8F86E044-2562-4DE9-9599-E5B033370773}" name="Column7575" dataDxfId="18060" totalsRowDxfId="18059"/>
    <tableColumn id="7590" xr3:uid="{B6D0AC97-04F3-4A34-BC6D-18CA13CB981A}" name="Column7576" dataDxfId="18058" totalsRowDxfId="18057"/>
    <tableColumn id="7591" xr3:uid="{9BA957C3-99A7-4943-BE36-6974AB2E5718}" name="Column7577" dataDxfId="18056" totalsRowDxfId="18055"/>
    <tableColumn id="7592" xr3:uid="{49379DEE-0BFA-405B-A223-2535BBCA79ED}" name="Column7578" dataDxfId="18054" totalsRowDxfId="18053"/>
    <tableColumn id="7593" xr3:uid="{8AB2BC7B-7DEA-4678-A8E8-3FBC8F0278EE}" name="Column7579" dataDxfId="18052" totalsRowDxfId="18051"/>
    <tableColumn id="7594" xr3:uid="{2F187E65-881D-4A4B-8C81-ED9A7D554313}" name="Column7580" dataDxfId="18050" totalsRowDxfId="18049"/>
    <tableColumn id="7595" xr3:uid="{A49FF2DB-B8F0-4452-9891-0963992A280B}" name="Column7581" dataDxfId="18048" totalsRowDxfId="18047"/>
    <tableColumn id="7596" xr3:uid="{18DA786F-88D5-4B4A-AC60-B95DAB0C9307}" name="Column7582" dataDxfId="18046" totalsRowDxfId="18045"/>
    <tableColumn id="7597" xr3:uid="{0E6E5695-B3CF-4593-8366-85D051B14965}" name="Column7583" dataDxfId="18044" totalsRowDxfId="18043"/>
    <tableColumn id="7598" xr3:uid="{685A912F-757E-439F-B067-4629861629F0}" name="Column7584" dataDxfId="18042" totalsRowDxfId="18041"/>
    <tableColumn id="7599" xr3:uid="{93F9C6C4-D028-4D37-B7F7-63CF0D7C6B67}" name="Column7585" dataDxfId="18040" totalsRowDxfId="18039"/>
    <tableColumn id="7600" xr3:uid="{7021601B-F1FA-4E39-9D89-12A9BCAF9418}" name="Column7586" dataDxfId="18038" totalsRowDxfId="18037"/>
    <tableColumn id="7601" xr3:uid="{D684EF13-8255-48AA-AFB1-DF58A254BF02}" name="Column7587" dataDxfId="18036" totalsRowDxfId="18035"/>
    <tableColumn id="7602" xr3:uid="{7C4168BA-92C3-45AA-8DCC-FEDF215C3564}" name="Column7588" dataDxfId="18034" totalsRowDxfId="18033"/>
    <tableColumn id="7603" xr3:uid="{DDDC7E6B-0523-4711-9098-0BFD23DE7C83}" name="Column7589" dataDxfId="18032" totalsRowDxfId="18031"/>
    <tableColumn id="7604" xr3:uid="{45A20CAE-D966-46FC-8E40-98FE7CFED62C}" name="Column7590" dataDxfId="18030" totalsRowDxfId="18029"/>
    <tableColumn id="7605" xr3:uid="{15F33DD1-7937-4FB6-8F43-CF05C29AA796}" name="Column7591" dataDxfId="18028" totalsRowDxfId="18027"/>
    <tableColumn id="7606" xr3:uid="{E5EC5CD8-8D84-4CD0-9A4A-31DD34FED63B}" name="Column7592" dataDxfId="18026" totalsRowDxfId="18025"/>
    <tableColumn id="7607" xr3:uid="{3B589CB6-B33C-4758-8523-602D3DC7E9D8}" name="Column7593" dataDxfId="18024" totalsRowDxfId="18023"/>
    <tableColumn id="7608" xr3:uid="{E2450051-D88A-49BD-90D5-FA7D85BCBD64}" name="Column7594" dataDxfId="18022" totalsRowDxfId="18021"/>
    <tableColumn id="7609" xr3:uid="{3AE43252-1567-4E6A-B69A-0B77A55F672F}" name="Column7595" dataDxfId="18020" totalsRowDxfId="18019"/>
    <tableColumn id="7610" xr3:uid="{2C32FF72-1E72-4460-ADF9-95570E1267A3}" name="Column7596" dataDxfId="18018" totalsRowDxfId="18017"/>
    <tableColumn id="7611" xr3:uid="{5F0E8A8D-0869-4116-9F93-7F63FAE6FB35}" name="Column7597" dataDxfId="18016" totalsRowDxfId="18015"/>
    <tableColumn id="7612" xr3:uid="{34C8C948-4A04-40F6-A4F9-4F5BA5E05808}" name="Column7598" dataDxfId="18014" totalsRowDxfId="18013"/>
    <tableColumn id="7613" xr3:uid="{8F8B80CA-11B5-428A-9D2A-A2AAA7924329}" name="Column7599" dataDxfId="18012" totalsRowDxfId="18011"/>
    <tableColumn id="7614" xr3:uid="{CA6EB331-8518-493F-8602-2DD6DFB1D8E7}" name="Column7600" dataDxfId="18010" totalsRowDxfId="18009"/>
    <tableColumn id="7615" xr3:uid="{36044903-D8D5-4158-8BC8-A431B53A7FFD}" name="Column7601" dataDxfId="18008" totalsRowDxfId="18007"/>
    <tableColumn id="7616" xr3:uid="{F9762127-E26B-44AC-AF3B-23BF3713C8FE}" name="Column7602" dataDxfId="18006" totalsRowDxfId="18005"/>
    <tableColumn id="7617" xr3:uid="{49965ED8-EAC5-42FF-93C8-8C31E86D7873}" name="Column7603" dataDxfId="18004" totalsRowDxfId="18003"/>
    <tableColumn id="7618" xr3:uid="{9D201DFD-C9FE-48DD-92D4-53A72BF8B0AF}" name="Column7604" dataDxfId="18002" totalsRowDxfId="18001"/>
    <tableColumn id="7619" xr3:uid="{93FDE901-15C8-43A3-84F6-C2379981BC3D}" name="Column7605" dataDxfId="18000" totalsRowDxfId="17999"/>
    <tableColumn id="7620" xr3:uid="{491F5851-0DA2-4374-97C7-54D1FDD4F4CE}" name="Column7606" dataDxfId="17998" totalsRowDxfId="17997"/>
    <tableColumn id="7621" xr3:uid="{5CED579D-77F1-46AC-B2BB-9450E6EDB4B1}" name="Column7607" dataDxfId="17996" totalsRowDxfId="17995"/>
    <tableColumn id="7622" xr3:uid="{ADBFB150-112F-4AC8-92EA-1E2078E0F387}" name="Column7608" dataDxfId="17994" totalsRowDxfId="17993"/>
    <tableColumn id="7623" xr3:uid="{B696E6AA-4F62-49F0-988C-E6D3B7B836DA}" name="Column7609" dataDxfId="17992" totalsRowDxfId="17991"/>
    <tableColumn id="7624" xr3:uid="{C4D4E910-BAF1-45C0-A8EF-AE1C9FAB4716}" name="Column7610" dataDxfId="17990" totalsRowDxfId="17989"/>
    <tableColumn id="7625" xr3:uid="{47D9BAD7-BA1C-43AD-A6D5-A10212DC8ED8}" name="Column7611" dataDxfId="17988" totalsRowDxfId="17987"/>
    <tableColumn id="7626" xr3:uid="{445CD595-DAEA-4509-BD46-FB3CFBECC420}" name="Column7612" dataDxfId="17986" totalsRowDxfId="17985"/>
    <tableColumn id="7627" xr3:uid="{48A7EFE4-09F3-4158-B893-9C125B7CA545}" name="Column7613" dataDxfId="17984" totalsRowDxfId="17983"/>
    <tableColumn id="7628" xr3:uid="{57BB1BEA-07D1-4FDD-BF7C-F3CD1E0908F0}" name="Column7614" dataDxfId="17982" totalsRowDxfId="17981"/>
    <tableColumn id="7629" xr3:uid="{9F3A3809-3D35-46FD-9380-ECFA280724B2}" name="Column7615" dataDxfId="17980" totalsRowDxfId="17979"/>
    <tableColumn id="7630" xr3:uid="{D0023DA5-BFC9-437C-B99B-CA2F73F8A868}" name="Column7616" dataDxfId="17978" totalsRowDxfId="17977"/>
    <tableColumn id="7631" xr3:uid="{C81B7565-B494-43E7-847C-F3AE03EE9B5A}" name="Column7617" dataDxfId="17976" totalsRowDxfId="17975"/>
    <tableColumn id="7632" xr3:uid="{57BB1984-BCFD-4B1E-9DD2-12E001A7E6F4}" name="Column7618" dataDxfId="17974" totalsRowDxfId="17973"/>
    <tableColumn id="7633" xr3:uid="{C6B7F045-153E-4FDD-93FD-6DA883E5D48A}" name="Column7619" dataDxfId="17972" totalsRowDxfId="17971"/>
    <tableColumn id="7634" xr3:uid="{EFAC60FD-F004-4DEC-9A84-5789C99571AC}" name="Column7620" dataDxfId="17970" totalsRowDxfId="17969"/>
    <tableColumn id="7635" xr3:uid="{F0153FCF-1502-476B-96A5-4BBD979BB75A}" name="Column7621" dataDxfId="17968" totalsRowDxfId="17967"/>
    <tableColumn id="7636" xr3:uid="{5D40D614-5889-4A2A-AA16-90BEE60382BF}" name="Column7622" dataDxfId="17966" totalsRowDxfId="17965"/>
    <tableColumn id="7637" xr3:uid="{9D539B43-ABAA-474F-A9A9-3C19D08D5188}" name="Column7623" dataDxfId="17964" totalsRowDxfId="17963"/>
    <tableColumn id="7638" xr3:uid="{19A843E6-9BCA-4363-B391-CDC3853B9CB1}" name="Column7624" dataDxfId="17962" totalsRowDxfId="17961"/>
    <tableColumn id="7639" xr3:uid="{736A64B2-29ED-4E28-A8A3-C72080328796}" name="Column7625" dataDxfId="17960" totalsRowDxfId="17959"/>
    <tableColumn id="7640" xr3:uid="{C9DB7488-807E-436C-A6EE-BA6A16B76B60}" name="Column7626" dataDxfId="17958" totalsRowDxfId="17957"/>
    <tableColumn id="7641" xr3:uid="{6D5C2D38-AF2B-476C-9C4A-46823633F1C3}" name="Column7627" dataDxfId="17956" totalsRowDxfId="17955"/>
    <tableColumn id="7642" xr3:uid="{362E6A38-8CEB-41E1-9739-FBADF6144DDC}" name="Column7628" dataDxfId="17954" totalsRowDxfId="17953"/>
    <tableColumn id="7643" xr3:uid="{133AF132-FB02-4A80-8F8D-379AA4A1B4C5}" name="Column7629" dataDxfId="17952" totalsRowDxfId="17951"/>
    <tableColumn id="7644" xr3:uid="{D8A1E99A-5ED5-4869-A4CB-11F14F4CDA92}" name="Column7630" dataDxfId="17950" totalsRowDxfId="17949"/>
    <tableColumn id="7645" xr3:uid="{C2D259FD-E726-4764-BEAB-40F63CCB36E8}" name="Column7631" dataDxfId="17948" totalsRowDxfId="17947"/>
    <tableColumn id="7646" xr3:uid="{676BD70C-7509-49A1-B697-C82A3F7CED0D}" name="Column7632" dataDxfId="17946" totalsRowDxfId="17945"/>
    <tableColumn id="7647" xr3:uid="{724EBE8A-AB3E-4A4B-B87D-4702BABEA0C2}" name="Column7633" dataDxfId="17944" totalsRowDxfId="17943"/>
    <tableColumn id="7648" xr3:uid="{A4985D00-FD25-4257-84F0-BFB30577BB39}" name="Column7634" dataDxfId="17942" totalsRowDxfId="17941"/>
    <tableColumn id="7649" xr3:uid="{DDBD45D9-D370-4558-9C9D-67D0B473A589}" name="Column7635" dataDxfId="17940" totalsRowDxfId="17939"/>
    <tableColumn id="7650" xr3:uid="{EB9CEBA3-91B1-4112-8FEA-7D856AB49C01}" name="Column7636" dataDxfId="17938" totalsRowDxfId="17937"/>
    <tableColumn id="7651" xr3:uid="{6AC6EF24-2490-4745-B8EB-59DA36D06336}" name="Column7637" dataDxfId="17936" totalsRowDxfId="17935"/>
    <tableColumn id="7652" xr3:uid="{25F8C6BA-5495-4B5C-BB4D-A44B533A9B24}" name="Column7638" dataDxfId="17934" totalsRowDxfId="17933"/>
    <tableColumn id="7653" xr3:uid="{86EAB003-5869-4F57-98F5-E96A64A75498}" name="Column7639" dataDxfId="17932" totalsRowDxfId="17931"/>
    <tableColumn id="7654" xr3:uid="{D5AAE59E-CED4-46F7-B97B-952FF76ADBBC}" name="Column7640" dataDxfId="17930" totalsRowDxfId="17929"/>
    <tableColumn id="7655" xr3:uid="{942CAF11-D22D-4AD3-9E11-9A92466227BF}" name="Column7641" dataDxfId="17928" totalsRowDxfId="17927"/>
    <tableColumn id="7656" xr3:uid="{B8B94EEF-D385-42F4-91E5-43A4CFCB6BD1}" name="Column7642" dataDxfId="17926" totalsRowDxfId="17925"/>
    <tableColumn id="7657" xr3:uid="{AE6AAB2C-B523-4855-A0C5-EC0C4D17B6BD}" name="Column7643" dataDxfId="17924" totalsRowDxfId="17923"/>
    <tableColumn id="7658" xr3:uid="{3B38448E-4EB1-4DDF-BFFF-E09A901ED16A}" name="Column7644" dataDxfId="17922" totalsRowDxfId="17921"/>
    <tableColumn id="7659" xr3:uid="{B386F81A-7A58-41D2-9054-30C478A5C2AE}" name="Column7645" dataDxfId="17920" totalsRowDxfId="17919"/>
    <tableColumn id="7660" xr3:uid="{B2109F5A-EA8A-471A-9AC5-EC2F6C2D834F}" name="Column7646" dataDxfId="17918" totalsRowDxfId="17917"/>
    <tableColumn id="7661" xr3:uid="{54A85877-3378-4245-9F2B-9B003A6F3043}" name="Column7647" dataDxfId="17916" totalsRowDxfId="17915"/>
    <tableColumn id="7662" xr3:uid="{1306F347-0A21-4A4B-A23B-D76C12135238}" name="Column7648" dataDxfId="17914" totalsRowDxfId="17913"/>
    <tableColumn id="7663" xr3:uid="{B6D21D56-E0C2-49EA-BA3F-41902799531A}" name="Column7649" dataDxfId="17912" totalsRowDxfId="17911"/>
    <tableColumn id="7664" xr3:uid="{A40E0DD0-643A-4E62-83FD-AE592DBE6213}" name="Column7650" dataDxfId="17910" totalsRowDxfId="17909"/>
    <tableColumn id="7665" xr3:uid="{C37C360F-03A7-4E13-A723-3BBCEDCDB928}" name="Column7651" dataDxfId="17908" totalsRowDxfId="17907"/>
    <tableColumn id="7666" xr3:uid="{A5AE2FD2-9FF6-4379-B362-F17BAE6C0F75}" name="Column7652" dataDxfId="17906" totalsRowDxfId="17905"/>
    <tableColumn id="7667" xr3:uid="{D45126A8-86BE-4CAC-B913-4880E8708F53}" name="Column7653" dataDxfId="17904" totalsRowDxfId="17903"/>
    <tableColumn id="7668" xr3:uid="{E9F606A9-4D80-45CF-B285-930D4A556D2A}" name="Column7654" dataDxfId="17902" totalsRowDxfId="17901"/>
    <tableColumn id="7669" xr3:uid="{6713CB66-7F8B-41C6-9DF4-CC396A4C216A}" name="Column7655" dataDxfId="17900" totalsRowDxfId="17899"/>
    <tableColumn id="7670" xr3:uid="{774EA370-EB39-406B-A15D-77D3B6DBE77F}" name="Column7656" dataDxfId="17898" totalsRowDxfId="17897"/>
    <tableColumn id="7671" xr3:uid="{EEE3B800-4374-4128-AF3B-2A0D83E4D9E1}" name="Column7657" dataDxfId="17896" totalsRowDxfId="17895"/>
    <tableColumn id="7672" xr3:uid="{CEF7BB4D-43A3-4402-A9D6-E55302A42C2A}" name="Column7658" dataDxfId="17894" totalsRowDxfId="17893"/>
    <tableColumn id="7673" xr3:uid="{98C25E67-DEC7-46E1-8939-837CDC0DCF7B}" name="Column7659" dataDxfId="17892" totalsRowDxfId="17891"/>
    <tableColumn id="7674" xr3:uid="{DB380A30-E577-4FA8-838A-FD9A003D9248}" name="Column7660" dataDxfId="17890" totalsRowDxfId="17889"/>
    <tableColumn id="7675" xr3:uid="{C995005B-B979-4C1E-8343-936CC70C0149}" name="Column7661" dataDxfId="17888" totalsRowDxfId="17887"/>
    <tableColumn id="7676" xr3:uid="{ADD8D054-D95B-446A-B9FB-9B0956201319}" name="Column7662" dataDxfId="17886" totalsRowDxfId="17885"/>
    <tableColumn id="7677" xr3:uid="{86DA9245-3E98-4965-9E60-32F6FBA8C44A}" name="Column7663" dataDxfId="17884" totalsRowDxfId="17883"/>
    <tableColumn id="7678" xr3:uid="{6FCB0574-4BA9-4379-8DEE-A6A338728A79}" name="Column7664" dataDxfId="17882" totalsRowDxfId="17881"/>
    <tableColumn id="7679" xr3:uid="{45BAF4A1-512A-46E3-A115-31739B9B4137}" name="Column7665" dataDxfId="17880" totalsRowDxfId="17879"/>
    <tableColumn id="7680" xr3:uid="{859D87E7-EC7B-4137-B48A-F61279747C16}" name="Column7666" dataDxfId="17878" totalsRowDxfId="17877"/>
    <tableColumn id="7681" xr3:uid="{89314C38-3D0B-468A-BEE5-9A3C55DEE919}" name="Column7667" dataDxfId="17876" totalsRowDxfId="17875"/>
    <tableColumn id="7682" xr3:uid="{81D6EF8B-5ADB-4CD6-8D16-6B65FEEDE863}" name="Column7668" dataDxfId="17874" totalsRowDxfId="17873"/>
    <tableColumn id="7683" xr3:uid="{AE9B86A8-4A72-4BB7-B6FA-C5E219FD6CA7}" name="Column7669" dataDxfId="17872" totalsRowDxfId="17871"/>
    <tableColumn id="7684" xr3:uid="{845BB659-DAA6-4BCE-BB32-67B4AD6040C7}" name="Column7670" dataDxfId="17870" totalsRowDxfId="17869"/>
    <tableColumn id="7685" xr3:uid="{C24248B3-B77E-4BAA-AB7C-6498FD84B7FA}" name="Column7671" dataDxfId="17868" totalsRowDxfId="17867"/>
    <tableColumn id="7686" xr3:uid="{405CAE65-2483-4D1F-8C0E-DFE4679B976A}" name="Column7672" dataDxfId="17866" totalsRowDxfId="17865"/>
    <tableColumn id="7687" xr3:uid="{A00F321B-4A0D-4C60-A9B8-58E28763F0F9}" name="Column7673" dataDxfId="17864" totalsRowDxfId="17863"/>
    <tableColumn id="7688" xr3:uid="{1C3CC68A-3308-4A4E-9A95-18E88824BF4A}" name="Column7674" dataDxfId="17862" totalsRowDxfId="17861"/>
    <tableColumn id="7689" xr3:uid="{CA26CDEA-D7B3-467E-9B9D-51774506064E}" name="Column7675" dataDxfId="17860" totalsRowDxfId="17859"/>
    <tableColumn id="7690" xr3:uid="{3C30CBAE-03B5-41CC-BA17-DC4655016302}" name="Column7676" dataDxfId="17858" totalsRowDxfId="17857"/>
    <tableColumn id="7691" xr3:uid="{E2AF6C41-A317-4DC2-8A86-3719CFF3BEF4}" name="Column7677" dataDxfId="17856" totalsRowDxfId="17855"/>
    <tableColumn id="7692" xr3:uid="{AAC9FCC1-96CF-48D6-8F03-9523A48EC7B0}" name="Column7678" dataDxfId="17854" totalsRowDxfId="17853"/>
    <tableColumn id="7693" xr3:uid="{AF334157-A242-4A4D-B1BF-0028E34978BF}" name="Column7679" dataDxfId="17852" totalsRowDxfId="17851"/>
    <tableColumn id="7694" xr3:uid="{6D9F775B-A18B-4086-A02F-3741EEACCACD}" name="Column7680" dataDxfId="17850" totalsRowDxfId="17849"/>
    <tableColumn id="7695" xr3:uid="{64CF7F62-AE26-4E0E-ADB6-B1B7565513D8}" name="Column7681" dataDxfId="17848" totalsRowDxfId="17847"/>
    <tableColumn id="7696" xr3:uid="{A62F0F1B-FFC7-4294-B163-D2C43F468A78}" name="Column7682" dataDxfId="17846" totalsRowDxfId="17845"/>
    <tableColumn id="7697" xr3:uid="{DFA85043-A4BF-4F87-BC7C-D346D5A3EE92}" name="Column7683" dataDxfId="17844" totalsRowDxfId="17843"/>
    <tableColumn id="7698" xr3:uid="{9C079416-AC87-42B2-A2F9-E065FED5E241}" name="Column7684" dataDxfId="17842" totalsRowDxfId="17841"/>
    <tableColumn id="7699" xr3:uid="{4880F725-1EE3-4D6D-B02B-08F13BAD9496}" name="Column7685" dataDxfId="17840" totalsRowDxfId="17839"/>
    <tableColumn id="7700" xr3:uid="{DE606063-A1BA-4B29-A9E1-B6475069DE87}" name="Column7686" dataDxfId="17838" totalsRowDxfId="17837"/>
    <tableColumn id="7701" xr3:uid="{D2B39096-5D52-49E0-831E-B9FD55905A17}" name="Column7687" dataDxfId="17836" totalsRowDxfId="17835"/>
    <tableColumn id="7702" xr3:uid="{FC184326-F285-476B-9455-54A1141F2282}" name="Column7688" dataDxfId="17834" totalsRowDxfId="17833"/>
    <tableColumn id="7703" xr3:uid="{E4906EF4-84F2-4452-B163-B1487011CD04}" name="Column7689" dataDxfId="17832" totalsRowDxfId="17831"/>
    <tableColumn id="7704" xr3:uid="{EEF943DB-3086-4F60-920B-CC73A20D1461}" name="Column7690" dataDxfId="17830" totalsRowDxfId="17829"/>
    <tableColumn id="7705" xr3:uid="{41A37DD2-5644-4FB5-9836-E5CE444BFCA2}" name="Column7691" dataDxfId="17828" totalsRowDxfId="17827"/>
    <tableColumn id="7706" xr3:uid="{FF3DC77A-8C22-4B4E-AA3C-B7008E0AF2F3}" name="Column7692" dataDxfId="17826" totalsRowDxfId="17825"/>
    <tableColumn id="7707" xr3:uid="{B3533050-02D6-421D-A7DD-8778DF1C84AD}" name="Column7693" dataDxfId="17824" totalsRowDxfId="17823"/>
    <tableColumn id="7708" xr3:uid="{AE0A8EF0-230E-47EC-875B-17C55EF23DB3}" name="Column7694" dataDxfId="17822" totalsRowDxfId="17821"/>
    <tableColumn id="7709" xr3:uid="{04CDA740-5BEE-4860-9018-457E5ACEDF91}" name="Column7695" dataDxfId="17820" totalsRowDxfId="17819"/>
    <tableColumn id="7710" xr3:uid="{562B1753-76F9-49B6-91C2-5475EF335987}" name="Column7696" dataDxfId="17818" totalsRowDxfId="17817"/>
    <tableColumn id="7711" xr3:uid="{F746DE3F-55BB-4140-933C-C51D2AB3759A}" name="Column7697" dataDxfId="17816" totalsRowDxfId="17815"/>
    <tableColumn id="7712" xr3:uid="{3F83BD45-0975-4487-9E4E-8344C55A0EBF}" name="Column7698" dataDxfId="17814" totalsRowDxfId="17813"/>
    <tableColumn id="7713" xr3:uid="{8F6A29D5-B57D-4846-9F90-A50BDDDC7221}" name="Column7699" dataDxfId="17812" totalsRowDxfId="17811"/>
    <tableColumn id="7714" xr3:uid="{C7A55AE8-46E0-4FF3-A068-484C1683F5C7}" name="Column7700" dataDxfId="17810" totalsRowDxfId="17809"/>
    <tableColumn id="7715" xr3:uid="{9C0D5A54-9EB5-44FC-87C0-1D446E478007}" name="Column7701" dataDxfId="17808" totalsRowDxfId="17807"/>
    <tableColumn id="7716" xr3:uid="{E046A157-5B48-48E1-8E1B-DC05BBFBD83B}" name="Column7702" dataDxfId="17806" totalsRowDxfId="17805"/>
    <tableColumn id="7717" xr3:uid="{A6087FA3-8C47-406A-9B00-1615EB9F4EBC}" name="Column7703" dataDxfId="17804" totalsRowDxfId="17803"/>
    <tableColumn id="7718" xr3:uid="{41764D42-2FF7-41FC-BA76-6D897E558CF6}" name="Column7704" dataDxfId="17802" totalsRowDxfId="17801"/>
    <tableColumn id="7719" xr3:uid="{38808C09-EFF0-4D4E-8EAC-A9B887FA0686}" name="Column7705" dataDxfId="17800" totalsRowDxfId="17799"/>
    <tableColumn id="7720" xr3:uid="{E79C555B-ECD6-4DA6-A088-8D0BBF65A9D6}" name="Column7706" dataDxfId="17798" totalsRowDxfId="17797"/>
    <tableColumn id="7721" xr3:uid="{A92CF58F-3C95-477C-9B6B-8EBC07F021BB}" name="Column7707" dataDxfId="17796" totalsRowDxfId="17795"/>
    <tableColumn id="7722" xr3:uid="{881FE271-C263-42AE-8A90-424A9BFCA974}" name="Column7708" dataDxfId="17794" totalsRowDxfId="17793"/>
    <tableColumn id="7723" xr3:uid="{B14C7E5D-10FB-4320-8C81-01682835E00E}" name="Column7709" dataDxfId="17792" totalsRowDxfId="17791"/>
    <tableColumn id="7724" xr3:uid="{F9D07292-3994-45AD-95D7-5260029EFE3E}" name="Column7710" dataDxfId="17790" totalsRowDxfId="17789"/>
    <tableColumn id="7725" xr3:uid="{65B0D92E-650D-4078-8C2E-77857DC504F0}" name="Column7711" dataDxfId="17788" totalsRowDxfId="17787"/>
    <tableColumn id="7726" xr3:uid="{BC562E9E-8377-4CF5-8638-C0902390B6D5}" name="Column7712" dataDxfId="17786" totalsRowDxfId="17785"/>
    <tableColumn id="7727" xr3:uid="{D8B84B9C-8F98-41FB-9625-9FA8EBF33356}" name="Column7713" dataDxfId="17784" totalsRowDxfId="17783"/>
    <tableColumn id="7728" xr3:uid="{7496DE30-92ED-4E5D-AC82-95764E8D6DCD}" name="Column7714" dataDxfId="17782" totalsRowDxfId="17781"/>
    <tableColumn id="7729" xr3:uid="{6CF6C3C8-E927-4069-977A-D22EB33E13A2}" name="Column7715" dataDxfId="17780" totalsRowDxfId="17779"/>
    <tableColumn id="7730" xr3:uid="{EB903296-9D97-4923-B579-2B63E32175D9}" name="Column7716" dataDxfId="17778" totalsRowDxfId="17777"/>
    <tableColumn id="7731" xr3:uid="{90FD99DF-E7FF-4E85-90B6-FDAE9C1F8B7B}" name="Column7717" dataDxfId="17776" totalsRowDxfId="17775"/>
    <tableColumn id="7732" xr3:uid="{31B83715-B908-43B9-B7E9-EEC8060D3591}" name="Column7718" dataDxfId="17774" totalsRowDxfId="17773"/>
    <tableColumn id="7733" xr3:uid="{DA7A2DA4-BD01-449A-8E5B-5B4DAC65342F}" name="Column7719" dataDxfId="17772" totalsRowDxfId="17771"/>
    <tableColumn id="7734" xr3:uid="{B31DD03F-00BD-4B41-A5A1-AB2D7083FC8D}" name="Column7720" dataDxfId="17770" totalsRowDxfId="17769"/>
    <tableColumn id="7735" xr3:uid="{53C2DFDA-D860-4D14-A6BF-F533A0E7279A}" name="Column7721" dataDxfId="17768" totalsRowDxfId="17767"/>
    <tableColumn id="7736" xr3:uid="{0E7D906D-D52A-41C3-AB38-3A02F7B9037D}" name="Column7722" dataDxfId="17766" totalsRowDxfId="17765"/>
    <tableColumn id="7737" xr3:uid="{B16BA650-6447-40A4-8845-B45781D772C3}" name="Column7723" dataDxfId="17764" totalsRowDxfId="17763"/>
    <tableColumn id="7738" xr3:uid="{F8007D88-4BC8-4AA5-A1BE-A22FBCC436C2}" name="Column7724" dataDxfId="17762" totalsRowDxfId="17761"/>
    <tableColumn id="7739" xr3:uid="{29C17E49-D05A-419F-A627-9D298C1DB971}" name="Column7725" dataDxfId="17760" totalsRowDxfId="17759"/>
    <tableColumn id="7740" xr3:uid="{5E2233DF-35EE-4DF0-974F-9122607D9D73}" name="Column7726" dataDxfId="17758" totalsRowDxfId="17757"/>
    <tableColumn id="7741" xr3:uid="{2C8AD986-A1C0-45A5-9D5A-4DDE596B6715}" name="Column7727" dataDxfId="17756" totalsRowDxfId="17755"/>
    <tableColumn id="7742" xr3:uid="{41CECB4F-C95A-4A19-A2D4-10A49B6204B5}" name="Column7728" dataDxfId="17754" totalsRowDxfId="17753"/>
    <tableColumn id="7743" xr3:uid="{939CD3DE-AEE3-4E22-B2A6-50F1D616976E}" name="Column7729" dataDxfId="17752" totalsRowDxfId="17751"/>
    <tableColumn id="7744" xr3:uid="{FF6CE711-0C82-4948-AB7D-CBD451AD05B4}" name="Column7730" dataDxfId="17750" totalsRowDxfId="17749"/>
    <tableColumn id="7745" xr3:uid="{3385A3CD-0F34-4D34-B896-96DED3A16A04}" name="Column7731" dataDxfId="17748" totalsRowDxfId="17747"/>
    <tableColumn id="7746" xr3:uid="{64ACA229-0DD9-49BF-BE2C-88EB4D132D0F}" name="Column7732" dataDxfId="17746" totalsRowDxfId="17745"/>
    <tableColumn id="7747" xr3:uid="{05E0A344-2DF2-456C-9EC0-E5416FD13477}" name="Column7733" dataDxfId="17744" totalsRowDxfId="17743"/>
    <tableColumn id="7748" xr3:uid="{C79C535B-F07B-4D30-ABD2-116FB5D61905}" name="Column7734" dataDxfId="17742" totalsRowDxfId="17741"/>
    <tableColumn id="7749" xr3:uid="{9A641B9A-62F5-4F87-BE06-70C591A33C72}" name="Column7735" dataDxfId="17740" totalsRowDxfId="17739"/>
    <tableColumn id="7750" xr3:uid="{E018041D-5176-4409-8FF0-426AD2AB3EA2}" name="Column7736" dataDxfId="17738" totalsRowDxfId="17737"/>
    <tableColumn id="7751" xr3:uid="{7CC3D72E-5F61-4EEB-B5FC-2190618FA628}" name="Column7737" dataDxfId="17736" totalsRowDxfId="17735"/>
    <tableColumn id="7752" xr3:uid="{BFA26659-094A-4D45-9BD1-F82AE8CCF0F1}" name="Column7738" dataDxfId="17734" totalsRowDxfId="17733"/>
    <tableColumn id="7753" xr3:uid="{31537891-180A-456A-AFB7-CF2DAF1EAB1A}" name="Column7739" dataDxfId="17732" totalsRowDxfId="17731"/>
    <tableColumn id="7754" xr3:uid="{1ACFA504-4137-4907-9BDC-40F1190CA1A1}" name="Column7740" dataDxfId="17730" totalsRowDxfId="17729"/>
    <tableColumn id="7755" xr3:uid="{5D89C2A0-DFB8-4300-B793-C5A8CD1A3640}" name="Column7741" dataDxfId="17728" totalsRowDxfId="17727"/>
    <tableColumn id="7756" xr3:uid="{0E745C50-DACE-4957-886D-75186512951F}" name="Column7742" dataDxfId="17726" totalsRowDxfId="17725"/>
    <tableColumn id="7757" xr3:uid="{D44E454D-4F0D-4732-93CF-C33AFC9FA4D7}" name="Column7743" dataDxfId="17724" totalsRowDxfId="17723"/>
    <tableColumn id="7758" xr3:uid="{42EC1341-5E46-46DA-BDB8-82A5EFB4CD29}" name="Column7744" dataDxfId="17722" totalsRowDxfId="17721"/>
    <tableColumn id="7759" xr3:uid="{6465DA75-AA73-427E-A4B5-FF7005F72932}" name="Column7745" dataDxfId="17720" totalsRowDxfId="17719"/>
    <tableColumn id="7760" xr3:uid="{C5D1A414-3DC4-4937-B9C8-22663D8CE48F}" name="Column7746" dataDxfId="17718" totalsRowDxfId="17717"/>
    <tableColumn id="7761" xr3:uid="{BBC482CA-EF0F-40E4-AA82-D81E5E3C90F1}" name="Column7747" dataDxfId="17716" totalsRowDxfId="17715"/>
    <tableColumn id="7762" xr3:uid="{BFADE9B1-6913-46AA-B3A0-B3597B889352}" name="Column7748" dataDxfId="17714" totalsRowDxfId="17713"/>
    <tableColumn id="7763" xr3:uid="{931247AE-A0CF-4182-AABA-D92ED8314F72}" name="Column7749" dataDxfId="17712" totalsRowDxfId="17711"/>
    <tableColumn id="7764" xr3:uid="{E263817D-875E-4D11-B781-54034EC5A031}" name="Column7750" dataDxfId="17710" totalsRowDxfId="17709"/>
    <tableColumn id="7765" xr3:uid="{5DEB8E55-202B-4B6D-A2C7-8DF90EDE861B}" name="Column7751" dataDxfId="17708" totalsRowDxfId="17707"/>
    <tableColumn id="7766" xr3:uid="{6072E348-DE44-4CAC-9778-AB8B2DBC8C4D}" name="Column7752" dataDxfId="17706" totalsRowDxfId="17705"/>
    <tableColumn id="7767" xr3:uid="{B937DA70-D2A4-4A1F-A5DC-DAEB139EA2B9}" name="Column7753" dataDxfId="17704" totalsRowDxfId="17703"/>
    <tableColumn id="7768" xr3:uid="{D0D01836-73BB-4B15-9827-C71FA9330DB4}" name="Column7754" dataDxfId="17702" totalsRowDxfId="17701"/>
    <tableColumn id="7769" xr3:uid="{28092999-1B91-4D4F-A577-8D3BD987C301}" name="Column7755" dataDxfId="17700" totalsRowDxfId="17699"/>
    <tableColumn id="7770" xr3:uid="{FB24F849-0031-43F6-867E-DEDFA0C45354}" name="Column7756" dataDxfId="17698" totalsRowDxfId="17697"/>
    <tableColumn id="7771" xr3:uid="{BBE26BA9-BE75-434A-9126-8948BD299C0D}" name="Column7757" dataDxfId="17696" totalsRowDxfId="17695"/>
    <tableColumn id="7772" xr3:uid="{AE81DBA8-8A58-419D-BB80-5ACB07636BB5}" name="Column7758" dataDxfId="17694" totalsRowDxfId="17693"/>
    <tableColumn id="7773" xr3:uid="{CAC73A1D-2261-488F-B415-EE9240293CF8}" name="Column7759" dataDxfId="17692" totalsRowDxfId="17691"/>
    <tableColumn id="7774" xr3:uid="{0A72D037-6B59-45F3-B278-45BCCD23B11C}" name="Column7760" dataDxfId="17690" totalsRowDxfId="17689"/>
    <tableColumn id="7775" xr3:uid="{2B98ED01-ACD8-4E92-935A-ADDC40377710}" name="Column7761" dataDxfId="17688" totalsRowDxfId="17687"/>
    <tableColumn id="7776" xr3:uid="{AD041D23-1F43-426E-9F62-B563004A8620}" name="Column7762" dataDxfId="17686" totalsRowDxfId="17685"/>
    <tableColumn id="7777" xr3:uid="{5B4C60E5-BD30-480C-A534-C072BD197525}" name="Column7763" dataDxfId="17684" totalsRowDxfId="17683"/>
    <tableColumn id="7778" xr3:uid="{53A748B4-AF51-45E8-A02C-EE3DB84C4C53}" name="Column7764" dataDxfId="17682" totalsRowDxfId="17681"/>
    <tableColumn id="7779" xr3:uid="{9222C821-48CC-4545-87F7-10F194FF5159}" name="Column7765" dataDxfId="17680" totalsRowDxfId="17679"/>
    <tableColumn id="7780" xr3:uid="{BF44ACE9-675E-47D9-A745-C5618805AE28}" name="Column7766" dataDxfId="17678" totalsRowDxfId="17677"/>
    <tableColumn id="7781" xr3:uid="{227C8E14-0BE9-47BE-8AAD-66ED9095CC9F}" name="Column7767" dataDxfId="17676" totalsRowDxfId="17675"/>
    <tableColumn id="7782" xr3:uid="{D68745F8-BEAC-49D6-9DEC-FE76050A35F4}" name="Column7768" dataDxfId="17674" totalsRowDxfId="17673"/>
    <tableColumn id="7783" xr3:uid="{206B4693-71CB-4A46-8344-8BF7CF45E3B8}" name="Column7769" dataDxfId="17672" totalsRowDxfId="17671"/>
    <tableColumn id="7784" xr3:uid="{ABB05993-9ABE-4882-B46D-23BC24C3F493}" name="Column7770" dataDxfId="17670" totalsRowDxfId="17669"/>
    <tableColumn id="7785" xr3:uid="{74D0F641-D573-44D5-90B4-69E1CD3885CE}" name="Column7771" dataDxfId="17668" totalsRowDxfId="17667"/>
    <tableColumn id="7786" xr3:uid="{B943DF40-AF4E-4CDA-9551-A69163E95977}" name="Column7772" dataDxfId="17666" totalsRowDxfId="17665"/>
    <tableColumn id="7787" xr3:uid="{7B139DBB-7920-4BEA-9549-C94DD70E9B3E}" name="Column7773" dataDxfId="17664" totalsRowDxfId="17663"/>
    <tableColumn id="7788" xr3:uid="{33E6CDD7-2662-4126-8423-872239E55ABE}" name="Column7774" dataDxfId="17662" totalsRowDxfId="17661"/>
    <tableColumn id="7789" xr3:uid="{D108FE2A-87EE-4141-8103-30D48F8452A5}" name="Column7775" dataDxfId="17660" totalsRowDxfId="17659"/>
    <tableColumn id="7790" xr3:uid="{B5E2C6CE-A136-4494-9A08-272E4F2CED5D}" name="Column7776" dataDxfId="17658" totalsRowDxfId="17657"/>
    <tableColumn id="7791" xr3:uid="{3389BBDE-D909-419A-A5A4-87E1C5999484}" name="Column7777" dataDxfId="17656" totalsRowDxfId="17655"/>
    <tableColumn id="7792" xr3:uid="{12E4013F-17CA-4A9A-9217-AF57CFFC1CCE}" name="Column7778" dataDxfId="17654" totalsRowDxfId="17653"/>
    <tableColumn id="7793" xr3:uid="{CEEA560C-40A5-4FD1-A149-F4BF3E47E2DB}" name="Column7779" dataDxfId="17652" totalsRowDxfId="17651"/>
    <tableColumn id="7794" xr3:uid="{C3965CAB-488C-4F79-A1E5-6E6B9641DDBC}" name="Column7780" dataDxfId="17650" totalsRowDxfId="17649"/>
    <tableColumn id="7795" xr3:uid="{B81E4945-8BF6-42AC-884E-1868A3D2B382}" name="Column7781" dataDxfId="17648" totalsRowDxfId="17647"/>
    <tableColumn id="7796" xr3:uid="{9C6202DC-1211-4E0F-ADA2-5F5E7C735B8A}" name="Column7782" dataDxfId="17646" totalsRowDxfId="17645"/>
    <tableColumn id="7797" xr3:uid="{8BDD2F6F-6266-49CE-B77F-AC0435AB35AE}" name="Column7783" dataDxfId="17644" totalsRowDxfId="17643"/>
    <tableColumn id="7798" xr3:uid="{5D4D010C-E487-4EA3-8A80-CEB930CFFB6A}" name="Column7784" dataDxfId="17642" totalsRowDxfId="17641"/>
    <tableColumn id="7799" xr3:uid="{04D3706A-C6B9-4B63-AC73-35DAADD3E7BB}" name="Column7785" dataDxfId="17640" totalsRowDxfId="17639"/>
    <tableColumn id="7800" xr3:uid="{A88AA4E0-12A8-4CC8-B730-D68AC69E705A}" name="Column7786" dataDxfId="17638" totalsRowDxfId="17637"/>
    <tableColumn id="7801" xr3:uid="{4F31449E-BF07-4E0C-B933-D41E2BACF074}" name="Column7787" dataDxfId="17636" totalsRowDxfId="17635"/>
    <tableColumn id="7802" xr3:uid="{BEB19927-617D-47E3-A898-F9BE3840EEE4}" name="Column7788" dataDxfId="17634" totalsRowDxfId="17633"/>
    <tableColumn id="7803" xr3:uid="{3C984652-9A98-45C5-9DE1-59A1E54AAF9C}" name="Column7789" dataDxfId="17632" totalsRowDxfId="17631"/>
    <tableColumn id="7804" xr3:uid="{81F75401-057C-4FF4-A005-00B3609360E9}" name="Column7790" dataDxfId="17630" totalsRowDxfId="17629"/>
    <tableColumn id="7805" xr3:uid="{8E7960E4-2662-41C7-BEB9-E3F4CE7F9F99}" name="Column7791" dataDxfId="17628" totalsRowDxfId="17627"/>
    <tableColumn id="7806" xr3:uid="{E839D61E-1BE9-4F1D-8E68-6718D992C3E5}" name="Column7792" dataDxfId="17626" totalsRowDxfId="17625"/>
    <tableColumn id="7807" xr3:uid="{CB61C932-89B1-4744-815A-3BFE68354553}" name="Column7793" dataDxfId="17624" totalsRowDxfId="17623"/>
    <tableColumn id="7808" xr3:uid="{233B9311-6654-459B-804B-3DFF13739AE5}" name="Column7794" dataDxfId="17622" totalsRowDxfId="17621"/>
    <tableColumn id="7809" xr3:uid="{AFE23361-4C28-439A-9B77-C84830F3B12A}" name="Column7795" dataDxfId="17620" totalsRowDxfId="17619"/>
    <tableColumn id="7810" xr3:uid="{39B2BF7F-306F-4096-81AD-8806F2990AB4}" name="Column7796" dataDxfId="17618" totalsRowDxfId="17617"/>
    <tableColumn id="7811" xr3:uid="{B4E86C20-A6CB-40CB-9159-8D01CC54D0DF}" name="Column7797" dataDxfId="17616" totalsRowDxfId="17615"/>
    <tableColumn id="7812" xr3:uid="{DF6747FB-8B5E-4BCB-848D-2132775889CF}" name="Column7798" dataDxfId="17614" totalsRowDxfId="17613"/>
    <tableColumn id="7813" xr3:uid="{378698DA-F4F2-4222-81D1-E24E8C9D20E5}" name="Column7799" dataDxfId="17612" totalsRowDxfId="17611"/>
    <tableColumn id="7814" xr3:uid="{7CE32882-62EA-44DB-A2D1-4BDEAE622808}" name="Column7800" dataDxfId="17610" totalsRowDxfId="17609"/>
    <tableColumn id="7815" xr3:uid="{9073E7D7-8436-4276-B85D-5251A12ED4CC}" name="Column7801" dataDxfId="17608" totalsRowDxfId="17607"/>
    <tableColumn id="7816" xr3:uid="{FC28DF94-95E3-4D2E-AEE2-EC5FFF0777E4}" name="Column7802" dataDxfId="17606" totalsRowDxfId="17605"/>
    <tableColumn id="7817" xr3:uid="{DCA98180-68B9-4825-9A28-405FACAA88A3}" name="Column7803" dataDxfId="17604" totalsRowDxfId="17603"/>
    <tableColumn id="7818" xr3:uid="{8A9436E3-AF44-4768-9696-7A75CE704D4A}" name="Column7804" dataDxfId="17602" totalsRowDxfId="17601"/>
    <tableColumn id="7819" xr3:uid="{7AA32D1D-ACB3-454E-A819-57AFEC20FFE5}" name="Column7805" dataDxfId="17600" totalsRowDxfId="17599"/>
    <tableColumn id="7820" xr3:uid="{BF1987D9-ACC9-4E5B-8C62-B6C7A323EA54}" name="Column7806" dataDxfId="17598" totalsRowDxfId="17597"/>
    <tableColumn id="7821" xr3:uid="{77B0C528-D063-4B6C-9D21-878A0F0B1D46}" name="Column7807" dataDxfId="17596" totalsRowDxfId="17595"/>
    <tableColumn id="7822" xr3:uid="{3936D07D-4379-4177-952C-1017EC538F5B}" name="Column7808" dataDxfId="17594" totalsRowDxfId="17593"/>
    <tableColumn id="7823" xr3:uid="{6B2674AE-229B-4F2C-BF18-95FE110A48D8}" name="Column7809" dataDxfId="17592" totalsRowDxfId="17591"/>
    <tableColumn id="7824" xr3:uid="{420C9E19-97B6-45FD-8EBA-85109EDAE261}" name="Column7810" dataDxfId="17590" totalsRowDxfId="17589"/>
    <tableColumn id="7825" xr3:uid="{C32947DC-D121-406F-BE57-089702B27368}" name="Column7811" dataDxfId="17588" totalsRowDxfId="17587"/>
    <tableColumn id="7826" xr3:uid="{4CE538C1-838F-4DFD-94CA-203B9AA72DFA}" name="Column7812" dataDxfId="17586" totalsRowDxfId="17585"/>
    <tableColumn id="7827" xr3:uid="{1A20AF53-70C8-4DBC-88CD-1A662AB30426}" name="Column7813" dataDxfId="17584" totalsRowDxfId="17583"/>
    <tableColumn id="7828" xr3:uid="{8E1BB985-3912-418E-887D-4BEB4A3451E7}" name="Column7814" dataDxfId="17582" totalsRowDxfId="17581"/>
    <tableColumn id="7829" xr3:uid="{C8E8B5B3-8ECD-4BB0-8B1A-A3779762ABA3}" name="Column7815" dataDxfId="17580" totalsRowDxfId="17579"/>
    <tableColumn id="7830" xr3:uid="{A08D1905-75D9-414D-8356-927CFA0D0CAC}" name="Column7816" dataDxfId="17578" totalsRowDxfId="17577"/>
    <tableColumn id="7831" xr3:uid="{610170BB-472C-46E5-B0FD-292628C61A7E}" name="Column7817" dataDxfId="17576" totalsRowDxfId="17575"/>
    <tableColumn id="7832" xr3:uid="{37A50D49-A67C-4E76-8E64-86DC3F3F82FD}" name="Column7818" dataDxfId="17574" totalsRowDxfId="17573"/>
    <tableColumn id="7833" xr3:uid="{9F43E53A-E88E-457C-B5E4-56C9ADA17068}" name="Column7819" dataDxfId="17572" totalsRowDxfId="17571"/>
    <tableColumn id="7834" xr3:uid="{FE16E22D-A77D-4034-96C2-AA7AF658424B}" name="Column7820" dataDxfId="17570" totalsRowDxfId="17569"/>
    <tableColumn id="7835" xr3:uid="{E502B96C-1102-4E68-9180-CB02451BEF55}" name="Column7821" dataDxfId="17568" totalsRowDxfId="17567"/>
    <tableColumn id="7836" xr3:uid="{03914781-8171-410F-8EF6-2BC9EAE851DD}" name="Column7822" dataDxfId="17566" totalsRowDxfId="17565"/>
    <tableColumn id="7837" xr3:uid="{EAF37E5A-56B2-4426-9EE6-A6089D50C807}" name="Column7823" dataDxfId="17564" totalsRowDxfId="17563"/>
    <tableColumn id="7838" xr3:uid="{BAA08476-5939-48EC-949F-BAB6F4FAD006}" name="Column7824" dataDxfId="17562" totalsRowDxfId="17561"/>
    <tableColumn id="7839" xr3:uid="{FFAA97CF-AE75-4E53-ABBA-2529B5D9528E}" name="Column7825" dataDxfId="17560" totalsRowDxfId="17559"/>
    <tableColumn id="7840" xr3:uid="{8CBB752A-8BA9-4378-A65D-85995113C687}" name="Column7826" dataDxfId="17558" totalsRowDxfId="17557"/>
    <tableColumn id="7841" xr3:uid="{3591DB2E-C9FB-40DC-BB34-F031F0A0506E}" name="Column7827" dataDxfId="17556" totalsRowDxfId="17555"/>
    <tableColumn id="7842" xr3:uid="{2CDA4722-61A7-482D-9F31-8715546B29C5}" name="Column7828" dataDxfId="17554" totalsRowDxfId="17553"/>
    <tableColumn id="7843" xr3:uid="{A8BAE49A-ACD4-45D9-AA0A-DB20924EDA9F}" name="Column7829" dataDxfId="17552" totalsRowDxfId="17551"/>
    <tableColumn id="7844" xr3:uid="{196B3BF1-5C7B-43D5-A714-F22A94144A5F}" name="Column7830" dataDxfId="17550" totalsRowDxfId="17549"/>
    <tableColumn id="7845" xr3:uid="{86223683-412B-4925-B3EB-293B1E99F23C}" name="Column7831" dataDxfId="17548" totalsRowDxfId="17547"/>
    <tableColumn id="7846" xr3:uid="{EA9E03EE-C26C-46A7-8568-7AD75F8641BD}" name="Column7832" dataDxfId="17546" totalsRowDxfId="17545"/>
    <tableColumn id="7847" xr3:uid="{99F7EFDF-B66D-4A05-8AEC-FB34589A6256}" name="Column7833" dataDxfId="17544" totalsRowDxfId="17543"/>
    <tableColumn id="7848" xr3:uid="{9ACA8623-9005-400E-96DE-3E14D9FAF208}" name="Column7834" dataDxfId="17542" totalsRowDxfId="17541"/>
    <tableColumn id="7849" xr3:uid="{4945408C-08D9-42DF-998C-AB1CF62C7CD2}" name="Column7835" dataDxfId="17540" totalsRowDxfId="17539"/>
    <tableColumn id="7850" xr3:uid="{72DCDC3E-F3F5-4688-A4AF-46FF3C3B674A}" name="Column7836" dataDxfId="17538" totalsRowDxfId="17537"/>
    <tableColumn id="7851" xr3:uid="{25236BFF-A6F9-4E1D-A27B-904880E57E53}" name="Column7837" dataDxfId="17536" totalsRowDxfId="17535"/>
    <tableColumn id="7852" xr3:uid="{26928DA1-EE4A-498E-BA1B-EA884E7269BC}" name="Column7838" dataDxfId="17534" totalsRowDxfId="17533"/>
    <tableColumn id="7853" xr3:uid="{D8B4ED0E-BDF4-4C6C-B957-8DC0CA4A6199}" name="Column7839" dataDxfId="17532" totalsRowDxfId="17531"/>
    <tableColumn id="7854" xr3:uid="{910AC226-3378-4527-9E3E-9255E6499CAA}" name="Column7840" dataDxfId="17530" totalsRowDxfId="17529"/>
    <tableColumn id="7855" xr3:uid="{09DA22D5-8D90-4ACE-A8BC-8EAD7F2D3FD3}" name="Column7841" dataDxfId="17528" totalsRowDxfId="17527"/>
    <tableColumn id="7856" xr3:uid="{A4280DE9-8DA8-4050-A263-9D6182089372}" name="Column7842" dataDxfId="17526" totalsRowDxfId="17525"/>
    <tableColumn id="7857" xr3:uid="{09EC12DA-C208-447D-BEF3-BAE74424DDC7}" name="Column7843" dataDxfId="17524" totalsRowDxfId="17523"/>
    <tableColumn id="7858" xr3:uid="{8820BEB2-D6C8-4549-8DB3-A39659F308BF}" name="Column7844" dataDxfId="17522" totalsRowDxfId="17521"/>
    <tableColumn id="7859" xr3:uid="{5E926025-9A91-4460-A47A-F805AB763C4C}" name="Column7845" dataDxfId="17520" totalsRowDxfId="17519"/>
    <tableColumn id="7860" xr3:uid="{FDC639E0-0364-43EE-9FF5-ED23BD6E9951}" name="Column7846" dataDxfId="17518" totalsRowDxfId="17517"/>
    <tableColumn id="7861" xr3:uid="{80BB7F67-C020-454E-824C-A984D35BD8F9}" name="Column7847" dataDxfId="17516" totalsRowDxfId="17515"/>
    <tableColumn id="7862" xr3:uid="{8A805C86-5355-4E33-927A-318BEB6BE5CD}" name="Column7848" dataDxfId="17514" totalsRowDxfId="17513"/>
    <tableColumn id="7863" xr3:uid="{94A0500C-47C3-4A2E-948F-764714F43E22}" name="Column7849" dataDxfId="17512" totalsRowDxfId="17511"/>
    <tableColumn id="7864" xr3:uid="{CCA20C7C-BDEC-467E-A412-A8D2B31E5928}" name="Column7850" dataDxfId="17510" totalsRowDxfId="17509"/>
    <tableColumn id="7865" xr3:uid="{01408AB8-FE74-4FEE-B788-A04DFB026593}" name="Column7851" dataDxfId="17508" totalsRowDxfId="17507"/>
    <tableColumn id="7866" xr3:uid="{6B135C17-D700-4393-B11D-875DA37C1DB0}" name="Column7852" dataDxfId="17506" totalsRowDxfId="17505"/>
    <tableColumn id="7867" xr3:uid="{9D4506AE-D94D-4B80-BD60-7FFA17D16F34}" name="Column7853" dataDxfId="17504" totalsRowDxfId="17503"/>
    <tableColumn id="7868" xr3:uid="{A5AAA9C6-E95C-4134-8F68-338F48906301}" name="Column7854" dataDxfId="17502" totalsRowDxfId="17501"/>
    <tableColumn id="7869" xr3:uid="{FBB32F23-C9E9-431E-82A6-F37C52BAE1FE}" name="Column7855" dataDxfId="17500" totalsRowDxfId="17499"/>
    <tableColumn id="7870" xr3:uid="{3FBD8E35-F5EC-4C22-870A-2F102B24132C}" name="Column7856" dataDxfId="17498" totalsRowDxfId="17497"/>
    <tableColumn id="7871" xr3:uid="{8723F9BB-CE5A-4A55-AF69-6E5DFBD0A97C}" name="Column7857" dataDxfId="17496" totalsRowDxfId="17495"/>
    <tableColumn id="7872" xr3:uid="{BA01A08B-C9AF-4F92-9143-79F01F4AE1E0}" name="Column7858" dataDxfId="17494" totalsRowDxfId="17493"/>
    <tableColumn id="7873" xr3:uid="{36AAABF5-9892-4407-8151-D59D9FAE98D9}" name="Column7859" dataDxfId="17492" totalsRowDxfId="17491"/>
    <tableColumn id="7874" xr3:uid="{7EB49393-856D-443D-A6A1-9675A553FC6C}" name="Column7860" dataDxfId="17490" totalsRowDxfId="17489"/>
    <tableColumn id="7875" xr3:uid="{0EF9485C-434B-4F60-902A-81746FA61BAC}" name="Column7861" dataDxfId="17488" totalsRowDxfId="17487"/>
    <tableColumn id="7876" xr3:uid="{1B448985-8136-4B1D-AA5B-C90488870AA9}" name="Column7862" dataDxfId="17486" totalsRowDxfId="17485"/>
    <tableColumn id="7877" xr3:uid="{CE985E63-B04C-4012-B984-353C05A298B7}" name="Column7863" dataDxfId="17484" totalsRowDxfId="17483"/>
    <tableColumn id="7878" xr3:uid="{6BEF5457-C38F-4D6D-8D99-36038911217E}" name="Column7864" dataDxfId="17482" totalsRowDxfId="17481"/>
    <tableColumn id="7879" xr3:uid="{ACC01699-B91B-4D91-8D53-F37D067450AA}" name="Column7865" dataDxfId="17480" totalsRowDxfId="17479"/>
    <tableColumn id="7880" xr3:uid="{1D4D9C01-DFE5-45B6-A6D1-0868F584C58D}" name="Column7866" dataDxfId="17478" totalsRowDxfId="17477"/>
    <tableColumn id="7881" xr3:uid="{CE85CB02-1B17-4409-9435-1506F9BB4321}" name="Column7867" dataDxfId="17476" totalsRowDxfId="17475"/>
    <tableColumn id="7882" xr3:uid="{1B456140-92D5-49DD-8C66-1F19D1231B0E}" name="Column7868" dataDxfId="17474" totalsRowDxfId="17473"/>
    <tableColumn id="7883" xr3:uid="{769B819B-E3E3-4DCB-941C-0111118EE0C6}" name="Column7869" dataDxfId="17472" totalsRowDxfId="17471"/>
    <tableColumn id="7884" xr3:uid="{3400725D-9123-4CA1-8AD6-B52AA71C7BBE}" name="Column7870" dataDxfId="17470" totalsRowDxfId="17469"/>
    <tableColumn id="7885" xr3:uid="{F27559B4-4975-4BBA-B5B1-637E2A2803E0}" name="Column7871" dataDxfId="17468" totalsRowDxfId="17467"/>
    <tableColumn id="7886" xr3:uid="{FD362EE3-0652-4071-A411-C504E75FBBFC}" name="Column7872" dataDxfId="17466" totalsRowDxfId="17465"/>
    <tableColumn id="7887" xr3:uid="{C506C70E-E223-4AC6-9406-E1A2E5BFC54A}" name="Column7873" dataDxfId="17464" totalsRowDxfId="17463"/>
    <tableColumn id="7888" xr3:uid="{0FDC728B-93DB-4717-ADE7-59A26E9DF7BC}" name="Column7874" dataDxfId="17462" totalsRowDxfId="17461"/>
    <tableColumn id="7889" xr3:uid="{716B88BF-96F1-49AC-883B-686F2FDC3074}" name="Column7875" dataDxfId="17460" totalsRowDxfId="17459"/>
    <tableColumn id="7890" xr3:uid="{D8FEA138-15B6-45D2-8D9F-EBF9E5721C32}" name="Column7876" dataDxfId="17458" totalsRowDxfId="17457"/>
    <tableColumn id="7891" xr3:uid="{C4F0A395-54F9-4DE6-A669-C00F0BC9B82C}" name="Column7877" dataDxfId="17456" totalsRowDxfId="17455"/>
    <tableColumn id="7892" xr3:uid="{DE0C9CD9-9F1C-411C-AF10-E4C1D6F2F571}" name="Column7878" dataDxfId="17454" totalsRowDxfId="17453"/>
    <tableColumn id="7893" xr3:uid="{C8CE1383-296B-4439-A125-B82668E999E3}" name="Column7879" dataDxfId="17452" totalsRowDxfId="17451"/>
    <tableColumn id="7894" xr3:uid="{494D2252-92B8-4649-BF18-73E8270FB122}" name="Column7880" dataDxfId="17450" totalsRowDxfId="17449"/>
    <tableColumn id="7895" xr3:uid="{152504F8-8495-4E3A-B9B5-C4925C8178F6}" name="Column7881" dataDxfId="17448" totalsRowDxfId="17447"/>
    <tableColumn id="7896" xr3:uid="{B9EA0ECF-03E1-4221-A854-8D2185290B59}" name="Column7882" dataDxfId="17446" totalsRowDxfId="17445"/>
    <tableColumn id="7897" xr3:uid="{1493412A-3C4C-4689-B042-B6EDF55EAF5C}" name="Column7883" dataDxfId="17444" totalsRowDxfId="17443"/>
    <tableColumn id="7898" xr3:uid="{4A243510-445E-4191-922F-0618F3B099F1}" name="Column7884" dataDxfId="17442" totalsRowDxfId="17441"/>
    <tableColumn id="7899" xr3:uid="{195A9FD2-BA8C-4040-AD3F-D11C1402C71F}" name="Column7885" dataDxfId="17440" totalsRowDxfId="17439"/>
    <tableColumn id="7900" xr3:uid="{5A0C29CF-37A2-46AD-A1C8-212EB08145E7}" name="Column7886" dataDxfId="17438" totalsRowDxfId="17437"/>
    <tableColumn id="7901" xr3:uid="{2908337A-7694-431B-913C-4518FE097239}" name="Column7887" dataDxfId="17436" totalsRowDxfId="17435"/>
    <tableColumn id="7902" xr3:uid="{40B092F8-87D3-43C3-BD2E-622482303F63}" name="Column7888" dataDxfId="17434" totalsRowDxfId="17433"/>
    <tableColumn id="7903" xr3:uid="{BD031760-E439-4CB3-A221-1810672D5CCD}" name="Column7889" dataDxfId="17432" totalsRowDxfId="17431"/>
    <tableColumn id="7904" xr3:uid="{49220D64-F240-48BE-AE83-E4085C602CBB}" name="Column7890" dataDxfId="17430" totalsRowDxfId="17429"/>
    <tableColumn id="7905" xr3:uid="{E9073ABD-EB55-4AC4-9366-2B5DDE40D67F}" name="Column7891" dataDxfId="17428" totalsRowDxfId="17427"/>
    <tableColumn id="7906" xr3:uid="{0F4DE1BA-1A5A-4711-B579-6ADAFA222923}" name="Column7892" dataDxfId="17426" totalsRowDxfId="17425"/>
    <tableColumn id="7907" xr3:uid="{BF0434E6-D149-41E8-9610-2ED291788D59}" name="Column7893" dataDxfId="17424" totalsRowDxfId="17423"/>
    <tableColumn id="7908" xr3:uid="{5DCF2FC3-E980-48F1-95E3-B74484E45BF9}" name="Column7894" dataDxfId="17422" totalsRowDxfId="17421"/>
    <tableColumn id="7909" xr3:uid="{A50152D1-4B04-4771-9E63-D16D719C0D2D}" name="Column7895" dataDxfId="17420" totalsRowDxfId="17419"/>
    <tableColumn id="7910" xr3:uid="{E17CB2B9-7A69-493B-9F48-B81CC309451E}" name="Column7896" dataDxfId="17418" totalsRowDxfId="17417"/>
    <tableColumn id="7911" xr3:uid="{8BFEACEA-3A45-4EDF-87A9-876688216A52}" name="Column7897" dataDxfId="17416" totalsRowDxfId="17415"/>
    <tableColumn id="7912" xr3:uid="{C7885A1E-85E6-47D9-865E-136D6B5C91F6}" name="Column7898" dataDxfId="17414" totalsRowDxfId="17413"/>
    <tableColumn id="7913" xr3:uid="{F36F3803-AC46-4A23-A82A-EF1AE2EA7332}" name="Column7899" dataDxfId="17412" totalsRowDxfId="17411"/>
    <tableColumn id="7914" xr3:uid="{9E5E1B74-8889-4E15-A572-639D16979A0F}" name="Column7900" dataDxfId="17410" totalsRowDxfId="17409"/>
    <tableColumn id="7915" xr3:uid="{E0000955-9D8E-4DCB-B54F-7A85B1D836DD}" name="Column7901" dataDxfId="17408" totalsRowDxfId="17407"/>
    <tableColumn id="7916" xr3:uid="{2ABEF7A5-3E30-4222-A010-216982568665}" name="Column7902" dataDxfId="17406" totalsRowDxfId="17405"/>
    <tableColumn id="7917" xr3:uid="{955353AC-A970-4B66-AEBF-4E81C180FE3D}" name="Column7903" dataDxfId="17404" totalsRowDxfId="17403"/>
    <tableColumn id="7918" xr3:uid="{B6DB9016-F0A3-4F44-8988-E38521316F49}" name="Column7904" dataDxfId="17402" totalsRowDxfId="17401"/>
    <tableColumn id="7919" xr3:uid="{BA0C5D92-2B21-4136-9041-F2F1BEEB9EE1}" name="Column7905" dataDxfId="17400" totalsRowDxfId="17399"/>
    <tableColumn id="7920" xr3:uid="{3A9D17DC-492F-400B-AE16-7CFB3AA70F25}" name="Column7906" dataDxfId="17398" totalsRowDxfId="17397"/>
    <tableColumn id="7921" xr3:uid="{5B757699-1EC4-46B7-BB6B-BC9DB1634E68}" name="Column7907" dataDxfId="17396" totalsRowDxfId="17395"/>
    <tableColumn id="7922" xr3:uid="{8EF9E409-8FDE-49BE-97C1-2494657192DD}" name="Column7908" dataDxfId="17394" totalsRowDxfId="17393"/>
    <tableColumn id="7923" xr3:uid="{931D1AB9-25BC-42A1-A6AD-255623892F08}" name="Column7909" dataDxfId="17392" totalsRowDxfId="17391"/>
    <tableColumn id="7924" xr3:uid="{C8DBD969-EDC0-4693-A740-DD3D71498533}" name="Column7910" dataDxfId="17390" totalsRowDxfId="17389"/>
    <tableColumn id="7925" xr3:uid="{05046B1A-09AC-4965-BB9F-E71D232FCC08}" name="Column7911" dataDxfId="17388" totalsRowDxfId="17387"/>
    <tableColumn id="7926" xr3:uid="{02FFC1BA-2702-496F-8312-B306D2683426}" name="Column7912" dataDxfId="17386" totalsRowDxfId="17385"/>
    <tableColumn id="7927" xr3:uid="{DF44CCE3-8B4D-43B9-AF14-AD6046571CDF}" name="Column7913" dataDxfId="17384" totalsRowDxfId="17383"/>
    <tableColumn id="7928" xr3:uid="{B629AA74-20D5-46EB-BD2E-2DD60035ADB8}" name="Column7914" dataDxfId="17382" totalsRowDxfId="17381"/>
    <tableColumn id="7929" xr3:uid="{9AD55B11-A9F0-411A-8642-6CA7C35DDFFE}" name="Column7915" dataDxfId="17380" totalsRowDxfId="17379"/>
    <tableColumn id="7930" xr3:uid="{A7782912-1A43-4DAF-9E5E-B0AFDCD80EAB}" name="Column7916" dataDxfId="17378" totalsRowDxfId="17377"/>
    <tableColumn id="7931" xr3:uid="{79693BFC-D053-4B2F-8057-0494A2DB6F2A}" name="Column7917" dataDxfId="17376" totalsRowDxfId="17375"/>
    <tableColumn id="7932" xr3:uid="{3BA9260F-C992-4BB4-BA62-4FD7983D4F26}" name="Column7918" dataDxfId="17374" totalsRowDxfId="17373"/>
    <tableColumn id="7933" xr3:uid="{04A9E3FD-84E7-4E68-A7DC-C9B7A7525181}" name="Column7919" dataDxfId="17372" totalsRowDxfId="17371"/>
    <tableColumn id="7934" xr3:uid="{DDB69950-4DA2-43C0-A28E-453B200209C6}" name="Column7920" dataDxfId="17370" totalsRowDxfId="17369"/>
    <tableColumn id="7935" xr3:uid="{8977F297-F6C0-4005-832A-CF359B7161EF}" name="Column7921" dataDxfId="17368" totalsRowDxfId="17367"/>
    <tableColumn id="7936" xr3:uid="{B03B1FFD-36A7-4925-B398-7C2581DC3767}" name="Column7922" dataDxfId="17366" totalsRowDxfId="17365"/>
    <tableColumn id="7937" xr3:uid="{CE4F1BE5-2D8A-4015-918F-C774AFDCD866}" name="Column7923" dataDxfId="17364" totalsRowDxfId="17363"/>
    <tableColumn id="7938" xr3:uid="{F409BA60-5C8F-4C48-9D7F-B5C3F7882531}" name="Column7924" dataDxfId="17362" totalsRowDxfId="17361"/>
    <tableColumn id="7939" xr3:uid="{A18EB3F8-7641-4171-8858-E2EEDE7B94BB}" name="Column7925" dataDxfId="17360" totalsRowDxfId="17359"/>
    <tableColumn id="7940" xr3:uid="{709C7933-4487-434C-8E0D-16DF2FD8C6A0}" name="Column7926" dataDxfId="17358" totalsRowDxfId="17357"/>
    <tableColumn id="7941" xr3:uid="{63FB0295-9DFA-4E66-BCF2-BC59FC56910A}" name="Column7927" dataDxfId="17356" totalsRowDxfId="17355"/>
    <tableColumn id="7942" xr3:uid="{2C4F9246-1B04-4918-AD39-0C529008076F}" name="Column7928" dataDxfId="17354" totalsRowDxfId="17353"/>
    <tableColumn id="7943" xr3:uid="{135D46FA-9C62-4FF0-AB21-B4CE165448B7}" name="Column7929" dataDxfId="17352" totalsRowDxfId="17351"/>
    <tableColumn id="7944" xr3:uid="{79BC1B8A-431C-4D11-877F-7DA32A0DC85F}" name="Column7930" dataDxfId="17350" totalsRowDxfId="17349"/>
    <tableColumn id="7945" xr3:uid="{53EEF9FC-7431-4F30-9950-172EC6C90C76}" name="Column7931" dataDxfId="17348" totalsRowDxfId="17347"/>
    <tableColumn id="7946" xr3:uid="{EF85E4A4-97FA-47C8-9C12-2972107D301E}" name="Column7932" dataDxfId="17346" totalsRowDxfId="17345"/>
    <tableColumn id="7947" xr3:uid="{895B326A-0A48-4B7A-927E-F90700D280FF}" name="Column7933" dataDxfId="17344" totalsRowDxfId="17343"/>
    <tableColumn id="7948" xr3:uid="{C4B9D335-EC7A-49B6-824B-40733960031C}" name="Column7934" dataDxfId="17342" totalsRowDxfId="17341"/>
    <tableColumn id="7949" xr3:uid="{A4E922C9-232D-4E16-8CC0-3AAEB834BFDC}" name="Column7935" dataDxfId="17340" totalsRowDxfId="17339"/>
    <tableColumn id="7950" xr3:uid="{D859CF71-9EA6-456F-91A2-FDB1BA3D2BFC}" name="Column7936" dataDxfId="17338" totalsRowDxfId="17337"/>
    <tableColumn id="7951" xr3:uid="{8900D4CC-779B-4C12-9797-D47B3234E2DC}" name="Column7937" dataDxfId="17336" totalsRowDxfId="17335"/>
    <tableColumn id="7952" xr3:uid="{C52E9C7D-6F15-403D-AE25-2B3A6F748DA9}" name="Column7938" dataDxfId="17334" totalsRowDxfId="17333"/>
    <tableColumn id="7953" xr3:uid="{EEADD7B2-A140-4A4B-878A-69BAB65B53B5}" name="Column7939" dataDxfId="17332" totalsRowDxfId="17331"/>
    <tableColumn id="7954" xr3:uid="{CBC21EBE-8507-4C01-8363-B2F425171831}" name="Column7940" dataDxfId="17330" totalsRowDxfId="17329"/>
    <tableColumn id="7955" xr3:uid="{8C230C55-B851-40CC-8164-98372C5F4E21}" name="Column7941" dataDxfId="17328" totalsRowDxfId="17327"/>
    <tableColumn id="7956" xr3:uid="{0E4F92DB-C5F4-4A99-B909-2FD37C50F72F}" name="Column7942" dataDxfId="17326" totalsRowDxfId="17325"/>
    <tableColumn id="7957" xr3:uid="{2EC4A17C-6854-4402-ABFE-713B96FE5CC6}" name="Column7943" dataDxfId="17324" totalsRowDxfId="17323"/>
    <tableColumn id="7958" xr3:uid="{2C8F1F37-9BA5-429F-B972-A2B55AB39C3C}" name="Column7944" dataDxfId="17322" totalsRowDxfId="17321"/>
    <tableColumn id="7959" xr3:uid="{3679FEFF-AEB9-4A37-8935-814DEDF761DB}" name="Column7945" dataDxfId="17320" totalsRowDxfId="17319"/>
    <tableColumn id="7960" xr3:uid="{A2FB0245-6714-4902-96E8-6EA8F77AD370}" name="Column7946" dataDxfId="17318" totalsRowDxfId="17317"/>
    <tableColumn id="7961" xr3:uid="{F8D66755-198E-41E6-A168-1D9D0B5B9141}" name="Column7947" dataDxfId="17316" totalsRowDxfId="17315"/>
    <tableColumn id="7962" xr3:uid="{AAF647F3-BF92-4730-9312-452E5B355696}" name="Column7948" dataDxfId="17314" totalsRowDxfId="17313"/>
    <tableColumn id="7963" xr3:uid="{C7576F20-88AA-4F2B-B157-F4F48DD89FB1}" name="Column7949" dataDxfId="17312" totalsRowDxfId="17311"/>
    <tableColumn id="7964" xr3:uid="{AC891090-8833-4F41-95DB-90CB5B467993}" name="Column7950" dataDxfId="17310" totalsRowDxfId="17309"/>
    <tableColumn id="7965" xr3:uid="{595AEE91-1682-40EB-A08D-0BB29A98523A}" name="Column7951" dataDxfId="17308" totalsRowDxfId="17307"/>
    <tableColumn id="7966" xr3:uid="{D472FE4F-2BA6-45CF-9638-4B7E5941746C}" name="Column7952" dataDxfId="17306" totalsRowDxfId="17305"/>
    <tableColumn id="7967" xr3:uid="{2266B263-3E57-4E62-80DA-C1978A9C5673}" name="Column7953" dataDxfId="17304" totalsRowDxfId="17303"/>
    <tableColumn id="7968" xr3:uid="{7718B48F-00D1-4A43-99F3-FC3141F2D1FD}" name="Column7954" dataDxfId="17302" totalsRowDxfId="17301"/>
    <tableColumn id="7969" xr3:uid="{535AF3ED-F978-42ED-A16A-10CC230FAA0A}" name="Column7955" dataDxfId="17300" totalsRowDxfId="17299"/>
    <tableColumn id="7970" xr3:uid="{0280E070-5FE4-40F6-B727-DA0A9F4DAADC}" name="Column7956" dataDxfId="17298" totalsRowDxfId="17297"/>
    <tableColumn id="7971" xr3:uid="{0019CAA3-A47D-496F-AEA9-F4E34E250578}" name="Column7957" dataDxfId="17296" totalsRowDxfId="17295"/>
    <tableColumn id="7972" xr3:uid="{73462A24-A2ED-468A-B4BB-3832AFAE1A14}" name="Column7958" dataDxfId="17294" totalsRowDxfId="17293"/>
    <tableColumn id="7973" xr3:uid="{FDFA1676-8C9A-4910-BC7A-4B1E971CA047}" name="Column7959" dataDxfId="17292" totalsRowDxfId="17291"/>
    <tableColumn id="7974" xr3:uid="{DC18D413-0ED8-42AD-8E01-933FB927A02E}" name="Column7960" dataDxfId="17290" totalsRowDxfId="17289"/>
    <tableColumn id="7975" xr3:uid="{9D13CA96-96E9-4E40-A9C7-25B7483C9232}" name="Column7961" dataDxfId="17288" totalsRowDxfId="17287"/>
    <tableColumn id="7976" xr3:uid="{DBB8CAE4-CA0F-4230-A4E2-BB0D4311CFD6}" name="Column7962" dataDxfId="17286" totalsRowDxfId="17285"/>
    <tableColumn id="7977" xr3:uid="{22B7794E-AE63-4C05-8B44-F9A261CA987B}" name="Column7963" dataDxfId="17284" totalsRowDxfId="17283"/>
    <tableColumn id="7978" xr3:uid="{73B7BBB4-F80C-4A5C-8D13-70363D3C893E}" name="Column7964" dataDxfId="17282" totalsRowDxfId="17281"/>
    <tableColumn id="7979" xr3:uid="{BDCD4E42-F0CE-4219-B379-0B26A88A2B2A}" name="Column7965" dataDxfId="17280" totalsRowDxfId="17279"/>
    <tableColumn id="7980" xr3:uid="{1C4EB645-416E-4816-9BB2-3C906BBF298F}" name="Column7966" dataDxfId="17278" totalsRowDxfId="17277"/>
    <tableColumn id="7981" xr3:uid="{581C9AFC-64BF-4C2C-872C-4D1345947CB2}" name="Column7967" dataDxfId="17276" totalsRowDxfId="17275"/>
    <tableColumn id="7982" xr3:uid="{18646912-7EA9-46A4-B041-DCC9BAE40B26}" name="Column7968" dataDxfId="17274" totalsRowDxfId="17273"/>
    <tableColumn id="7983" xr3:uid="{47664439-D8A6-4400-B9DD-E17C6DACB011}" name="Column7969" dataDxfId="17272" totalsRowDxfId="17271"/>
    <tableColumn id="7984" xr3:uid="{12CCEB3D-26A2-4615-A09C-69F00EEF7948}" name="Column7970" dataDxfId="17270" totalsRowDxfId="17269"/>
    <tableColumn id="7985" xr3:uid="{D4ECD3C0-AB64-4C0B-8D26-E4009B92174B}" name="Column7971" dataDxfId="17268" totalsRowDxfId="17267"/>
    <tableColumn id="7986" xr3:uid="{E0254A7B-9A32-4EAC-B72F-F1F5461E2BD2}" name="Column7972" dataDxfId="17266" totalsRowDxfId="17265"/>
    <tableColumn id="7987" xr3:uid="{5DDA8215-0A11-41D0-8EDB-E66CCBE6AAE5}" name="Column7973" dataDxfId="17264" totalsRowDxfId="17263"/>
    <tableColumn id="7988" xr3:uid="{B7A24050-D02D-40BA-80CB-44CA63AA181A}" name="Column7974" dataDxfId="17262" totalsRowDxfId="17261"/>
    <tableColumn id="7989" xr3:uid="{1B94244C-87BE-4C78-A4F0-7E68BEA946B9}" name="Column7975" dataDxfId="17260" totalsRowDxfId="17259"/>
    <tableColumn id="7990" xr3:uid="{E899F723-E2D4-4F30-AF22-E8BC54EF84DF}" name="Column7976" dataDxfId="17258" totalsRowDxfId="17257"/>
    <tableColumn id="7991" xr3:uid="{44107CAE-F044-4966-A558-070A6955AA3A}" name="Column7977" dataDxfId="17256" totalsRowDxfId="17255"/>
    <tableColumn id="7992" xr3:uid="{DC484160-1ACF-49D7-BF38-205447A38096}" name="Column7978" dataDxfId="17254" totalsRowDxfId="17253"/>
    <tableColumn id="7993" xr3:uid="{B78723DD-C523-4BE8-B646-D31795328D10}" name="Column7979" dataDxfId="17252" totalsRowDxfId="17251"/>
    <tableColumn id="7994" xr3:uid="{F095511A-3F54-430F-A065-CAB041C94F92}" name="Column7980" dataDxfId="17250" totalsRowDxfId="17249"/>
    <tableColumn id="7995" xr3:uid="{17F8BB6F-248D-4FB6-9FA2-74FA75904F5E}" name="Column7981" dataDxfId="17248" totalsRowDxfId="17247"/>
    <tableColumn id="7996" xr3:uid="{686702D4-F250-438D-86BA-3DDB45E42CB7}" name="Column7982" dataDxfId="17246" totalsRowDxfId="17245"/>
    <tableColumn id="7997" xr3:uid="{95A273FC-6658-4C7F-B72B-23CD96B78F38}" name="Column7983" dataDxfId="17244" totalsRowDxfId="17243"/>
    <tableColumn id="7998" xr3:uid="{6CF06505-AE73-4BC1-99E5-B8F70BF65537}" name="Column7984" dataDxfId="17242" totalsRowDxfId="17241"/>
    <tableColumn id="7999" xr3:uid="{D80763F3-7EB9-47C4-92B8-E8F2B246A177}" name="Column7985" dataDxfId="17240" totalsRowDxfId="17239"/>
    <tableColumn id="8000" xr3:uid="{6C48BBA3-C696-493B-A2D0-64D9952F11CA}" name="Column7986" dataDxfId="17238" totalsRowDxfId="17237"/>
    <tableColumn id="8001" xr3:uid="{A44215B2-B494-428C-BD13-725F606A1648}" name="Column7987" dataDxfId="17236" totalsRowDxfId="17235"/>
    <tableColumn id="8002" xr3:uid="{50201A06-9FBC-4E65-BB99-0F58A9CFD4F4}" name="Column7988" dataDxfId="17234" totalsRowDxfId="17233"/>
    <tableColumn id="8003" xr3:uid="{4C755A93-8C9C-4C7D-95B8-B1E68F2DA09D}" name="Column7989" dataDxfId="17232" totalsRowDxfId="17231"/>
    <tableColumn id="8004" xr3:uid="{3B833A46-0702-4332-8D7E-F5C33FAA27A9}" name="Column7990" dataDxfId="17230" totalsRowDxfId="17229"/>
    <tableColumn id="8005" xr3:uid="{9AA896DF-9653-4842-8CC4-AF75A942BAD9}" name="Column7991" dataDxfId="17228" totalsRowDxfId="17227"/>
    <tableColumn id="8006" xr3:uid="{3DE22085-3FB0-44D7-B8E4-2469DCE82111}" name="Column7992" dataDxfId="17226" totalsRowDxfId="17225"/>
    <tableColumn id="8007" xr3:uid="{4EC09717-455F-48BA-8F9E-5F6A12AC187D}" name="Column7993" dataDxfId="17224" totalsRowDxfId="17223"/>
    <tableColumn id="8008" xr3:uid="{24D1BE7C-F915-4F17-A465-18E4C61CEFD2}" name="Column7994" dataDxfId="17222" totalsRowDxfId="17221"/>
    <tableColumn id="8009" xr3:uid="{020C370E-1AA3-47DC-BFD9-13A06D05A71D}" name="Column7995" dataDxfId="17220" totalsRowDxfId="17219"/>
    <tableColumn id="8010" xr3:uid="{3C0ABC26-22D8-4817-A4A6-3097D71BCA92}" name="Column7996" dataDxfId="17218" totalsRowDxfId="17217"/>
    <tableColumn id="8011" xr3:uid="{9A1E5C6B-C34C-4C1E-AD76-89258CE08CC0}" name="Column7997" dataDxfId="17216" totalsRowDxfId="17215"/>
    <tableColumn id="8012" xr3:uid="{86AD57D7-44D5-4BC9-B8A5-70C4B8F734AE}" name="Column7998" dataDxfId="17214" totalsRowDxfId="17213"/>
    <tableColumn id="8013" xr3:uid="{581E9F78-05AB-410E-8878-0E0DA2E641A1}" name="Column7999" dataDxfId="17212" totalsRowDxfId="17211"/>
    <tableColumn id="8014" xr3:uid="{43B52B15-109D-4756-AF09-F9FB383B2192}" name="Column8000" dataDxfId="17210" totalsRowDxfId="17209"/>
    <tableColumn id="8015" xr3:uid="{CA50E294-3424-4CC7-9CA9-681534264F6F}" name="Column8001" dataDxfId="17208" totalsRowDxfId="17207"/>
    <tableColumn id="8016" xr3:uid="{118E93CA-AB37-4142-99EF-02019B804D1C}" name="Column8002" dataDxfId="17206" totalsRowDxfId="17205"/>
    <tableColumn id="8017" xr3:uid="{64C9A8B5-3395-43F4-A921-8F6D18A647B9}" name="Column8003" dataDxfId="17204" totalsRowDxfId="17203"/>
    <tableColumn id="8018" xr3:uid="{45E5E727-C124-4087-BE34-2BEF7ABA7318}" name="Column8004" dataDxfId="17202" totalsRowDxfId="17201"/>
    <tableColumn id="8019" xr3:uid="{57A242A5-FCBC-489C-B3F4-C8793DC251AF}" name="Column8005" dataDxfId="17200" totalsRowDxfId="17199"/>
    <tableColumn id="8020" xr3:uid="{45043561-CC13-49C7-8AAB-AC30CFA25077}" name="Column8006" dataDxfId="17198" totalsRowDxfId="17197"/>
    <tableColumn id="8021" xr3:uid="{B542A239-403C-4776-8BD3-084688AD7838}" name="Column8007" dataDxfId="17196" totalsRowDxfId="17195"/>
    <tableColumn id="8022" xr3:uid="{BC6CBCD6-4593-47BF-83F2-D568F1B18475}" name="Column8008" dataDxfId="17194" totalsRowDxfId="17193"/>
    <tableColumn id="8023" xr3:uid="{C58EA734-C77B-438E-9F2F-93BD6D7CC934}" name="Column8009" dataDxfId="17192" totalsRowDxfId="17191"/>
    <tableColumn id="8024" xr3:uid="{24F9C8C9-05CA-4F0E-BF8E-992B5616090C}" name="Column8010" dataDxfId="17190" totalsRowDxfId="17189"/>
    <tableColumn id="8025" xr3:uid="{1F93810C-4A16-409F-B9D0-A057DC443150}" name="Column8011" dataDxfId="17188" totalsRowDxfId="17187"/>
    <tableColumn id="8026" xr3:uid="{381BF035-DE35-4BC3-B888-A5C0A868BB58}" name="Column8012" dataDxfId="17186" totalsRowDxfId="17185"/>
    <tableColumn id="8027" xr3:uid="{409DE31D-26D4-456E-868F-6A12EBC9BD50}" name="Column8013" dataDxfId="17184" totalsRowDxfId="17183"/>
    <tableColumn id="8028" xr3:uid="{89E935B2-CD8B-439C-8011-F41117F66768}" name="Column8014" dataDxfId="17182" totalsRowDxfId="17181"/>
    <tableColumn id="8029" xr3:uid="{89B4D2ED-9C26-403E-A8D3-433DED1A0C18}" name="Column8015" dataDxfId="17180" totalsRowDxfId="17179"/>
    <tableColumn id="8030" xr3:uid="{9A718F7C-247A-404A-AFE7-178960E0F1D9}" name="Column8016" dataDxfId="17178" totalsRowDxfId="17177"/>
    <tableColumn id="8031" xr3:uid="{88446776-34E0-4EFD-8049-B8BA3471EA98}" name="Column8017" dataDxfId="17176" totalsRowDxfId="17175"/>
    <tableColumn id="8032" xr3:uid="{E6853C9E-9009-4594-81A0-1A3066B61FF8}" name="Column8018" dataDxfId="17174" totalsRowDxfId="17173"/>
    <tableColumn id="8033" xr3:uid="{75A7BBBA-3C2E-4F79-B171-77C4278B2621}" name="Column8019" dataDxfId="17172" totalsRowDxfId="17171"/>
    <tableColumn id="8034" xr3:uid="{03776F6E-2A10-4375-9AD4-660C34783DAD}" name="Column8020" dataDxfId="17170" totalsRowDxfId="17169"/>
    <tableColumn id="8035" xr3:uid="{1C09D16B-26A3-4A84-AB40-913B7C1715AF}" name="Column8021" dataDxfId="17168" totalsRowDxfId="17167"/>
    <tableColumn id="8036" xr3:uid="{50B0C04E-C784-4F79-811D-5F2984840A41}" name="Column8022" dataDxfId="17166" totalsRowDxfId="17165"/>
    <tableColumn id="8037" xr3:uid="{42AF5F4E-A5E3-4D25-97E9-42E6A58B29E7}" name="Column8023" dataDxfId="17164" totalsRowDxfId="17163"/>
    <tableColumn id="8038" xr3:uid="{76FC1486-5F1A-4209-8A18-212D8B68FE67}" name="Column8024" dataDxfId="17162" totalsRowDxfId="17161"/>
    <tableColumn id="8039" xr3:uid="{B09705FB-099A-4581-8E52-CF026288CC8B}" name="Column8025" dataDxfId="17160" totalsRowDxfId="17159"/>
    <tableColumn id="8040" xr3:uid="{574118D0-C1C3-4DDD-8B3C-09E85587260A}" name="Column8026" dataDxfId="17158" totalsRowDxfId="17157"/>
    <tableColumn id="8041" xr3:uid="{8F4559BA-42D6-44EA-99C9-D25C195F005D}" name="Column8027" dataDxfId="17156" totalsRowDxfId="17155"/>
    <tableColumn id="8042" xr3:uid="{2C88AD14-1A65-44E3-8875-24EA7BBE1E39}" name="Column8028" dataDxfId="17154" totalsRowDxfId="17153"/>
    <tableColumn id="8043" xr3:uid="{386AEE7B-1D7B-4EFA-BE5E-B5B8CB35AF6E}" name="Column8029" dataDxfId="17152" totalsRowDxfId="17151"/>
    <tableColumn id="8044" xr3:uid="{DD0CC4D0-306F-4011-B9ED-FAAC8E62DA8D}" name="Column8030" dataDxfId="17150" totalsRowDxfId="17149"/>
    <tableColumn id="8045" xr3:uid="{2FE84165-1ADB-4055-AAF3-3B6841C4A0CB}" name="Column8031" dataDxfId="17148" totalsRowDxfId="17147"/>
    <tableColumn id="8046" xr3:uid="{478A1040-D354-4BB2-AE8E-63C3C7EE8A77}" name="Column8032" dataDxfId="17146" totalsRowDxfId="17145"/>
    <tableColumn id="8047" xr3:uid="{0441A4FF-2F10-445D-9BF6-94CA9BD9C078}" name="Column8033" dataDxfId="17144" totalsRowDxfId="17143"/>
    <tableColumn id="8048" xr3:uid="{66608ECA-1C97-4D7F-8D09-C15CE19A2D3E}" name="Column8034" dataDxfId="17142" totalsRowDxfId="17141"/>
    <tableColumn id="8049" xr3:uid="{87123A22-B941-4E16-82CF-73D97A93BEAC}" name="Column8035" dataDxfId="17140" totalsRowDxfId="17139"/>
    <tableColumn id="8050" xr3:uid="{1FD9ABC6-EF3C-4DB0-8BEC-CF29B9ACF068}" name="Column8036" dataDxfId="17138" totalsRowDxfId="17137"/>
    <tableColumn id="8051" xr3:uid="{A7741451-602E-4F44-9339-0FF15885279A}" name="Column8037" dataDxfId="17136" totalsRowDxfId="17135"/>
    <tableColumn id="8052" xr3:uid="{BAD0329E-18D1-4308-BBAC-982C6160400B}" name="Column8038" dataDxfId="17134" totalsRowDxfId="17133"/>
    <tableColumn id="8053" xr3:uid="{922E4238-162E-4342-8A7C-700BC373CDF7}" name="Column8039" dataDxfId="17132" totalsRowDxfId="17131"/>
    <tableColumn id="8054" xr3:uid="{884F5DD8-D2CE-4643-AEBA-B53ADE62A4B4}" name="Column8040" dataDxfId="17130" totalsRowDxfId="17129"/>
    <tableColumn id="8055" xr3:uid="{804994C9-9AA8-4629-AA23-E2CE6B960928}" name="Column8041" dataDxfId="17128" totalsRowDxfId="17127"/>
    <tableColumn id="8056" xr3:uid="{904C0CE5-A604-4A01-9770-308B9B07DC34}" name="Column8042" dataDxfId="17126" totalsRowDxfId="17125"/>
    <tableColumn id="8057" xr3:uid="{5545B49A-84A6-49FE-9B2C-B6309C54235C}" name="Column8043" dataDxfId="17124" totalsRowDxfId="17123"/>
    <tableColumn id="8058" xr3:uid="{5B47F9B6-9B99-40FD-B3ED-185FB0264B24}" name="Column8044" dataDxfId="17122" totalsRowDxfId="17121"/>
    <tableColumn id="8059" xr3:uid="{9066CA83-CE79-4888-B9E7-028C1708EAAF}" name="Column8045" dataDxfId="17120" totalsRowDxfId="17119"/>
    <tableColumn id="8060" xr3:uid="{7540F21A-939B-465A-BF11-BEA9D34616E7}" name="Column8046" dataDxfId="17118" totalsRowDxfId="17117"/>
    <tableColumn id="8061" xr3:uid="{1AA69E02-8E19-4118-B5F2-A183061AA268}" name="Column8047" dataDxfId="17116" totalsRowDxfId="17115"/>
    <tableColumn id="8062" xr3:uid="{4DF45FB8-AF7A-47E4-8930-F5BC8F7E1696}" name="Column8048" dataDxfId="17114" totalsRowDxfId="17113"/>
    <tableColumn id="8063" xr3:uid="{79F85093-578B-4304-91E9-ACF1CDD385CB}" name="Column8049" dataDxfId="17112" totalsRowDxfId="17111"/>
    <tableColumn id="8064" xr3:uid="{14FE020A-0240-424E-8252-263991D8CE73}" name="Column8050" dataDxfId="17110" totalsRowDxfId="17109"/>
    <tableColumn id="8065" xr3:uid="{031EE21D-91BD-40F0-B934-B4A972B4C775}" name="Column8051" dataDxfId="17108" totalsRowDxfId="17107"/>
    <tableColumn id="8066" xr3:uid="{232C91CD-FF74-4F2C-ADF7-3B76D4AAF750}" name="Column8052" dataDxfId="17106" totalsRowDxfId="17105"/>
    <tableColumn id="8067" xr3:uid="{9F4517F2-CC56-415F-943D-C27D32099206}" name="Column8053" dataDxfId="17104" totalsRowDxfId="17103"/>
    <tableColumn id="8068" xr3:uid="{2F8714C0-7C56-4911-92EC-08D5204E79B6}" name="Column8054" dataDxfId="17102" totalsRowDxfId="17101"/>
    <tableColumn id="8069" xr3:uid="{FA6AFCEE-77BA-4CE9-B716-6410C4B55567}" name="Column8055" dataDxfId="17100" totalsRowDxfId="17099"/>
    <tableColumn id="8070" xr3:uid="{6220D9D6-1B0D-442A-B8F2-75FCBBCA9C69}" name="Column8056" dataDxfId="17098" totalsRowDxfId="17097"/>
    <tableColumn id="8071" xr3:uid="{7D2DA8D7-96AD-4578-9987-18616076D48F}" name="Column8057" dataDxfId="17096" totalsRowDxfId="17095"/>
    <tableColumn id="8072" xr3:uid="{7CD46436-6B50-4338-AD93-54C0752ED7AB}" name="Column8058" dataDxfId="17094" totalsRowDxfId="17093"/>
    <tableColumn id="8073" xr3:uid="{E74472F8-506D-4B05-9A37-3130364A26CD}" name="Column8059" dataDxfId="17092" totalsRowDxfId="17091"/>
    <tableColumn id="8074" xr3:uid="{06F20706-46B2-441C-B7F4-B8A044E2988F}" name="Column8060" dataDxfId="17090" totalsRowDxfId="17089"/>
    <tableColumn id="8075" xr3:uid="{D44AD99E-0B65-4D4B-BC1E-3CA8FF301EE7}" name="Column8061" dataDxfId="17088" totalsRowDxfId="17087"/>
    <tableColumn id="8076" xr3:uid="{442A2B20-B369-4E79-B17D-0F1DFEDD6BB5}" name="Column8062" dataDxfId="17086" totalsRowDxfId="17085"/>
    <tableColumn id="8077" xr3:uid="{39C5DD59-6013-4BC8-BDB4-BC01425150EB}" name="Column8063" dataDxfId="17084" totalsRowDxfId="17083"/>
    <tableColumn id="8078" xr3:uid="{0B19437D-426E-4A7F-86D4-81C2AF5EEDF6}" name="Column8064" dataDxfId="17082" totalsRowDxfId="17081"/>
    <tableColumn id="8079" xr3:uid="{E6F1DD0C-6C73-4EC7-B9CF-F3AA64085E88}" name="Column8065" dataDxfId="17080" totalsRowDxfId="17079"/>
    <tableColumn id="8080" xr3:uid="{96A21978-9049-4D1A-B149-E61893FEB83C}" name="Column8066" dataDxfId="17078" totalsRowDxfId="17077"/>
    <tableColumn id="8081" xr3:uid="{A413CD20-FD52-438E-9754-6C1EB08C73D8}" name="Column8067" dataDxfId="17076" totalsRowDxfId="17075"/>
    <tableColumn id="8082" xr3:uid="{F58B97FC-3C89-4B8E-A3C6-48D8A349ADDC}" name="Column8068" dataDxfId="17074" totalsRowDxfId="17073"/>
    <tableColumn id="8083" xr3:uid="{C43F915C-E156-4201-9417-8B44EE8F52D0}" name="Column8069" dataDxfId="17072" totalsRowDxfId="17071"/>
    <tableColumn id="8084" xr3:uid="{3542FD51-675A-472A-AAE6-867F063D932D}" name="Column8070" dataDxfId="17070" totalsRowDxfId="17069"/>
    <tableColumn id="8085" xr3:uid="{53CD7D9D-7CAD-4980-82E7-68B6BD76928E}" name="Column8071" dataDxfId="17068" totalsRowDxfId="17067"/>
    <tableColumn id="8086" xr3:uid="{FA980F71-733E-4836-9797-283633EB6D8B}" name="Column8072" dataDxfId="17066" totalsRowDxfId="17065"/>
    <tableColumn id="8087" xr3:uid="{B29A439C-3DE4-42D5-9F91-E31BF1BBDFC6}" name="Column8073" dataDxfId="17064" totalsRowDxfId="17063"/>
    <tableColumn id="8088" xr3:uid="{D6E532E1-690C-42A9-A098-9F153D8C93AE}" name="Column8074" dataDxfId="17062" totalsRowDxfId="17061"/>
    <tableColumn id="8089" xr3:uid="{62A1852C-281C-4506-980D-45C885954D76}" name="Column8075" dataDxfId="17060" totalsRowDxfId="17059"/>
    <tableColumn id="8090" xr3:uid="{6EF170B5-E4A2-45A6-8278-44DDC77C7180}" name="Column8076" dataDxfId="17058" totalsRowDxfId="17057"/>
    <tableColumn id="8091" xr3:uid="{D397AA24-8D7A-4D4F-8413-9E17915F7AA2}" name="Column8077" dataDxfId="17056" totalsRowDxfId="17055"/>
    <tableColumn id="8092" xr3:uid="{59D12131-8D81-46A2-B209-A0162FE18877}" name="Column8078" dataDxfId="17054" totalsRowDxfId="17053"/>
    <tableColumn id="8093" xr3:uid="{C888BCF3-0BF3-460F-84F4-68EAB0DA4320}" name="Column8079" dataDxfId="17052" totalsRowDxfId="17051"/>
    <tableColumn id="8094" xr3:uid="{873B17CB-382E-43E9-B150-7E1633EFC889}" name="Column8080" dataDxfId="17050" totalsRowDxfId="17049"/>
    <tableColumn id="8095" xr3:uid="{082F31F3-F8FF-41C1-BEFB-7F84FDF2A585}" name="Column8081" dataDxfId="17048" totalsRowDxfId="17047"/>
    <tableColumn id="8096" xr3:uid="{9CB8508E-BBFF-427F-9BB2-752C6BE607AC}" name="Column8082" dataDxfId="17046" totalsRowDxfId="17045"/>
    <tableColumn id="8097" xr3:uid="{A5EBC231-8701-4B81-A689-8AE6473F5D08}" name="Column8083" dataDxfId="17044" totalsRowDxfId="17043"/>
    <tableColumn id="8098" xr3:uid="{4F409610-1267-41DA-8667-D4F7ED0523C7}" name="Column8084" dataDxfId="17042" totalsRowDxfId="17041"/>
    <tableColumn id="8099" xr3:uid="{7FEB1F3E-1711-4A66-B2B3-AFEC4AC76BFE}" name="Column8085" dataDxfId="17040" totalsRowDxfId="17039"/>
    <tableColumn id="8100" xr3:uid="{119811E3-0492-494F-A275-F23A975107B5}" name="Column8086" dataDxfId="17038" totalsRowDxfId="17037"/>
    <tableColumn id="8101" xr3:uid="{9F73B880-1079-4CE3-80FD-4A79AB2B8B0C}" name="Column8087" dataDxfId="17036" totalsRowDxfId="17035"/>
    <tableColumn id="8102" xr3:uid="{37B23A27-E70C-40E9-87D4-62928328A4BB}" name="Column8088" dataDxfId="17034" totalsRowDxfId="17033"/>
    <tableColumn id="8103" xr3:uid="{E050DD37-F6B9-4677-A439-E85534E4FB93}" name="Column8089" dataDxfId="17032" totalsRowDxfId="17031"/>
    <tableColumn id="8104" xr3:uid="{9A6BF5E5-D6BF-436A-848E-177C52BA74B3}" name="Column8090" dataDxfId="17030" totalsRowDxfId="17029"/>
    <tableColumn id="8105" xr3:uid="{6C41C8C8-3B3F-434A-846C-DEE02E6E8291}" name="Column8091" dataDxfId="17028" totalsRowDxfId="17027"/>
    <tableColumn id="8106" xr3:uid="{B5CBF306-EF67-4552-BB79-56B7482414EC}" name="Column8092" dataDxfId="17026" totalsRowDxfId="17025"/>
    <tableColumn id="8107" xr3:uid="{12F3F748-C5D0-4E37-AB66-068449F6ED80}" name="Column8093" dataDxfId="17024" totalsRowDxfId="17023"/>
    <tableColumn id="8108" xr3:uid="{FA8384AA-78BF-475D-A7C3-E7711A54687B}" name="Column8094" dataDxfId="17022" totalsRowDxfId="17021"/>
    <tableColumn id="8109" xr3:uid="{460DBAC8-879E-406D-908C-47666AAEEF84}" name="Column8095" dataDxfId="17020" totalsRowDxfId="17019"/>
    <tableColumn id="8110" xr3:uid="{878D75B9-45D3-4AA5-8645-E885C2EC66F8}" name="Column8096" dataDxfId="17018" totalsRowDxfId="17017"/>
    <tableColumn id="8111" xr3:uid="{B620132C-C96B-44C7-B12E-79330A07DB3C}" name="Column8097" dataDxfId="17016" totalsRowDxfId="17015"/>
    <tableColumn id="8112" xr3:uid="{DBE3B81D-75B1-4BD7-96BA-649B5725E0F8}" name="Column8098" dataDxfId="17014" totalsRowDxfId="17013"/>
    <tableColumn id="8113" xr3:uid="{0AA32516-276F-49B1-8ECC-2C927FF4BCE9}" name="Column8099" dataDxfId="17012" totalsRowDxfId="17011"/>
    <tableColumn id="8114" xr3:uid="{32D229EC-F41E-4EEB-BA24-B544BA4B1D10}" name="Column8100" dataDxfId="17010" totalsRowDxfId="17009"/>
    <tableColumn id="8115" xr3:uid="{2290ED88-1B33-4870-888A-8624D55C66B8}" name="Column8101" dataDxfId="17008" totalsRowDxfId="17007"/>
    <tableColumn id="8116" xr3:uid="{74B46A0E-8A98-40BC-99B7-1E550DF2E8CB}" name="Column8102" dataDxfId="17006" totalsRowDxfId="17005"/>
    <tableColumn id="8117" xr3:uid="{B5DF2C27-EFEA-4C21-8874-1B7C7B014A32}" name="Column8103" dataDxfId="17004" totalsRowDxfId="17003"/>
    <tableColumn id="8118" xr3:uid="{36BA58C0-7DBC-4DDE-BE5E-BF24A0A4BF01}" name="Column8104" dataDxfId="17002" totalsRowDxfId="17001"/>
    <tableColumn id="8119" xr3:uid="{4D400745-7B1E-4103-B262-C78255537C05}" name="Column8105" dataDxfId="17000" totalsRowDxfId="16999"/>
    <tableColumn id="8120" xr3:uid="{EBEC3081-C0FF-451F-98CC-2CA69D3CFBD1}" name="Column8106" dataDxfId="16998" totalsRowDxfId="16997"/>
    <tableColumn id="8121" xr3:uid="{94165E3D-9103-4DD5-98C7-4E0E595474EB}" name="Column8107" dataDxfId="16996" totalsRowDxfId="16995"/>
    <tableColumn id="8122" xr3:uid="{D78D6542-0CB5-4A5F-A019-99F80F700565}" name="Column8108" dataDxfId="16994" totalsRowDxfId="16993"/>
    <tableColumn id="8123" xr3:uid="{0EF4BFA2-34E3-4EE1-876A-2BF6C11B39BA}" name="Column8109" dataDxfId="16992" totalsRowDxfId="16991"/>
    <tableColumn id="8124" xr3:uid="{F02E5DE0-66ED-488F-9FAE-1082E84A0900}" name="Column8110" dataDxfId="16990" totalsRowDxfId="16989"/>
    <tableColumn id="8125" xr3:uid="{D5BEC391-4431-4ED7-B995-D31AE390D16B}" name="Column8111" dataDxfId="16988" totalsRowDxfId="16987"/>
    <tableColumn id="8126" xr3:uid="{003CC27B-1C01-4989-B499-A364DB53CD1D}" name="Column8112" dataDxfId="16986" totalsRowDxfId="16985"/>
    <tableColumn id="8127" xr3:uid="{3264C6FA-489D-4492-A730-A82AC6870054}" name="Column8113" dataDxfId="16984" totalsRowDxfId="16983"/>
    <tableColumn id="8128" xr3:uid="{0161C9FA-9656-4B71-B29B-5621FF932C84}" name="Column8114" dataDxfId="16982" totalsRowDxfId="16981"/>
    <tableColumn id="8129" xr3:uid="{6B2C648A-0BCD-489C-8E91-D0D95956E222}" name="Column8115" dataDxfId="16980" totalsRowDxfId="16979"/>
    <tableColumn id="8130" xr3:uid="{D6584C5F-4203-4FFE-88B4-6D498C9C28C3}" name="Column8116" dataDxfId="16978" totalsRowDxfId="16977"/>
    <tableColumn id="8131" xr3:uid="{87E0C551-610C-4A8F-B902-BBE8431F12F0}" name="Column8117" dataDxfId="16976" totalsRowDxfId="16975"/>
    <tableColumn id="8132" xr3:uid="{71B64788-6DE9-4CFC-BD38-4AC71C23C094}" name="Column8118" dataDxfId="16974" totalsRowDxfId="16973"/>
    <tableColumn id="8133" xr3:uid="{19819B17-EB1A-4943-ABC2-D969935990A3}" name="Column8119" dataDxfId="16972" totalsRowDxfId="16971"/>
    <tableColumn id="8134" xr3:uid="{55539226-8975-4F9C-9A7D-3A97CE9FA6C6}" name="Column8120" dataDxfId="16970" totalsRowDxfId="16969"/>
    <tableColumn id="8135" xr3:uid="{8C3F5F07-A0B4-4FDA-BA03-BAD4E6061915}" name="Column8121" dataDxfId="16968" totalsRowDxfId="16967"/>
    <tableColumn id="8136" xr3:uid="{56CACB4F-46D5-4A9A-960A-05F2396C3E01}" name="Column8122" dataDxfId="16966" totalsRowDxfId="16965"/>
    <tableColumn id="8137" xr3:uid="{151353A9-0C32-4062-A6EE-B3A983B54DDC}" name="Column8123" dataDxfId="16964" totalsRowDxfId="16963"/>
    <tableColumn id="8138" xr3:uid="{63DAA13D-855F-43F5-B341-1C7B7A0796F9}" name="Column8124" dataDxfId="16962" totalsRowDxfId="16961"/>
    <tableColumn id="8139" xr3:uid="{5DD6EEBC-3B87-4990-A12A-02D522A29FAC}" name="Column8125" dataDxfId="16960" totalsRowDxfId="16959"/>
    <tableColumn id="8140" xr3:uid="{5D5E8977-D97C-4003-BA3E-853169090FD0}" name="Column8126" dataDxfId="16958" totalsRowDxfId="16957"/>
    <tableColumn id="8141" xr3:uid="{B18742BB-6040-4492-A1E0-CF7707CA4152}" name="Column8127" dataDxfId="16956" totalsRowDxfId="16955"/>
    <tableColumn id="8142" xr3:uid="{33766C42-7B59-4F1B-85F8-125427070661}" name="Column8128" dataDxfId="16954" totalsRowDxfId="16953"/>
    <tableColumn id="8143" xr3:uid="{FE28BE24-CC0C-40BF-BDD9-9EF4E4E20381}" name="Column8129" dataDxfId="16952" totalsRowDxfId="16951"/>
    <tableColumn id="8144" xr3:uid="{77416DB6-0B6B-4D9E-8B0F-639155E5412F}" name="Column8130" dataDxfId="16950" totalsRowDxfId="16949"/>
    <tableColumn id="8145" xr3:uid="{1DE2A81A-F61B-4A15-A660-F7EA1AB960D4}" name="Column8131" dataDxfId="16948" totalsRowDxfId="16947"/>
    <tableColumn id="8146" xr3:uid="{5E77EDC4-6D5A-4B25-ABF8-4BB8FB010D79}" name="Column8132" dataDxfId="16946" totalsRowDxfId="16945"/>
    <tableColumn id="8147" xr3:uid="{80BE4495-AD31-4DBE-A935-229BECC13123}" name="Column8133" dataDxfId="16944" totalsRowDxfId="16943"/>
    <tableColumn id="8148" xr3:uid="{E2830EF7-0E0B-4469-8526-7D0B30A3BDCA}" name="Column8134" dataDxfId="16942" totalsRowDxfId="16941"/>
    <tableColumn id="8149" xr3:uid="{B7E9CD0E-FFAF-4FC1-87E2-587A1A798597}" name="Column8135" dataDxfId="16940" totalsRowDxfId="16939"/>
    <tableColumn id="8150" xr3:uid="{8F26A9C1-B5E9-4FCF-8712-A097A39C284B}" name="Column8136" dataDxfId="16938" totalsRowDxfId="16937"/>
    <tableColumn id="8151" xr3:uid="{3D322B9C-D68B-4B43-8353-FB4D31CAB6A0}" name="Column8137" dataDxfId="16936" totalsRowDxfId="16935"/>
    <tableColumn id="8152" xr3:uid="{023E31EF-D093-4484-8AEB-8F3573C29D87}" name="Column8138" dataDxfId="16934" totalsRowDxfId="16933"/>
    <tableColumn id="8153" xr3:uid="{EC8F791E-3BFE-419C-A2BB-F0E78B317B32}" name="Column8139" dataDxfId="16932" totalsRowDxfId="16931"/>
    <tableColumn id="8154" xr3:uid="{0E16ADC5-B682-44A9-B968-737E268E55CB}" name="Column8140" dataDxfId="16930" totalsRowDxfId="16929"/>
    <tableColumn id="8155" xr3:uid="{555CEFA9-D6B3-44F0-B52E-F53F3F5EAEC8}" name="Column8141" dataDxfId="16928" totalsRowDxfId="16927"/>
    <tableColumn id="8156" xr3:uid="{AC1BDF0B-C811-4D31-A12F-EDE90608D9BB}" name="Column8142" dataDxfId="16926" totalsRowDxfId="16925"/>
    <tableColumn id="8157" xr3:uid="{B38ADDBD-98B0-483F-AC1D-A7BB6B62B301}" name="Column8143" dataDxfId="16924" totalsRowDxfId="16923"/>
    <tableColumn id="8158" xr3:uid="{A78EE9C3-B82D-4134-B966-D1CEEF5C5D6D}" name="Column8144" dataDxfId="16922" totalsRowDxfId="16921"/>
    <tableColumn id="8159" xr3:uid="{B97FB178-E248-4F6F-95D8-BEC1FDE416D9}" name="Column8145" dataDxfId="16920" totalsRowDxfId="16919"/>
    <tableColumn id="8160" xr3:uid="{3889E4B3-8D86-4E32-BB39-6753790A681C}" name="Column8146" dataDxfId="16918" totalsRowDxfId="16917"/>
    <tableColumn id="8161" xr3:uid="{15152D42-3D3A-4338-9B1E-41874FA85810}" name="Column8147" dataDxfId="16916" totalsRowDxfId="16915"/>
    <tableColumn id="8162" xr3:uid="{BCA9D726-0D4D-4926-98D5-E8CF8CB76E18}" name="Column8148" dataDxfId="16914" totalsRowDxfId="16913"/>
    <tableColumn id="8163" xr3:uid="{E8B8A6BC-428F-420E-A5C3-DA00A8ECFEED}" name="Column8149" dataDxfId="16912" totalsRowDxfId="16911"/>
    <tableColumn id="8164" xr3:uid="{346CEF79-C72F-4A26-AC14-D0E9D5EF7ABE}" name="Column8150" dataDxfId="16910" totalsRowDxfId="16909"/>
    <tableColumn id="8165" xr3:uid="{BCBAA442-CA16-439E-9A4B-23ED3E93D996}" name="Column8151" dataDxfId="16908" totalsRowDxfId="16907"/>
    <tableColumn id="8166" xr3:uid="{4A55F69C-D640-4F94-AFDB-E713BD0F44C6}" name="Column8152" dataDxfId="16906" totalsRowDxfId="16905"/>
    <tableColumn id="8167" xr3:uid="{66D7D418-1387-4846-B00D-E75051B04C48}" name="Column8153" dataDxfId="16904" totalsRowDxfId="16903"/>
    <tableColumn id="8168" xr3:uid="{6AD3C756-86C1-4048-892B-5D652529AE36}" name="Column8154" dataDxfId="16902" totalsRowDxfId="16901"/>
    <tableColumn id="8169" xr3:uid="{D1F30E4A-8EF4-42EF-9686-0FF3AA256988}" name="Column8155" dataDxfId="16900" totalsRowDxfId="16899"/>
    <tableColumn id="8170" xr3:uid="{9F1956D4-426F-4B4B-922A-E7A9387834BC}" name="Column8156" dataDxfId="16898" totalsRowDxfId="16897"/>
    <tableColumn id="8171" xr3:uid="{FFA6037D-7A98-4E21-A4D1-290B370A58D6}" name="Column8157" dataDxfId="16896" totalsRowDxfId="16895"/>
    <tableColumn id="8172" xr3:uid="{DB713955-F8C5-4AEE-9459-D4087AD19EA3}" name="Column8158" dataDxfId="16894" totalsRowDxfId="16893"/>
    <tableColumn id="8173" xr3:uid="{C56C1CDA-C8DC-4268-8DB3-A8A848887159}" name="Column8159" dataDxfId="16892" totalsRowDxfId="16891"/>
    <tableColumn id="8174" xr3:uid="{0EF1329F-9ECD-43D3-861B-0EC9FD9304F7}" name="Column8160" dataDxfId="16890" totalsRowDxfId="16889"/>
    <tableColumn id="8175" xr3:uid="{4927B75B-871E-48E6-B538-91BA1ECB4317}" name="Column8161" dataDxfId="16888" totalsRowDxfId="16887"/>
    <tableColumn id="8176" xr3:uid="{3094B12C-564B-4DD0-A891-BA5BEFF771FF}" name="Column8162" dataDxfId="16886" totalsRowDxfId="16885"/>
    <tableColumn id="8177" xr3:uid="{311A7838-A685-4A20-A278-031F5C967C4A}" name="Column8163" dataDxfId="16884" totalsRowDxfId="16883"/>
    <tableColumn id="8178" xr3:uid="{1962ECC6-69D7-47FB-B6A5-BEEA0B7C5EA8}" name="Column8164" dataDxfId="16882" totalsRowDxfId="16881"/>
    <tableColumn id="8179" xr3:uid="{8D391011-9A74-4769-8751-49A9C90BB30F}" name="Column8165" dataDxfId="16880" totalsRowDxfId="16879"/>
    <tableColumn id="8180" xr3:uid="{959A522E-4D68-45A5-95D2-2ACA7D3AA5A9}" name="Column8166" dataDxfId="16878" totalsRowDxfId="16877"/>
    <tableColumn id="8181" xr3:uid="{E0BB33D5-BE3C-44CC-9BDB-09EEADA4DC33}" name="Column8167" dataDxfId="16876" totalsRowDxfId="16875"/>
    <tableColumn id="8182" xr3:uid="{D6D8698A-4E52-4A3D-82AB-853DB84C042A}" name="Column8168" dataDxfId="16874" totalsRowDxfId="16873"/>
    <tableColumn id="8183" xr3:uid="{6942356F-6174-45FC-A8DF-B059F735B187}" name="Column8169" dataDxfId="16872" totalsRowDxfId="16871"/>
    <tableColumn id="8184" xr3:uid="{6471DDE6-E7A3-45B5-A4D2-EA0D1128F447}" name="Column8170" dataDxfId="16870" totalsRowDxfId="16869"/>
    <tableColumn id="8185" xr3:uid="{24634E27-7940-4940-84FA-A38F6ABBD4B6}" name="Column8171" dataDxfId="16868" totalsRowDxfId="16867"/>
    <tableColumn id="8186" xr3:uid="{4897D125-AB81-488B-A792-BEAE6CA95F20}" name="Column8172" dataDxfId="16866" totalsRowDxfId="16865"/>
    <tableColumn id="8187" xr3:uid="{16C10217-87DE-4E37-BAD3-1870E293C9F2}" name="Column8173" dataDxfId="16864" totalsRowDxfId="16863"/>
    <tableColumn id="8188" xr3:uid="{4F20AE98-6368-41E1-A3D4-0073C1DA3C08}" name="Column8174" dataDxfId="16862" totalsRowDxfId="16861"/>
    <tableColumn id="8189" xr3:uid="{89FF1FEF-02A6-4EF5-B5A9-B7FAD991033F}" name="Column8175" dataDxfId="16860" totalsRowDxfId="16859"/>
    <tableColumn id="8190" xr3:uid="{555D1AAA-841F-4E15-AE86-D59C43AF68A2}" name="Column8176" dataDxfId="16858" totalsRowDxfId="16857"/>
    <tableColumn id="8191" xr3:uid="{78E9C026-4FEF-42CB-A0F9-29F297F7B255}" name="Column8177" dataDxfId="16856" totalsRowDxfId="16855"/>
    <tableColumn id="8192" xr3:uid="{CF71B4BE-9A1B-416A-8ABF-C07235DD7A79}" name="Column8178" dataDxfId="16854" totalsRowDxfId="16853"/>
    <tableColumn id="8193" xr3:uid="{571A12EE-794B-4C1D-84D0-BF7DB0EFBC01}" name="Column8179" dataDxfId="16852" totalsRowDxfId="16851"/>
    <tableColumn id="8194" xr3:uid="{D20BCF0A-B0EC-474F-850F-D5C118F274AE}" name="Column8180" dataDxfId="16850" totalsRowDxfId="16849"/>
    <tableColumn id="8195" xr3:uid="{9FFD5856-0B01-4EF4-A8E3-A9D8C0DE21E3}" name="Column8181" dataDxfId="16848" totalsRowDxfId="16847"/>
    <tableColumn id="8196" xr3:uid="{73746F45-F84F-462B-AA84-4F18672B2C97}" name="Column8182" dataDxfId="16846" totalsRowDxfId="16845"/>
    <tableColumn id="8197" xr3:uid="{E4B02F66-0861-4C8B-A6CC-31400BBF2F97}" name="Column8183" dataDxfId="16844" totalsRowDxfId="16843"/>
    <tableColumn id="8198" xr3:uid="{E54E002B-EADC-42DD-B553-F08F762F09AD}" name="Column8184" dataDxfId="16842" totalsRowDxfId="16841"/>
    <tableColumn id="8199" xr3:uid="{86202241-7921-4516-A122-2E7CCF8E3090}" name="Column8185" dataDxfId="16840" totalsRowDxfId="16839"/>
    <tableColumn id="8200" xr3:uid="{E3D31727-DFDD-4057-9178-4BA6DE9E8BFB}" name="Column8186" dataDxfId="16838" totalsRowDxfId="16837"/>
    <tableColumn id="8201" xr3:uid="{32E20605-1FE9-43A5-98D5-62AA438D4EE8}" name="Column8187" dataDxfId="16836" totalsRowDxfId="16835"/>
    <tableColumn id="8202" xr3:uid="{C32BADFA-B9DD-47B8-A506-431FD68ECB64}" name="Column8188" dataDxfId="16834" totalsRowDxfId="16833"/>
    <tableColumn id="8203" xr3:uid="{5B125AF6-14BA-4FD7-8B31-7DC4431D875F}" name="Column8189" dataDxfId="16832" totalsRowDxfId="16831"/>
    <tableColumn id="8204" xr3:uid="{26CE018B-B5B3-43BC-A09D-E9652CD6BC69}" name="Column8190" dataDxfId="16830" totalsRowDxfId="16829"/>
    <tableColumn id="8205" xr3:uid="{17EFEDCD-7A17-423A-B4AF-F13E442E461F}" name="Column8191" dataDxfId="16828" totalsRowDxfId="16827"/>
    <tableColumn id="8206" xr3:uid="{2C0B55CA-EDCB-40E5-B668-A1D667578963}" name="Column8192" dataDxfId="16826" totalsRowDxfId="16825"/>
    <tableColumn id="8207" xr3:uid="{0E4C3545-AF19-4340-AF5D-A1802F1AFCFC}" name="Column8193" dataDxfId="16824" totalsRowDxfId="16823"/>
    <tableColumn id="8208" xr3:uid="{7BD10B08-4E50-4348-84D6-6C2D9E71B451}" name="Column8194" dataDxfId="16822" totalsRowDxfId="16821"/>
    <tableColumn id="8209" xr3:uid="{B1EC7ECD-6A2F-49BA-AE59-FA0E9A148C2F}" name="Column8195" dataDxfId="16820" totalsRowDxfId="16819"/>
    <tableColumn id="8210" xr3:uid="{104460F6-4826-4848-9956-7289969D878F}" name="Column8196" dataDxfId="16818" totalsRowDxfId="16817"/>
    <tableColumn id="8211" xr3:uid="{7B29D827-4D82-4D14-B01A-C06730897BF3}" name="Column8197" dataDxfId="16816" totalsRowDxfId="16815"/>
    <tableColumn id="8212" xr3:uid="{F6840B8D-7B4F-46A7-AA5F-6B50FB5CAA55}" name="Column8198" dataDxfId="16814" totalsRowDxfId="16813"/>
    <tableColumn id="8213" xr3:uid="{B92424E5-5C7C-49A9-93FC-E6135790997A}" name="Column8199" dataDxfId="16812" totalsRowDxfId="16811"/>
    <tableColumn id="8214" xr3:uid="{9EA6D980-1D1C-4D9C-A8B5-E8243FB9DBF9}" name="Column8200" dataDxfId="16810" totalsRowDxfId="16809"/>
    <tableColumn id="8215" xr3:uid="{74DF12F5-26B5-4601-96FA-7B5FE1A45E79}" name="Column8201" dataDxfId="16808" totalsRowDxfId="16807"/>
    <tableColumn id="8216" xr3:uid="{B3968D47-3081-4BCA-99BE-702BDF81CBB1}" name="Column8202" dataDxfId="16806" totalsRowDxfId="16805"/>
    <tableColumn id="8217" xr3:uid="{3AB7EA6A-B50C-461E-AB90-6E4E9CF60F78}" name="Column8203" dataDxfId="16804" totalsRowDxfId="16803"/>
    <tableColumn id="8218" xr3:uid="{CB2302BD-7739-4BB0-93BB-782D25D7D28C}" name="Column8204" dataDxfId="16802" totalsRowDxfId="16801"/>
    <tableColumn id="8219" xr3:uid="{85A5CB17-1734-4134-A802-048E24F13013}" name="Column8205" dataDxfId="16800" totalsRowDxfId="16799"/>
    <tableColumn id="8220" xr3:uid="{54FDE744-7688-4CB8-916D-EB0D413B6AA9}" name="Column8206" dataDxfId="16798" totalsRowDxfId="16797"/>
    <tableColumn id="8221" xr3:uid="{4E0CB2DF-DD52-496E-AE7B-3322B270A821}" name="Column8207" dataDxfId="16796" totalsRowDxfId="16795"/>
    <tableColumn id="8222" xr3:uid="{15511159-751D-4E39-B9D6-F39F35172242}" name="Column8208" dataDxfId="16794" totalsRowDxfId="16793"/>
    <tableColumn id="8223" xr3:uid="{60E8137C-40E3-443C-8145-77F00596B3F6}" name="Column8209" dataDxfId="16792" totalsRowDxfId="16791"/>
    <tableColumn id="8224" xr3:uid="{9B494A67-8DFF-4EB7-87FF-7BC3BA8D870F}" name="Column8210" dataDxfId="16790" totalsRowDxfId="16789"/>
    <tableColumn id="8225" xr3:uid="{4BC78B43-B84A-4E66-AC6C-08F2231D3FE7}" name="Column8211" dataDxfId="16788" totalsRowDxfId="16787"/>
    <tableColumn id="8226" xr3:uid="{DCA3E174-2D8B-4BD6-89CA-4846A0479771}" name="Column8212" dataDxfId="16786" totalsRowDxfId="16785"/>
    <tableColumn id="8227" xr3:uid="{C03EFA8A-497F-4A31-B995-E6475CB5590F}" name="Column8213" dataDxfId="16784" totalsRowDxfId="16783"/>
    <tableColumn id="8228" xr3:uid="{D8525C66-56DD-4C31-B277-C082DD7B3A59}" name="Column8214" dataDxfId="16782" totalsRowDxfId="16781"/>
    <tableColumn id="8229" xr3:uid="{681C9305-03B1-4135-B665-8C938598A817}" name="Column8215" dataDxfId="16780" totalsRowDxfId="16779"/>
    <tableColumn id="8230" xr3:uid="{7BFA28F5-B7FE-4309-94DD-B73954757C2F}" name="Column8216" dataDxfId="16778" totalsRowDxfId="16777"/>
    <tableColumn id="8231" xr3:uid="{E10CCF14-8EF2-428C-AC56-165286E6DFB5}" name="Column8217" dataDxfId="16776" totalsRowDxfId="16775"/>
    <tableColumn id="8232" xr3:uid="{C461BFAF-C0B4-43E4-AEE3-15E38685CCF1}" name="Column8218" dataDxfId="16774" totalsRowDxfId="16773"/>
    <tableColumn id="8233" xr3:uid="{BA504A64-500E-4553-A87F-E70F13BF4839}" name="Column8219" dataDxfId="16772" totalsRowDxfId="16771"/>
    <tableColumn id="8234" xr3:uid="{1397BEB6-8794-43A3-A7D5-51BE994E01F9}" name="Column8220" dataDxfId="16770" totalsRowDxfId="16769"/>
    <tableColumn id="8235" xr3:uid="{A3A409EA-656D-492E-A043-19324C236243}" name="Column8221" dataDxfId="16768" totalsRowDxfId="16767"/>
    <tableColumn id="8236" xr3:uid="{BD6558E4-253D-473D-9E15-C3C616D886C0}" name="Column8222" dataDxfId="16766" totalsRowDxfId="16765"/>
    <tableColumn id="8237" xr3:uid="{4CBA6FA2-5A6D-43A5-B890-BEA805125559}" name="Column8223" dataDxfId="16764" totalsRowDxfId="16763"/>
    <tableColumn id="8238" xr3:uid="{8AECD432-B553-4C85-B8DC-0BD5B38BFB66}" name="Column8224" dataDxfId="16762" totalsRowDxfId="16761"/>
    <tableColumn id="8239" xr3:uid="{8F562E3E-DCD9-45F5-80C1-18F293A7CBEE}" name="Column8225" dataDxfId="16760" totalsRowDxfId="16759"/>
    <tableColumn id="8240" xr3:uid="{C122A51E-D963-4D28-B5F2-0A4478F99A96}" name="Column8226" dataDxfId="16758" totalsRowDxfId="16757"/>
    <tableColumn id="8241" xr3:uid="{905DFF93-BDDA-4466-B0D6-021BAF15D088}" name="Column8227" dataDxfId="16756" totalsRowDxfId="16755"/>
    <tableColumn id="8242" xr3:uid="{2E8CF8EB-74AA-42AC-AAF5-369DFAF97BF7}" name="Column8228" dataDxfId="16754" totalsRowDxfId="16753"/>
    <tableColumn id="8243" xr3:uid="{577686D7-5A49-4B57-B303-370C4DE88670}" name="Column8229" dataDxfId="16752" totalsRowDxfId="16751"/>
    <tableColumn id="8244" xr3:uid="{029BE517-EDBD-49C8-993E-F1D8AF033D77}" name="Column8230" dataDxfId="16750" totalsRowDxfId="16749"/>
    <tableColumn id="8245" xr3:uid="{1A502D34-AC35-41FF-B930-03114D858FFE}" name="Column8231" dataDxfId="16748" totalsRowDxfId="16747"/>
    <tableColumn id="8246" xr3:uid="{9BA305AD-10A7-4A0C-AFCB-7A1F56C0F7F1}" name="Column8232" dataDxfId="16746" totalsRowDxfId="16745"/>
    <tableColumn id="8247" xr3:uid="{95505E81-FBAE-45A2-8EAE-9362C26E701A}" name="Column8233" dataDxfId="16744" totalsRowDxfId="16743"/>
    <tableColumn id="8248" xr3:uid="{BB8C6613-C7AD-4300-9E3D-FF782DAD0F66}" name="Column8234" dataDxfId="16742" totalsRowDxfId="16741"/>
    <tableColumn id="8249" xr3:uid="{95055FD2-AED8-4400-9312-36F10AAD0A20}" name="Column8235" dataDxfId="16740" totalsRowDxfId="16739"/>
    <tableColumn id="8250" xr3:uid="{7153EA46-233B-4776-8CB4-2E45E7F57D62}" name="Column8236" dataDxfId="16738" totalsRowDxfId="16737"/>
    <tableColumn id="8251" xr3:uid="{66B882A1-AAED-41D8-A92C-8A4DFAF960D6}" name="Column8237" dataDxfId="16736" totalsRowDxfId="16735"/>
    <tableColumn id="8252" xr3:uid="{27FC5B90-0EB8-4FFB-8EC7-CE7F5F00DF77}" name="Column8238" dataDxfId="16734" totalsRowDxfId="16733"/>
    <tableColumn id="8253" xr3:uid="{22BEA22F-8036-4F9B-8511-0EDFFFAAE9FC}" name="Column8239" dataDxfId="16732" totalsRowDxfId="16731"/>
    <tableColumn id="8254" xr3:uid="{3A4390FE-B45A-4AA4-9535-663F6BFB24D3}" name="Column8240" dataDxfId="16730" totalsRowDxfId="16729"/>
    <tableColumn id="8255" xr3:uid="{BFD411EA-9740-4F8E-841E-6EFC1A7FD95A}" name="Column8241" dataDxfId="16728" totalsRowDxfId="16727"/>
    <tableColumn id="8256" xr3:uid="{D4A1A931-F5A9-4E39-83DF-52E1C533B650}" name="Column8242" dataDxfId="16726" totalsRowDxfId="16725"/>
    <tableColumn id="8257" xr3:uid="{BF4EB4BB-F2A0-4F99-810E-0E55B269F18B}" name="Column8243" dataDxfId="16724" totalsRowDxfId="16723"/>
    <tableColumn id="8258" xr3:uid="{6B267111-C077-4A8F-B4CA-33862B15513D}" name="Column8244" dataDxfId="16722" totalsRowDxfId="16721"/>
    <tableColumn id="8259" xr3:uid="{A21D6ED5-98A2-4C22-BD37-32ACACDF09BB}" name="Column8245" dataDxfId="16720" totalsRowDxfId="16719"/>
    <tableColumn id="8260" xr3:uid="{C4A1E7BC-7D1C-4F26-A128-16C142358184}" name="Column8246" dataDxfId="16718" totalsRowDxfId="16717"/>
    <tableColumn id="8261" xr3:uid="{49790703-39DC-40FD-B709-3C6741F2F7E5}" name="Column8247" dataDxfId="16716" totalsRowDxfId="16715"/>
    <tableColumn id="8262" xr3:uid="{85104075-6596-42A4-8902-867D2DF7A454}" name="Column8248" dataDxfId="16714" totalsRowDxfId="16713"/>
    <tableColumn id="8263" xr3:uid="{ABDA2702-F35D-4C89-B725-4E485B6F4431}" name="Column8249" dataDxfId="16712" totalsRowDxfId="16711"/>
    <tableColumn id="8264" xr3:uid="{5F7342AA-F09E-4EFA-A7BA-28492574793A}" name="Column8250" dataDxfId="16710" totalsRowDxfId="16709"/>
    <tableColumn id="8265" xr3:uid="{C8A44AB5-8061-48BB-B544-7B8B433150F9}" name="Column8251" dataDxfId="16708" totalsRowDxfId="16707"/>
    <tableColumn id="8266" xr3:uid="{39545EE9-D3ED-4B30-93F3-1F9084AB9A89}" name="Column8252" dataDxfId="16706" totalsRowDxfId="16705"/>
    <tableColumn id="8267" xr3:uid="{AA894203-68F7-4ABB-89CB-4DA19330B4C6}" name="Column8253" dataDxfId="16704" totalsRowDxfId="16703"/>
    <tableColumn id="8268" xr3:uid="{B80DB858-765B-476C-84D4-D21C8D947F03}" name="Column8254" dataDxfId="16702" totalsRowDxfId="16701"/>
    <tableColumn id="8269" xr3:uid="{AF7919C0-5A0C-4390-A5DA-F3CA3D6E24D5}" name="Column8255" dataDxfId="16700" totalsRowDxfId="16699"/>
    <tableColumn id="8270" xr3:uid="{4D8D3CF1-F8D0-417C-98F7-90776C5EBAA5}" name="Column8256" dataDxfId="16698" totalsRowDxfId="16697"/>
    <tableColumn id="8271" xr3:uid="{1E050FBF-0FCD-4B28-8B28-E6A0911FEEDD}" name="Column8257" dataDxfId="16696" totalsRowDxfId="16695"/>
    <tableColumn id="8272" xr3:uid="{6C6CEEA1-CEB3-49E5-9534-AC962BFEF4B2}" name="Column8258" dataDxfId="16694" totalsRowDxfId="16693"/>
    <tableColumn id="8273" xr3:uid="{B4C66C90-5A83-45FB-96EE-A72075810E38}" name="Column8259" dataDxfId="16692" totalsRowDxfId="16691"/>
    <tableColumn id="8274" xr3:uid="{91AA7B34-275C-491C-8393-C6C9BB740EFA}" name="Column8260" dataDxfId="16690" totalsRowDxfId="16689"/>
    <tableColumn id="8275" xr3:uid="{E9D92B82-0CA1-46CB-98CE-E4033EE26C0F}" name="Column8261" dataDxfId="16688" totalsRowDxfId="16687"/>
    <tableColumn id="8276" xr3:uid="{11AAAA8E-4FAD-40C8-93B8-D6325D24A588}" name="Column8262" dataDxfId="16686" totalsRowDxfId="16685"/>
    <tableColumn id="8277" xr3:uid="{E7E4FCE1-B277-4BF4-AB7A-1FE1F2175138}" name="Column8263" dataDxfId="16684" totalsRowDxfId="16683"/>
    <tableColumn id="8278" xr3:uid="{98C1316D-432D-491D-8B08-6FAF28FC37BB}" name="Column8264" dataDxfId="16682" totalsRowDxfId="16681"/>
    <tableColumn id="8279" xr3:uid="{9974CCB6-033E-40FD-9BED-5FF7C77D946A}" name="Column8265" dataDxfId="16680" totalsRowDxfId="16679"/>
    <tableColumn id="8280" xr3:uid="{CB8DD693-7A60-4204-9713-3448E90BBA8F}" name="Column8266" dataDxfId="16678" totalsRowDxfId="16677"/>
    <tableColumn id="8281" xr3:uid="{C664560A-B765-4761-AF2B-4435B47922AE}" name="Column8267" dataDxfId="16676" totalsRowDxfId="16675"/>
    <tableColumn id="8282" xr3:uid="{C7C7F32B-0BC7-43E0-B216-FE566C2E60CA}" name="Column8268" dataDxfId="16674" totalsRowDxfId="16673"/>
    <tableColumn id="8283" xr3:uid="{CBE19DFC-CD7B-42C3-9382-BE5EEB379C14}" name="Column8269" dataDxfId="16672" totalsRowDxfId="16671"/>
    <tableColumn id="8284" xr3:uid="{140813FB-AE39-4641-A5DA-6B9E3BD7D77A}" name="Column8270" dataDxfId="16670" totalsRowDxfId="16669"/>
    <tableColumn id="8285" xr3:uid="{D40A19C4-6F93-42AE-A6EA-BAA6316508A6}" name="Column8271" dataDxfId="16668" totalsRowDxfId="16667"/>
    <tableColumn id="8286" xr3:uid="{B3AB1757-9BE9-4B68-AF9B-CC29E7217A68}" name="Column8272" dataDxfId="16666" totalsRowDxfId="16665"/>
    <tableColumn id="8287" xr3:uid="{46265DDF-8AD3-4E8A-8D32-7A224468F01B}" name="Column8273" dataDxfId="16664" totalsRowDxfId="16663"/>
    <tableColumn id="8288" xr3:uid="{B7D9210E-797B-49E0-8710-818137B54AC6}" name="Column8274" dataDxfId="16662" totalsRowDxfId="16661"/>
    <tableColumn id="8289" xr3:uid="{A564CEDE-9F64-428A-A226-E3E2DA416336}" name="Column8275" dataDxfId="16660" totalsRowDxfId="16659"/>
    <tableColumn id="8290" xr3:uid="{8762CE37-47F1-42CB-8997-3DFD61DE296F}" name="Column8276" dataDxfId="16658" totalsRowDxfId="16657"/>
    <tableColumn id="8291" xr3:uid="{888FEC3F-5686-4382-8AB8-C89A31320AEA}" name="Column8277" dataDxfId="16656" totalsRowDxfId="16655"/>
    <tableColumn id="8292" xr3:uid="{BBB963E5-DF5B-4D27-886A-6DDEA1D426D8}" name="Column8278" dataDxfId="16654" totalsRowDxfId="16653"/>
    <tableColumn id="8293" xr3:uid="{17A1B4E2-A064-4385-BDF4-42BF61320CA1}" name="Column8279" dataDxfId="16652" totalsRowDxfId="16651"/>
    <tableColumn id="8294" xr3:uid="{2D99BDE3-924C-408E-896A-F06E6F7C86A8}" name="Column8280" dataDxfId="16650" totalsRowDxfId="16649"/>
    <tableColumn id="8295" xr3:uid="{13009181-5091-4FB9-9E4E-14108F20331C}" name="Column8281" dataDxfId="16648" totalsRowDxfId="16647"/>
    <tableColumn id="8296" xr3:uid="{8B35381B-3EFF-4241-9E39-545EF5CE6E6B}" name="Column8282" dataDxfId="16646" totalsRowDxfId="16645"/>
    <tableColumn id="8297" xr3:uid="{D9390307-7546-450F-BD51-B2C65D9F1AFC}" name="Column8283" dataDxfId="16644" totalsRowDxfId="16643"/>
    <tableColumn id="8298" xr3:uid="{6D9B6BDB-7D54-4B9D-9DE5-540D6C9A2037}" name="Column8284" dataDxfId="16642" totalsRowDxfId="16641"/>
    <tableColumn id="8299" xr3:uid="{CBA5F13F-7FCE-423E-8E3A-F8AE4D875B4F}" name="Column8285" dataDxfId="16640" totalsRowDxfId="16639"/>
    <tableColumn id="8300" xr3:uid="{36F084BC-D030-4B7E-B440-13C4BFEAE822}" name="Column8286" dataDxfId="16638" totalsRowDxfId="16637"/>
    <tableColumn id="8301" xr3:uid="{450ABD8C-3479-49AE-A110-E373A63E592C}" name="Column8287" dataDxfId="16636" totalsRowDxfId="16635"/>
    <tableColumn id="8302" xr3:uid="{B556E52C-CFD3-4963-8449-75DAC98AEA0C}" name="Column8288" dataDxfId="16634" totalsRowDxfId="16633"/>
    <tableColumn id="8303" xr3:uid="{0C954892-89CC-45AE-A959-BC313CA188CC}" name="Column8289" dataDxfId="16632" totalsRowDxfId="16631"/>
    <tableColumn id="8304" xr3:uid="{8ED5BA49-2D0E-4A73-BDF3-B89F4738A2C6}" name="Column8290" dataDxfId="16630" totalsRowDxfId="16629"/>
    <tableColumn id="8305" xr3:uid="{A12D6812-0A71-41EE-BD52-0A9771AAE0F7}" name="Column8291" dataDxfId="16628" totalsRowDxfId="16627"/>
    <tableColumn id="8306" xr3:uid="{7BB576C7-EC01-4869-AE73-2AF198CC1F1D}" name="Column8292" dataDxfId="16626" totalsRowDxfId="16625"/>
    <tableColumn id="8307" xr3:uid="{AE355FC1-2D9B-413A-8A76-FB428324C94A}" name="Column8293" dataDxfId="16624" totalsRowDxfId="16623"/>
    <tableColumn id="8308" xr3:uid="{857F8EA2-CDFC-491C-BBF8-9056FE92A82D}" name="Column8294" dataDxfId="16622" totalsRowDxfId="16621"/>
    <tableColumn id="8309" xr3:uid="{40222EEB-7B45-4066-9D07-552DD987C1A9}" name="Column8295" dataDxfId="16620" totalsRowDxfId="16619"/>
    <tableColumn id="8310" xr3:uid="{B0591A7F-2E56-4301-A4A6-982F0D5602BB}" name="Column8296" dataDxfId="16618" totalsRowDxfId="16617"/>
    <tableColumn id="8311" xr3:uid="{1C632A22-377D-4B72-9154-F204FF23BA8B}" name="Column8297" dataDxfId="16616" totalsRowDxfId="16615"/>
    <tableColumn id="8312" xr3:uid="{0A45E832-FD78-46A9-A264-616C05783D72}" name="Column8298" dataDxfId="16614" totalsRowDxfId="16613"/>
    <tableColumn id="8313" xr3:uid="{D4A7DC11-EB85-4D72-AC2A-2058F828D164}" name="Column8299" dataDxfId="16612" totalsRowDxfId="16611"/>
    <tableColumn id="8314" xr3:uid="{E9DDE680-3C99-490A-803A-57CEA07B2DEB}" name="Column8300" dataDxfId="16610" totalsRowDxfId="16609"/>
    <tableColumn id="8315" xr3:uid="{99E07017-63B9-4275-85E4-7C9ACF0D873F}" name="Column8301" dataDxfId="16608" totalsRowDxfId="16607"/>
    <tableColumn id="8316" xr3:uid="{0D63D1D2-4CBD-4DF9-B89A-B04E0634E762}" name="Column8302" dataDxfId="16606" totalsRowDxfId="16605"/>
    <tableColumn id="8317" xr3:uid="{CD8134D2-F645-47DE-99D0-F1BE59D88122}" name="Column8303" dataDxfId="16604" totalsRowDxfId="16603"/>
    <tableColumn id="8318" xr3:uid="{F0498267-F036-471A-9503-F87957C45767}" name="Column8304" dataDxfId="16602" totalsRowDxfId="16601"/>
    <tableColumn id="8319" xr3:uid="{FA9B54FD-4888-4445-B725-6AD271AE5EBF}" name="Column8305" dataDxfId="16600" totalsRowDxfId="16599"/>
    <tableColumn id="8320" xr3:uid="{D43F9DDB-8461-47DD-B293-02B67418DEF7}" name="Column8306" dataDxfId="16598" totalsRowDxfId="16597"/>
    <tableColumn id="8321" xr3:uid="{72C2A0CA-9DF4-4AB1-9E34-215D63759719}" name="Column8307" dataDxfId="16596" totalsRowDxfId="16595"/>
    <tableColumn id="8322" xr3:uid="{05CDE687-D858-42C5-986E-15C73F2811C5}" name="Column8308" dataDxfId="16594" totalsRowDxfId="16593"/>
    <tableColumn id="8323" xr3:uid="{074619D1-DCE6-4AC7-BF50-C79E8AF653F2}" name="Column8309" dataDxfId="16592" totalsRowDxfId="16591"/>
    <tableColumn id="8324" xr3:uid="{53877C24-C4A0-4B8C-AE48-5E3FEF336329}" name="Column8310" dataDxfId="16590" totalsRowDxfId="16589"/>
    <tableColumn id="8325" xr3:uid="{D1E472C1-72F0-40F4-AAE6-0717022165FB}" name="Column8311" dataDxfId="16588" totalsRowDxfId="16587"/>
    <tableColumn id="8326" xr3:uid="{B411764A-3C10-46FA-A393-290749B35248}" name="Column8312" dataDxfId="16586" totalsRowDxfId="16585"/>
    <tableColumn id="8327" xr3:uid="{E6E5D858-4300-455F-B315-6A89ACA62EC5}" name="Column8313" dataDxfId="16584" totalsRowDxfId="16583"/>
    <tableColumn id="8328" xr3:uid="{BCE80268-D30D-42E7-9122-5BE39524BF6F}" name="Column8314" dataDxfId="16582" totalsRowDxfId="16581"/>
    <tableColumn id="8329" xr3:uid="{C2A898EB-ED02-4110-862F-C9F70BF5928D}" name="Column8315" dataDxfId="16580" totalsRowDxfId="16579"/>
    <tableColumn id="8330" xr3:uid="{C6EE3524-582A-4647-A819-673E2BB0FF6B}" name="Column8316" dataDxfId="16578" totalsRowDxfId="16577"/>
    <tableColumn id="8331" xr3:uid="{B6CB567C-9E21-4C52-A5F7-C8DD0E34BE71}" name="Column8317" dataDxfId="16576" totalsRowDxfId="16575"/>
    <tableColumn id="8332" xr3:uid="{BF9DB894-67CA-4F1B-B6D8-9A8F9A01FA9D}" name="Column8318" dataDxfId="16574" totalsRowDxfId="16573"/>
    <tableColumn id="8333" xr3:uid="{BD37F382-9186-4A63-BA8A-4BFD93E802F6}" name="Column8319" dataDxfId="16572" totalsRowDxfId="16571"/>
    <tableColumn id="8334" xr3:uid="{FA876C2B-8B08-4AAA-B07B-B271795C3F04}" name="Column8320" dataDxfId="16570" totalsRowDxfId="16569"/>
    <tableColumn id="8335" xr3:uid="{FB162E36-0D07-435B-95BC-2B0FE72D448B}" name="Column8321" dataDxfId="16568" totalsRowDxfId="16567"/>
    <tableColumn id="8336" xr3:uid="{CF0F1C37-113E-4BE6-BC9B-5A5FD9F1C4F1}" name="Column8322" dataDxfId="16566" totalsRowDxfId="16565"/>
    <tableColumn id="8337" xr3:uid="{43270E75-0362-460C-8EF6-5A129E494F53}" name="Column8323" dataDxfId="16564" totalsRowDxfId="16563"/>
    <tableColumn id="8338" xr3:uid="{31D0C763-8EE6-47C9-8639-DF1AE3104F51}" name="Column8324" dataDxfId="16562" totalsRowDxfId="16561"/>
    <tableColumn id="8339" xr3:uid="{DBFA63CB-A07D-484C-98DF-08B1051F4FBE}" name="Column8325" dataDxfId="16560" totalsRowDxfId="16559"/>
    <tableColumn id="8340" xr3:uid="{F2D99D7F-9948-4410-8AAB-E1F3E0902620}" name="Column8326" dataDxfId="16558" totalsRowDxfId="16557"/>
    <tableColumn id="8341" xr3:uid="{81DD2622-1A5C-4D4F-B5A7-2880050EF9D1}" name="Column8327" dataDxfId="16556" totalsRowDxfId="16555"/>
    <tableColumn id="8342" xr3:uid="{8861EB3A-FE60-44E2-8413-7654DE1C0CAE}" name="Column8328" dataDxfId="16554" totalsRowDxfId="16553"/>
    <tableColumn id="8343" xr3:uid="{93EC264F-CC66-466D-9E71-0FF8EFBCC32B}" name="Column8329" dataDxfId="16552" totalsRowDxfId="16551"/>
    <tableColumn id="8344" xr3:uid="{1CCB558E-7197-46C4-8F6F-C355D8578626}" name="Column8330" dataDxfId="16550" totalsRowDxfId="16549"/>
    <tableColumn id="8345" xr3:uid="{CF890636-9C15-428E-B4FE-6DFAA49EC0FA}" name="Column8331" dataDxfId="16548" totalsRowDxfId="16547"/>
    <tableColumn id="8346" xr3:uid="{6F8372FD-7105-4FFF-AFB8-38DB8267CF5C}" name="Column8332" dataDxfId="16546" totalsRowDxfId="16545"/>
    <tableColumn id="8347" xr3:uid="{4904DA1E-8DB5-49E3-9FDE-4A8EAC471127}" name="Column8333" dataDxfId="16544" totalsRowDxfId="16543"/>
    <tableColumn id="8348" xr3:uid="{DFE417A7-A856-4EBC-A4FD-779DB9DB2CD8}" name="Column8334" dataDxfId="16542" totalsRowDxfId="16541"/>
    <tableColumn id="8349" xr3:uid="{02455FF9-CBBA-4DC3-ABC5-D78A80068AB4}" name="Column8335" dataDxfId="16540" totalsRowDxfId="16539"/>
    <tableColumn id="8350" xr3:uid="{54CD7F78-8B1F-46AA-8AAD-F09560FAF7EE}" name="Column8336" dataDxfId="16538" totalsRowDxfId="16537"/>
    <tableColumn id="8351" xr3:uid="{1EECB87E-A3AC-4069-A9FB-456A6A299B6E}" name="Column8337" dataDxfId="16536" totalsRowDxfId="16535"/>
    <tableColumn id="8352" xr3:uid="{5AE2AE76-F740-4B40-88D1-F3B770290D39}" name="Column8338" dataDxfId="16534" totalsRowDxfId="16533"/>
    <tableColumn id="8353" xr3:uid="{1B5704E0-A28F-4A32-B093-0A9F77A6F64C}" name="Column8339" dataDxfId="16532" totalsRowDxfId="16531"/>
    <tableColumn id="8354" xr3:uid="{DCA799B6-9A46-47AA-BABF-1F754AF03AED}" name="Column8340" dataDxfId="16530" totalsRowDxfId="16529"/>
    <tableColumn id="8355" xr3:uid="{39B17069-AEBE-4559-8AF5-5A0AB03DB42C}" name="Column8341" dataDxfId="16528" totalsRowDxfId="16527"/>
    <tableColumn id="8356" xr3:uid="{B4DE4644-4227-4D77-A6C6-42E2C4F5F960}" name="Column8342" dataDxfId="16526" totalsRowDxfId="16525"/>
    <tableColumn id="8357" xr3:uid="{52C3E13F-8531-4C6A-A712-9425385AD212}" name="Column8343" dataDxfId="16524" totalsRowDxfId="16523"/>
    <tableColumn id="8358" xr3:uid="{F455835A-A9FB-4FCB-9E30-C76A285ED23E}" name="Column8344" dataDxfId="16522" totalsRowDxfId="16521"/>
    <tableColumn id="8359" xr3:uid="{308B4832-2738-4B67-9EF0-CF9D457D3AF9}" name="Column8345" dataDxfId="16520" totalsRowDxfId="16519"/>
    <tableColumn id="8360" xr3:uid="{307F8B39-718F-48BF-849A-D7B78B2464BA}" name="Column8346" dataDxfId="16518" totalsRowDxfId="16517"/>
    <tableColumn id="8361" xr3:uid="{BB08CFF3-AB3A-4062-BBEF-1F2E2877D427}" name="Column8347" dataDxfId="16516" totalsRowDxfId="16515"/>
    <tableColumn id="8362" xr3:uid="{D01738CE-47E6-4989-A949-BF3197DA575D}" name="Column8348" dataDxfId="16514" totalsRowDxfId="16513"/>
    <tableColumn id="8363" xr3:uid="{A7E0DE84-F445-4320-9D3E-83BF28663C3A}" name="Column8349" dataDxfId="16512" totalsRowDxfId="16511"/>
    <tableColumn id="8364" xr3:uid="{DCB49A1F-BFE2-403B-B6B2-BDD44F488EFD}" name="Column8350" dataDxfId="16510" totalsRowDxfId="16509"/>
    <tableColumn id="8365" xr3:uid="{99DA5CD8-F9E1-4F2C-9857-E7549880B03D}" name="Column8351" dataDxfId="16508" totalsRowDxfId="16507"/>
    <tableColumn id="8366" xr3:uid="{77147897-7BA2-4522-8382-7D2ECD80A945}" name="Column8352" dataDxfId="16506" totalsRowDxfId="16505"/>
    <tableColumn id="8367" xr3:uid="{A9873940-F9D9-4BB4-8855-7ADEE5965812}" name="Column8353" dataDxfId="16504" totalsRowDxfId="16503"/>
    <tableColumn id="8368" xr3:uid="{18205488-1EDA-4224-8766-4AB625D7A88C}" name="Column8354" dataDxfId="16502" totalsRowDxfId="16501"/>
    <tableColumn id="8369" xr3:uid="{1DFDAE39-30E3-4DF1-9207-9493D4788A68}" name="Column8355" dataDxfId="16500" totalsRowDxfId="16499"/>
    <tableColumn id="8370" xr3:uid="{A0C7D724-D72A-4EBB-800A-C342C39D291F}" name="Column8356" dataDxfId="16498" totalsRowDxfId="16497"/>
    <tableColumn id="8371" xr3:uid="{704B1D58-81A2-48C9-88DA-917E97F6194B}" name="Column8357" dataDxfId="16496" totalsRowDxfId="16495"/>
    <tableColumn id="8372" xr3:uid="{53CECB93-FB6F-4719-9617-52AB5B55A58D}" name="Column8358" dataDxfId="16494" totalsRowDxfId="16493"/>
    <tableColumn id="8373" xr3:uid="{557063D0-4D63-4817-8710-3A142259792D}" name="Column8359" dataDxfId="16492" totalsRowDxfId="16491"/>
    <tableColumn id="8374" xr3:uid="{3695E5A9-3D2F-4752-9A2C-B42009A937C8}" name="Column8360" dataDxfId="16490" totalsRowDxfId="16489"/>
    <tableColumn id="8375" xr3:uid="{DFCD9B17-455F-4713-AC2B-25A41D98266B}" name="Column8361" dataDxfId="16488" totalsRowDxfId="16487"/>
    <tableColumn id="8376" xr3:uid="{2B3FEB8A-D498-4D6B-B884-E820F870770C}" name="Column8362" dataDxfId="16486" totalsRowDxfId="16485"/>
    <tableColumn id="8377" xr3:uid="{5C6F3942-729B-4A59-8B3D-F0364B5B0720}" name="Column8363" dataDxfId="16484" totalsRowDxfId="16483"/>
    <tableColumn id="8378" xr3:uid="{6614B93B-8DD2-4B65-9C50-717CEC30DB4D}" name="Column8364" dataDxfId="16482" totalsRowDxfId="16481"/>
    <tableColumn id="8379" xr3:uid="{D848A766-8878-45D6-AF7A-03DA3C41A3A9}" name="Column8365" dataDxfId="16480" totalsRowDxfId="16479"/>
    <tableColumn id="8380" xr3:uid="{B807F0D1-724E-4DE7-B2EC-F021F0B09A25}" name="Column8366" dataDxfId="16478" totalsRowDxfId="16477"/>
    <tableColumn id="8381" xr3:uid="{6F987413-DFBA-4882-B69F-301143DE5113}" name="Column8367" dataDxfId="16476" totalsRowDxfId="16475"/>
    <tableColumn id="8382" xr3:uid="{1CFE9581-33BB-44B3-BBE6-A6802B145A85}" name="Column8368" dataDxfId="16474" totalsRowDxfId="16473"/>
    <tableColumn id="8383" xr3:uid="{0AE5BC64-8AB6-4138-B93F-D826EB794F9C}" name="Column8369" dataDxfId="16472" totalsRowDxfId="16471"/>
    <tableColumn id="8384" xr3:uid="{DAA7A300-2171-410C-A07A-3E6727E14CF5}" name="Column8370" dataDxfId="16470" totalsRowDxfId="16469"/>
    <tableColumn id="8385" xr3:uid="{1D257E2E-F7E5-4D7D-BF70-8C6B04D5E644}" name="Column8371" dataDxfId="16468" totalsRowDxfId="16467"/>
    <tableColumn id="8386" xr3:uid="{4E14D2E1-6ECE-4F02-853E-7247701E594D}" name="Column8372" dataDxfId="16466" totalsRowDxfId="16465"/>
    <tableColumn id="8387" xr3:uid="{0DB46EA5-DEE1-422E-BA98-698ECF689716}" name="Column8373" dataDxfId="16464" totalsRowDxfId="16463"/>
    <tableColumn id="8388" xr3:uid="{D385A7D1-738D-4055-A0F5-88E14A62E605}" name="Column8374" dataDxfId="16462" totalsRowDxfId="16461"/>
    <tableColumn id="8389" xr3:uid="{4303B553-F031-44B1-ADCB-3B32ACFBE8BD}" name="Column8375" dataDxfId="16460" totalsRowDxfId="16459"/>
    <tableColumn id="8390" xr3:uid="{192A5B47-F154-4466-8207-E2A29944A443}" name="Column8376" dataDxfId="16458" totalsRowDxfId="16457"/>
    <tableColumn id="8391" xr3:uid="{A75ED480-0FD1-418C-BF72-030C8845F71C}" name="Column8377" dataDxfId="16456" totalsRowDxfId="16455"/>
    <tableColumn id="8392" xr3:uid="{87B4B3F8-523D-4369-BE05-0335F29C568A}" name="Column8378" dataDxfId="16454" totalsRowDxfId="16453"/>
    <tableColumn id="8393" xr3:uid="{F75013C8-29E2-4DDD-AE1A-ACC328C24207}" name="Column8379" dataDxfId="16452" totalsRowDxfId="16451"/>
    <tableColumn id="8394" xr3:uid="{6F51F5F5-7D8A-4E37-954A-BAA50641E3F0}" name="Column8380" dataDxfId="16450" totalsRowDxfId="16449"/>
    <tableColumn id="8395" xr3:uid="{81133B92-BA6D-455C-88FD-5F6B3802E6A9}" name="Column8381" dataDxfId="16448" totalsRowDxfId="16447"/>
    <tableColumn id="8396" xr3:uid="{069720C1-365C-4096-B3E4-8E06FF4F7246}" name="Column8382" dataDxfId="16446" totalsRowDxfId="16445"/>
    <tableColumn id="8397" xr3:uid="{6CB29F1D-2B43-4FAD-880F-EF32E199D9F1}" name="Column8383" dataDxfId="16444" totalsRowDxfId="16443"/>
    <tableColumn id="8398" xr3:uid="{F59464E8-DE89-45C8-8316-26729D2F17F8}" name="Column8384" dataDxfId="16442" totalsRowDxfId="16441"/>
    <tableColumn id="8399" xr3:uid="{7D0A59C3-1151-4D6F-A153-452EAFAD8009}" name="Column8385" dataDxfId="16440" totalsRowDxfId="16439"/>
    <tableColumn id="8400" xr3:uid="{C6215D01-3D72-4934-ABA9-BA083834D161}" name="Column8386" dataDxfId="16438" totalsRowDxfId="16437"/>
    <tableColumn id="8401" xr3:uid="{958C121A-021F-44FC-B673-D6AFA8E6854E}" name="Column8387" dataDxfId="16436" totalsRowDxfId="16435"/>
    <tableColumn id="8402" xr3:uid="{D77E7F1C-CA71-4E32-8738-F29073360EF9}" name="Column8388" dataDxfId="16434" totalsRowDxfId="16433"/>
    <tableColumn id="8403" xr3:uid="{CB0103A0-3CBC-4992-8EEF-05F143AA1BEB}" name="Column8389" dataDxfId="16432" totalsRowDxfId="16431"/>
    <tableColumn id="8404" xr3:uid="{B2532CD7-14C9-42B5-B7EB-80B43C816B8F}" name="Column8390" dataDxfId="16430" totalsRowDxfId="16429"/>
    <tableColumn id="8405" xr3:uid="{7B62B25D-93C8-48AB-88E1-4D38AE557CC9}" name="Column8391" dataDxfId="16428" totalsRowDxfId="16427"/>
    <tableColumn id="8406" xr3:uid="{03EBC260-C0DC-44A8-85A4-438E7714DA4F}" name="Column8392" dataDxfId="16426" totalsRowDxfId="16425"/>
    <tableColumn id="8407" xr3:uid="{CF647726-7671-4FB8-BE73-F206ED634238}" name="Column8393" dataDxfId="16424" totalsRowDxfId="16423"/>
    <tableColumn id="8408" xr3:uid="{51B3D0E1-D763-40E0-B4DE-DBE2F6367C25}" name="Column8394" dataDxfId="16422" totalsRowDxfId="16421"/>
    <tableColumn id="8409" xr3:uid="{594BC158-5BE7-46CA-A7FD-07201A447FB9}" name="Column8395" dataDxfId="16420" totalsRowDxfId="16419"/>
    <tableColumn id="8410" xr3:uid="{9A17E7AD-DC12-4AA6-95AE-A519C90F29D6}" name="Column8396" dataDxfId="16418" totalsRowDxfId="16417"/>
    <tableColumn id="8411" xr3:uid="{29CB72D6-C038-4FAC-8B92-DFFFEE01366F}" name="Column8397" dataDxfId="16416" totalsRowDxfId="16415"/>
    <tableColumn id="8412" xr3:uid="{65C7CFE2-38AF-49E1-BDB6-CC9635AB7F7A}" name="Column8398" dataDxfId="16414" totalsRowDxfId="16413"/>
    <tableColumn id="8413" xr3:uid="{4064ED94-625D-47A9-817E-401AC2AE7E58}" name="Column8399" dataDxfId="16412" totalsRowDxfId="16411"/>
    <tableColumn id="8414" xr3:uid="{8671BDBC-91B9-43C6-A4AA-B3F666FA7DE8}" name="Column8400" dataDxfId="16410" totalsRowDxfId="16409"/>
    <tableColumn id="8415" xr3:uid="{E397CEF5-2B27-4A03-B10E-FB33F174785A}" name="Column8401" dataDxfId="16408" totalsRowDxfId="16407"/>
    <tableColumn id="8416" xr3:uid="{97184E97-1BB1-49C0-AD80-A59F0C5DEFFA}" name="Column8402" dataDxfId="16406" totalsRowDxfId="16405"/>
    <tableColumn id="8417" xr3:uid="{DCD39CE8-139F-4C10-9CAC-7DFDE4FB5806}" name="Column8403" dataDxfId="16404" totalsRowDxfId="16403"/>
    <tableColumn id="8418" xr3:uid="{05BD4663-8AC3-433A-8A2F-86D3EC8B88B7}" name="Column8404" dataDxfId="16402" totalsRowDxfId="16401"/>
    <tableColumn id="8419" xr3:uid="{4C81BC98-9112-4B3C-B335-E23017F8E913}" name="Column8405" dataDxfId="16400" totalsRowDxfId="16399"/>
    <tableColumn id="8420" xr3:uid="{A4C2B149-F0F4-44BF-AF61-4A1A4139B3F9}" name="Column8406" dataDxfId="16398" totalsRowDxfId="16397"/>
    <tableColumn id="8421" xr3:uid="{6BCFA9BC-B52B-4848-A5C4-22B7A36B0896}" name="Column8407" dataDxfId="16396" totalsRowDxfId="16395"/>
    <tableColumn id="8422" xr3:uid="{AA57C392-CC90-4A67-9A52-0DDDC660BE56}" name="Column8408" dataDxfId="16394" totalsRowDxfId="16393"/>
    <tableColumn id="8423" xr3:uid="{D1BFD3D1-7381-47B6-8F71-8D42AD724A50}" name="Column8409" dataDxfId="16392" totalsRowDxfId="16391"/>
    <tableColumn id="8424" xr3:uid="{C9150232-07FC-4563-805F-CDB443D3805B}" name="Column8410" dataDxfId="16390" totalsRowDxfId="16389"/>
    <tableColumn id="8425" xr3:uid="{E14B4A28-A733-4127-92E5-D51D84B3D287}" name="Column8411" dataDxfId="16388" totalsRowDxfId="16387"/>
    <tableColumn id="8426" xr3:uid="{6280B5B6-C4FE-4722-BCF7-8732CC9A24DC}" name="Column8412" dataDxfId="16386" totalsRowDxfId="16385"/>
    <tableColumn id="8427" xr3:uid="{A6CF6C8E-6015-4024-82E5-4788E73EA5AB}" name="Column8413" dataDxfId="16384" totalsRowDxfId="16383"/>
    <tableColumn id="8428" xr3:uid="{03AE64FC-A2AF-4EF6-851D-C5CD2131AB98}" name="Column8414" dataDxfId="16382" totalsRowDxfId="16381"/>
    <tableColumn id="8429" xr3:uid="{616882C9-5CFD-42A6-B9ED-CD004BA363B6}" name="Column8415" dataDxfId="16380" totalsRowDxfId="16379"/>
    <tableColumn id="8430" xr3:uid="{5D243B03-021B-4A44-A412-6590AA0CDBE9}" name="Column8416" dataDxfId="16378" totalsRowDxfId="16377"/>
    <tableColumn id="8431" xr3:uid="{6C5BF2E0-70E5-4B25-A470-D51B3B688A64}" name="Column8417" dataDxfId="16376" totalsRowDxfId="16375"/>
    <tableColumn id="8432" xr3:uid="{A3019B7A-8D5C-4AD6-88B7-EC4D744F9A0E}" name="Column8418" dataDxfId="16374" totalsRowDxfId="16373"/>
    <tableColumn id="8433" xr3:uid="{BF1A1C0D-2A7B-4ED4-BBC9-FA344ABDB669}" name="Column8419" dataDxfId="16372" totalsRowDxfId="16371"/>
    <tableColumn id="8434" xr3:uid="{2E5D477A-7EF0-423F-A377-7DE2D1128D1A}" name="Column8420" dataDxfId="16370" totalsRowDxfId="16369"/>
    <tableColumn id="8435" xr3:uid="{680E544C-83FC-4AD9-82D8-278AE1F44A66}" name="Column8421" dataDxfId="16368" totalsRowDxfId="16367"/>
    <tableColumn id="8436" xr3:uid="{F42C4634-4B65-4377-82A1-167CF78BE42E}" name="Column8422" dataDxfId="16366" totalsRowDxfId="16365"/>
    <tableColumn id="8437" xr3:uid="{805BE3FA-CD08-43DF-A723-DB71A6B0FDCE}" name="Column8423" dataDxfId="16364" totalsRowDxfId="16363"/>
    <tableColumn id="8438" xr3:uid="{11A34D0E-48FD-46B9-84A0-D104C6E8B481}" name="Column8424" dataDxfId="16362" totalsRowDxfId="16361"/>
    <tableColumn id="8439" xr3:uid="{B4835943-D3CA-4D72-9FA3-36A5A861A8B1}" name="Column8425" dataDxfId="16360" totalsRowDxfId="16359"/>
    <tableColumn id="8440" xr3:uid="{63E2493E-93F8-4DE4-9EEA-F9DC8DF232A0}" name="Column8426" dataDxfId="16358" totalsRowDxfId="16357"/>
    <tableColumn id="8441" xr3:uid="{CBF95C15-5998-4183-9E95-D082D2E675B5}" name="Column8427" dataDxfId="16356" totalsRowDxfId="16355"/>
    <tableColumn id="8442" xr3:uid="{61B28ABC-8CFE-4BF6-9D34-42ECCD9C42D5}" name="Column8428" dataDxfId="16354" totalsRowDxfId="16353"/>
    <tableColumn id="8443" xr3:uid="{CFF7C9EC-E989-4757-853F-8F032366788C}" name="Column8429" dataDxfId="16352" totalsRowDxfId="16351"/>
    <tableColumn id="8444" xr3:uid="{E0280B67-0AD2-4EAD-B363-8D7A09571C06}" name="Column8430" dataDxfId="16350" totalsRowDxfId="16349"/>
    <tableColumn id="8445" xr3:uid="{9C8358C7-27AE-4A52-8EDA-0C93EAED56A0}" name="Column8431" dataDxfId="16348" totalsRowDxfId="16347"/>
    <tableColumn id="8446" xr3:uid="{89DE9A8B-7C8F-4511-9F58-CBCC3CC7B484}" name="Column8432" dataDxfId="16346" totalsRowDxfId="16345"/>
    <tableColumn id="8447" xr3:uid="{CE8C38BA-0ECB-4AC5-9B42-31166D9732D7}" name="Column8433" dataDxfId="16344" totalsRowDxfId="16343"/>
    <tableColumn id="8448" xr3:uid="{AF21C0AB-18C2-48CD-9F2D-AA7AA3451E79}" name="Column8434" dataDxfId="16342" totalsRowDxfId="16341"/>
    <tableColumn id="8449" xr3:uid="{A1DCF30E-5524-4145-B31F-254943F43372}" name="Column8435" dataDxfId="16340" totalsRowDxfId="16339"/>
    <tableColumn id="8450" xr3:uid="{78A9F57D-14E4-426C-A50A-2C09887381C2}" name="Column8436" dataDxfId="16338" totalsRowDxfId="16337"/>
    <tableColumn id="8451" xr3:uid="{085449CE-0FED-47FA-9918-C55743B31409}" name="Column8437" dataDxfId="16336" totalsRowDxfId="16335"/>
    <tableColumn id="8452" xr3:uid="{8CC7FB20-09D1-4EA9-9E03-4D58AB1AC945}" name="Column8438" dataDxfId="16334" totalsRowDxfId="16333"/>
    <tableColumn id="8453" xr3:uid="{87B6D6DC-7CA8-4A17-81B8-ACD117621AA5}" name="Column8439" dataDxfId="16332" totalsRowDxfId="16331"/>
    <tableColumn id="8454" xr3:uid="{D9502F40-F82F-4746-B64F-53A909258CAE}" name="Column8440" dataDxfId="16330" totalsRowDxfId="16329"/>
    <tableColumn id="8455" xr3:uid="{305C9926-B492-45DA-8A6A-9F1613A92F86}" name="Column8441" dataDxfId="16328" totalsRowDxfId="16327"/>
    <tableColumn id="8456" xr3:uid="{231819D0-AB35-4AD1-AF03-3C65BFDEC5F0}" name="Column8442" dataDxfId="16326" totalsRowDxfId="16325"/>
    <tableColumn id="8457" xr3:uid="{4566145C-3100-4467-9301-E5859F0B5717}" name="Column8443" dataDxfId="16324" totalsRowDxfId="16323"/>
    <tableColumn id="8458" xr3:uid="{5E0296B0-1BCC-4283-84FF-41FD9D25A093}" name="Column8444" dataDxfId="16322" totalsRowDxfId="16321"/>
    <tableColumn id="8459" xr3:uid="{A6494B77-B0DC-416A-88AE-560CDABFDAC4}" name="Column8445" dataDxfId="16320" totalsRowDxfId="16319"/>
    <tableColumn id="8460" xr3:uid="{D7A4B135-CAF9-4CE3-B7FB-77B96493E724}" name="Column8446" dataDxfId="16318" totalsRowDxfId="16317"/>
    <tableColumn id="8461" xr3:uid="{6780A4D4-D04E-4B0C-90DC-FE77FE3580D5}" name="Column8447" dataDxfId="16316" totalsRowDxfId="16315"/>
    <tableColumn id="8462" xr3:uid="{FEF3EEB5-2E4D-4B7F-A679-05056DA8B3F2}" name="Column8448" dataDxfId="16314" totalsRowDxfId="16313"/>
    <tableColumn id="8463" xr3:uid="{10F3BE84-74CB-4367-A0DF-531832F6E6E6}" name="Column8449" dataDxfId="16312" totalsRowDxfId="16311"/>
    <tableColumn id="8464" xr3:uid="{B8BB9E2F-A167-4F4B-AF5D-5478DF0356B7}" name="Column8450" dataDxfId="16310" totalsRowDxfId="16309"/>
    <tableColumn id="8465" xr3:uid="{C2947881-142C-4C35-8A0E-CB4EED26B752}" name="Column8451" dataDxfId="16308" totalsRowDxfId="16307"/>
    <tableColumn id="8466" xr3:uid="{A7B7433A-3423-418F-AED8-558355EF4A46}" name="Column8452" dataDxfId="16306" totalsRowDxfId="16305"/>
    <tableColumn id="8467" xr3:uid="{727B39A3-23A4-445C-8576-DE51813DD5A4}" name="Column8453" dataDxfId="16304" totalsRowDxfId="16303"/>
    <tableColumn id="8468" xr3:uid="{B90AAFA9-2259-4092-9D14-5359A5B8DC93}" name="Column8454" dataDxfId="16302" totalsRowDxfId="16301"/>
    <tableColumn id="8469" xr3:uid="{9AB9170B-E4B0-4AD6-A8CB-1E97C7DF7C24}" name="Column8455" dataDxfId="16300" totalsRowDxfId="16299"/>
    <tableColumn id="8470" xr3:uid="{A087C7B3-6A3B-4FC2-8808-B5EFEB99CBFA}" name="Column8456" dataDxfId="16298" totalsRowDxfId="16297"/>
    <tableColumn id="8471" xr3:uid="{7AA81F0D-F1B2-4C1C-BDD4-274497079C58}" name="Column8457" dataDxfId="16296" totalsRowDxfId="16295"/>
    <tableColumn id="8472" xr3:uid="{A3A4990C-30DA-433B-930C-5EA3E503E04D}" name="Column8458" dataDxfId="16294" totalsRowDxfId="16293"/>
    <tableColumn id="8473" xr3:uid="{906687EC-D987-4C17-A792-298CFA87C7DB}" name="Column8459" dataDxfId="16292" totalsRowDxfId="16291"/>
    <tableColumn id="8474" xr3:uid="{70916973-61A7-4D78-A62B-CD410868ED68}" name="Column8460" dataDxfId="16290" totalsRowDxfId="16289"/>
    <tableColumn id="8475" xr3:uid="{59F91AAA-435A-4366-9D8A-915946490240}" name="Column8461" dataDxfId="16288" totalsRowDxfId="16287"/>
    <tableColumn id="8476" xr3:uid="{6855D828-3DE2-476E-AF1C-39F057249168}" name="Column8462" dataDxfId="16286" totalsRowDxfId="16285"/>
    <tableColumn id="8477" xr3:uid="{CDB12EA5-6A3F-4963-B32F-82A31A7AB80E}" name="Column8463" dataDxfId="16284" totalsRowDxfId="16283"/>
    <tableColumn id="8478" xr3:uid="{F736C0CC-14A2-444B-AE2F-94C1CF205B90}" name="Column8464" dataDxfId="16282" totalsRowDxfId="16281"/>
    <tableColumn id="8479" xr3:uid="{0F6184F3-BAA4-411A-8F6F-63FEABB128F4}" name="Column8465" dataDxfId="16280" totalsRowDxfId="16279"/>
    <tableColumn id="8480" xr3:uid="{309F0407-A4E0-4F8F-B667-DEBCFD4D0970}" name="Column8466" dataDxfId="16278" totalsRowDxfId="16277"/>
    <tableColumn id="8481" xr3:uid="{8C59314D-5E07-4FC7-8388-4A8A78487B90}" name="Column8467" dataDxfId="16276" totalsRowDxfId="16275"/>
    <tableColumn id="8482" xr3:uid="{7E7FCD8D-09E0-4895-B3C0-59C331ECEAEB}" name="Column8468" dataDxfId="16274" totalsRowDxfId="16273"/>
    <tableColumn id="8483" xr3:uid="{631F4276-94C1-48E6-A409-729C2872D482}" name="Column8469" dataDxfId="16272" totalsRowDxfId="16271"/>
    <tableColumn id="8484" xr3:uid="{46439A44-9467-4F02-B0E7-AD99530D7316}" name="Column8470" dataDxfId="16270" totalsRowDxfId="16269"/>
    <tableColumn id="8485" xr3:uid="{6F5DFBA5-185F-4285-AAB3-E4F37561884A}" name="Column8471" dataDxfId="16268" totalsRowDxfId="16267"/>
    <tableColumn id="8486" xr3:uid="{DA79625B-4C96-41B8-9EAE-D32A1FB6715A}" name="Column8472" dataDxfId="16266" totalsRowDxfId="16265"/>
    <tableColumn id="8487" xr3:uid="{30ECA301-5F38-457C-931D-EC4ADCEF6561}" name="Column8473" dataDxfId="16264" totalsRowDxfId="16263"/>
    <tableColumn id="8488" xr3:uid="{14C01A0B-5FFF-49AE-92C7-4FC69FB01400}" name="Column8474" dataDxfId="16262" totalsRowDxfId="16261"/>
    <tableColumn id="8489" xr3:uid="{6BC0B5D9-77E3-4C57-A230-36DEBFFFC856}" name="Column8475" dataDxfId="16260" totalsRowDxfId="16259"/>
    <tableColumn id="8490" xr3:uid="{DA763734-80AE-48C9-84B5-55A514A2E6A6}" name="Column8476" dataDxfId="16258" totalsRowDxfId="16257"/>
    <tableColumn id="8491" xr3:uid="{42506CE3-8E26-4DD9-B687-F78FE3FD079C}" name="Column8477" dataDxfId="16256" totalsRowDxfId="16255"/>
    <tableColumn id="8492" xr3:uid="{21E9BCE9-BA3E-4E6E-805B-70ED41D05936}" name="Column8478" dataDxfId="16254" totalsRowDxfId="16253"/>
    <tableColumn id="8493" xr3:uid="{D9A98BC5-9FD8-4AFC-BB28-433296828007}" name="Column8479" dataDxfId="16252" totalsRowDxfId="16251"/>
    <tableColumn id="8494" xr3:uid="{132EDA72-DDF6-479F-AEC3-CA25878CEBC7}" name="Column8480" dataDxfId="16250" totalsRowDxfId="16249"/>
    <tableColumn id="8495" xr3:uid="{E4E0590E-F5AC-4381-9665-0B4A8C439CDF}" name="Column8481" dataDxfId="16248" totalsRowDxfId="16247"/>
    <tableColumn id="8496" xr3:uid="{790CCE74-12A0-4BF0-838F-31E2CC9FD253}" name="Column8482" dataDxfId="16246" totalsRowDxfId="16245"/>
    <tableColumn id="8497" xr3:uid="{3E4D245F-9508-4E7C-91B2-6AFF619DDB55}" name="Column8483" dataDxfId="16244" totalsRowDxfId="16243"/>
    <tableColumn id="8498" xr3:uid="{B74539DD-AE27-4BD6-AF6E-5751F64A69C2}" name="Column8484" dataDxfId="16242" totalsRowDxfId="16241"/>
    <tableColumn id="8499" xr3:uid="{585ECBF3-F8BA-40CF-BDD6-43763A83A88E}" name="Column8485" dataDxfId="16240" totalsRowDxfId="16239"/>
    <tableColumn id="8500" xr3:uid="{E8DD2EBA-AD01-4D36-A501-8791140C4128}" name="Column8486" dataDxfId="16238" totalsRowDxfId="16237"/>
    <tableColumn id="8501" xr3:uid="{B663360C-1B87-4F6B-9009-9D02D929AD87}" name="Column8487" dataDxfId="16236" totalsRowDxfId="16235"/>
    <tableColumn id="8502" xr3:uid="{493A55B6-F4B0-4DC5-88A9-88874919C807}" name="Column8488" dataDxfId="16234" totalsRowDxfId="16233"/>
    <tableColumn id="8503" xr3:uid="{3E23E783-A6C5-421B-BF27-2820A0D9D809}" name="Column8489" dataDxfId="16232" totalsRowDxfId="16231"/>
    <tableColumn id="8504" xr3:uid="{6A1C4348-87A4-4D74-8C69-2445A012E0E8}" name="Column8490" dataDxfId="16230" totalsRowDxfId="16229"/>
    <tableColumn id="8505" xr3:uid="{CD23098E-A1A2-45CD-B59C-9D645479B055}" name="Column8491" dataDxfId="16228" totalsRowDxfId="16227"/>
    <tableColumn id="8506" xr3:uid="{119A2B07-E904-4089-B19F-D111D3E65346}" name="Column8492" dataDxfId="16226" totalsRowDxfId="16225"/>
    <tableColumn id="8507" xr3:uid="{1BD60502-8690-4E2A-B933-E015B611A107}" name="Column8493" dataDxfId="16224" totalsRowDxfId="16223"/>
    <tableColumn id="8508" xr3:uid="{71B25EF4-3579-4EEB-98C2-4B7BC5EAF7FB}" name="Column8494" dataDxfId="16222" totalsRowDxfId="16221"/>
    <tableColumn id="8509" xr3:uid="{5E9DD590-B553-4588-B805-B91A1AB52EEA}" name="Column8495" dataDxfId="16220" totalsRowDxfId="16219"/>
    <tableColumn id="8510" xr3:uid="{D4FECC9B-00D6-4D86-84C3-7A848E88130A}" name="Column8496" dataDxfId="16218" totalsRowDxfId="16217"/>
    <tableColumn id="8511" xr3:uid="{4318A49A-E69D-48CF-A1B3-F90F4FB94CD5}" name="Column8497" dataDxfId="16216" totalsRowDxfId="16215"/>
    <tableColumn id="8512" xr3:uid="{A6232DC5-099E-473E-BA17-1C2EF1994A49}" name="Column8498" dataDxfId="16214" totalsRowDxfId="16213"/>
    <tableColumn id="8513" xr3:uid="{245E3267-5610-4362-ACCF-2A59FED5B51E}" name="Column8499" dataDxfId="16212" totalsRowDxfId="16211"/>
    <tableColumn id="8514" xr3:uid="{4C54780E-DFB7-49D9-BD2B-638B5A9EDD90}" name="Column8500" dataDxfId="16210" totalsRowDxfId="16209"/>
    <tableColumn id="8515" xr3:uid="{DE3408C5-9B5E-4210-88A8-62FC0BE03E8A}" name="Column8501" dataDxfId="16208" totalsRowDxfId="16207"/>
    <tableColumn id="8516" xr3:uid="{12222FD9-6611-4AF5-8C2C-E764F6734812}" name="Column8502" dataDxfId="16206" totalsRowDxfId="16205"/>
    <tableColumn id="8517" xr3:uid="{CFB3ECD8-E5F0-483E-9F3B-AC49ECE16D67}" name="Column8503" dataDxfId="16204" totalsRowDxfId="16203"/>
    <tableColumn id="8518" xr3:uid="{8ED853F0-BC09-47C0-AF91-E16E6D16596F}" name="Column8504" dataDxfId="16202" totalsRowDxfId="16201"/>
    <tableColumn id="8519" xr3:uid="{30516BA3-9660-4830-8A8C-056CE58F6B9F}" name="Column8505" dataDxfId="16200" totalsRowDxfId="16199"/>
    <tableColumn id="8520" xr3:uid="{984BD6F8-F609-42C0-A1F7-4249BE169702}" name="Column8506" dataDxfId="16198" totalsRowDxfId="16197"/>
    <tableColumn id="8521" xr3:uid="{B24B1796-905C-4586-8138-41C26C798B92}" name="Column8507" dataDxfId="16196" totalsRowDxfId="16195"/>
    <tableColumn id="8522" xr3:uid="{1C4EBBA7-85FB-49D6-9447-A74E4E7EFE1E}" name="Column8508" dataDxfId="16194" totalsRowDxfId="16193"/>
    <tableColumn id="8523" xr3:uid="{CDC8DA21-6B48-4B38-BD43-1E7885D43C39}" name="Column8509" dataDxfId="16192" totalsRowDxfId="16191"/>
    <tableColumn id="8524" xr3:uid="{AD552C09-F5FB-4A9D-AEAC-3A16C9D7F992}" name="Column8510" dataDxfId="16190" totalsRowDxfId="16189"/>
    <tableColumn id="8525" xr3:uid="{B7CE8F47-FE12-4C79-8AE7-94C01417DD7F}" name="Column8511" dataDxfId="16188" totalsRowDxfId="16187"/>
    <tableColumn id="8526" xr3:uid="{57F628EF-071F-4C75-B634-A512C26DA4C9}" name="Column8512" dataDxfId="16186" totalsRowDxfId="16185"/>
    <tableColumn id="8527" xr3:uid="{86B434C9-BB51-4DF9-B455-DE03DA651D99}" name="Column8513" dataDxfId="16184" totalsRowDxfId="16183"/>
    <tableColumn id="8528" xr3:uid="{F3B5479D-BD89-4808-83C5-CB47A19F44E7}" name="Column8514" dataDxfId="16182" totalsRowDxfId="16181"/>
    <tableColumn id="8529" xr3:uid="{FE98D10B-3BA3-43BD-8B0B-8BF81BFD3885}" name="Column8515" dataDxfId="16180" totalsRowDxfId="16179"/>
    <tableColumn id="8530" xr3:uid="{5C24E9D7-5D46-4D58-8E31-6F6217F1528E}" name="Column8516" dataDxfId="16178" totalsRowDxfId="16177"/>
    <tableColumn id="8531" xr3:uid="{6B97ED20-34A2-4CB1-80DB-C35FC907ED20}" name="Column8517" dataDxfId="16176" totalsRowDxfId="16175"/>
    <tableColumn id="8532" xr3:uid="{AD8833B9-9201-4917-AFEC-3DC45501FE72}" name="Column8518" dataDxfId="16174" totalsRowDxfId="16173"/>
    <tableColumn id="8533" xr3:uid="{F9B5EDFA-D787-480B-A677-B1FBE698354A}" name="Column8519" dataDxfId="16172" totalsRowDxfId="16171"/>
    <tableColumn id="8534" xr3:uid="{3977457A-8300-44BD-B938-E59967461831}" name="Column8520" dataDxfId="16170" totalsRowDxfId="16169"/>
    <tableColumn id="8535" xr3:uid="{B64EF27E-84BD-47D7-BBA0-BEA74C3C477D}" name="Column8521" dataDxfId="16168" totalsRowDxfId="16167"/>
    <tableColumn id="8536" xr3:uid="{3CBE2F8C-56A8-42D4-B724-7DAAA28B32EF}" name="Column8522" dataDxfId="16166" totalsRowDxfId="16165"/>
    <tableColumn id="8537" xr3:uid="{0880399D-86FF-4A61-BECC-697F04BA6952}" name="Column8523" dataDxfId="16164" totalsRowDxfId="16163"/>
    <tableColumn id="8538" xr3:uid="{59CCF17E-B449-491E-B20D-F79CAAD6A139}" name="Column8524" dataDxfId="16162" totalsRowDxfId="16161"/>
    <tableColumn id="8539" xr3:uid="{E7E965F3-E542-44E2-9646-44DE27B872F3}" name="Column8525" dataDxfId="16160" totalsRowDxfId="16159"/>
    <tableColumn id="8540" xr3:uid="{3639B782-77F5-44A1-A96C-F54DABAA4832}" name="Column8526" dataDxfId="16158" totalsRowDxfId="16157"/>
    <tableColumn id="8541" xr3:uid="{B6277590-12A6-4A6E-8A21-FF9D72BAB303}" name="Column8527" dataDxfId="16156" totalsRowDxfId="16155"/>
    <tableColumn id="8542" xr3:uid="{BA5900F3-B335-4D2C-B5F5-459549A08FAF}" name="Column8528" dataDxfId="16154" totalsRowDxfId="16153"/>
    <tableColumn id="8543" xr3:uid="{1495CFE8-790C-4BC5-B6E2-A4E148506F58}" name="Column8529" dataDxfId="16152" totalsRowDxfId="16151"/>
    <tableColumn id="8544" xr3:uid="{84AEAEB0-340A-4ACA-9F26-7B08BDC6B526}" name="Column8530" dataDxfId="16150" totalsRowDxfId="16149"/>
    <tableColumn id="8545" xr3:uid="{952794A7-2BDA-4361-95B8-90CE1E8972F5}" name="Column8531" dataDxfId="16148" totalsRowDxfId="16147"/>
    <tableColumn id="8546" xr3:uid="{B0BD5D93-295B-4A9F-A36F-88BCA167D088}" name="Column8532" dataDxfId="16146" totalsRowDxfId="16145"/>
    <tableColumn id="8547" xr3:uid="{59C2C95A-AEFD-447E-8D20-060FDF185998}" name="Column8533" dataDxfId="16144" totalsRowDxfId="16143"/>
    <tableColumn id="8548" xr3:uid="{5CA76A29-B0F3-4F1A-A1EE-F761DB948899}" name="Column8534" dataDxfId="16142" totalsRowDxfId="16141"/>
    <tableColumn id="8549" xr3:uid="{46EFDE56-A3F8-415E-B824-320C4356A949}" name="Column8535" dataDxfId="16140" totalsRowDxfId="16139"/>
    <tableColumn id="8550" xr3:uid="{BA7A7C8A-1156-4CAD-BC01-80C0BE67B0BF}" name="Column8536" dataDxfId="16138" totalsRowDxfId="16137"/>
    <tableColumn id="8551" xr3:uid="{CE06E1A3-3BCE-4BD1-9E99-E032C6B65D2E}" name="Column8537" dataDxfId="16136" totalsRowDxfId="16135"/>
    <tableColumn id="8552" xr3:uid="{6ED8C66D-A2D7-414E-84DE-E8A8C490BBC4}" name="Column8538" dataDxfId="16134" totalsRowDxfId="16133"/>
    <tableColumn id="8553" xr3:uid="{5087B9AF-B0EE-49E3-B2EC-19D61665DE72}" name="Column8539" dataDxfId="16132" totalsRowDxfId="16131"/>
    <tableColumn id="8554" xr3:uid="{4B090BAB-B734-423E-B0C9-24455FB094FC}" name="Column8540" dataDxfId="16130" totalsRowDxfId="16129"/>
    <tableColumn id="8555" xr3:uid="{CF7E7D90-3100-4D1F-BDCA-86AAC3953FAB}" name="Column8541" dataDxfId="16128" totalsRowDxfId="16127"/>
    <tableColumn id="8556" xr3:uid="{5F054B49-DE13-4255-8419-48A16C48D7CC}" name="Column8542" dataDxfId="16126" totalsRowDxfId="16125"/>
    <tableColumn id="8557" xr3:uid="{5808D5E8-5B11-4BAD-919E-B6CA9A700A28}" name="Column8543" dataDxfId="16124" totalsRowDxfId="16123"/>
    <tableColumn id="8558" xr3:uid="{52226E41-66C9-4A05-9069-AD0F4587BEF8}" name="Column8544" dataDxfId="16122" totalsRowDxfId="16121"/>
    <tableColumn id="8559" xr3:uid="{3EB84E5E-D479-4FEE-8203-79C3F5945FE7}" name="Column8545" dataDxfId="16120" totalsRowDxfId="16119"/>
    <tableColumn id="8560" xr3:uid="{CAE070E2-81DD-40C1-9BC6-EFB71B620610}" name="Column8546" dataDxfId="16118" totalsRowDxfId="16117"/>
    <tableColumn id="8561" xr3:uid="{4E5C5E0F-5B77-416C-A352-711DC7FB5AF7}" name="Column8547" dataDxfId="16116" totalsRowDxfId="16115"/>
    <tableColumn id="8562" xr3:uid="{07D437B4-57B0-43F0-816E-DCABCB605381}" name="Column8548" dataDxfId="16114" totalsRowDxfId="16113"/>
    <tableColumn id="8563" xr3:uid="{0BC57EBE-4AA5-4ACB-97E1-C2EB6F0AE4DB}" name="Column8549" dataDxfId="16112" totalsRowDxfId="16111"/>
    <tableColumn id="8564" xr3:uid="{76371C2F-B8EA-4E75-8AFE-1A1F7DD8781F}" name="Column8550" dataDxfId="16110" totalsRowDxfId="16109"/>
    <tableColumn id="8565" xr3:uid="{09CD9F83-8AE7-4A70-9BAB-547D52D97B99}" name="Column8551" dataDxfId="16108" totalsRowDxfId="16107"/>
    <tableColumn id="8566" xr3:uid="{17EBA633-69F5-45A5-B083-EC843DC24F17}" name="Column8552" dataDxfId="16106" totalsRowDxfId="16105"/>
    <tableColumn id="8567" xr3:uid="{D57492F1-33C7-498F-BED6-B27CE0F18706}" name="Column8553" dataDxfId="16104" totalsRowDxfId="16103"/>
    <tableColumn id="8568" xr3:uid="{1F38FAD7-0E08-4776-988F-24A9454DF870}" name="Column8554" dataDxfId="16102" totalsRowDxfId="16101"/>
    <tableColumn id="8569" xr3:uid="{04D9117F-DB67-4360-AD93-EDD80B8F7E85}" name="Column8555" dataDxfId="16100" totalsRowDxfId="16099"/>
    <tableColumn id="8570" xr3:uid="{38A4A893-32B6-4742-B0DE-C8712F825ED8}" name="Column8556" dataDxfId="16098" totalsRowDxfId="16097"/>
    <tableColumn id="8571" xr3:uid="{62696EE1-0951-4A2A-85C6-462E5D18895A}" name="Column8557" dataDxfId="16096" totalsRowDxfId="16095"/>
    <tableColumn id="8572" xr3:uid="{469C133C-7E4A-42F7-BEE3-6C0DDAA794A9}" name="Column8558" dataDxfId="16094" totalsRowDxfId="16093"/>
    <tableColumn id="8573" xr3:uid="{A66FD86D-38CD-4F6A-BEB2-C1ACC2AE5B40}" name="Column8559" dataDxfId="16092" totalsRowDxfId="16091"/>
    <tableColumn id="8574" xr3:uid="{D8A647D1-4C85-4813-B6BD-06F0DE2AEB8A}" name="Column8560" dataDxfId="16090" totalsRowDxfId="16089"/>
    <tableColumn id="8575" xr3:uid="{E58B543E-0C0A-4741-9FBA-904C2888690B}" name="Column8561" dataDxfId="16088" totalsRowDxfId="16087"/>
    <tableColumn id="8576" xr3:uid="{EA5AE133-DF97-4E02-A376-E3458F8C68E8}" name="Column8562" dataDxfId="16086" totalsRowDxfId="16085"/>
    <tableColumn id="8577" xr3:uid="{3DBCD295-9244-4CAD-8AA3-57E437CA0C6F}" name="Column8563" dataDxfId="16084" totalsRowDxfId="16083"/>
    <tableColumn id="8578" xr3:uid="{DCFFF826-DF8F-4AC0-89CE-2E90CC481923}" name="Column8564" dataDxfId="16082" totalsRowDxfId="16081"/>
    <tableColumn id="8579" xr3:uid="{2315BAF8-5437-4C22-9958-3CCC74B62A21}" name="Column8565" dataDxfId="16080" totalsRowDxfId="16079"/>
    <tableColumn id="8580" xr3:uid="{28FEE55B-A200-4D7E-92EB-9D2AE56B1775}" name="Column8566" dataDxfId="16078" totalsRowDxfId="16077"/>
    <tableColumn id="8581" xr3:uid="{126F46DA-0361-4E1B-9F1D-524C553C9604}" name="Column8567" dataDxfId="16076" totalsRowDxfId="16075"/>
    <tableColumn id="8582" xr3:uid="{B563AA08-87BC-4306-ABC9-0ABBD66C7510}" name="Column8568" dataDxfId="16074" totalsRowDxfId="16073"/>
    <tableColumn id="8583" xr3:uid="{AB068417-8A58-4985-AE8F-2ADEE5EAE698}" name="Column8569" dataDxfId="16072" totalsRowDxfId="16071"/>
    <tableColumn id="8584" xr3:uid="{47D36AA8-301F-4B12-A046-3E8D49F5BAB4}" name="Column8570" dataDxfId="16070" totalsRowDxfId="16069"/>
    <tableColumn id="8585" xr3:uid="{0BA692F1-27B6-457D-9949-FB7B4E9E138B}" name="Column8571" dataDxfId="16068" totalsRowDxfId="16067"/>
    <tableColumn id="8586" xr3:uid="{524B9269-D126-4BAE-97A1-3F214E3F9973}" name="Column8572" dataDxfId="16066" totalsRowDxfId="16065"/>
    <tableColumn id="8587" xr3:uid="{3985E0AA-5E4A-4D95-9D3F-63BE36F999A4}" name="Column8573" dataDxfId="16064" totalsRowDxfId="16063"/>
    <tableColumn id="8588" xr3:uid="{78DCE0C6-05C3-4853-B07C-30641AAC805B}" name="Column8574" dataDxfId="16062" totalsRowDxfId="16061"/>
    <tableColumn id="8589" xr3:uid="{0D8ADD79-1539-4B41-84D9-1E7C5D607FA9}" name="Column8575" dataDxfId="16060" totalsRowDxfId="16059"/>
    <tableColumn id="8590" xr3:uid="{5F20F815-D34F-4720-90EB-8277133A575D}" name="Column8576" dataDxfId="16058" totalsRowDxfId="16057"/>
    <tableColumn id="8591" xr3:uid="{5EBB12D5-A2DA-43B2-AE03-C5582D8D148E}" name="Column8577" dataDxfId="16056" totalsRowDxfId="16055"/>
    <tableColumn id="8592" xr3:uid="{A2AA8D92-58A6-41B3-A884-3F09C89435FC}" name="Column8578" dataDxfId="16054" totalsRowDxfId="16053"/>
    <tableColumn id="8593" xr3:uid="{AA5C0A1D-F049-4FFA-956F-A93E1DC94988}" name="Column8579" dataDxfId="16052" totalsRowDxfId="16051"/>
    <tableColumn id="8594" xr3:uid="{0D02057D-6CB2-461D-83D9-24C669AE99A9}" name="Column8580" dataDxfId="16050" totalsRowDxfId="16049"/>
    <tableColumn id="8595" xr3:uid="{380C43CB-7DE9-45E5-81AF-775C52A99BCB}" name="Column8581" dataDxfId="16048" totalsRowDxfId="16047"/>
    <tableColumn id="8596" xr3:uid="{D69BE99E-5316-4B8F-9FB2-1E36F4606709}" name="Column8582" dataDxfId="16046" totalsRowDxfId="16045"/>
    <tableColumn id="8597" xr3:uid="{DE02A5DD-E7C6-469D-A58C-514C2E0832CD}" name="Column8583" dataDxfId="16044" totalsRowDxfId="16043"/>
    <tableColumn id="8598" xr3:uid="{555DDDF1-F752-4DAB-9B9D-7423E45746F8}" name="Column8584" dataDxfId="16042" totalsRowDxfId="16041"/>
    <tableColumn id="8599" xr3:uid="{0B850E86-201C-4F7F-B9AD-DA55392FEEA0}" name="Column8585" dataDxfId="16040" totalsRowDxfId="16039"/>
    <tableColumn id="8600" xr3:uid="{8E10F4E5-7FC3-42C9-A3F8-064302B7A8E6}" name="Column8586" dataDxfId="16038" totalsRowDxfId="16037"/>
    <tableColumn id="8601" xr3:uid="{D765867C-CE13-4675-9167-B20A28EF6710}" name="Column8587" dataDxfId="16036" totalsRowDxfId="16035"/>
    <tableColumn id="8602" xr3:uid="{60029945-C612-447C-A9E1-0B0C69EA3969}" name="Column8588" dataDxfId="16034" totalsRowDxfId="16033"/>
    <tableColumn id="8603" xr3:uid="{11E358CA-9A71-4566-8965-B8F9F28DEC4B}" name="Column8589" dataDxfId="16032" totalsRowDxfId="16031"/>
    <tableColumn id="8604" xr3:uid="{6602B40A-5067-4C7F-BA89-899CC37750B9}" name="Column8590" dataDxfId="16030" totalsRowDxfId="16029"/>
    <tableColumn id="8605" xr3:uid="{762E10D0-D3E7-4D7C-81C6-F0B070AAFE61}" name="Column8591" dataDxfId="16028" totalsRowDxfId="16027"/>
    <tableColumn id="8606" xr3:uid="{85D5F006-A547-4D18-8A23-1C69AB477C80}" name="Column8592" dataDxfId="16026" totalsRowDxfId="16025"/>
    <tableColumn id="8607" xr3:uid="{926C9EDF-A81D-452F-AA94-9617EE753B48}" name="Column8593" dataDxfId="16024" totalsRowDxfId="16023"/>
    <tableColumn id="8608" xr3:uid="{9D7EF603-C979-4990-8DEF-D02103857644}" name="Column8594" dataDxfId="16022" totalsRowDxfId="16021"/>
    <tableColumn id="8609" xr3:uid="{3C5CBA90-7E1B-4127-8D2B-980158519728}" name="Column8595" dataDxfId="16020" totalsRowDxfId="16019"/>
    <tableColumn id="8610" xr3:uid="{648649D0-AA30-4B90-BA4F-2381880621DE}" name="Column8596" dataDxfId="16018" totalsRowDxfId="16017"/>
    <tableColumn id="8611" xr3:uid="{5E621AC2-870B-4541-BE87-6CBD1F87E397}" name="Column8597" dataDxfId="16016" totalsRowDxfId="16015"/>
    <tableColumn id="8612" xr3:uid="{3FA70E6A-2817-46CB-B925-BD79985AE988}" name="Column8598" dataDxfId="16014" totalsRowDxfId="16013"/>
    <tableColumn id="8613" xr3:uid="{D77D5E09-F8CD-4E72-8BC2-24555B642EB5}" name="Column8599" dataDxfId="16012" totalsRowDxfId="16011"/>
    <tableColumn id="8614" xr3:uid="{A35E82CB-1BF0-4310-BA02-159B8FA110B2}" name="Column8600" dataDxfId="16010" totalsRowDxfId="16009"/>
    <tableColumn id="8615" xr3:uid="{A00AF763-8D57-466D-955C-0CECA5C4258C}" name="Column8601" dataDxfId="16008" totalsRowDxfId="16007"/>
    <tableColumn id="8616" xr3:uid="{6588801A-FE9F-4143-9C2A-1F7782997059}" name="Column8602" dataDxfId="16006" totalsRowDxfId="16005"/>
    <tableColumn id="8617" xr3:uid="{0D8E0B72-8BA6-4621-B0C5-61F4795BD32E}" name="Column8603" dataDxfId="16004" totalsRowDxfId="16003"/>
    <tableColumn id="8618" xr3:uid="{FFD770AF-60DB-4361-AE03-63DF259AB045}" name="Column8604" dataDxfId="16002" totalsRowDxfId="16001"/>
    <tableColumn id="8619" xr3:uid="{CE64BCE6-330D-4532-9B29-6E689EA366B8}" name="Column8605" dataDxfId="16000" totalsRowDxfId="15999"/>
    <tableColumn id="8620" xr3:uid="{AD9DF0C8-8770-483E-9EFA-1082063639C4}" name="Column8606" dataDxfId="15998" totalsRowDxfId="15997"/>
    <tableColumn id="8621" xr3:uid="{155E6716-1647-4A25-9B19-79BB78EF668E}" name="Column8607" dataDxfId="15996" totalsRowDxfId="15995"/>
    <tableColumn id="8622" xr3:uid="{4FE6C8E8-16FF-4A5F-94AF-719DBD193FBD}" name="Column8608" dataDxfId="15994" totalsRowDxfId="15993"/>
    <tableColumn id="8623" xr3:uid="{0C7E326E-A11B-4742-8C61-67E260F767AE}" name="Column8609" dataDxfId="15992" totalsRowDxfId="15991"/>
    <tableColumn id="8624" xr3:uid="{C7349A35-41B8-4C61-9AAB-1C454E660543}" name="Column8610" dataDxfId="15990" totalsRowDxfId="15989"/>
    <tableColumn id="8625" xr3:uid="{25F7BA07-DE81-48C4-AF72-9B351FC76E94}" name="Column8611" dataDxfId="15988" totalsRowDxfId="15987"/>
    <tableColumn id="8626" xr3:uid="{4E1F1573-FF78-4CB0-A72B-78654B2DF0DD}" name="Column8612" dataDxfId="15986" totalsRowDxfId="15985"/>
    <tableColumn id="8627" xr3:uid="{A73761A6-7699-426F-9675-6ED18F1A6428}" name="Column8613" dataDxfId="15984" totalsRowDxfId="15983"/>
    <tableColumn id="8628" xr3:uid="{C7BE8CED-3751-42EC-83B4-AEB7ED5EEAEC}" name="Column8614" dataDxfId="15982" totalsRowDxfId="15981"/>
    <tableColumn id="8629" xr3:uid="{51FC8529-00F6-4EDA-ABAF-22BDED66F4C9}" name="Column8615" dataDxfId="15980" totalsRowDxfId="15979"/>
    <tableColumn id="8630" xr3:uid="{F21F5C4E-EBF8-4609-A6D1-E2BE8D34249B}" name="Column8616" dataDxfId="15978" totalsRowDxfId="15977"/>
    <tableColumn id="8631" xr3:uid="{3C02FABC-8810-4AE3-8822-711D0EA892D2}" name="Column8617" dataDxfId="15976" totalsRowDxfId="15975"/>
    <tableColumn id="8632" xr3:uid="{4D706A2E-7C70-40D3-935B-16E35C7CD64B}" name="Column8618" dataDxfId="15974" totalsRowDxfId="15973"/>
    <tableColumn id="8633" xr3:uid="{0C0744A1-8FBF-478F-AF4E-C7139A513E6E}" name="Column8619" dataDxfId="15972" totalsRowDxfId="15971"/>
    <tableColumn id="8634" xr3:uid="{9DD3B522-0ED1-4E13-BE43-4BC9996E5CD6}" name="Column8620" dataDxfId="15970" totalsRowDxfId="15969"/>
    <tableColumn id="8635" xr3:uid="{944C21CE-309D-44AA-9637-76E72D29F5F0}" name="Column8621" dataDxfId="15968" totalsRowDxfId="15967"/>
    <tableColumn id="8636" xr3:uid="{5E375F57-AA1B-4083-BE65-CFD0A0712577}" name="Column8622" dataDxfId="15966" totalsRowDxfId="15965"/>
    <tableColumn id="8637" xr3:uid="{69C04F0B-644F-4436-9693-75D5FF7FED94}" name="Column8623" dataDxfId="15964" totalsRowDxfId="15963"/>
    <tableColumn id="8638" xr3:uid="{E442F600-C22E-4845-8A5C-F36D4478578E}" name="Column8624" dataDxfId="15962" totalsRowDxfId="15961"/>
    <tableColumn id="8639" xr3:uid="{61E6D731-06AB-46B3-86AB-9B372BD79209}" name="Column8625" dataDxfId="15960" totalsRowDxfId="15959"/>
    <tableColumn id="8640" xr3:uid="{7190A7AF-5DCA-4B5A-89E7-5D05573C8DF9}" name="Column8626" dataDxfId="15958" totalsRowDxfId="15957"/>
    <tableColumn id="8641" xr3:uid="{D34DF375-FA79-4EE1-9B79-26F4C2303E1B}" name="Column8627" dataDxfId="15956" totalsRowDxfId="15955"/>
    <tableColumn id="8642" xr3:uid="{5DCFDC2A-6CD1-4372-915A-D53C4A353DF0}" name="Column8628" dataDxfId="15954" totalsRowDxfId="15953"/>
    <tableColumn id="8643" xr3:uid="{A1F39AD6-C602-42F3-BDD8-04ECCC0DE1AD}" name="Column8629" dataDxfId="15952" totalsRowDxfId="15951"/>
    <tableColumn id="8644" xr3:uid="{8A258FC4-5BFE-44B9-BC98-98D32C407C9D}" name="Column8630" dataDxfId="15950" totalsRowDxfId="15949"/>
    <tableColumn id="8645" xr3:uid="{F1B09F37-6B00-4AE8-B865-3BB3235F3834}" name="Column8631" dataDxfId="15948" totalsRowDxfId="15947"/>
    <tableColumn id="8646" xr3:uid="{0A0A31A1-3A58-40FD-8750-A35F8BBEFB80}" name="Column8632" dataDxfId="15946" totalsRowDxfId="15945"/>
    <tableColumn id="8647" xr3:uid="{18619FA0-30E3-4389-B196-A6F5C219C7F9}" name="Column8633" dataDxfId="15944" totalsRowDxfId="15943"/>
    <tableColumn id="8648" xr3:uid="{B9891613-4109-4439-99F9-CCBE39F23D26}" name="Column8634" dataDxfId="15942" totalsRowDxfId="15941"/>
    <tableColumn id="8649" xr3:uid="{0A82F062-6957-4106-BA2A-3ABFC67D779D}" name="Column8635" dataDxfId="15940" totalsRowDxfId="15939"/>
    <tableColumn id="8650" xr3:uid="{11ADAF84-7387-43F7-AF41-949660ADAD9E}" name="Column8636" dataDxfId="15938" totalsRowDxfId="15937"/>
    <tableColumn id="8651" xr3:uid="{D88020D2-6B5D-46C9-9D46-2454ADD2CBDB}" name="Column8637" dataDxfId="15936" totalsRowDxfId="15935"/>
    <tableColumn id="8652" xr3:uid="{DBBCBF74-2B64-4051-AB0E-3F5F66C9D90F}" name="Column8638" dataDxfId="15934" totalsRowDxfId="15933"/>
    <tableColumn id="8653" xr3:uid="{AF5798DA-6159-443E-ACF5-56C2D9381CC6}" name="Column8639" dataDxfId="15932" totalsRowDxfId="15931"/>
    <tableColumn id="8654" xr3:uid="{15DAA727-C268-4DDD-9778-9A80A0D8B26B}" name="Column8640" dataDxfId="15930" totalsRowDxfId="15929"/>
    <tableColumn id="8655" xr3:uid="{9CD72720-DD83-4915-901A-221B7A9D1690}" name="Column8641" dataDxfId="15928" totalsRowDxfId="15927"/>
    <tableColumn id="8656" xr3:uid="{AE3BBC6C-503F-4916-B2E8-ADB09750D5B9}" name="Column8642" dataDxfId="15926" totalsRowDxfId="15925"/>
    <tableColumn id="8657" xr3:uid="{E7721161-F6E8-4A69-BF0F-D4DEAFF15CA3}" name="Column8643" dataDxfId="15924" totalsRowDxfId="15923"/>
    <tableColumn id="8658" xr3:uid="{B6C335DC-7881-4A81-A5A8-D51E4410FE65}" name="Column8644" dataDxfId="15922" totalsRowDxfId="15921"/>
    <tableColumn id="8659" xr3:uid="{14EDC32F-1FD0-4ACA-816A-7C58057C7E68}" name="Column8645" dataDxfId="15920" totalsRowDxfId="15919"/>
    <tableColumn id="8660" xr3:uid="{E3768AB4-9F72-4E78-A8B4-D288BF4292AD}" name="Column8646" dataDxfId="15918" totalsRowDxfId="15917"/>
    <tableColumn id="8661" xr3:uid="{3794B122-5463-4005-91ED-8EF81529E524}" name="Column8647" dataDxfId="15916" totalsRowDxfId="15915"/>
    <tableColumn id="8662" xr3:uid="{1E77D370-DED6-4B84-8527-8222149BDCA0}" name="Column8648" dataDxfId="15914" totalsRowDxfId="15913"/>
    <tableColumn id="8663" xr3:uid="{593C13AB-066E-44BE-8783-32D85D801D7A}" name="Column8649" dataDxfId="15912" totalsRowDxfId="15911"/>
    <tableColumn id="8664" xr3:uid="{5AB7344D-0B16-4794-A1A2-3EB65AB462C7}" name="Column8650" dataDxfId="15910" totalsRowDxfId="15909"/>
    <tableColumn id="8665" xr3:uid="{4F32B058-3AB8-4F81-9643-984029FB98A3}" name="Column8651" dataDxfId="15908" totalsRowDxfId="15907"/>
    <tableColumn id="8666" xr3:uid="{3B164507-34CE-4D88-B595-C91CB00DD66C}" name="Column8652" dataDxfId="15906" totalsRowDxfId="15905"/>
    <tableColumn id="8667" xr3:uid="{FA33FFC7-47B5-4A34-BF99-7B81B71642BB}" name="Column8653" dataDxfId="15904" totalsRowDxfId="15903"/>
    <tableColumn id="8668" xr3:uid="{634B27FC-3E67-472D-BE90-D4A5596871A0}" name="Column8654" dataDxfId="15902" totalsRowDxfId="15901"/>
    <tableColumn id="8669" xr3:uid="{CF2175A0-2B47-4856-A2FA-90BB1057C2B9}" name="Column8655" dataDxfId="15900" totalsRowDxfId="15899"/>
    <tableColumn id="8670" xr3:uid="{07A3FE19-CD23-43D0-B988-263366F73F68}" name="Column8656" dataDxfId="15898" totalsRowDxfId="15897"/>
    <tableColumn id="8671" xr3:uid="{109FE2B1-E8C3-4100-B01E-EA27A9F99323}" name="Column8657" dataDxfId="15896" totalsRowDxfId="15895"/>
    <tableColumn id="8672" xr3:uid="{7CDA4746-B934-468B-9E5A-5A308247B73E}" name="Column8658" dataDxfId="15894" totalsRowDxfId="15893"/>
    <tableColumn id="8673" xr3:uid="{16B40A9F-E160-46E3-AA06-0752F7BF1118}" name="Column8659" dataDxfId="15892" totalsRowDxfId="15891"/>
    <tableColumn id="8674" xr3:uid="{48E3DCF5-E129-4810-8CAF-DC81224DE518}" name="Column8660" dataDxfId="15890" totalsRowDxfId="15889"/>
    <tableColumn id="8675" xr3:uid="{E1C5C086-2A92-41AF-898C-89581CD5A3CF}" name="Column8661" dataDxfId="15888" totalsRowDxfId="15887"/>
    <tableColumn id="8676" xr3:uid="{75F3B4D1-8F8A-419E-877C-0AB558349C8D}" name="Column8662" dataDxfId="15886" totalsRowDxfId="15885"/>
    <tableColumn id="8677" xr3:uid="{730B6253-9643-43D1-9DA0-1AE45CE78645}" name="Column8663" dataDxfId="15884" totalsRowDxfId="15883"/>
    <tableColumn id="8678" xr3:uid="{04F47687-2463-4341-A2AA-A09CEAA0A0D1}" name="Column8664" dataDxfId="15882" totalsRowDxfId="15881"/>
    <tableColumn id="8679" xr3:uid="{F0509759-4C69-40EA-B33F-FAB1B04BD8B7}" name="Column8665" dataDxfId="15880" totalsRowDxfId="15879"/>
    <tableColumn id="8680" xr3:uid="{AC2EE8C7-12C7-4727-8B37-09FB3124704C}" name="Column8666" dataDxfId="15878" totalsRowDxfId="15877"/>
    <tableColumn id="8681" xr3:uid="{0D1F7457-CEDF-4547-B975-F282EC6BA970}" name="Column8667" dataDxfId="15876" totalsRowDxfId="15875"/>
    <tableColumn id="8682" xr3:uid="{92B0CC73-2500-4731-9470-879A2EC5FDCA}" name="Column8668" dataDxfId="15874" totalsRowDxfId="15873"/>
    <tableColumn id="8683" xr3:uid="{C21B3859-342C-4FA3-ABD1-AB3F204F7C92}" name="Column8669" dataDxfId="15872" totalsRowDxfId="15871"/>
    <tableColumn id="8684" xr3:uid="{1652CE95-C401-4858-87DB-A98A1178730D}" name="Column8670" dataDxfId="15870" totalsRowDxfId="15869"/>
    <tableColumn id="8685" xr3:uid="{0E33E4B9-FAAB-4E17-AC5C-5078CD967670}" name="Column8671" dataDxfId="15868" totalsRowDxfId="15867"/>
    <tableColumn id="8686" xr3:uid="{2AD07BDB-FE20-407C-B3D3-93D78AA675DA}" name="Column8672" dataDxfId="15866" totalsRowDxfId="15865"/>
    <tableColumn id="8687" xr3:uid="{4673E3A7-EC60-4691-9FC1-8E21F29C69B9}" name="Column8673" dataDxfId="15864" totalsRowDxfId="15863"/>
    <tableColumn id="8688" xr3:uid="{4FDFB879-A2E1-4A14-82AF-2CFD701EAF51}" name="Column8674" dataDxfId="15862" totalsRowDxfId="15861"/>
    <tableColumn id="8689" xr3:uid="{F20DF7E9-FF4B-4D71-9074-B27512F789EC}" name="Column8675" dataDxfId="15860" totalsRowDxfId="15859"/>
    <tableColumn id="8690" xr3:uid="{2965E925-D642-48C6-B920-4105E75AE162}" name="Column8676" dataDxfId="15858" totalsRowDxfId="15857"/>
    <tableColumn id="8691" xr3:uid="{102265C9-1DAD-42E5-B202-D76301F8D189}" name="Column8677" dataDxfId="15856" totalsRowDxfId="15855"/>
    <tableColumn id="8692" xr3:uid="{0354F71F-8F62-4666-98A9-0AD457966AF4}" name="Column8678" dataDxfId="15854" totalsRowDxfId="15853"/>
    <tableColumn id="8693" xr3:uid="{D0225E8F-A4EF-46A7-9C2A-935C2FBBD9D1}" name="Column8679" dataDxfId="15852" totalsRowDxfId="15851"/>
    <tableColumn id="8694" xr3:uid="{65DEC29C-0710-4486-B0A3-1E901A51DBC7}" name="Column8680" dataDxfId="15850" totalsRowDxfId="15849"/>
    <tableColumn id="8695" xr3:uid="{50B42589-29C1-46F9-AA7C-A5280B257E28}" name="Column8681" dataDxfId="15848" totalsRowDxfId="15847"/>
    <tableColumn id="8696" xr3:uid="{53970F37-16DD-4044-B70F-A2CF3E36B952}" name="Column8682" dataDxfId="15846" totalsRowDxfId="15845"/>
    <tableColumn id="8697" xr3:uid="{E0F29C3C-3FE9-4C67-A1B0-E650F0CB8B83}" name="Column8683" dataDxfId="15844" totalsRowDxfId="15843"/>
    <tableColumn id="8698" xr3:uid="{F67367FA-B5C2-4BE4-99DB-AA219EBC95A7}" name="Column8684" dataDxfId="15842" totalsRowDxfId="15841"/>
    <tableColumn id="8699" xr3:uid="{75CF89DF-B338-421A-AB93-154D8E4AFD76}" name="Column8685" dataDxfId="15840" totalsRowDxfId="15839"/>
    <tableColumn id="8700" xr3:uid="{8BC3BB1F-59FA-46E0-A564-A4AE257394D6}" name="Column8686" dataDxfId="15838" totalsRowDxfId="15837"/>
    <tableColumn id="8701" xr3:uid="{602FAE67-F46C-4B30-B033-6AF5DC181586}" name="Column8687" dataDxfId="15836" totalsRowDxfId="15835"/>
    <tableColumn id="8702" xr3:uid="{62163831-95E8-4B22-9EAC-4DF8012BD40B}" name="Column8688" dataDxfId="15834" totalsRowDxfId="15833"/>
    <tableColumn id="8703" xr3:uid="{8C6E17FE-AFE5-4284-AB03-78D52C88B2E3}" name="Column8689" dataDxfId="15832" totalsRowDxfId="15831"/>
    <tableColumn id="8704" xr3:uid="{69D07743-79AB-431F-B5A2-BAA01DBADFA9}" name="Column8690" dataDxfId="15830" totalsRowDxfId="15829"/>
    <tableColumn id="8705" xr3:uid="{09CC99D7-048A-4D5A-A846-EDA6B32E7B1A}" name="Column8691" dataDxfId="15828" totalsRowDxfId="15827"/>
    <tableColumn id="8706" xr3:uid="{9E3D462C-4F0E-4185-9DF2-2CAD20E0A09F}" name="Column8692" dataDxfId="15826" totalsRowDxfId="15825"/>
    <tableColumn id="8707" xr3:uid="{C46079F6-1090-4FD5-B2D9-89A53446FE4B}" name="Column8693" dataDxfId="15824" totalsRowDxfId="15823"/>
    <tableColumn id="8708" xr3:uid="{AE8C1900-31CB-47A2-AC8C-92E08DECEFA2}" name="Column8694" dataDxfId="15822" totalsRowDxfId="15821"/>
    <tableColumn id="8709" xr3:uid="{BA052A59-D137-417D-8957-A6DF61259605}" name="Column8695" dataDxfId="15820" totalsRowDxfId="15819"/>
    <tableColumn id="8710" xr3:uid="{A4F4BD1C-3428-4121-9A62-86A1A633862E}" name="Column8696" dataDxfId="15818" totalsRowDxfId="15817"/>
    <tableColumn id="8711" xr3:uid="{ACAC088D-1CEE-4F7F-A2EE-3B57000DCD24}" name="Column8697" dataDxfId="15816" totalsRowDxfId="15815"/>
    <tableColumn id="8712" xr3:uid="{EE17AD39-B67E-414D-965E-3AF038623292}" name="Column8698" dataDxfId="15814" totalsRowDxfId="15813"/>
    <tableColumn id="8713" xr3:uid="{EB087389-C83F-4BA2-91E0-61554D4B7C71}" name="Column8699" dataDxfId="15812" totalsRowDxfId="15811"/>
    <tableColumn id="8714" xr3:uid="{52C9EEB1-3602-4490-8EEB-C76C0839D673}" name="Column8700" dataDxfId="15810" totalsRowDxfId="15809"/>
    <tableColumn id="8715" xr3:uid="{A7EACFE4-B927-47CB-8CFF-8127A130DF6B}" name="Column8701" dataDxfId="15808" totalsRowDxfId="15807"/>
    <tableColumn id="8716" xr3:uid="{AA5CCD35-F1CA-44BF-A3B4-54151309F6FE}" name="Column8702" dataDxfId="15806" totalsRowDxfId="15805"/>
    <tableColumn id="8717" xr3:uid="{14C1F217-C6D8-49D2-8369-7D15E95C699B}" name="Column8703" dataDxfId="15804" totalsRowDxfId="15803"/>
    <tableColumn id="8718" xr3:uid="{61F8B83C-AD9E-4711-A0EA-48B1D783B69E}" name="Column8704" dataDxfId="15802" totalsRowDxfId="15801"/>
    <tableColumn id="8719" xr3:uid="{51305187-FFFD-472E-A298-2E0EED069344}" name="Column8705" dataDxfId="15800" totalsRowDxfId="15799"/>
    <tableColumn id="8720" xr3:uid="{EFC47449-15AB-48FC-A2AF-B718CA20C2FD}" name="Column8706" dataDxfId="15798" totalsRowDxfId="15797"/>
    <tableColumn id="8721" xr3:uid="{091E51BE-98FC-47AE-ADC9-BF843FCC741D}" name="Column8707" dataDxfId="15796" totalsRowDxfId="15795"/>
    <tableColumn id="8722" xr3:uid="{AA3AE3D7-9FB6-41AE-B775-B56415928604}" name="Column8708" dataDxfId="15794" totalsRowDxfId="15793"/>
    <tableColumn id="8723" xr3:uid="{95D1A07C-323E-4CED-9E5A-4E498F178B57}" name="Column8709" dataDxfId="15792" totalsRowDxfId="15791"/>
    <tableColumn id="8724" xr3:uid="{704DE466-14C2-468C-BA34-A8C7EC50DA8F}" name="Column8710" dataDxfId="15790" totalsRowDxfId="15789"/>
    <tableColumn id="8725" xr3:uid="{8606B144-61FD-4A12-AB78-B27E5841A959}" name="Column8711" dataDxfId="15788" totalsRowDxfId="15787"/>
    <tableColumn id="8726" xr3:uid="{FCFC3701-3018-4A04-9E3E-24BA993A6ADE}" name="Column8712" dataDxfId="15786" totalsRowDxfId="15785"/>
    <tableColumn id="8727" xr3:uid="{4223E8F8-4FBC-4F55-A3DC-F0CAFBC726AA}" name="Column8713" dataDxfId="15784" totalsRowDxfId="15783"/>
    <tableColumn id="8728" xr3:uid="{7EB0F9CF-DA2D-4380-9263-33225583399A}" name="Column8714" dataDxfId="15782" totalsRowDxfId="15781"/>
    <tableColumn id="8729" xr3:uid="{0C8CDCBE-C7AA-45DB-AC90-6FB59FCC27B3}" name="Column8715" dataDxfId="15780" totalsRowDxfId="15779"/>
    <tableColumn id="8730" xr3:uid="{3D761FAF-7031-4C5F-8302-06B3AF66FC10}" name="Column8716" dataDxfId="15778" totalsRowDxfId="15777"/>
    <tableColumn id="8731" xr3:uid="{92F4579D-01A1-4843-9B7E-0D4EE394DF53}" name="Column8717" dataDxfId="15776" totalsRowDxfId="15775"/>
    <tableColumn id="8732" xr3:uid="{7DCFFF7B-1420-41D4-97DB-51DD78923C34}" name="Column8718" dataDxfId="15774" totalsRowDxfId="15773"/>
    <tableColumn id="8733" xr3:uid="{E290FCC2-CF2D-48F8-9ECF-4BADFAED7878}" name="Column8719" dataDxfId="15772" totalsRowDxfId="15771"/>
    <tableColumn id="8734" xr3:uid="{4D55E9ED-9036-46F3-90EF-37606AF4D82C}" name="Column8720" dataDxfId="15770" totalsRowDxfId="15769"/>
    <tableColumn id="8735" xr3:uid="{346BBC0D-1114-4F14-BF9C-7286BC3AC0C8}" name="Column8721" dataDxfId="15768" totalsRowDxfId="15767"/>
    <tableColumn id="8736" xr3:uid="{999A9447-1E1D-44DE-B7DD-500B4BF1287B}" name="Column8722" dataDxfId="15766" totalsRowDxfId="15765"/>
    <tableColumn id="8737" xr3:uid="{F9AB2940-5817-42AA-A687-AD61DD609E1C}" name="Column8723" dataDxfId="15764" totalsRowDxfId="15763"/>
    <tableColumn id="8738" xr3:uid="{61CC6CC6-455A-450D-8C6E-691D250DBA82}" name="Column8724" dataDxfId="15762" totalsRowDxfId="15761"/>
    <tableColumn id="8739" xr3:uid="{24ABCE04-0082-4A18-BBD7-8B8C583F8A09}" name="Column8725" dataDxfId="15760" totalsRowDxfId="15759"/>
    <tableColumn id="8740" xr3:uid="{82DBFBE8-2545-4808-AD5A-B77944AB8DC8}" name="Column8726" dataDxfId="15758" totalsRowDxfId="15757"/>
    <tableColumn id="8741" xr3:uid="{7FB5B48E-E2BB-4234-8C48-950B9E2BC0A2}" name="Column8727" dataDxfId="15756" totalsRowDxfId="15755"/>
    <tableColumn id="8742" xr3:uid="{9A66F87B-B024-428A-B337-364A20497840}" name="Column8728" dataDxfId="15754" totalsRowDxfId="15753"/>
    <tableColumn id="8743" xr3:uid="{84A14754-BFAC-4D1C-81DA-17A5AC7ACA18}" name="Column8729" dataDxfId="15752" totalsRowDxfId="15751"/>
    <tableColumn id="8744" xr3:uid="{F1AFD625-5A72-4F2A-89B5-AEA8EB44E1CC}" name="Column8730" dataDxfId="15750" totalsRowDxfId="15749"/>
    <tableColumn id="8745" xr3:uid="{7AB0DE9F-E656-44BA-A846-77E7FA9A1A27}" name="Column8731" dataDxfId="15748" totalsRowDxfId="15747"/>
    <tableColumn id="8746" xr3:uid="{0A6B9851-8F4A-42A9-89EA-307A63004435}" name="Column8732" dataDxfId="15746" totalsRowDxfId="15745"/>
    <tableColumn id="8747" xr3:uid="{003FE000-A333-4C32-82FD-0BDD366EF400}" name="Column8733" dataDxfId="15744" totalsRowDxfId="15743"/>
    <tableColumn id="8748" xr3:uid="{6C7F9F33-96BC-425B-A8B5-CB86E60DB7DA}" name="Column8734" dataDxfId="15742" totalsRowDxfId="15741"/>
    <tableColumn id="8749" xr3:uid="{EF5A93EF-216F-47CD-9D78-081F06DCB808}" name="Column8735" dataDxfId="15740" totalsRowDxfId="15739"/>
    <tableColumn id="8750" xr3:uid="{D0F763BC-FDCD-42DF-A122-6DD7287ADC73}" name="Column8736" dataDxfId="15738" totalsRowDxfId="15737"/>
    <tableColumn id="8751" xr3:uid="{EAEA0ABC-6C7E-467B-801F-BF71F43D7888}" name="Column8737" dataDxfId="15736" totalsRowDxfId="15735"/>
    <tableColumn id="8752" xr3:uid="{80BDF083-4C0F-4E66-A67F-5FE48ED524AA}" name="Column8738" dataDxfId="15734" totalsRowDxfId="15733"/>
    <tableColumn id="8753" xr3:uid="{E9465A88-36CA-452C-84D7-B639B69989A9}" name="Column8739" dataDxfId="15732" totalsRowDxfId="15731"/>
    <tableColumn id="8754" xr3:uid="{21681677-4455-49D9-B625-0B815DEC2B38}" name="Column8740" dataDxfId="15730" totalsRowDxfId="15729"/>
    <tableColumn id="8755" xr3:uid="{4849BD40-B0E3-4051-B9A1-205C2A626042}" name="Column8741" dataDxfId="15728" totalsRowDxfId="15727"/>
    <tableColumn id="8756" xr3:uid="{3F5D55F7-AF2A-4FF8-91B8-8E95437BA826}" name="Column8742" dataDxfId="15726" totalsRowDxfId="15725"/>
    <tableColumn id="8757" xr3:uid="{599A01E4-42F4-46C9-83AF-C92F41D01620}" name="Column8743" dataDxfId="15724" totalsRowDxfId="15723"/>
    <tableColumn id="8758" xr3:uid="{C256880B-4526-430B-8E39-06B9A531E5B3}" name="Column8744" dataDxfId="15722" totalsRowDxfId="15721"/>
    <tableColumn id="8759" xr3:uid="{D2FA1BA8-3F5C-44D8-A18B-9B18E66E8698}" name="Column8745" dataDxfId="15720" totalsRowDxfId="15719"/>
    <tableColumn id="8760" xr3:uid="{1DFDD5F5-A9E7-4188-961D-906BE2227FFB}" name="Column8746" dataDxfId="15718" totalsRowDxfId="15717"/>
    <tableColumn id="8761" xr3:uid="{C3D27A25-8F8C-4695-B6F7-FDD2CC6FBEA2}" name="Column8747" dataDxfId="15716" totalsRowDxfId="15715"/>
    <tableColumn id="8762" xr3:uid="{99B2CFF5-E5AF-412A-8A72-5EF4CA08D126}" name="Column8748" dataDxfId="15714" totalsRowDxfId="15713"/>
    <tableColumn id="8763" xr3:uid="{8873E8CF-DAA7-40AC-8A28-9910E440BB8F}" name="Column8749" dataDxfId="15712" totalsRowDxfId="15711"/>
    <tableColumn id="8764" xr3:uid="{CB8DBD92-9897-442D-9F3A-39CF4F6D92CB}" name="Column8750" dataDxfId="15710" totalsRowDxfId="15709"/>
    <tableColumn id="8765" xr3:uid="{C417C9A6-A170-490C-9218-E1364FD780CD}" name="Column8751" dataDxfId="15708" totalsRowDxfId="15707"/>
    <tableColumn id="8766" xr3:uid="{F8871610-9846-443A-B1C3-6E849CADF2F5}" name="Column8752" dataDxfId="15706" totalsRowDxfId="15705"/>
    <tableColumn id="8767" xr3:uid="{66BE6261-B7C7-4895-B888-2FBD41E40004}" name="Column8753" dataDxfId="15704" totalsRowDxfId="15703"/>
    <tableColumn id="8768" xr3:uid="{6274EF1D-64FE-42DA-A85F-F7EC0DEC076E}" name="Column8754" dataDxfId="15702" totalsRowDxfId="15701"/>
    <tableColumn id="8769" xr3:uid="{90F8F597-93EC-490A-90EF-96689AC15E2C}" name="Column8755" dataDxfId="15700" totalsRowDxfId="15699"/>
    <tableColumn id="8770" xr3:uid="{6CAA97E8-9902-4913-BF93-5025F99AB05E}" name="Column8756" dataDxfId="15698" totalsRowDxfId="15697"/>
    <tableColumn id="8771" xr3:uid="{7113D801-020B-4FB1-AB16-A1C8A0BFAF52}" name="Column8757" dataDxfId="15696" totalsRowDxfId="15695"/>
    <tableColumn id="8772" xr3:uid="{B8C9B720-C113-4A74-A83D-25E8E854F59B}" name="Column8758" dataDxfId="15694" totalsRowDxfId="15693"/>
    <tableColumn id="8773" xr3:uid="{EB63059D-75BC-4988-A0FC-3FB90CF31D64}" name="Column8759" dataDxfId="15692" totalsRowDxfId="15691"/>
    <tableColumn id="8774" xr3:uid="{83F32577-9102-45AD-B436-8DEBE63F85BA}" name="Column8760" dataDxfId="15690" totalsRowDxfId="15689"/>
    <tableColumn id="8775" xr3:uid="{1D63056E-907B-420C-A465-C82D75711A30}" name="Column8761" dataDxfId="15688" totalsRowDxfId="15687"/>
    <tableColumn id="8776" xr3:uid="{861AAEE6-1F1B-4396-B6E5-8B609377C5A4}" name="Column8762" dataDxfId="15686" totalsRowDxfId="15685"/>
    <tableColumn id="8777" xr3:uid="{2CA58FEE-BE1A-4B20-BDB0-C3CA039ADD45}" name="Column8763" dataDxfId="15684" totalsRowDxfId="15683"/>
    <tableColumn id="8778" xr3:uid="{2667766D-B023-4E07-A269-89FFA3CB54F5}" name="Column8764" dataDxfId="15682" totalsRowDxfId="15681"/>
    <tableColumn id="8779" xr3:uid="{AADACDCB-3EF1-450C-B817-398639A16780}" name="Column8765" dataDxfId="15680" totalsRowDxfId="15679"/>
    <tableColumn id="8780" xr3:uid="{04BC6A8D-9CB8-4E22-AAA7-9A592D1170FA}" name="Column8766" dataDxfId="15678" totalsRowDxfId="15677"/>
    <tableColumn id="8781" xr3:uid="{65B7BE9A-E3BC-44AD-903E-71B63422E8E4}" name="Column8767" dataDxfId="15676" totalsRowDxfId="15675"/>
    <tableColumn id="8782" xr3:uid="{9E05B078-8EB8-490B-831F-AA6E1DCEE573}" name="Column8768" dataDxfId="15674" totalsRowDxfId="15673"/>
    <tableColumn id="8783" xr3:uid="{EECF1F30-0329-451D-9B9C-130207250C98}" name="Column8769" dataDxfId="15672" totalsRowDxfId="15671"/>
    <tableColumn id="8784" xr3:uid="{EE402E94-D435-4B84-BD12-A4455703AD7D}" name="Column8770" dataDxfId="15670" totalsRowDxfId="15669"/>
    <tableColumn id="8785" xr3:uid="{ABE817FE-049E-4186-8410-F3A4C267E605}" name="Column8771" dataDxfId="15668" totalsRowDxfId="15667"/>
    <tableColumn id="8786" xr3:uid="{8BD325EF-6D04-4039-AD81-E818DB8A82D1}" name="Column8772" dataDxfId="15666" totalsRowDxfId="15665"/>
    <tableColumn id="8787" xr3:uid="{E1000F3D-1481-4842-875F-AC2A080F8235}" name="Column8773" dataDxfId="15664" totalsRowDxfId="15663"/>
    <tableColumn id="8788" xr3:uid="{6187E761-EF65-4D38-8008-336CAEE048C5}" name="Column8774" dataDxfId="15662" totalsRowDxfId="15661"/>
    <tableColumn id="8789" xr3:uid="{DF5F6DAF-D6D9-4603-895B-19A5952005CF}" name="Column8775" dataDxfId="15660" totalsRowDxfId="15659"/>
    <tableColumn id="8790" xr3:uid="{684392EA-7C93-451D-8387-D63F3E512ADF}" name="Column8776" dataDxfId="15658" totalsRowDxfId="15657"/>
    <tableColumn id="8791" xr3:uid="{4BA412C2-C0F3-406E-BB3D-CE5B2994D87F}" name="Column8777" dataDxfId="15656" totalsRowDxfId="15655"/>
    <tableColumn id="8792" xr3:uid="{0ABB4A2B-D990-471C-9C67-D7143366B133}" name="Column8778" dataDxfId="15654" totalsRowDxfId="15653"/>
    <tableColumn id="8793" xr3:uid="{55279131-CBAB-4963-92FC-A631EBA2CDED}" name="Column8779" dataDxfId="15652" totalsRowDxfId="15651"/>
    <tableColumn id="8794" xr3:uid="{D46F30E3-18B2-4D11-9AEF-957FF9E7B883}" name="Column8780" dataDxfId="15650" totalsRowDxfId="15649"/>
    <tableColumn id="8795" xr3:uid="{9BD1D9B5-848D-4F17-8357-86F636CC6338}" name="Column8781" dataDxfId="15648" totalsRowDxfId="15647"/>
    <tableColumn id="8796" xr3:uid="{5C1505F2-4778-474D-B702-E46567567666}" name="Column8782" dataDxfId="15646" totalsRowDxfId="15645"/>
    <tableColumn id="8797" xr3:uid="{161AAFC9-4EEC-451D-B814-9BD949F07CC1}" name="Column8783" dataDxfId="15644" totalsRowDxfId="15643"/>
    <tableColumn id="8798" xr3:uid="{B5AE796E-514B-4EC0-8BD6-5EC5756769FE}" name="Column8784" dataDxfId="15642" totalsRowDxfId="15641"/>
    <tableColumn id="8799" xr3:uid="{405EBE00-8ECE-4B57-A96F-7173D9FE86A2}" name="Column8785" dataDxfId="15640" totalsRowDxfId="15639"/>
    <tableColumn id="8800" xr3:uid="{A442852B-8510-4DD6-9D1F-CA91515FA864}" name="Column8786" dataDxfId="15638" totalsRowDxfId="15637"/>
    <tableColumn id="8801" xr3:uid="{1DE8C8EF-174F-4680-8A0B-65A48DB26FE8}" name="Column8787" dataDxfId="15636" totalsRowDxfId="15635"/>
    <tableColumn id="8802" xr3:uid="{CA0841D4-FCA6-4797-A23A-2F011C712D0F}" name="Column8788" dataDxfId="15634" totalsRowDxfId="15633"/>
    <tableColumn id="8803" xr3:uid="{F4A86A66-CFFE-41FC-84FD-5AC6BD9E3194}" name="Column8789" dataDxfId="15632" totalsRowDxfId="15631"/>
    <tableColumn id="8804" xr3:uid="{B2AEE5FD-2E7F-4745-B9F3-22A326B98035}" name="Column8790" dataDxfId="15630" totalsRowDxfId="15629"/>
    <tableColumn id="8805" xr3:uid="{B88DEF11-49D7-4E82-B0FD-462E4C2D8A5D}" name="Column8791" dataDxfId="15628" totalsRowDxfId="15627"/>
    <tableColumn id="8806" xr3:uid="{2E850C40-C942-4F17-9B4D-3C649EFC38E7}" name="Column8792" dataDxfId="15626" totalsRowDxfId="15625"/>
    <tableColumn id="8807" xr3:uid="{15AA262F-0C60-42E8-BB71-93452D8D6868}" name="Column8793" dataDxfId="15624" totalsRowDxfId="15623"/>
    <tableColumn id="8808" xr3:uid="{93A62406-053D-4DCB-B89F-2A09E99B4529}" name="Column8794" dataDxfId="15622" totalsRowDxfId="15621"/>
    <tableColumn id="8809" xr3:uid="{5BB7F64A-79CD-45D1-8413-0BEBBC1D3A70}" name="Column8795" dataDxfId="15620" totalsRowDxfId="15619"/>
    <tableColumn id="8810" xr3:uid="{A5FACF8C-642D-46E9-BB5C-E75AB3C6BFA7}" name="Column8796" dataDxfId="15618" totalsRowDxfId="15617"/>
    <tableColumn id="8811" xr3:uid="{44E73F6B-1A1B-49E7-8371-84726A3FA7EB}" name="Column8797" dataDxfId="15616" totalsRowDxfId="15615"/>
    <tableColumn id="8812" xr3:uid="{675C56B9-5A44-474B-B6DB-920F27A5DFA7}" name="Column8798" dataDxfId="15614" totalsRowDxfId="15613"/>
    <tableColumn id="8813" xr3:uid="{9D4B8971-74E3-4216-8691-EAB3368A1871}" name="Column8799" dataDxfId="15612" totalsRowDxfId="15611"/>
    <tableColumn id="8814" xr3:uid="{CF8ADA97-C238-4BB5-9C87-0D8B058FC50D}" name="Column8800" dataDxfId="15610" totalsRowDxfId="15609"/>
    <tableColumn id="8815" xr3:uid="{24C96E34-DFF3-47A0-A81E-429B4F410012}" name="Column8801" dataDxfId="15608" totalsRowDxfId="15607"/>
    <tableColumn id="8816" xr3:uid="{490B730A-6289-4C37-85D5-147037CBE7F1}" name="Column8802" dataDxfId="15606" totalsRowDxfId="15605"/>
    <tableColumn id="8817" xr3:uid="{6EB5F165-FD2C-46C4-A4FF-E388EF28CB20}" name="Column8803" dataDxfId="15604" totalsRowDxfId="15603"/>
    <tableColumn id="8818" xr3:uid="{737A724A-FEC1-4F29-A958-18349AE7C255}" name="Column8804" dataDxfId="15602" totalsRowDxfId="15601"/>
    <tableColumn id="8819" xr3:uid="{127063D0-84C3-40E1-88BD-69DC88ED956A}" name="Column8805" dataDxfId="15600" totalsRowDxfId="15599"/>
    <tableColumn id="8820" xr3:uid="{380A627B-A30C-4C2E-B8DB-D747E73839BA}" name="Column8806" dataDxfId="15598" totalsRowDxfId="15597"/>
    <tableColumn id="8821" xr3:uid="{B5E7C8FC-6E62-4F8F-9139-D80F2BD7AC32}" name="Column8807" dataDxfId="15596" totalsRowDxfId="15595"/>
    <tableColumn id="8822" xr3:uid="{0CFA2612-1D53-401C-8310-987FF4C12619}" name="Column8808" dataDxfId="15594" totalsRowDxfId="15593"/>
    <tableColumn id="8823" xr3:uid="{331D3A90-EF31-452F-978C-01C0278CBA4E}" name="Column8809" dataDxfId="15592" totalsRowDxfId="15591"/>
    <tableColumn id="8824" xr3:uid="{B897E661-2AB5-4361-B383-9FA98EAD8819}" name="Column8810" dataDxfId="15590" totalsRowDxfId="15589"/>
    <tableColumn id="8825" xr3:uid="{45693D9C-0D19-4AFE-9D27-3673B23A6B3E}" name="Column8811" dataDxfId="15588" totalsRowDxfId="15587"/>
    <tableColumn id="8826" xr3:uid="{BA0A4FAD-EBA6-4340-B004-A06A51C45C1F}" name="Column8812" dataDxfId="15586" totalsRowDxfId="15585"/>
    <tableColumn id="8827" xr3:uid="{F43A8562-858B-4570-9367-8B8EBBB7131E}" name="Column8813" dataDxfId="15584" totalsRowDxfId="15583"/>
    <tableColumn id="8828" xr3:uid="{CC9D7907-C0EB-4A1A-8A66-C6348ABE8C82}" name="Column8814" dataDxfId="15582" totalsRowDxfId="15581"/>
    <tableColumn id="8829" xr3:uid="{ED766B67-F9F3-4C73-8D03-C2FF6000206E}" name="Column8815" dataDxfId="15580" totalsRowDxfId="15579"/>
    <tableColumn id="8830" xr3:uid="{4CE57C3F-B033-4E2D-8D9A-6E621ABB7801}" name="Column8816" dataDxfId="15578" totalsRowDxfId="15577"/>
    <tableColumn id="8831" xr3:uid="{992253E2-6F20-4CF0-98C1-A248F5A3A955}" name="Column8817" dataDxfId="15576" totalsRowDxfId="15575"/>
    <tableColumn id="8832" xr3:uid="{0389F07C-D4E6-40B5-9759-912DE5346FBF}" name="Column8818" dataDxfId="15574" totalsRowDxfId="15573"/>
    <tableColumn id="8833" xr3:uid="{3D24C010-E110-4020-8CBB-AF19D1134343}" name="Column8819" dataDxfId="15572" totalsRowDxfId="15571"/>
    <tableColumn id="8834" xr3:uid="{E72FDDBB-023D-448A-BB5A-C6C7C86E5C56}" name="Column8820" dataDxfId="15570" totalsRowDxfId="15569"/>
    <tableColumn id="8835" xr3:uid="{66202AC2-CCB3-4A66-B908-F552E8C61966}" name="Column8821" dataDxfId="15568" totalsRowDxfId="15567"/>
    <tableColumn id="8836" xr3:uid="{865FD5B3-7AD7-465B-99AE-2759B41F9E3D}" name="Column8822" dataDxfId="15566" totalsRowDxfId="15565"/>
    <tableColumn id="8837" xr3:uid="{268D41EE-D32D-4700-9242-4D73F2224726}" name="Column8823" dataDxfId="15564" totalsRowDxfId="15563"/>
    <tableColumn id="8838" xr3:uid="{56E185B4-BB59-4DCE-B1DA-3CE6F93EC131}" name="Column8824" dataDxfId="15562" totalsRowDxfId="15561"/>
    <tableColumn id="8839" xr3:uid="{5B8176AF-CAD9-41DB-B335-D12A25041157}" name="Column8825" dataDxfId="15560" totalsRowDxfId="15559"/>
    <tableColumn id="8840" xr3:uid="{194B39E8-3A95-4409-BD86-0DE097C6622E}" name="Column8826" dataDxfId="15558" totalsRowDxfId="15557"/>
    <tableColumn id="8841" xr3:uid="{341C9098-4B62-4A07-B735-C1D0F6E24D55}" name="Column8827" dataDxfId="15556" totalsRowDxfId="15555"/>
    <tableColumn id="8842" xr3:uid="{9F960F5C-EC2B-40DF-8723-762B65FA4972}" name="Column8828" dataDxfId="15554" totalsRowDxfId="15553"/>
    <tableColumn id="8843" xr3:uid="{6A796D57-8D33-4DDD-B603-427D1B3DE29F}" name="Column8829" dataDxfId="15552" totalsRowDxfId="15551"/>
    <tableColumn id="8844" xr3:uid="{011A9F3C-0543-471C-AAED-0B1136EAE24A}" name="Column8830" dataDxfId="15550" totalsRowDxfId="15549"/>
    <tableColumn id="8845" xr3:uid="{BAFD65C8-B667-4264-8CB6-78873341A9AD}" name="Column8831" dataDxfId="15548" totalsRowDxfId="15547"/>
    <tableColumn id="8846" xr3:uid="{927C4B20-8CF4-40F3-81FF-0D74D491D1CA}" name="Column8832" dataDxfId="15546" totalsRowDxfId="15545"/>
    <tableColumn id="8847" xr3:uid="{48795C5A-6519-4AE0-8D21-3B0A4DE22A6C}" name="Column8833" dataDxfId="15544" totalsRowDxfId="15543"/>
    <tableColumn id="8848" xr3:uid="{0E0C31EA-1485-48C2-9007-869933D98174}" name="Column8834" dataDxfId="15542" totalsRowDxfId="15541"/>
    <tableColumn id="8849" xr3:uid="{0B936F01-8137-45F6-9D4D-4B6D280AAE76}" name="Column8835" dataDxfId="15540" totalsRowDxfId="15539"/>
    <tableColumn id="8850" xr3:uid="{898947D3-25E2-4E27-8015-CF320371F01F}" name="Column8836" dataDxfId="15538" totalsRowDxfId="15537"/>
    <tableColumn id="8851" xr3:uid="{BD197F4B-F9CC-4838-AFCA-162F645C53C0}" name="Column8837" dataDxfId="15536" totalsRowDxfId="15535"/>
    <tableColumn id="8852" xr3:uid="{66523B3F-C68E-4305-A201-9B727BD0BF42}" name="Column8838" dataDxfId="15534" totalsRowDxfId="15533"/>
    <tableColumn id="8853" xr3:uid="{752B3080-4DFE-4211-BCFD-D6A57839E2CC}" name="Column8839" dataDxfId="15532" totalsRowDxfId="15531"/>
    <tableColumn id="8854" xr3:uid="{350C61FB-0CB4-45E1-905A-80512AAB9895}" name="Column8840" dataDxfId="15530" totalsRowDxfId="15529"/>
    <tableColumn id="8855" xr3:uid="{9A92A713-1E38-43B2-BD8F-7CF966F721DF}" name="Column8841" dataDxfId="15528" totalsRowDxfId="15527"/>
    <tableColumn id="8856" xr3:uid="{BCE9D9D2-47FE-4F09-A503-ABA0F009BE0B}" name="Column8842" dataDxfId="15526" totalsRowDxfId="15525"/>
    <tableColumn id="8857" xr3:uid="{7CC43DD1-8B9D-40C2-BB24-A9CECDE7F29F}" name="Column8843" dataDxfId="15524" totalsRowDxfId="15523"/>
    <tableColumn id="8858" xr3:uid="{E7B184EF-4183-45F5-B1DB-400C5BC9B2CD}" name="Column8844" dataDxfId="15522" totalsRowDxfId="15521"/>
    <tableColumn id="8859" xr3:uid="{38D62FCA-56ED-4CFF-8F5A-A8A01E17219B}" name="Column8845" dataDxfId="15520" totalsRowDxfId="15519"/>
    <tableColumn id="8860" xr3:uid="{F060A602-EFD1-4803-96E9-D38323F53FB0}" name="Column8846" dataDxfId="15518" totalsRowDxfId="15517"/>
    <tableColumn id="8861" xr3:uid="{035266FC-76DD-43F0-B450-BA4191BDBC8E}" name="Column8847" dataDxfId="15516" totalsRowDxfId="15515"/>
    <tableColumn id="8862" xr3:uid="{F4AE9461-533E-478C-9F32-05FC13C74C6D}" name="Column8848" dataDxfId="15514" totalsRowDxfId="15513"/>
    <tableColumn id="8863" xr3:uid="{C964D61B-02EB-48B6-AA0F-93BD04359E0E}" name="Column8849" dataDxfId="15512" totalsRowDxfId="15511"/>
    <tableColumn id="8864" xr3:uid="{24FAF790-D68A-4581-9005-52D6D03203E4}" name="Column8850" dataDxfId="15510" totalsRowDxfId="15509"/>
    <tableColumn id="8865" xr3:uid="{89915853-27C3-4CD1-957F-F4DCFB51C0AB}" name="Column8851" dataDxfId="15508" totalsRowDxfId="15507"/>
    <tableColumn id="8866" xr3:uid="{A26B59C9-9A12-4D4B-973A-A4F2110225D7}" name="Column8852" dataDxfId="15506" totalsRowDxfId="15505"/>
    <tableColumn id="8867" xr3:uid="{FD30D044-1DB6-4863-8DD6-38CDC4877F07}" name="Column8853" dataDxfId="15504" totalsRowDxfId="15503"/>
    <tableColumn id="8868" xr3:uid="{68EE2581-FC54-4DEC-AE31-93762CDD701D}" name="Column8854" dataDxfId="15502" totalsRowDxfId="15501"/>
    <tableColumn id="8869" xr3:uid="{899D4378-715F-46AF-BE98-CF95398ED9BE}" name="Column8855" dataDxfId="15500" totalsRowDxfId="15499"/>
    <tableColumn id="8870" xr3:uid="{87F34892-B0E8-40AD-B60E-CCCF333EB5D7}" name="Column8856" dataDxfId="15498" totalsRowDxfId="15497"/>
    <tableColumn id="8871" xr3:uid="{A583AF5D-79AB-48C0-A6A1-2B22495099AE}" name="Column8857" dataDxfId="15496" totalsRowDxfId="15495"/>
    <tableColumn id="8872" xr3:uid="{986D0F11-B263-44DC-8426-D3543C8AC53E}" name="Column8858" dataDxfId="15494" totalsRowDxfId="15493"/>
    <tableColumn id="8873" xr3:uid="{56229C7A-14F3-4E76-A977-C0C8AC48ABBF}" name="Column8859" dataDxfId="15492" totalsRowDxfId="15491"/>
    <tableColumn id="8874" xr3:uid="{02BDF383-27FA-4A11-9F47-4CC87D8AE6EE}" name="Column8860" dataDxfId="15490" totalsRowDxfId="15489"/>
    <tableColumn id="8875" xr3:uid="{E0E9BB73-A35F-4BF8-BF86-5F3DAEA13220}" name="Column8861" dataDxfId="15488" totalsRowDxfId="15487"/>
    <tableColumn id="8876" xr3:uid="{6681337E-22D4-4290-81D9-DF349E60E9DF}" name="Column8862" dataDxfId="15486" totalsRowDxfId="15485"/>
    <tableColumn id="8877" xr3:uid="{FB69D877-3D47-4B6C-9621-DE6900748B30}" name="Column8863" dataDxfId="15484" totalsRowDxfId="15483"/>
    <tableColumn id="8878" xr3:uid="{8691FF81-A659-4EAF-828A-8128DAB09091}" name="Column8864" dataDxfId="15482" totalsRowDxfId="15481"/>
    <tableColumn id="8879" xr3:uid="{DF400FC2-1C62-4EA1-9B6D-F3BD522878FC}" name="Column8865" dataDxfId="15480" totalsRowDxfId="15479"/>
    <tableColumn id="8880" xr3:uid="{FD2610F0-EAF9-4B86-8051-F6C0BB3EF836}" name="Column8866" dataDxfId="15478" totalsRowDxfId="15477"/>
    <tableColumn id="8881" xr3:uid="{58A42981-1617-40A5-8B99-2C0F9F6BEA71}" name="Column8867" dataDxfId="15476" totalsRowDxfId="15475"/>
    <tableColumn id="8882" xr3:uid="{384620C7-6C5A-4A87-AB1B-D40642BDEA2B}" name="Column8868" dataDxfId="15474" totalsRowDxfId="15473"/>
    <tableColumn id="8883" xr3:uid="{037084D4-1D85-4C32-ACA7-22A9D0837E52}" name="Column8869" dataDxfId="15472" totalsRowDxfId="15471"/>
    <tableColumn id="8884" xr3:uid="{37A612FF-982F-4AB4-AFDA-FDD6E50DBE4D}" name="Column8870" dataDxfId="15470" totalsRowDxfId="15469"/>
    <tableColumn id="8885" xr3:uid="{D7CF5704-4371-4AA8-B12A-C396B36287F2}" name="Column8871" dataDxfId="15468" totalsRowDxfId="15467"/>
    <tableColumn id="8886" xr3:uid="{EC83F835-CE55-47F3-8526-A166A14A26E4}" name="Column8872" dataDxfId="15466" totalsRowDxfId="15465"/>
    <tableColumn id="8887" xr3:uid="{AC7777C7-2839-4960-B138-FA505D74D619}" name="Column8873" dataDxfId="15464" totalsRowDxfId="15463"/>
    <tableColumn id="8888" xr3:uid="{EE3DCDBB-9AE7-48C0-95A3-EC70FD0A6337}" name="Column8874" dataDxfId="15462" totalsRowDxfId="15461"/>
    <tableColumn id="8889" xr3:uid="{F60DD261-9F66-4BA0-9869-253E41503541}" name="Column8875" dataDxfId="15460" totalsRowDxfId="15459"/>
    <tableColumn id="8890" xr3:uid="{916289B3-817C-4E47-AAF0-97D13919563E}" name="Column8876" dataDxfId="15458" totalsRowDxfId="15457"/>
    <tableColumn id="8891" xr3:uid="{B90C3107-AF91-4527-B76B-59AE70C0D261}" name="Column8877" dataDxfId="15456" totalsRowDxfId="15455"/>
    <tableColumn id="8892" xr3:uid="{D232C7D6-0140-4BDA-B3E5-9DF454916453}" name="Column8878" dataDxfId="15454" totalsRowDxfId="15453"/>
    <tableColumn id="8893" xr3:uid="{4E3621DA-2C27-48C3-9FA8-DC22F43C9783}" name="Column8879" dataDxfId="15452" totalsRowDxfId="15451"/>
    <tableColumn id="8894" xr3:uid="{ED117CC1-5361-4A0B-943B-8D2138A7260F}" name="Column8880" dataDxfId="15450" totalsRowDxfId="15449"/>
    <tableColumn id="8895" xr3:uid="{8BD7924F-7F51-4D8F-B229-D382D1F6CFB3}" name="Column8881" dataDxfId="15448" totalsRowDxfId="15447"/>
    <tableColumn id="8896" xr3:uid="{4AF48321-4050-4570-B7A0-BE0D294F40DB}" name="Column8882" dataDxfId="15446" totalsRowDxfId="15445"/>
    <tableColumn id="8897" xr3:uid="{11D8F342-9798-4A96-B773-419A665C6F2A}" name="Column8883" dataDxfId="15444" totalsRowDxfId="15443"/>
    <tableColumn id="8898" xr3:uid="{42C36EFA-065C-4207-9074-84A0A8624583}" name="Column8884" dataDxfId="15442" totalsRowDxfId="15441"/>
    <tableColumn id="8899" xr3:uid="{0F6CAA7E-9EBF-42B2-B26B-7C7DFBC1BCC5}" name="Column8885" dataDxfId="15440" totalsRowDxfId="15439"/>
    <tableColumn id="8900" xr3:uid="{32B1D549-F4AB-4710-8EBC-39CCD93851C4}" name="Column8886" dataDxfId="15438" totalsRowDxfId="15437"/>
    <tableColumn id="8901" xr3:uid="{D5DD6B1C-A22E-4AFA-9A7D-99341F41402D}" name="Column8887" dataDxfId="15436" totalsRowDxfId="15435"/>
    <tableColumn id="8902" xr3:uid="{7BB2E315-6E81-4364-867B-F8FD28B642F1}" name="Column8888" dataDxfId="15434" totalsRowDxfId="15433"/>
    <tableColumn id="8903" xr3:uid="{2FB8977B-E2EA-4ED3-A90A-0EE880E3B6F1}" name="Column8889" dataDxfId="15432" totalsRowDxfId="15431"/>
    <tableColumn id="8904" xr3:uid="{59E048C0-6378-4B59-A17B-271E702CCDD2}" name="Column8890" dataDxfId="15430" totalsRowDxfId="15429"/>
    <tableColumn id="8905" xr3:uid="{FA35425F-27CB-4FF2-B5EA-E5883616A7E5}" name="Column8891" dataDxfId="15428" totalsRowDxfId="15427"/>
    <tableColumn id="8906" xr3:uid="{1BEE1310-7107-457F-B820-4F88188348C1}" name="Column8892" dataDxfId="15426" totalsRowDxfId="15425"/>
    <tableColumn id="8907" xr3:uid="{6DB63340-E425-47DB-B066-4F726E03B1E6}" name="Column8893" dataDxfId="15424" totalsRowDxfId="15423"/>
    <tableColumn id="8908" xr3:uid="{D5C19A2D-6AD6-4026-9A5A-EDEFA4AAFDAC}" name="Column8894" dataDxfId="15422" totalsRowDxfId="15421"/>
    <tableColumn id="8909" xr3:uid="{D30D21BB-229E-4FDB-9E29-9746283AFE98}" name="Column8895" dataDxfId="15420" totalsRowDxfId="15419"/>
    <tableColumn id="8910" xr3:uid="{591C7920-7A9B-4A1E-898D-0BC682C1B354}" name="Column8896" dataDxfId="15418" totalsRowDxfId="15417"/>
    <tableColumn id="8911" xr3:uid="{120FE37F-68E9-46C7-A3CF-35BD9615AC14}" name="Column8897" dataDxfId="15416" totalsRowDxfId="15415"/>
    <tableColumn id="8912" xr3:uid="{4B261551-7BD8-4BAC-8B18-3A2A1B0F4B38}" name="Column8898" dataDxfId="15414" totalsRowDxfId="15413"/>
    <tableColumn id="8913" xr3:uid="{E6045603-FA9C-48BB-8DF1-0443CDCBBFC2}" name="Column8899" dataDxfId="15412" totalsRowDxfId="15411"/>
    <tableColumn id="8914" xr3:uid="{0780CC9E-F69E-48F6-BCF0-4C2710FE0273}" name="Column8900" dataDxfId="15410" totalsRowDxfId="15409"/>
    <tableColumn id="8915" xr3:uid="{10D06576-2EBA-4656-A2F0-8DC4CCA64E80}" name="Column8901" dataDxfId="15408" totalsRowDxfId="15407"/>
    <tableColumn id="8916" xr3:uid="{ACD37882-5311-4315-8DFD-700A8CA42DEA}" name="Column8902" dataDxfId="15406" totalsRowDxfId="15405"/>
    <tableColumn id="8917" xr3:uid="{C6B81BCB-3E92-442A-9ADD-3C41FBAA14D4}" name="Column8903" dataDxfId="15404" totalsRowDxfId="15403"/>
    <tableColumn id="8918" xr3:uid="{58FEE791-5D32-4505-901C-E997C585095E}" name="Column8904" dataDxfId="15402" totalsRowDxfId="15401"/>
    <tableColumn id="8919" xr3:uid="{0702ACF6-AFFE-421A-8908-EA2A0DE775D6}" name="Column8905" dataDxfId="15400" totalsRowDxfId="15399"/>
    <tableColumn id="8920" xr3:uid="{201762E2-ADDE-499E-BDC4-B43EC1B45FE6}" name="Column8906" dataDxfId="15398" totalsRowDxfId="15397"/>
    <tableColumn id="8921" xr3:uid="{D6DD7388-C648-4A26-BACB-8C86F80F7B49}" name="Column8907" dataDxfId="15396" totalsRowDxfId="15395"/>
    <tableColumn id="8922" xr3:uid="{C164A05B-ED4C-46AB-B94C-B254EF3ADD6A}" name="Column8908" dataDxfId="15394" totalsRowDxfId="15393"/>
    <tableColumn id="8923" xr3:uid="{74DB1BF7-5CED-41AF-849F-7C2084A8F02B}" name="Column8909" dataDxfId="15392" totalsRowDxfId="15391"/>
    <tableColumn id="8924" xr3:uid="{1AEBA901-D86E-4784-9CD3-FEFA1BB7DE44}" name="Column8910" dataDxfId="15390" totalsRowDxfId="15389"/>
    <tableColumn id="8925" xr3:uid="{36D50FF2-9C38-4D44-98F0-01FA78CA5C47}" name="Column8911" dataDxfId="15388" totalsRowDxfId="15387"/>
    <tableColumn id="8926" xr3:uid="{0828810C-68F9-4DB6-8F78-5AA0E948CDF0}" name="Column8912" dataDxfId="15386" totalsRowDxfId="15385"/>
    <tableColumn id="8927" xr3:uid="{063D5638-892B-4FCD-A3AD-A7A4AD4B8395}" name="Column8913" dataDxfId="15384" totalsRowDxfId="15383"/>
    <tableColumn id="8928" xr3:uid="{BE4C526E-917C-4C47-AB26-B8BB75582B2A}" name="Column8914" dataDxfId="15382" totalsRowDxfId="15381"/>
    <tableColumn id="8929" xr3:uid="{1A4E087A-6DAD-41E1-BDF1-F9F474191F42}" name="Column8915" dataDxfId="15380" totalsRowDxfId="15379"/>
    <tableColumn id="8930" xr3:uid="{BC06FEB5-09DF-4C63-AFA0-3747ABED8984}" name="Column8916" dataDxfId="15378" totalsRowDxfId="15377"/>
    <tableColumn id="8931" xr3:uid="{811AFD83-9D40-49D4-A8F7-FEE09071659D}" name="Column8917" dataDxfId="15376" totalsRowDxfId="15375"/>
    <tableColumn id="8932" xr3:uid="{94797647-5D8F-44CF-815C-ED9EC8B9CAA6}" name="Column8918" dataDxfId="15374" totalsRowDxfId="15373"/>
    <tableColumn id="8933" xr3:uid="{3A85C86B-E42E-4351-ABB5-A2FF918F745F}" name="Column8919" dataDxfId="15372" totalsRowDxfId="15371"/>
    <tableColumn id="8934" xr3:uid="{471EB635-4921-4F1E-9FE5-0A8C819B147B}" name="Column8920" dataDxfId="15370" totalsRowDxfId="15369"/>
    <tableColumn id="8935" xr3:uid="{E9648F93-9A38-4760-BBAC-90E6991E940D}" name="Column8921" dataDxfId="15368" totalsRowDxfId="15367"/>
    <tableColumn id="8936" xr3:uid="{1BD1EA46-EE70-44EE-890E-0AF01EF47666}" name="Column8922" dataDxfId="15366" totalsRowDxfId="15365"/>
    <tableColumn id="8937" xr3:uid="{5113F9AE-2E9C-42CB-8586-DE20A347BDDF}" name="Column8923" dataDxfId="15364" totalsRowDxfId="15363"/>
    <tableColumn id="8938" xr3:uid="{7A2B0555-8D1D-4C90-92FB-19045DA6BA86}" name="Column8924" dataDxfId="15362" totalsRowDxfId="15361"/>
    <tableColumn id="8939" xr3:uid="{E6B06E82-A450-4DAA-9C72-52D45D5C1457}" name="Column8925" dataDxfId="15360" totalsRowDxfId="15359"/>
    <tableColumn id="8940" xr3:uid="{2CAB2D00-BA8D-46B6-B2B8-0095E5A7B9D3}" name="Column8926" dataDxfId="15358" totalsRowDxfId="15357"/>
    <tableColumn id="8941" xr3:uid="{442205DF-1AF8-43DC-8C72-EF1F8145B3DF}" name="Column8927" dataDxfId="15356" totalsRowDxfId="15355"/>
    <tableColumn id="8942" xr3:uid="{2D91F421-CA33-465D-9A84-0D82AA955FBD}" name="Column8928" dataDxfId="15354" totalsRowDxfId="15353"/>
    <tableColumn id="8943" xr3:uid="{FD88983F-D1AE-43F4-9E37-C6C91852869E}" name="Column8929" dataDxfId="15352" totalsRowDxfId="15351"/>
    <tableColumn id="8944" xr3:uid="{24F5AB75-920C-4841-9913-F1F9C74FDDFC}" name="Column8930" dataDxfId="15350" totalsRowDxfId="15349"/>
    <tableColumn id="8945" xr3:uid="{7F07C7C7-E5C7-4EA7-8BEB-8154CF2B7DA5}" name="Column8931" dataDxfId="15348" totalsRowDxfId="15347"/>
    <tableColumn id="8946" xr3:uid="{32FB9704-2B4B-493E-A9F3-C531D9E5195B}" name="Column8932" dataDxfId="15346" totalsRowDxfId="15345"/>
    <tableColumn id="8947" xr3:uid="{B124C669-2AF7-4333-95AF-00A84B37EBE5}" name="Column8933" dataDxfId="15344" totalsRowDxfId="15343"/>
    <tableColumn id="8948" xr3:uid="{52A35AE7-B9D8-4EFE-A3C0-A92DDCB8C581}" name="Column8934" dataDxfId="15342" totalsRowDxfId="15341"/>
    <tableColumn id="8949" xr3:uid="{C6A169B7-9F4E-45D4-94DC-5BF8271AD028}" name="Column8935" dataDxfId="15340" totalsRowDxfId="15339"/>
    <tableColumn id="8950" xr3:uid="{9E8D8396-297F-4B3F-A02D-D982D6172A9D}" name="Column8936" dataDxfId="15338" totalsRowDxfId="15337"/>
    <tableColumn id="8951" xr3:uid="{788678D8-D85B-4B24-9059-E46459B48212}" name="Column8937" dataDxfId="15336" totalsRowDxfId="15335"/>
    <tableColumn id="8952" xr3:uid="{BF2FAC1D-4AC4-4A0E-8CA2-A4B8A9C5B250}" name="Column8938" dataDxfId="15334" totalsRowDxfId="15333"/>
    <tableColumn id="8953" xr3:uid="{78638307-E235-4007-910F-989480AC2545}" name="Column8939" dataDxfId="15332" totalsRowDxfId="15331"/>
    <tableColumn id="8954" xr3:uid="{1388CBB4-9BF4-4314-A9EB-B6B68A75BFF6}" name="Column8940" dataDxfId="15330" totalsRowDxfId="15329"/>
    <tableColumn id="8955" xr3:uid="{964DC740-41FA-4803-B291-AD0D88D5A29C}" name="Column8941" dataDxfId="15328" totalsRowDxfId="15327"/>
    <tableColumn id="8956" xr3:uid="{8E0C3910-235B-4FA8-8648-C030F47E4906}" name="Column8942" dataDxfId="15326" totalsRowDxfId="15325"/>
    <tableColumn id="8957" xr3:uid="{0EFF7CF6-4F37-45BC-975F-77F5517035F0}" name="Column8943" dataDxfId="15324" totalsRowDxfId="15323"/>
    <tableColumn id="8958" xr3:uid="{1FE70562-9C65-4FB1-B2F2-6D0C0A9EC871}" name="Column8944" dataDxfId="15322" totalsRowDxfId="15321"/>
    <tableColumn id="8959" xr3:uid="{F9751E17-61B6-4140-963B-E7EEA0C21D56}" name="Column8945" dataDxfId="15320" totalsRowDxfId="15319"/>
    <tableColumn id="8960" xr3:uid="{8C65D046-F70D-4C2A-AEE3-B4B3389BC06A}" name="Column8946" dataDxfId="15318" totalsRowDxfId="15317"/>
    <tableColumn id="8961" xr3:uid="{1E0A533E-1B0E-4229-980C-AC3502F78228}" name="Column8947" dataDxfId="15316" totalsRowDxfId="15315"/>
    <tableColumn id="8962" xr3:uid="{4A16761B-943C-4B28-AD47-8496ACC3F860}" name="Column8948" dataDxfId="15314" totalsRowDxfId="15313"/>
    <tableColumn id="8963" xr3:uid="{1E0D5115-359B-42A8-9D83-99EF89D85949}" name="Column8949" dataDxfId="15312" totalsRowDxfId="15311"/>
    <tableColumn id="8964" xr3:uid="{A8F9004A-78E9-4AE3-A8AE-756B28508F7F}" name="Column8950" dataDxfId="15310" totalsRowDxfId="15309"/>
    <tableColumn id="8965" xr3:uid="{ACDC5913-D2D2-46A2-9332-F3E8AC986063}" name="Column8951" dataDxfId="15308" totalsRowDxfId="15307"/>
    <tableColumn id="8966" xr3:uid="{7B34A3AF-FAE3-4F22-A3AA-CC4E863C7333}" name="Column8952" dataDxfId="15306" totalsRowDxfId="15305"/>
    <tableColumn id="8967" xr3:uid="{90CBE81B-FD2F-43C3-A71D-4CB712331A23}" name="Column8953" dataDxfId="15304" totalsRowDxfId="15303"/>
    <tableColumn id="8968" xr3:uid="{C66F4488-00C7-483F-9DBB-46761C5EA7E9}" name="Column8954" dataDxfId="15302" totalsRowDxfId="15301"/>
    <tableColumn id="8969" xr3:uid="{5661C126-96A2-42E3-812F-28AFDF3FD4D5}" name="Column8955" dataDxfId="15300" totalsRowDxfId="15299"/>
    <tableColumn id="8970" xr3:uid="{D21391E7-FD1F-4A13-A1DA-4F36524E3AD5}" name="Column8956" dataDxfId="15298" totalsRowDxfId="15297"/>
    <tableColumn id="8971" xr3:uid="{D1E4C429-5CF0-49E1-B237-25C604DC2C23}" name="Column8957" dataDxfId="15296" totalsRowDxfId="15295"/>
    <tableColumn id="8972" xr3:uid="{8334F1E3-DA56-434F-AFD8-03D8C7A448F3}" name="Column8958" dataDxfId="15294" totalsRowDxfId="15293"/>
    <tableColumn id="8973" xr3:uid="{B67D064B-F934-4A2E-BE92-848222EF7E50}" name="Column8959" dataDxfId="15292" totalsRowDxfId="15291"/>
    <tableColumn id="8974" xr3:uid="{1EC7FF51-0BBA-4221-9717-C89CAA16FB69}" name="Column8960" dataDxfId="15290" totalsRowDxfId="15289"/>
    <tableColumn id="8975" xr3:uid="{B015AC52-D629-4017-B365-F455E06BBEF5}" name="Column8961" dataDxfId="15288" totalsRowDxfId="15287"/>
    <tableColumn id="8976" xr3:uid="{9BE0E44F-995C-4801-8F4F-5CC9098720A8}" name="Column8962" dataDxfId="15286" totalsRowDxfId="15285"/>
    <tableColumn id="8977" xr3:uid="{AE85F50A-A5D3-43D4-BA98-B40E4BD4F97D}" name="Column8963" dataDxfId="15284" totalsRowDxfId="15283"/>
    <tableColumn id="8978" xr3:uid="{F3D692EB-A599-44E2-A81D-0B2B33AB5074}" name="Column8964" dataDxfId="15282" totalsRowDxfId="15281"/>
    <tableColumn id="8979" xr3:uid="{0C9067D5-1E66-4945-865C-7722F6B77251}" name="Column8965" dataDxfId="15280" totalsRowDxfId="15279"/>
    <tableColumn id="8980" xr3:uid="{5949C57F-EAA7-4715-BB56-DFF62DD07A7A}" name="Column8966" dataDxfId="15278" totalsRowDxfId="15277"/>
    <tableColumn id="8981" xr3:uid="{7AD63271-AE3B-4E93-92BD-BB21C932E674}" name="Column8967" dataDxfId="15276" totalsRowDxfId="15275"/>
    <tableColumn id="8982" xr3:uid="{7429E378-3E09-4C89-895D-2839999E95FF}" name="Column8968" dataDxfId="15274" totalsRowDxfId="15273"/>
    <tableColumn id="8983" xr3:uid="{045072A9-0E76-490A-AE40-0CB03BAACD54}" name="Column8969" dataDxfId="15272" totalsRowDxfId="15271"/>
    <tableColumn id="8984" xr3:uid="{2BD006B2-C58D-4988-B150-31D2069C9D92}" name="Column8970" dataDxfId="15270" totalsRowDxfId="15269"/>
    <tableColumn id="8985" xr3:uid="{B82F96C6-96CA-4BEA-8F53-0585776AFAFC}" name="Column8971" dataDxfId="15268" totalsRowDxfId="15267"/>
    <tableColumn id="8986" xr3:uid="{36B404D2-46E2-4F62-BFEC-6DE73C3C0724}" name="Column8972" dataDxfId="15266" totalsRowDxfId="15265"/>
    <tableColumn id="8987" xr3:uid="{FB2084F9-E5A0-47D3-A185-4F12CBAF254A}" name="Column8973" dataDxfId="15264" totalsRowDxfId="15263"/>
    <tableColumn id="8988" xr3:uid="{D36D25EA-39FD-4426-80C8-118756F83160}" name="Column8974" dataDxfId="15262" totalsRowDxfId="15261"/>
    <tableColumn id="8989" xr3:uid="{AAC5D053-C818-48D1-93BB-0D209E46C052}" name="Column8975" dataDxfId="15260" totalsRowDxfId="15259"/>
    <tableColumn id="8990" xr3:uid="{64718E49-384C-477E-8C00-BAFB2BEAFD78}" name="Column8976" dataDxfId="15258" totalsRowDxfId="15257"/>
    <tableColumn id="8991" xr3:uid="{5DD4E9CE-BEE1-4890-A032-C6B1A4CE1358}" name="Column8977" dataDxfId="15256" totalsRowDxfId="15255"/>
    <tableColumn id="8992" xr3:uid="{905C39E7-4922-4262-AC92-01EFA9B1FB5B}" name="Column8978" dataDxfId="15254" totalsRowDxfId="15253"/>
    <tableColumn id="8993" xr3:uid="{8E0E57EE-EC69-4190-AA1A-30C2C1E6C1F5}" name="Column8979" dataDxfId="15252" totalsRowDxfId="15251"/>
    <tableColumn id="8994" xr3:uid="{66E018EC-91F1-4F12-9E24-A866B9CBDCE8}" name="Column8980" dataDxfId="15250" totalsRowDxfId="15249"/>
    <tableColumn id="8995" xr3:uid="{A8E0EA2C-7962-4D58-874C-DAA9C0210226}" name="Column8981" dataDxfId="15248" totalsRowDxfId="15247"/>
    <tableColumn id="8996" xr3:uid="{FB825635-C885-43AC-92C2-271603DDD02E}" name="Column8982" dataDxfId="15246" totalsRowDxfId="15245"/>
    <tableColumn id="8997" xr3:uid="{9AB4D9D2-78AF-43FF-8065-DC08BFD88F9D}" name="Column8983" dataDxfId="15244" totalsRowDxfId="15243"/>
    <tableColumn id="8998" xr3:uid="{37DF66A4-1F10-41B5-9FC9-A081ABDFDDCD}" name="Column8984" dataDxfId="15242" totalsRowDxfId="15241"/>
    <tableColumn id="8999" xr3:uid="{11903F58-AD1F-470D-A5E9-A7AC6B36762B}" name="Column8985" dataDxfId="15240" totalsRowDxfId="15239"/>
    <tableColumn id="9000" xr3:uid="{2B475EDF-70C7-475C-ADE0-0B3B075374A5}" name="Column8986" dataDxfId="15238" totalsRowDxfId="15237"/>
    <tableColumn id="9001" xr3:uid="{5FE28996-61DB-4A75-96FC-CE51D099D323}" name="Column8987" dataDxfId="15236" totalsRowDxfId="15235"/>
    <tableColumn id="9002" xr3:uid="{47E8ED9C-40AD-455B-A872-22EACE654A2B}" name="Column8988" dataDxfId="15234" totalsRowDxfId="15233"/>
    <tableColumn id="9003" xr3:uid="{6773D478-31A9-4533-B89E-E49C7EFC3280}" name="Column8989" dataDxfId="15232" totalsRowDxfId="15231"/>
    <tableColumn id="9004" xr3:uid="{C0FCB063-514B-4793-9874-B59312F04A59}" name="Column8990" dataDxfId="15230" totalsRowDxfId="15229"/>
    <tableColumn id="9005" xr3:uid="{77940E2F-7146-4F03-ABA8-6098A6ACDBFF}" name="Column8991" dataDxfId="15228" totalsRowDxfId="15227"/>
    <tableColumn id="9006" xr3:uid="{27E25BB7-CC83-41B7-8611-45988B5A5D19}" name="Column8992" dataDxfId="15226" totalsRowDxfId="15225"/>
    <tableColumn id="9007" xr3:uid="{9F7FDEFA-77CF-4347-AFE5-F9BA4E408EE2}" name="Column8993" dataDxfId="15224" totalsRowDxfId="15223"/>
    <tableColumn id="9008" xr3:uid="{466449CF-DE56-417B-9196-4D04A9A31B64}" name="Column8994" dataDxfId="15222" totalsRowDxfId="15221"/>
    <tableColumn id="9009" xr3:uid="{85F030F4-582A-44BA-884C-48C23A361BD2}" name="Column8995" dataDxfId="15220" totalsRowDxfId="15219"/>
    <tableColumn id="9010" xr3:uid="{EFB59139-B31E-4AE1-BF51-91E491523706}" name="Column8996" dataDxfId="15218" totalsRowDxfId="15217"/>
    <tableColumn id="9011" xr3:uid="{08237234-BA5A-4E82-A6C4-5B5B452B465A}" name="Column8997" dataDxfId="15216" totalsRowDxfId="15215"/>
    <tableColumn id="9012" xr3:uid="{492BA83A-DC88-44E8-AC04-D1C38D04C8CA}" name="Column8998" dataDxfId="15214" totalsRowDxfId="15213"/>
    <tableColumn id="9013" xr3:uid="{640ACCD4-2520-4491-938A-0A20F782C649}" name="Column8999" dataDxfId="15212" totalsRowDxfId="15211"/>
    <tableColumn id="9014" xr3:uid="{8CC8950B-7B95-40C5-B99F-49AD958EFE39}" name="Column9000" dataDxfId="15210" totalsRowDxfId="15209"/>
    <tableColumn id="9015" xr3:uid="{8F76B465-790E-474B-BEB2-546ED26E6E95}" name="Column9001" dataDxfId="15208" totalsRowDxfId="15207"/>
    <tableColumn id="9016" xr3:uid="{285B0325-83D1-4070-AB2C-01159EFF9C35}" name="Column9002" dataDxfId="15206" totalsRowDxfId="15205"/>
    <tableColumn id="9017" xr3:uid="{A423403C-6206-4CB5-9873-49DAC8E1F2AC}" name="Column9003" dataDxfId="15204" totalsRowDxfId="15203"/>
    <tableColumn id="9018" xr3:uid="{A1E1DF90-9519-4A5B-9930-2092497360A2}" name="Column9004" dataDxfId="15202" totalsRowDxfId="15201"/>
    <tableColumn id="9019" xr3:uid="{9465BFC8-FBF2-4659-8521-9D7C8DABDDC8}" name="Column9005" dataDxfId="15200" totalsRowDxfId="15199"/>
    <tableColumn id="9020" xr3:uid="{82F9B093-1DB2-42A0-838A-44D457DE605B}" name="Column9006" dataDxfId="15198" totalsRowDxfId="15197"/>
    <tableColumn id="9021" xr3:uid="{B7D41A64-FAE8-4946-BDBE-077219E1EC13}" name="Column9007" dataDxfId="15196" totalsRowDxfId="15195"/>
    <tableColumn id="9022" xr3:uid="{4874928C-49FE-4F9C-A1F8-1F4EF9F0C78B}" name="Column9008" dataDxfId="15194" totalsRowDxfId="15193"/>
    <tableColumn id="9023" xr3:uid="{9B99F512-9BA1-4A06-B880-66064D6A8DE8}" name="Column9009" dataDxfId="15192" totalsRowDxfId="15191"/>
    <tableColumn id="9024" xr3:uid="{D2246351-B543-44B6-9DF4-3C5894567480}" name="Column9010" dataDxfId="15190" totalsRowDxfId="15189"/>
    <tableColumn id="9025" xr3:uid="{1F4EA90D-B77D-45FD-BB0C-3AA96DD0998A}" name="Column9011" dataDxfId="15188" totalsRowDxfId="15187"/>
    <tableColumn id="9026" xr3:uid="{CEC69044-B50B-42EE-B814-9B36AF79BAF4}" name="Column9012" dataDxfId="15186" totalsRowDxfId="15185"/>
    <tableColumn id="9027" xr3:uid="{B48C54C0-4215-4F8D-9B9B-8C2B55018FA8}" name="Column9013" dataDxfId="15184" totalsRowDxfId="15183"/>
    <tableColumn id="9028" xr3:uid="{B82EA191-194D-4D94-969D-1A7C61BB82A7}" name="Column9014" dataDxfId="15182" totalsRowDxfId="15181"/>
    <tableColumn id="9029" xr3:uid="{A1DA3CB2-B114-47A5-9444-FFE60F4E76EF}" name="Column9015" dataDxfId="15180" totalsRowDxfId="15179"/>
    <tableColumn id="9030" xr3:uid="{A202A71C-C709-4DD1-A0CE-F7254D09F784}" name="Column9016" dataDxfId="15178" totalsRowDxfId="15177"/>
    <tableColumn id="9031" xr3:uid="{4847B375-29A9-4260-A8E0-C27631341D64}" name="Column9017" dataDxfId="15176" totalsRowDxfId="15175"/>
    <tableColumn id="9032" xr3:uid="{4065C8BD-7BCA-4EB1-9F9F-A75BA32B3E64}" name="Column9018" dataDxfId="15174" totalsRowDxfId="15173"/>
    <tableColumn id="9033" xr3:uid="{37DBD62B-256C-4A95-9E8C-FAFCB2DB4FAE}" name="Column9019" dataDxfId="15172" totalsRowDxfId="15171"/>
    <tableColumn id="9034" xr3:uid="{C1AC2535-0497-4C6C-9781-238A25673FEB}" name="Column9020" dataDxfId="15170" totalsRowDxfId="15169"/>
    <tableColumn id="9035" xr3:uid="{C6792E28-721C-4FDD-A10C-33BB289BC00C}" name="Column9021" dataDxfId="15168" totalsRowDxfId="15167"/>
    <tableColumn id="9036" xr3:uid="{750E4CF5-E3EA-4193-BB61-68AD4940517D}" name="Column9022" dataDxfId="15166" totalsRowDxfId="15165"/>
    <tableColumn id="9037" xr3:uid="{A13C6F84-D4BA-45F2-B778-82E94A59F0E2}" name="Column9023" dataDxfId="15164" totalsRowDxfId="15163"/>
    <tableColumn id="9038" xr3:uid="{F3515D58-5C4E-4B79-A201-D2B0458A1B41}" name="Column9024" dataDxfId="15162" totalsRowDxfId="15161"/>
    <tableColumn id="9039" xr3:uid="{7C75BBDA-022C-4B42-A180-2FAE7BCB3B27}" name="Column9025" dataDxfId="15160" totalsRowDxfId="15159"/>
    <tableColumn id="9040" xr3:uid="{51FB5265-1E40-40FA-B44B-E2747AE94DDD}" name="Column9026" dataDxfId="15158" totalsRowDxfId="15157"/>
    <tableColumn id="9041" xr3:uid="{9C81B271-0235-4B37-B244-47C7287A78C9}" name="Column9027" dataDxfId="15156" totalsRowDxfId="15155"/>
    <tableColumn id="9042" xr3:uid="{06EC75ED-2CD8-4DE2-B67B-6E9ED19039EC}" name="Column9028" dataDxfId="15154" totalsRowDxfId="15153"/>
    <tableColumn id="9043" xr3:uid="{F18E6831-E0F9-41B6-B17B-56ABCCC06200}" name="Column9029" dataDxfId="15152" totalsRowDxfId="15151"/>
    <tableColumn id="9044" xr3:uid="{6599CBE7-2B21-4722-AC31-78E2A9C2D52A}" name="Column9030" dataDxfId="15150" totalsRowDxfId="15149"/>
    <tableColumn id="9045" xr3:uid="{C2FF47CD-9D0A-4A7B-A339-7FFB4A20E1C7}" name="Column9031" dataDxfId="15148" totalsRowDxfId="15147"/>
    <tableColumn id="9046" xr3:uid="{266DA639-4F5A-4DBA-BB11-AB5E4F76B829}" name="Column9032" dataDxfId="15146" totalsRowDxfId="15145"/>
    <tableColumn id="9047" xr3:uid="{776EC2F1-BA31-4A8D-A9A6-8EA1F74DCB6F}" name="Column9033" dataDxfId="15144" totalsRowDxfId="15143"/>
    <tableColumn id="9048" xr3:uid="{134000AA-BF39-424F-B1D2-F6FFB5566CEE}" name="Column9034" dataDxfId="15142" totalsRowDxfId="15141"/>
    <tableColumn id="9049" xr3:uid="{456F1A70-DA31-40D9-9B5D-DF588D8C3396}" name="Column9035" dataDxfId="15140" totalsRowDxfId="15139"/>
    <tableColumn id="9050" xr3:uid="{FCE0125F-DE62-4A67-A8EE-957168D1B45F}" name="Column9036" dataDxfId="15138" totalsRowDxfId="15137"/>
    <tableColumn id="9051" xr3:uid="{F389989F-9B4C-4E7F-A16E-F9242372B43B}" name="Column9037" dataDxfId="15136" totalsRowDxfId="15135"/>
    <tableColumn id="9052" xr3:uid="{C0C9F615-14DD-4837-89E2-E09FD5789DBA}" name="Column9038" dataDxfId="15134" totalsRowDxfId="15133"/>
    <tableColumn id="9053" xr3:uid="{C5990470-CE6A-47D1-8B1E-5E5D91B3671D}" name="Column9039" dataDxfId="15132" totalsRowDxfId="15131"/>
    <tableColumn id="9054" xr3:uid="{A3BE7614-8F49-4B89-8A54-F354DF9A23DB}" name="Column9040" dataDxfId="15130" totalsRowDxfId="15129"/>
    <tableColumn id="9055" xr3:uid="{8E5E8373-F63B-4AC3-8BC4-24B90155CE90}" name="Column9041" dataDxfId="15128" totalsRowDxfId="15127"/>
    <tableColumn id="9056" xr3:uid="{DD740F43-AD4E-497C-B8C2-C8089BA9D8F4}" name="Column9042" dataDxfId="15126" totalsRowDxfId="15125"/>
    <tableColumn id="9057" xr3:uid="{BFBC5BC1-A97C-4BF6-AE10-45E999DC8DA0}" name="Column9043" dataDxfId="15124" totalsRowDxfId="15123"/>
    <tableColumn id="9058" xr3:uid="{EFA90F53-1368-4782-A328-CF2EC1AD1A4A}" name="Column9044" dataDxfId="15122" totalsRowDxfId="15121"/>
    <tableColumn id="9059" xr3:uid="{BE25B564-3819-4DDB-8868-400230D45AFA}" name="Column9045" dataDxfId="15120" totalsRowDxfId="15119"/>
    <tableColumn id="9060" xr3:uid="{CF1E4AA0-E853-474F-BABC-9FE0536922A9}" name="Column9046" dataDxfId="15118" totalsRowDxfId="15117"/>
    <tableColumn id="9061" xr3:uid="{6B4D77EB-5C95-4BC8-A9ED-76179A264FBE}" name="Column9047" dataDxfId="15116" totalsRowDxfId="15115"/>
    <tableColumn id="9062" xr3:uid="{BF728154-0E76-418A-8791-57C9ABAA73E3}" name="Column9048" dataDxfId="15114" totalsRowDxfId="15113"/>
    <tableColumn id="9063" xr3:uid="{80766014-F6B8-4202-A686-5E545A2049AF}" name="Column9049" dataDxfId="15112" totalsRowDxfId="15111"/>
    <tableColumn id="9064" xr3:uid="{EC3FD549-9317-4E62-9C3A-220B3E7DA2CA}" name="Column9050" dataDxfId="15110" totalsRowDxfId="15109"/>
    <tableColumn id="9065" xr3:uid="{ACBEFBB7-96E1-4BDD-9DA4-ED78705A4FC5}" name="Column9051" dataDxfId="15108" totalsRowDxfId="15107"/>
    <tableColumn id="9066" xr3:uid="{25544BB2-BE61-477A-A065-229ADB6C1730}" name="Column9052" dataDxfId="15106" totalsRowDxfId="15105"/>
    <tableColumn id="9067" xr3:uid="{B138C06E-7FEB-42F6-99B2-51DED82574A8}" name="Column9053" dataDxfId="15104" totalsRowDxfId="15103"/>
    <tableColumn id="9068" xr3:uid="{08709E9F-78B4-4C50-8A39-3771D7194A20}" name="Column9054" dataDxfId="15102" totalsRowDxfId="15101"/>
    <tableColumn id="9069" xr3:uid="{46145C41-83D3-4A72-8E9A-1C64CF04D407}" name="Column9055" dataDxfId="15100" totalsRowDxfId="15099"/>
    <tableColumn id="9070" xr3:uid="{92ECA967-6F4E-498E-8117-0308F5846B18}" name="Column9056" dataDxfId="15098" totalsRowDxfId="15097"/>
    <tableColumn id="9071" xr3:uid="{D6A6A5B9-68C8-4222-BF74-8CD106576B7E}" name="Column9057" dataDxfId="15096" totalsRowDxfId="15095"/>
    <tableColumn id="9072" xr3:uid="{E92C12D5-9184-4D08-BBEC-5B07672FA659}" name="Column9058" dataDxfId="15094" totalsRowDxfId="15093"/>
    <tableColumn id="9073" xr3:uid="{E9B6C223-C311-4A3D-A54A-0E4D9E7EE407}" name="Column9059" dataDxfId="15092" totalsRowDxfId="15091"/>
    <tableColumn id="9074" xr3:uid="{9C3BBA56-039D-4D09-AC14-F75B7CB6BF1E}" name="Column9060" dataDxfId="15090" totalsRowDxfId="15089"/>
    <tableColumn id="9075" xr3:uid="{445BCE92-E953-4EE8-AC08-AD7C9B281FF2}" name="Column9061" dataDxfId="15088" totalsRowDxfId="15087"/>
    <tableColumn id="9076" xr3:uid="{652DC5B4-35EC-4D34-8CD5-B5D007950913}" name="Column9062" dataDxfId="15086" totalsRowDxfId="15085"/>
    <tableColumn id="9077" xr3:uid="{DEC3DCFD-9AAE-4B93-B947-07E271607971}" name="Column9063" dataDxfId="15084" totalsRowDxfId="15083"/>
    <tableColumn id="9078" xr3:uid="{4ED60554-5075-4442-875E-9533A2FA32E8}" name="Column9064" dataDxfId="15082" totalsRowDxfId="15081"/>
    <tableColumn id="9079" xr3:uid="{B7EC0949-39D0-48E2-8151-5E0F8655DC28}" name="Column9065" dataDxfId="15080" totalsRowDxfId="15079"/>
    <tableColumn id="9080" xr3:uid="{23C5E82D-DF1B-4470-8AC9-66FF19A37C67}" name="Column9066" dataDxfId="15078" totalsRowDxfId="15077"/>
    <tableColumn id="9081" xr3:uid="{EDE52636-DC64-4F8B-9A4E-B3AFBA7EE743}" name="Column9067" dataDxfId="15076" totalsRowDxfId="15075"/>
    <tableColumn id="9082" xr3:uid="{682A9182-0B6D-4BFD-891A-52F1282B5CA9}" name="Column9068" dataDxfId="15074" totalsRowDxfId="15073"/>
    <tableColumn id="9083" xr3:uid="{86344054-2438-410F-9D7E-BE17C9CE48F6}" name="Column9069" dataDxfId="15072" totalsRowDxfId="15071"/>
    <tableColumn id="9084" xr3:uid="{8B6EBCBB-0145-4B16-BE5E-4EA5702EF471}" name="Column9070" dataDxfId="15070" totalsRowDxfId="15069"/>
    <tableColumn id="9085" xr3:uid="{48D81BCD-9957-4DEE-A7B7-039B0C672AF6}" name="Column9071" dataDxfId="15068" totalsRowDxfId="15067"/>
    <tableColumn id="9086" xr3:uid="{C7C28FB3-0751-44E1-9AC4-4C9BAE957D9D}" name="Column9072" dataDxfId="15066" totalsRowDxfId="15065"/>
    <tableColumn id="9087" xr3:uid="{EE331959-927A-496D-9AB9-FB85A4D3E574}" name="Column9073" dataDxfId="15064" totalsRowDxfId="15063"/>
    <tableColumn id="9088" xr3:uid="{1827EF50-5828-48A6-B36A-12F75A15554C}" name="Column9074" dataDxfId="15062" totalsRowDxfId="15061"/>
    <tableColumn id="9089" xr3:uid="{7ED06C12-DEB2-4561-B53D-05A1154DAB86}" name="Column9075" dataDxfId="15060" totalsRowDxfId="15059"/>
    <tableColumn id="9090" xr3:uid="{AC949B78-4718-49B7-B75F-80E805892631}" name="Column9076" dataDxfId="15058" totalsRowDxfId="15057"/>
    <tableColumn id="9091" xr3:uid="{00F2B1D8-9439-4A8F-BD1F-27433ADD92EB}" name="Column9077" dataDxfId="15056" totalsRowDxfId="15055"/>
    <tableColumn id="9092" xr3:uid="{08DFA97E-44AD-4C69-A154-7F2537C74167}" name="Column9078" dataDxfId="15054" totalsRowDxfId="15053"/>
    <tableColumn id="9093" xr3:uid="{1DE182AD-47D1-4003-B66E-2830ECEBD62D}" name="Column9079" dataDxfId="15052" totalsRowDxfId="15051"/>
    <tableColumn id="9094" xr3:uid="{963FD5D9-9CE5-48B7-BF9D-594EF80007AE}" name="Column9080" dataDxfId="15050" totalsRowDxfId="15049"/>
    <tableColumn id="9095" xr3:uid="{8BC6C2A1-F9D3-40CD-89D7-F8E9AEF4D436}" name="Column9081" dataDxfId="15048" totalsRowDxfId="15047"/>
    <tableColumn id="9096" xr3:uid="{B2C7B10A-D9EB-41C6-9533-C9C2D0B34168}" name="Column9082" dataDxfId="15046" totalsRowDxfId="15045"/>
    <tableColumn id="9097" xr3:uid="{8B519138-7AFD-4E56-84C2-B3AF3A7B1017}" name="Column9083" dataDxfId="15044" totalsRowDxfId="15043"/>
    <tableColumn id="9098" xr3:uid="{BD59C3C2-4AEB-49DE-A43F-A0960D2D94F7}" name="Column9084" dataDxfId="15042" totalsRowDxfId="15041"/>
    <tableColumn id="9099" xr3:uid="{8FFC4AFD-ED83-4C91-A5DC-26AC4266D771}" name="Column9085" dataDxfId="15040" totalsRowDxfId="15039"/>
    <tableColumn id="9100" xr3:uid="{CDE1CBFE-7E79-48CC-BE5E-A6F9291B5AB2}" name="Column9086" dataDxfId="15038" totalsRowDxfId="15037"/>
    <tableColumn id="9101" xr3:uid="{7ADDCAE5-7DC4-4C44-9A98-D7345F8252F8}" name="Column9087" dataDxfId="15036" totalsRowDxfId="15035"/>
    <tableColumn id="9102" xr3:uid="{BFD3BC9D-2598-4FF5-8EE1-89CAED80E03F}" name="Column9088" dataDxfId="15034" totalsRowDxfId="15033"/>
    <tableColumn id="9103" xr3:uid="{0D23C131-99FD-4C1C-B7B8-CD01ECE928C7}" name="Column9089" dataDxfId="15032" totalsRowDxfId="15031"/>
    <tableColumn id="9104" xr3:uid="{2CADF279-D46F-4AF4-A4F6-527A0D36E369}" name="Column9090" dataDxfId="15030" totalsRowDxfId="15029"/>
    <tableColumn id="9105" xr3:uid="{4241AC5D-C2D9-4EDA-9C43-66AB02DAEEDB}" name="Column9091" dataDxfId="15028" totalsRowDxfId="15027"/>
    <tableColumn id="9106" xr3:uid="{24382889-C65D-4B3A-984C-0135A0D4A887}" name="Column9092" dataDxfId="15026" totalsRowDxfId="15025"/>
    <tableColumn id="9107" xr3:uid="{0366A708-8D6E-47B3-812E-A7C2D0ED4A19}" name="Column9093" dataDxfId="15024" totalsRowDxfId="15023"/>
    <tableColumn id="9108" xr3:uid="{5C4724AF-F453-4B5F-9AAF-43D220140BC9}" name="Column9094" dataDxfId="15022" totalsRowDxfId="15021"/>
    <tableColumn id="9109" xr3:uid="{55631B98-2EED-46FB-B21B-3F99BDEAEB29}" name="Column9095" dataDxfId="15020" totalsRowDxfId="15019"/>
    <tableColumn id="9110" xr3:uid="{A37913B4-9E1E-4921-BF47-BB3472EF5E1B}" name="Column9096" dataDxfId="15018" totalsRowDxfId="15017"/>
    <tableColumn id="9111" xr3:uid="{5D841950-BBB5-4CF0-A36A-35431A60D409}" name="Column9097" dataDxfId="15016" totalsRowDxfId="15015"/>
    <tableColumn id="9112" xr3:uid="{F16A0284-EFEE-48B0-853D-1A63016B4E69}" name="Column9098" dataDxfId="15014" totalsRowDxfId="15013"/>
    <tableColumn id="9113" xr3:uid="{B4F51659-7C81-49FE-997B-665E8A08D03A}" name="Column9099" dataDxfId="15012" totalsRowDxfId="15011"/>
    <tableColumn id="9114" xr3:uid="{9F7C93A1-2C19-482A-9495-37D389D24968}" name="Column9100" dataDxfId="15010" totalsRowDxfId="15009"/>
    <tableColumn id="9115" xr3:uid="{1CCBC409-61A6-4A02-ADDD-78F037024FCE}" name="Column9101" dataDxfId="15008" totalsRowDxfId="15007"/>
    <tableColumn id="9116" xr3:uid="{87FA35A0-9602-4AB3-9ED7-CB74DC44FABF}" name="Column9102" dataDxfId="15006" totalsRowDxfId="15005"/>
    <tableColumn id="9117" xr3:uid="{02D9EFBB-23D2-4335-8607-1476A9FF2365}" name="Column9103" dataDxfId="15004" totalsRowDxfId="15003"/>
    <tableColumn id="9118" xr3:uid="{3697C58B-388F-47A4-AD73-8A408D7F5834}" name="Column9104" dataDxfId="15002" totalsRowDxfId="15001"/>
    <tableColumn id="9119" xr3:uid="{5827DA1A-3F6B-4E19-BD7C-27A6F157F88F}" name="Column9105" dataDxfId="15000" totalsRowDxfId="14999"/>
    <tableColumn id="9120" xr3:uid="{67450B0E-EA4C-469E-808D-A3BEEC7CC77C}" name="Column9106" dataDxfId="14998" totalsRowDxfId="14997"/>
    <tableColumn id="9121" xr3:uid="{A4DB5BF8-EAC2-43A9-A916-D23FB07E4E5A}" name="Column9107" dataDxfId="14996" totalsRowDxfId="14995"/>
    <tableColumn id="9122" xr3:uid="{9C334A0E-B5AC-4A11-B8C2-42BF0A2AD1D2}" name="Column9108" dataDxfId="14994" totalsRowDxfId="14993"/>
    <tableColumn id="9123" xr3:uid="{EFD3FECE-B6C8-4E64-BC6D-893378CF134E}" name="Column9109" dataDxfId="14992" totalsRowDxfId="14991"/>
    <tableColumn id="9124" xr3:uid="{D121B5D8-520E-474D-972C-2F5647B31D61}" name="Column9110" dataDxfId="14990" totalsRowDxfId="14989"/>
    <tableColumn id="9125" xr3:uid="{665D1C5D-F25F-4DE7-8932-71312EA7FB6E}" name="Column9111" dataDxfId="14988" totalsRowDxfId="14987"/>
    <tableColumn id="9126" xr3:uid="{7072B8FF-3E26-47AE-B201-577AF3B36321}" name="Column9112" dataDxfId="14986" totalsRowDxfId="14985"/>
    <tableColumn id="9127" xr3:uid="{F26AAD6E-69EA-45DC-B6C8-B0BF24C27B45}" name="Column9113" dataDxfId="14984" totalsRowDxfId="14983"/>
    <tableColumn id="9128" xr3:uid="{75C1D070-7E2D-4709-A419-6FE6542755CE}" name="Column9114" dataDxfId="14982" totalsRowDxfId="14981"/>
    <tableColumn id="9129" xr3:uid="{47A2469D-1157-45A3-AD02-7EF8350C51F8}" name="Column9115" dataDxfId="14980" totalsRowDxfId="14979"/>
    <tableColumn id="9130" xr3:uid="{11F3E062-F189-421C-9D56-91E5D4DB0C4F}" name="Column9116" dataDxfId="14978" totalsRowDxfId="14977"/>
    <tableColumn id="9131" xr3:uid="{2014E489-E372-4AE3-BE03-628A496BC757}" name="Column9117" dataDxfId="14976" totalsRowDxfId="14975"/>
    <tableColumn id="9132" xr3:uid="{401A35DA-E35B-4FE3-AE54-DB5031AFF9C9}" name="Column9118" dataDxfId="14974" totalsRowDxfId="14973"/>
    <tableColumn id="9133" xr3:uid="{06FBFB1E-1012-4547-B6B7-ED9766FFC025}" name="Column9119" dataDxfId="14972" totalsRowDxfId="14971"/>
    <tableColumn id="9134" xr3:uid="{713834F5-0C38-45CC-B8B1-D6BD5FCE7FD3}" name="Column9120" dataDxfId="14970" totalsRowDxfId="14969"/>
    <tableColumn id="9135" xr3:uid="{A48936CB-297E-40D6-A850-8EADEA773EE8}" name="Column9121" dataDxfId="14968" totalsRowDxfId="14967"/>
    <tableColumn id="9136" xr3:uid="{45FB4EEA-3133-4430-9B92-B401BA99B652}" name="Column9122" dataDxfId="14966" totalsRowDxfId="14965"/>
    <tableColumn id="9137" xr3:uid="{7C19C0D1-5FEA-4A10-87E9-3AC7B49A4962}" name="Column9123" dataDxfId="14964" totalsRowDxfId="14963"/>
    <tableColumn id="9138" xr3:uid="{6647A02D-B29C-4368-A8E8-2027118030A3}" name="Column9124" dataDxfId="14962" totalsRowDxfId="14961"/>
    <tableColumn id="9139" xr3:uid="{02F9F3BD-7689-4C20-9F28-7AE28FF4A561}" name="Column9125" dataDxfId="14960" totalsRowDxfId="14959"/>
    <tableColumn id="9140" xr3:uid="{15BDF8BE-C96B-4CB3-BBDD-36785F9B74D5}" name="Column9126" dataDxfId="14958" totalsRowDxfId="14957"/>
    <tableColumn id="9141" xr3:uid="{CB9E9683-BB51-492A-9662-102EA275758A}" name="Column9127" dataDxfId="14956" totalsRowDxfId="14955"/>
    <tableColumn id="9142" xr3:uid="{408C15E4-A522-4C10-81DD-743D3BE43204}" name="Column9128" dataDxfId="14954" totalsRowDxfId="14953"/>
    <tableColumn id="9143" xr3:uid="{8E299AD7-FC86-49E8-9606-B8F6337C899E}" name="Column9129" dataDxfId="14952" totalsRowDxfId="14951"/>
    <tableColumn id="9144" xr3:uid="{DA5EDE36-96F2-40FC-871D-7C838F621504}" name="Column9130" dataDxfId="14950" totalsRowDxfId="14949"/>
    <tableColumn id="9145" xr3:uid="{F01F17C5-31ED-4189-8157-72FA7A289E00}" name="Column9131" dataDxfId="14948" totalsRowDxfId="14947"/>
    <tableColumn id="9146" xr3:uid="{47859AC1-809D-4CF4-9531-E5F1C0F47724}" name="Column9132" dataDxfId="14946" totalsRowDxfId="14945"/>
    <tableColumn id="9147" xr3:uid="{71AFD52B-890B-4BDB-A6D5-2A85A6088524}" name="Column9133" dataDxfId="14944" totalsRowDxfId="14943"/>
    <tableColumn id="9148" xr3:uid="{D1B2DAEE-81D9-4A61-B352-B9BA5A60C439}" name="Column9134" dataDxfId="14942" totalsRowDxfId="14941"/>
    <tableColumn id="9149" xr3:uid="{A89BEB6C-916D-4CAE-8DF1-41D20DD02657}" name="Column9135" dataDxfId="14940" totalsRowDxfId="14939"/>
    <tableColumn id="9150" xr3:uid="{64C6D2E9-DC9C-4008-B029-FCC160B40DB9}" name="Column9136" dataDxfId="14938" totalsRowDxfId="14937"/>
    <tableColumn id="9151" xr3:uid="{339B5BD9-2794-4F81-AB92-BC7DE1140576}" name="Column9137" dataDxfId="14936" totalsRowDxfId="14935"/>
    <tableColumn id="9152" xr3:uid="{4E125543-F1C5-4244-B2FA-851A7F17538B}" name="Column9138" dataDxfId="14934" totalsRowDxfId="14933"/>
    <tableColumn id="9153" xr3:uid="{AFEC9B73-CF75-43B4-B706-985194306C56}" name="Column9139" dataDxfId="14932" totalsRowDxfId="14931"/>
    <tableColumn id="9154" xr3:uid="{0F2CC4D1-BD12-4ED1-9139-FEDB860B1D8A}" name="Column9140" dataDxfId="14930" totalsRowDxfId="14929"/>
    <tableColumn id="9155" xr3:uid="{EF37FC04-A26D-4856-9116-6D8B3D917727}" name="Column9141" dataDxfId="14928" totalsRowDxfId="14927"/>
    <tableColumn id="9156" xr3:uid="{F7813C8C-7DE0-48A7-B6FD-BEF519FE0BA8}" name="Column9142" dataDxfId="14926" totalsRowDxfId="14925"/>
    <tableColumn id="9157" xr3:uid="{E12312FE-4348-47A8-AD5E-C41D6406B370}" name="Column9143" dataDxfId="14924" totalsRowDxfId="14923"/>
    <tableColumn id="9158" xr3:uid="{AB1E9D8F-F384-42BF-AD32-A5C449517575}" name="Column9144" dataDxfId="14922" totalsRowDxfId="14921"/>
    <tableColumn id="9159" xr3:uid="{A2F2F307-0845-4B9E-9880-6B9930E7AB09}" name="Column9145" dataDxfId="14920" totalsRowDxfId="14919"/>
    <tableColumn id="9160" xr3:uid="{5ADAEC0F-6E89-4624-AC22-4CBBD085C7D4}" name="Column9146" dataDxfId="14918" totalsRowDxfId="14917"/>
    <tableColumn id="9161" xr3:uid="{09D7D3AB-672E-4326-8796-812E94DF8894}" name="Column9147" dataDxfId="14916" totalsRowDxfId="14915"/>
    <tableColumn id="9162" xr3:uid="{BA1A8357-EEAC-4AB6-B05F-A3B880F44825}" name="Column9148" dataDxfId="14914" totalsRowDxfId="14913"/>
    <tableColumn id="9163" xr3:uid="{585C94D3-2A61-46D6-AF06-FC34A327A41A}" name="Column9149" dataDxfId="14912" totalsRowDxfId="14911"/>
    <tableColumn id="9164" xr3:uid="{EA72C18B-709C-4B3D-BD05-236ABFEAA0A9}" name="Column9150" dataDxfId="14910" totalsRowDxfId="14909"/>
    <tableColumn id="9165" xr3:uid="{2623A2D7-E542-478C-83A0-2552C3036A0C}" name="Column9151" dataDxfId="14908" totalsRowDxfId="14907"/>
    <tableColumn id="9166" xr3:uid="{E5A84C83-D70D-4F52-AE63-C1281435FD30}" name="Column9152" dataDxfId="14906" totalsRowDxfId="14905"/>
    <tableColumn id="9167" xr3:uid="{8FB12AA9-E410-4548-931F-B630CFEA3D5B}" name="Column9153" dataDxfId="14904" totalsRowDxfId="14903"/>
    <tableColumn id="9168" xr3:uid="{8A019348-66E4-4350-AECC-F77C694B256B}" name="Column9154" dataDxfId="14902" totalsRowDxfId="14901"/>
    <tableColumn id="9169" xr3:uid="{43604566-637B-4489-A47D-460656003A98}" name="Column9155" dataDxfId="14900" totalsRowDxfId="14899"/>
    <tableColumn id="9170" xr3:uid="{0231E4CD-BA9D-4948-B4E4-73C9350B5BD6}" name="Column9156" dataDxfId="14898" totalsRowDxfId="14897"/>
    <tableColumn id="9171" xr3:uid="{ED71F605-D2AF-4125-80AE-72612C5FA13A}" name="Column9157" dataDxfId="14896" totalsRowDxfId="14895"/>
    <tableColumn id="9172" xr3:uid="{2BEABFD2-6339-43C2-8509-736D0D0DA57C}" name="Column9158" dataDxfId="14894" totalsRowDxfId="14893"/>
    <tableColumn id="9173" xr3:uid="{D21DB879-D7B1-429E-9D05-B8F2B11776B1}" name="Column9159" dataDxfId="14892" totalsRowDxfId="14891"/>
    <tableColumn id="9174" xr3:uid="{D4A8CFCB-6695-4502-8425-7BDA0857D886}" name="Column9160" dataDxfId="14890" totalsRowDxfId="14889"/>
    <tableColumn id="9175" xr3:uid="{385100D2-43FF-4B9F-B264-2A5A52A6E6C5}" name="Column9161" dataDxfId="14888" totalsRowDxfId="14887"/>
    <tableColumn id="9176" xr3:uid="{7EB3DA55-60A3-4CE7-9BE1-EF6769AD8E7F}" name="Column9162" dataDxfId="14886" totalsRowDxfId="14885"/>
    <tableColumn id="9177" xr3:uid="{5F71DB90-1DAA-40C6-A98F-124E33EB40D6}" name="Column9163" dataDxfId="14884" totalsRowDxfId="14883"/>
    <tableColumn id="9178" xr3:uid="{5D551BDF-A1C6-4A78-9074-254535E3E222}" name="Column9164" dataDxfId="14882" totalsRowDxfId="14881"/>
    <tableColumn id="9179" xr3:uid="{99E5A9CE-3ABC-42B1-AB36-2B7EF20DC8B9}" name="Column9165" dataDxfId="14880" totalsRowDxfId="14879"/>
    <tableColumn id="9180" xr3:uid="{D044AE0F-8555-44EA-8CEB-AE56020BD0F6}" name="Column9166" dataDxfId="14878" totalsRowDxfId="14877"/>
    <tableColumn id="9181" xr3:uid="{3A729DB3-426D-40AB-95DF-6399A3AE1EC1}" name="Column9167" dataDxfId="14876" totalsRowDxfId="14875"/>
    <tableColumn id="9182" xr3:uid="{0FF88B81-EF6E-4696-BAD5-842C05A631FD}" name="Column9168" dataDxfId="14874" totalsRowDxfId="14873"/>
    <tableColumn id="9183" xr3:uid="{292DDB6F-1D73-437D-BF35-3A547DB8689A}" name="Column9169" dataDxfId="14872" totalsRowDxfId="14871"/>
    <tableColumn id="9184" xr3:uid="{2E17E842-DE06-4FA8-9690-9C6CD829201D}" name="Column9170" dataDxfId="14870" totalsRowDxfId="14869"/>
    <tableColumn id="9185" xr3:uid="{19EAACFE-4A50-4FC2-845C-1A63B81F7A6F}" name="Column9171" dataDxfId="14868" totalsRowDxfId="14867"/>
    <tableColumn id="9186" xr3:uid="{B3497718-6A42-4FED-A8BA-ED4526E602A6}" name="Column9172" dataDxfId="14866" totalsRowDxfId="14865"/>
    <tableColumn id="9187" xr3:uid="{A884C4C6-16B1-4EC5-9AAE-64365A5C54D9}" name="Column9173" dataDxfId="14864" totalsRowDxfId="14863"/>
    <tableColumn id="9188" xr3:uid="{5A5944E4-AF29-48EE-AA09-1C2F3A297084}" name="Column9174" dataDxfId="14862" totalsRowDxfId="14861"/>
    <tableColumn id="9189" xr3:uid="{714A785C-4758-4E54-B984-9AE2FF400890}" name="Column9175" dataDxfId="14860" totalsRowDxfId="14859"/>
    <tableColumn id="9190" xr3:uid="{668C147E-C2F5-4C9B-92B9-D539E8A1CFED}" name="Column9176" dataDxfId="14858" totalsRowDxfId="14857"/>
    <tableColumn id="9191" xr3:uid="{1FF1B640-86C9-4696-8F30-61D855107025}" name="Column9177" dataDxfId="14856" totalsRowDxfId="14855"/>
    <tableColumn id="9192" xr3:uid="{C974C19D-CD10-4C1A-B74E-2ABDED4D4229}" name="Column9178" dataDxfId="14854" totalsRowDxfId="14853"/>
    <tableColumn id="9193" xr3:uid="{248AC7D7-E11C-4AA9-9205-C4823F0A01CE}" name="Column9179" dataDxfId="14852" totalsRowDxfId="14851"/>
    <tableColumn id="9194" xr3:uid="{C65F446A-9FB9-4429-927A-224516A6F8CA}" name="Column9180" dataDxfId="14850" totalsRowDxfId="14849"/>
    <tableColumn id="9195" xr3:uid="{B69348E0-6983-4B54-B728-014F70F6C71E}" name="Column9181" dataDxfId="14848" totalsRowDxfId="14847"/>
    <tableColumn id="9196" xr3:uid="{2B0483CD-F234-49DD-BA84-366E463E4987}" name="Column9182" dataDxfId="14846" totalsRowDxfId="14845"/>
    <tableColumn id="9197" xr3:uid="{4BD99244-23E6-474F-9316-D351A8F7D111}" name="Column9183" dataDxfId="14844" totalsRowDxfId="14843"/>
    <tableColumn id="9198" xr3:uid="{789A675E-989F-4FC4-9BCA-7E42B7D908D1}" name="Column9184" dataDxfId="14842" totalsRowDxfId="14841"/>
    <tableColumn id="9199" xr3:uid="{6C709AC2-65A7-4ED5-B79D-4E2B20DFD2A1}" name="Column9185" dataDxfId="14840" totalsRowDxfId="14839"/>
    <tableColumn id="9200" xr3:uid="{D60A90A4-DB27-42FA-97EB-DB722A51C7BB}" name="Column9186" dataDxfId="14838" totalsRowDxfId="14837"/>
    <tableColumn id="9201" xr3:uid="{E8FBC619-C865-47EB-9DCA-5DDF7EE34593}" name="Column9187" dataDxfId="14836" totalsRowDxfId="14835"/>
    <tableColumn id="9202" xr3:uid="{882CE5E3-D14D-4283-8F59-165B1DE9DF8B}" name="Column9188" dataDxfId="14834" totalsRowDxfId="14833"/>
    <tableColumn id="9203" xr3:uid="{C2F44A59-9C13-4753-92CD-ECDD8BF710E2}" name="Column9189" dataDxfId="14832" totalsRowDxfId="14831"/>
    <tableColumn id="9204" xr3:uid="{78DA7A58-B023-4584-A02E-C36062C2C9F3}" name="Column9190" dataDxfId="14830" totalsRowDxfId="14829"/>
    <tableColumn id="9205" xr3:uid="{4DE4E89F-4861-49FA-8EB1-8BD172F59C6E}" name="Column9191" dataDxfId="14828" totalsRowDxfId="14827"/>
    <tableColumn id="9206" xr3:uid="{2098E46F-481C-42C5-B737-0E29968BCB5D}" name="Column9192" dataDxfId="14826" totalsRowDxfId="14825"/>
    <tableColumn id="9207" xr3:uid="{9553F36F-D8A8-4E8C-8D99-55C492D9152F}" name="Column9193" dataDxfId="14824" totalsRowDxfId="14823"/>
    <tableColumn id="9208" xr3:uid="{209F87B4-0EC5-4C0A-9E18-6B2E3A92D408}" name="Column9194" dataDxfId="14822" totalsRowDxfId="14821"/>
    <tableColumn id="9209" xr3:uid="{618B1932-1AD4-4A06-AF2A-88FD0B83623D}" name="Column9195" dataDxfId="14820" totalsRowDxfId="14819"/>
    <tableColumn id="9210" xr3:uid="{15FEB6C9-303D-4BC5-AA7C-D0E3AEEEFC2F}" name="Column9196" dataDxfId="14818" totalsRowDxfId="14817"/>
    <tableColumn id="9211" xr3:uid="{FBD3DC93-9E02-4DDA-9FD7-93F4825E2C1A}" name="Column9197" dataDxfId="14816" totalsRowDxfId="14815"/>
    <tableColumn id="9212" xr3:uid="{835B6230-B34B-4E33-82B0-B4ED4093E74B}" name="Column9198" dataDxfId="14814" totalsRowDxfId="14813"/>
    <tableColumn id="9213" xr3:uid="{7000061B-5258-4B31-8D0C-68FF640F268A}" name="Column9199" dataDxfId="14812" totalsRowDxfId="14811"/>
    <tableColumn id="9214" xr3:uid="{8CC79B37-73CB-4086-8D7A-96FE1960023D}" name="Column9200" dataDxfId="14810" totalsRowDxfId="14809"/>
    <tableColumn id="9215" xr3:uid="{0B3276BC-40CB-44B2-B8A0-32CFD22A2745}" name="Column9201" dataDxfId="14808" totalsRowDxfId="14807"/>
    <tableColumn id="9216" xr3:uid="{F4EF8F3B-86C8-4555-B05C-5D6605421300}" name="Column9202" dataDxfId="14806" totalsRowDxfId="14805"/>
    <tableColumn id="9217" xr3:uid="{2DC53C5A-08A6-48F2-AD7F-5AFFF9353119}" name="Column9203" dataDxfId="14804" totalsRowDxfId="14803"/>
    <tableColumn id="9218" xr3:uid="{57FB30A4-89BF-496B-AEA9-F4D6C01E2E03}" name="Column9204" dataDxfId="14802" totalsRowDxfId="14801"/>
    <tableColumn id="9219" xr3:uid="{B3250829-B0F9-4632-9ECE-FF795746374A}" name="Column9205" dataDxfId="14800" totalsRowDxfId="14799"/>
    <tableColumn id="9220" xr3:uid="{AD8030FC-22E8-4987-A533-3F459D867917}" name="Column9206" dataDxfId="14798" totalsRowDxfId="14797"/>
    <tableColumn id="9221" xr3:uid="{5BAF3564-A3BA-4144-9653-0D11E75D295C}" name="Column9207" dataDxfId="14796" totalsRowDxfId="14795"/>
    <tableColumn id="9222" xr3:uid="{762AA990-BC3D-4F2F-9EE5-E82469DDA063}" name="Column9208" dataDxfId="14794" totalsRowDxfId="14793"/>
    <tableColumn id="9223" xr3:uid="{D2E386A4-17DC-4BCB-9B37-C924914F7AF4}" name="Column9209" dataDxfId="14792" totalsRowDxfId="14791"/>
    <tableColumn id="9224" xr3:uid="{FBF8783B-5654-4F27-8089-4BEE45DD72A0}" name="Column9210" dataDxfId="14790" totalsRowDxfId="14789"/>
    <tableColumn id="9225" xr3:uid="{33A0F4F2-EA31-4D15-B095-EF8794231B86}" name="Column9211" dataDxfId="14788" totalsRowDxfId="14787"/>
    <tableColumn id="9226" xr3:uid="{1FA0886F-67EB-4A1B-89CB-F9D68C381BBB}" name="Column9212" dataDxfId="14786" totalsRowDxfId="14785"/>
    <tableColumn id="9227" xr3:uid="{3FEAD8A8-8E36-46B4-A89A-FE7FD8336817}" name="Column9213" dataDxfId="14784" totalsRowDxfId="14783"/>
    <tableColumn id="9228" xr3:uid="{4B3F646A-0E4C-4C1F-A3D7-286669CC460A}" name="Column9214" dataDxfId="14782" totalsRowDxfId="14781"/>
    <tableColumn id="9229" xr3:uid="{666BBA65-4539-457D-97AD-A0F80FC9786B}" name="Column9215" dataDxfId="14780" totalsRowDxfId="14779"/>
    <tableColumn id="9230" xr3:uid="{3473F839-F97C-4BDA-8C27-A680F3B1A98E}" name="Column9216" dataDxfId="14778" totalsRowDxfId="14777"/>
    <tableColumn id="9231" xr3:uid="{B3DA9681-FD9E-4A62-873D-6BDAC94588F5}" name="Column9217" dataDxfId="14776" totalsRowDxfId="14775"/>
    <tableColumn id="9232" xr3:uid="{8176972E-2C92-4C85-BE2C-9F5DCDF95D78}" name="Column9218" dataDxfId="14774" totalsRowDxfId="14773"/>
    <tableColumn id="9233" xr3:uid="{EE18782A-5245-435B-9E56-67858E149F94}" name="Column9219" dataDxfId="14772" totalsRowDxfId="14771"/>
    <tableColumn id="9234" xr3:uid="{4460D0E9-A803-4199-9F34-D87561852877}" name="Column9220" dataDxfId="14770" totalsRowDxfId="14769"/>
    <tableColumn id="9235" xr3:uid="{1FFB67EA-8519-4630-8989-17D8DD39B64D}" name="Column9221" dataDxfId="14768" totalsRowDxfId="14767"/>
    <tableColumn id="9236" xr3:uid="{CC26044F-1831-4B12-85B6-816913B0FC98}" name="Column9222" dataDxfId="14766" totalsRowDxfId="14765"/>
    <tableColumn id="9237" xr3:uid="{D923E4F1-646B-4558-8DA2-90F6F2300075}" name="Column9223" dataDxfId="14764" totalsRowDxfId="14763"/>
    <tableColumn id="9238" xr3:uid="{AA79721C-2249-4F75-ACB4-850A9738F5BF}" name="Column9224" dataDxfId="14762" totalsRowDxfId="14761"/>
    <tableColumn id="9239" xr3:uid="{8E1AD610-A541-46F9-823D-9280DE50A04B}" name="Column9225" dataDxfId="14760" totalsRowDxfId="14759"/>
    <tableColumn id="9240" xr3:uid="{5940503F-8497-4DBA-A3AF-8C65779594F5}" name="Column9226" dataDxfId="14758" totalsRowDxfId="14757"/>
    <tableColumn id="9241" xr3:uid="{BCBF0433-68CA-49F1-8D08-2148D92C98D9}" name="Column9227" dataDxfId="14756" totalsRowDxfId="14755"/>
    <tableColumn id="9242" xr3:uid="{BB7DDD9A-81BF-4126-AC7B-835C832E3034}" name="Column9228" dataDxfId="14754" totalsRowDxfId="14753"/>
    <tableColumn id="9243" xr3:uid="{21806059-CFCA-4B54-A356-6BCBEC40192F}" name="Column9229" dataDxfId="14752" totalsRowDxfId="14751"/>
    <tableColumn id="9244" xr3:uid="{82B4F5AC-142F-4155-BC36-085093544F0A}" name="Column9230" dataDxfId="14750" totalsRowDxfId="14749"/>
    <tableColumn id="9245" xr3:uid="{FF472BDF-37B2-4126-8180-0EE699A9D261}" name="Column9231" dataDxfId="14748" totalsRowDxfId="14747"/>
    <tableColumn id="9246" xr3:uid="{6A712E2F-58B9-4F7D-958A-E32A8C1208F3}" name="Column9232" dataDxfId="14746" totalsRowDxfId="14745"/>
    <tableColumn id="9247" xr3:uid="{128AB290-3E63-40FA-B96E-39529BD330F6}" name="Column9233" dataDxfId="14744" totalsRowDxfId="14743"/>
    <tableColumn id="9248" xr3:uid="{E43A9BE3-2101-4A69-BDB4-0B1F10D955D6}" name="Column9234" dataDxfId="14742" totalsRowDxfId="14741"/>
    <tableColumn id="9249" xr3:uid="{5F900E2F-B99A-4573-8717-1FD230C89CEE}" name="Column9235" dataDxfId="14740" totalsRowDxfId="14739"/>
    <tableColumn id="9250" xr3:uid="{F99828C8-77AC-40DD-9AE5-0D55B3807BDC}" name="Column9236" dataDxfId="14738" totalsRowDxfId="14737"/>
    <tableColumn id="9251" xr3:uid="{B9EB2CCD-7A8A-4738-8B8A-3878751B3F5A}" name="Column9237" dataDxfId="14736" totalsRowDxfId="14735"/>
    <tableColumn id="9252" xr3:uid="{47BA4527-AC11-4CEC-A5E1-713B326F83A4}" name="Column9238" dataDxfId="14734" totalsRowDxfId="14733"/>
    <tableColumn id="9253" xr3:uid="{D9932F03-676E-43DD-BFC6-F90963A6A419}" name="Column9239" dataDxfId="14732" totalsRowDxfId="14731"/>
    <tableColumn id="9254" xr3:uid="{BBAF7E02-E015-40AB-8DA8-50E56F565905}" name="Column9240" dataDxfId="14730" totalsRowDxfId="14729"/>
    <tableColumn id="9255" xr3:uid="{8921B462-CCE1-4C49-9209-412215B514CF}" name="Column9241" dataDxfId="14728" totalsRowDxfId="14727"/>
    <tableColumn id="9256" xr3:uid="{5B1B9300-082B-440D-BC8F-F6E946199971}" name="Column9242" dataDxfId="14726" totalsRowDxfId="14725"/>
    <tableColumn id="9257" xr3:uid="{25CFEE20-3E51-402C-A3B3-39C48B5F434B}" name="Column9243" dataDxfId="14724" totalsRowDxfId="14723"/>
    <tableColumn id="9258" xr3:uid="{24B4E91D-752B-496D-9357-2B078859A5A3}" name="Column9244" dataDxfId="14722" totalsRowDxfId="14721"/>
    <tableColumn id="9259" xr3:uid="{5AE73408-F44F-4AAF-B914-A5E6F899A6FB}" name="Column9245" dataDxfId="14720" totalsRowDxfId="14719"/>
    <tableColumn id="9260" xr3:uid="{35B7FC27-8C0C-4E61-B878-EAF4A761C383}" name="Column9246" dataDxfId="14718" totalsRowDxfId="14717"/>
    <tableColumn id="9261" xr3:uid="{21D3EC30-B50A-47D0-81D2-15C6BB4B61BB}" name="Column9247" dataDxfId="14716" totalsRowDxfId="14715"/>
    <tableColumn id="9262" xr3:uid="{7BC65443-F6A2-4397-BFB0-BC860E8EEE37}" name="Column9248" dataDxfId="14714" totalsRowDxfId="14713"/>
    <tableColumn id="9263" xr3:uid="{8561F39B-CC7C-444B-B1DA-E9BE9A258E3A}" name="Column9249" dataDxfId="14712" totalsRowDxfId="14711"/>
    <tableColumn id="9264" xr3:uid="{B3FE4F68-8E04-41D8-9281-D585E4F7C33F}" name="Column9250" dataDxfId="14710" totalsRowDxfId="14709"/>
    <tableColumn id="9265" xr3:uid="{E4A71E2E-E4BF-48A7-8BEF-1DA5918F067A}" name="Column9251" dataDxfId="14708" totalsRowDxfId="14707"/>
    <tableColumn id="9266" xr3:uid="{7874FE14-F2CD-4171-AD6D-76380C455C42}" name="Column9252" dataDxfId="14706" totalsRowDxfId="14705"/>
    <tableColumn id="9267" xr3:uid="{41A5E857-7AED-4356-8D88-4433ECEE25F7}" name="Column9253" dataDxfId="14704" totalsRowDxfId="14703"/>
    <tableColumn id="9268" xr3:uid="{3A1C072A-BD54-4D0C-9956-930BFF04E952}" name="Column9254" dataDxfId="14702" totalsRowDxfId="14701"/>
    <tableColumn id="9269" xr3:uid="{86A2371D-353D-4DA8-AAD0-515DA48B9829}" name="Column9255" dataDxfId="14700" totalsRowDxfId="14699"/>
    <tableColumn id="9270" xr3:uid="{75D7FC89-AC8C-438E-A8BE-0153B52E4BD3}" name="Column9256" dataDxfId="14698" totalsRowDxfId="14697"/>
    <tableColumn id="9271" xr3:uid="{323DE268-8490-4CA8-8730-D9AB5E08799F}" name="Column9257" dataDxfId="14696" totalsRowDxfId="14695"/>
    <tableColumn id="9272" xr3:uid="{135D3090-84BB-47D4-8F38-BDA350C14A6B}" name="Column9258" dataDxfId="14694" totalsRowDxfId="14693"/>
    <tableColumn id="9273" xr3:uid="{419C88D0-099B-4075-A441-024F61106914}" name="Column9259" dataDxfId="14692" totalsRowDxfId="14691"/>
    <tableColumn id="9274" xr3:uid="{F665EB12-2B76-4A0C-B8AB-1AA438164955}" name="Column9260" dataDxfId="14690" totalsRowDxfId="14689"/>
    <tableColumn id="9275" xr3:uid="{6E943B01-E90C-43B8-88C2-6F73853D84DE}" name="Column9261" dataDxfId="14688" totalsRowDxfId="14687"/>
    <tableColumn id="9276" xr3:uid="{4A250A37-365E-48CF-B55C-40F881D6FAA3}" name="Column9262" dataDxfId="14686" totalsRowDxfId="14685"/>
    <tableColumn id="9277" xr3:uid="{0BB3063D-D29A-4DDA-AF24-5F084391B053}" name="Column9263" dataDxfId="14684" totalsRowDxfId="14683"/>
    <tableColumn id="9278" xr3:uid="{4E7DBB31-5FDB-4642-9F44-95E70F48380D}" name="Column9264" dataDxfId="14682" totalsRowDxfId="14681"/>
    <tableColumn id="9279" xr3:uid="{743DB8D5-CCEE-411A-A5D7-73A3CBFBDC01}" name="Column9265" dataDxfId="14680" totalsRowDxfId="14679"/>
    <tableColumn id="9280" xr3:uid="{7074D455-77EA-4646-9525-A1270B4D2AAB}" name="Column9266" dataDxfId="14678" totalsRowDxfId="14677"/>
    <tableColumn id="9281" xr3:uid="{4057B557-B5FA-4251-ACD8-BD0C0C87A401}" name="Column9267" dataDxfId="14676" totalsRowDxfId="14675"/>
    <tableColumn id="9282" xr3:uid="{5DCC56E5-61E6-4A3B-816A-70DC529B0C4C}" name="Column9268" dataDxfId="14674" totalsRowDxfId="14673"/>
    <tableColumn id="9283" xr3:uid="{02D23340-2145-484D-86C5-F12AD575045F}" name="Column9269" dataDxfId="14672" totalsRowDxfId="14671"/>
    <tableColumn id="9284" xr3:uid="{E5711DDC-93BE-45D9-8BEB-2AA63C5274D1}" name="Column9270" dataDxfId="14670" totalsRowDxfId="14669"/>
    <tableColumn id="9285" xr3:uid="{B5A28AB3-EC8E-4CF0-BF63-C96FCB26E083}" name="Column9271" dataDxfId="14668" totalsRowDxfId="14667"/>
    <tableColumn id="9286" xr3:uid="{BE00AF9C-AAD9-4B93-9679-B5DE5225E6A1}" name="Column9272" dataDxfId="14666" totalsRowDxfId="14665"/>
    <tableColumn id="9287" xr3:uid="{1BE0A126-6E3E-4906-8929-2D0A1FE51E57}" name="Column9273" dataDxfId="14664" totalsRowDxfId="14663"/>
    <tableColumn id="9288" xr3:uid="{8E485ED6-60FC-405C-A8DD-679483C70CA7}" name="Column9274" dataDxfId="14662" totalsRowDxfId="14661"/>
    <tableColumn id="9289" xr3:uid="{57A9CD3B-E117-4770-9376-3C4127A339ED}" name="Column9275" dataDxfId="14660" totalsRowDxfId="14659"/>
    <tableColumn id="9290" xr3:uid="{12F0DC36-9546-48B6-A940-A2395A06F0F8}" name="Column9276" dataDxfId="14658" totalsRowDxfId="14657"/>
    <tableColumn id="9291" xr3:uid="{3B7C7CCD-C192-427A-A131-59F31B70F385}" name="Column9277" dataDxfId="14656" totalsRowDxfId="14655"/>
    <tableColumn id="9292" xr3:uid="{E59A1560-9634-434D-83AC-639DC156C7FC}" name="Column9278" dataDxfId="14654" totalsRowDxfId="14653"/>
    <tableColumn id="9293" xr3:uid="{D7AFCC12-C3C4-45D0-8908-541C77B7C3C0}" name="Column9279" dataDxfId="14652" totalsRowDxfId="14651"/>
    <tableColumn id="9294" xr3:uid="{BFFBF776-8D43-4493-AE0E-2AA4C8D6CACC}" name="Column9280" dataDxfId="14650" totalsRowDxfId="14649"/>
    <tableColumn id="9295" xr3:uid="{A5A44EBC-1118-478D-868D-E069CBCC1106}" name="Column9281" dataDxfId="14648" totalsRowDxfId="14647"/>
    <tableColumn id="9296" xr3:uid="{56BBF4EA-6536-44DF-89CB-0B48139BD3A1}" name="Column9282" dataDxfId="14646" totalsRowDxfId="14645"/>
    <tableColumn id="9297" xr3:uid="{E0A7E9CD-D517-4235-99F9-01697090A402}" name="Column9283" dataDxfId="14644" totalsRowDxfId="14643"/>
    <tableColumn id="9298" xr3:uid="{E9CA3F7B-864E-40E5-BCF1-1F3A99956D4A}" name="Column9284" dataDxfId="14642" totalsRowDxfId="14641"/>
    <tableColumn id="9299" xr3:uid="{68CF35DE-6108-4F1E-9009-C05C45917F7D}" name="Column9285" dataDxfId="14640" totalsRowDxfId="14639"/>
    <tableColumn id="9300" xr3:uid="{641196CE-9B22-4EFC-A6E0-688E40B841A2}" name="Column9286" dataDxfId="14638" totalsRowDxfId="14637"/>
    <tableColumn id="9301" xr3:uid="{B2B6B001-996F-4522-90E3-018E64B078F7}" name="Column9287" dataDxfId="14636" totalsRowDxfId="14635"/>
    <tableColumn id="9302" xr3:uid="{A5ABF5F0-21E5-4BEE-AA09-EC7B3C16E603}" name="Column9288" dataDxfId="14634" totalsRowDxfId="14633"/>
    <tableColumn id="9303" xr3:uid="{18897F0F-DB56-4BFF-9EA7-9DCAC3125768}" name="Column9289" dataDxfId="14632" totalsRowDxfId="14631"/>
    <tableColumn id="9304" xr3:uid="{DC7928BA-F509-45FF-BDDE-C00B3A5B8643}" name="Column9290" dataDxfId="14630" totalsRowDxfId="14629"/>
    <tableColumn id="9305" xr3:uid="{D5FC7445-63B9-49E1-9E3B-7AF5C4BFCED0}" name="Column9291" dataDxfId="14628" totalsRowDxfId="14627"/>
    <tableColumn id="9306" xr3:uid="{67D31B24-6975-4C53-8BED-4E20086A667C}" name="Column9292" dataDxfId="14626" totalsRowDxfId="14625"/>
    <tableColumn id="9307" xr3:uid="{96D3A257-334E-4DC7-B73C-32492120EF7F}" name="Column9293" dataDxfId="14624" totalsRowDxfId="14623"/>
    <tableColumn id="9308" xr3:uid="{DFF19FE9-B488-4612-B1E3-5A3FA8AC3A69}" name="Column9294" dataDxfId="14622" totalsRowDxfId="14621"/>
    <tableColumn id="9309" xr3:uid="{D410AB7F-1EA0-4120-A256-921C9EAB2E89}" name="Column9295" dataDxfId="14620" totalsRowDxfId="14619"/>
    <tableColumn id="9310" xr3:uid="{8B74CE46-4F04-42DC-9201-23B7FFE2082E}" name="Column9296" dataDxfId="14618" totalsRowDxfId="14617"/>
    <tableColumn id="9311" xr3:uid="{7E69ACF0-406D-482D-AD32-973C78D95465}" name="Column9297" dataDxfId="14616" totalsRowDxfId="14615"/>
    <tableColumn id="9312" xr3:uid="{BCD5F0A1-59BE-44CE-963F-731F7984567A}" name="Column9298" dataDxfId="14614" totalsRowDxfId="14613"/>
    <tableColumn id="9313" xr3:uid="{851E195B-DBE6-4B36-9931-B5726FE8930F}" name="Column9299" dataDxfId="14612" totalsRowDxfId="14611"/>
    <tableColumn id="9314" xr3:uid="{287328DB-B880-4918-A845-AE89434D578D}" name="Column9300" dataDxfId="14610" totalsRowDxfId="14609"/>
    <tableColumn id="9315" xr3:uid="{E027DFB0-DA97-4216-901A-F3DCCE19B913}" name="Column9301" dataDxfId="14608" totalsRowDxfId="14607"/>
    <tableColumn id="9316" xr3:uid="{54AC0968-702E-4683-B8A8-DA0B1F5BF794}" name="Column9302" dataDxfId="14606" totalsRowDxfId="14605"/>
    <tableColumn id="9317" xr3:uid="{D0F9E2FD-C7C9-4642-A944-67ECD629D76C}" name="Column9303" dataDxfId="14604" totalsRowDxfId="14603"/>
    <tableColumn id="9318" xr3:uid="{585580BD-791E-4B9B-8DF4-D5C51BA9D2F1}" name="Column9304" dataDxfId="14602" totalsRowDxfId="14601"/>
    <tableColumn id="9319" xr3:uid="{1322D99F-0554-44B3-8EF4-C1F810CBBC98}" name="Column9305" dataDxfId="14600" totalsRowDxfId="14599"/>
    <tableColumn id="9320" xr3:uid="{A3452128-E5BC-4042-BAC8-8C0C04B29846}" name="Column9306" dataDxfId="14598" totalsRowDxfId="14597"/>
    <tableColumn id="9321" xr3:uid="{D9CE0956-4BEA-4FE4-BA6F-FC5344844AEA}" name="Column9307" dataDxfId="14596" totalsRowDxfId="14595"/>
    <tableColumn id="9322" xr3:uid="{90AE92C8-05D4-49FF-8AA4-667E29B6478C}" name="Column9308" dataDxfId="14594" totalsRowDxfId="14593"/>
    <tableColumn id="9323" xr3:uid="{A8E08B63-2521-4546-AE02-87FBD2796380}" name="Column9309" dataDxfId="14592" totalsRowDxfId="14591"/>
    <tableColumn id="9324" xr3:uid="{E6A7F9DF-53EA-42BA-AFFC-3EDD8A630004}" name="Column9310" dataDxfId="14590" totalsRowDxfId="14589"/>
    <tableColumn id="9325" xr3:uid="{597CCA47-298B-4948-8BA9-420255323F1E}" name="Column9311" dataDxfId="14588" totalsRowDxfId="14587"/>
    <tableColumn id="9326" xr3:uid="{928481B5-F947-46C8-B29B-0BA9882A0ABD}" name="Column9312" dataDxfId="14586" totalsRowDxfId="14585"/>
    <tableColumn id="9327" xr3:uid="{FC5273C4-F066-4803-99F5-17FC39EFCFD5}" name="Column9313" dataDxfId="14584" totalsRowDxfId="14583"/>
    <tableColumn id="9328" xr3:uid="{0129BA3A-10AF-4FAB-8AB7-F49089838F30}" name="Column9314" dataDxfId="14582" totalsRowDxfId="14581"/>
    <tableColumn id="9329" xr3:uid="{94BEBD43-AAF0-4102-8EA4-6DCB52577EFF}" name="Column9315" dataDxfId="14580" totalsRowDxfId="14579"/>
    <tableColumn id="9330" xr3:uid="{6CCDAB21-E98D-4196-AD1F-B0A15D2F1766}" name="Column9316" dataDxfId="14578" totalsRowDxfId="14577"/>
    <tableColumn id="9331" xr3:uid="{1163C063-031F-48BB-8F51-B4EC396082A7}" name="Column9317" dataDxfId="14576" totalsRowDxfId="14575"/>
    <tableColumn id="9332" xr3:uid="{6C24856A-48EA-4155-9BDD-B96E4A3849A7}" name="Column9318" dataDxfId="14574" totalsRowDxfId="14573"/>
    <tableColumn id="9333" xr3:uid="{905A27C4-19CC-4E13-BD23-45E3A2772320}" name="Column9319" dataDxfId="14572" totalsRowDxfId="14571"/>
    <tableColumn id="9334" xr3:uid="{9E0D9450-860E-4EAB-91D4-57D8848DC619}" name="Column9320" dataDxfId="14570" totalsRowDxfId="14569"/>
    <tableColumn id="9335" xr3:uid="{A8428FE0-F69B-4380-9E07-8B3E082055F0}" name="Column9321" dataDxfId="14568" totalsRowDxfId="14567"/>
    <tableColumn id="9336" xr3:uid="{807A2F6B-ECAA-4308-8D8B-5E46E16D18BC}" name="Column9322" dataDxfId="14566" totalsRowDxfId="14565"/>
    <tableColumn id="9337" xr3:uid="{7C7FDB3C-3DF0-43EE-94C5-0C4E6B33782D}" name="Column9323" dataDxfId="14564" totalsRowDxfId="14563"/>
    <tableColumn id="9338" xr3:uid="{F2D1C357-DACE-4A61-BF21-A0CB5747B27F}" name="Column9324" dataDxfId="14562" totalsRowDxfId="14561"/>
    <tableColumn id="9339" xr3:uid="{30B31027-C8A5-4E43-89F7-8CA14B9C9008}" name="Column9325" dataDxfId="14560" totalsRowDxfId="14559"/>
    <tableColumn id="9340" xr3:uid="{1C74FA0A-80FA-4019-9278-2B05DE5DC98F}" name="Column9326" dataDxfId="14558" totalsRowDxfId="14557"/>
    <tableColumn id="9341" xr3:uid="{9798C35A-84A9-45B2-93A7-511ED7A199BA}" name="Column9327" dataDxfId="14556" totalsRowDxfId="14555"/>
    <tableColumn id="9342" xr3:uid="{1B059C1A-3A63-40A3-A013-352BAD6F19AA}" name="Column9328" dataDxfId="14554" totalsRowDxfId="14553"/>
    <tableColumn id="9343" xr3:uid="{EDEF4896-AD5C-482D-AF49-56DB58980AC8}" name="Column9329" dataDxfId="14552" totalsRowDxfId="14551"/>
    <tableColumn id="9344" xr3:uid="{816DCE4B-8F5F-4927-BD56-6C7F76A14027}" name="Column9330" dataDxfId="14550" totalsRowDxfId="14549"/>
    <tableColumn id="9345" xr3:uid="{3C26556B-DB65-4D83-A3F4-42FDF45BF7A4}" name="Column9331" dataDxfId="14548" totalsRowDxfId="14547"/>
    <tableColumn id="9346" xr3:uid="{B99232E0-038E-4E30-ABF5-91790DB90E0A}" name="Column9332" dataDxfId="14546" totalsRowDxfId="14545"/>
    <tableColumn id="9347" xr3:uid="{0FB588DF-AE95-4B2D-A195-3BE3A5480DB0}" name="Column9333" dataDxfId="14544" totalsRowDxfId="14543"/>
    <tableColumn id="9348" xr3:uid="{B0AD0835-0CF0-4B0F-BC57-4604070D8D47}" name="Column9334" dataDxfId="14542" totalsRowDxfId="14541"/>
    <tableColumn id="9349" xr3:uid="{2092DB7C-2C78-4EAB-8B8B-8B62B886B532}" name="Column9335" dataDxfId="14540" totalsRowDxfId="14539"/>
    <tableColumn id="9350" xr3:uid="{D7088A59-8230-48E7-B78E-2EDDE9430DA3}" name="Column9336" dataDxfId="14538" totalsRowDxfId="14537"/>
    <tableColumn id="9351" xr3:uid="{451CB9E6-EFEC-4F90-86F2-69CE9C268FDA}" name="Column9337" dataDxfId="14536" totalsRowDxfId="14535"/>
    <tableColumn id="9352" xr3:uid="{C3D5666E-2985-4A1A-BAEE-A1CACAA37221}" name="Column9338" dataDxfId="14534" totalsRowDxfId="14533"/>
    <tableColumn id="9353" xr3:uid="{6107C013-991C-4EC4-B182-D39D1E170D88}" name="Column9339" dataDxfId="14532" totalsRowDxfId="14531"/>
    <tableColumn id="9354" xr3:uid="{CB414CE7-43EF-4CDA-A226-70C71FF55632}" name="Column9340" dataDxfId="14530" totalsRowDxfId="14529"/>
    <tableColumn id="9355" xr3:uid="{F841633D-1803-482E-B5DB-7085CEA9E654}" name="Column9341" dataDxfId="14528" totalsRowDxfId="14527"/>
    <tableColumn id="9356" xr3:uid="{A49302ED-5EB9-4DA1-A74C-D0054E840A0F}" name="Column9342" dataDxfId="14526" totalsRowDxfId="14525"/>
    <tableColumn id="9357" xr3:uid="{0227EAC6-2524-4786-BF97-4FAA94A1B32B}" name="Column9343" dataDxfId="14524" totalsRowDxfId="14523"/>
    <tableColumn id="9358" xr3:uid="{1286E6EB-5C32-42D1-AA10-73E6DEC60701}" name="Column9344" dataDxfId="14522" totalsRowDxfId="14521"/>
    <tableColumn id="9359" xr3:uid="{1EEA5FAA-523A-473B-AC3E-BA0411B9F777}" name="Column9345" dataDxfId="14520" totalsRowDxfId="14519"/>
    <tableColumn id="9360" xr3:uid="{AE4FA254-7A65-470E-A905-A64F11264F3A}" name="Column9346" dataDxfId="14518" totalsRowDxfId="14517"/>
    <tableColumn id="9361" xr3:uid="{616F5469-A61C-4520-B2AB-A34A0A9F81B4}" name="Column9347" dataDxfId="14516" totalsRowDxfId="14515"/>
    <tableColumn id="9362" xr3:uid="{01AE0D18-EACA-43B1-802E-D1E451E26E40}" name="Column9348" dataDxfId="14514" totalsRowDxfId="14513"/>
    <tableColumn id="9363" xr3:uid="{84477128-4516-420E-9DAF-B0F75F6A0167}" name="Column9349" dataDxfId="14512" totalsRowDxfId="14511"/>
    <tableColumn id="9364" xr3:uid="{A3EC6EFA-6232-431A-A046-AAC03005AA1C}" name="Column9350" dataDxfId="14510" totalsRowDxfId="14509"/>
    <tableColumn id="9365" xr3:uid="{E04BF677-141B-4275-BBBB-475EB3C3AB3D}" name="Column9351" dataDxfId="14508" totalsRowDxfId="14507"/>
    <tableColumn id="9366" xr3:uid="{263CABEA-88E4-4CDD-BEFF-49A2161D4EB3}" name="Column9352" dataDxfId="14506" totalsRowDxfId="14505"/>
    <tableColumn id="9367" xr3:uid="{8F52D5C5-5ADD-4C9F-8206-F2A213E37B5A}" name="Column9353" dataDxfId="14504" totalsRowDxfId="14503"/>
    <tableColumn id="9368" xr3:uid="{2D4A5423-CB49-46F5-9AB8-9D6EB749BAB3}" name="Column9354" dataDxfId="14502" totalsRowDxfId="14501"/>
    <tableColumn id="9369" xr3:uid="{2320C7B9-26ED-4BB3-B1E4-35055E021CD1}" name="Column9355" dataDxfId="14500" totalsRowDxfId="14499"/>
    <tableColumn id="9370" xr3:uid="{3D163350-A9E4-4575-A077-ACF76E9D9F9C}" name="Column9356" dataDxfId="14498" totalsRowDxfId="14497"/>
    <tableColumn id="9371" xr3:uid="{0ED5E2AE-E2AF-4D9B-916C-19EF9645CD0E}" name="Column9357" dataDxfId="14496" totalsRowDxfId="14495"/>
    <tableColumn id="9372" xr3:uid="{D0368814-2393-4751-A06D-BE6BF021EED7}" name="Column9358" dataDxfId="14494" totalsRowDxfId="14493"/>
    <tableColumn id="9373" xr3:uid="{11DCE869-0E67-4960-AB10-7BA699F73330}" name="Column9359" dataDxfId="14492" totalsRowDxfId="14491"/>
    <tableColumn id="9374" xr3:uid="{61FAB003-4120-4A43-B200-5950DAF84C4F}" name="Column9360" dataDxfId="14490" totalsRowDxfId="14489"/>
    <tableColumn id="9375" xr3:uid="{BDD25BDE-2627-453C-B394-550FC9842754}" name="Column9361" dataDxfId="14488" totalsRowDxfId="14487"/>
    <tableColumn id="9376" xr3:uid="{EA5863ED-2D85-4309-8AB1-AF8C9C8FE9AD}" name="Column9362" dataDxfId="14486" totalsRowDxfId="14485"/>
    <tableColumn id="9377" xr3:uid="{F85F4FB4-2361-4B2C-AC43-A4AA086CD766}" name="Column9363" dataDxfId="14484" totalsRowDxfId="14483"/>
    <tableColumn id="9378" xr3:uid="{CB023784-7738-4FA0-852E-3BE5F56902B6}" name="Column9364" dataDxfId="14482" totalsRowDxfId="14481"/>
    <tableColumn id="9379" xr3:uid="{905BA2D3-D62D-4EFC-AEE3-84743FD57347}" name="Column9365" dataDxfId="14480" totalsRowDxfId="14479"/>
    <tableColumn id="9380" xr3:uid="{4D55EC3A-5338-48F6-B31C-4D48D74B4C08}" name="Column9366" dataDxfId="14478" totalsRowDxfId="14477"/>
    <tableColumn id="9381" xr3:uid="{5B644792-724D-415D-BDBE-785924009C53}" name="Column9367" dataDxfId="14476" totalsRowDxfId="14475"/>
    <tableColumn id="9382" xr3:uid="{470C18E1-EC1C-4C9F-B2E8-606A8F7AB914}" name="Column9368" dataDxfId="14474" totalsRowDxfId="14473"/>
    <tableColumn id="9383" xr3:uid="{5FA10B8A-5A0B-40A7-BD6E-DFFB846021F5}" name="Column9369" dataDxfId="14472" totalsRowDxfId="14471"/>
    <tableColumn id="9384" xr3:uid="{40130F51-C901-4029-9E86-5A4D246AC79C}" name="Column9370" dataDxfId="14470" totalsRowDxfId="14469"/>
    <tableColumn id="9385" xr3:uid="{D6B3A451-3D68-4473-91DF-64FEA02F7B09}" name="Column9371" dataDxfId="14468" totalsRowDxfId="14467"/>
    <tableColumn id="9386" xr3:uid="{C119D5C9-5855-4887-9571-E1F4F7063C32}" name="Column9372" dataDxfId="14466" totalsRowDxfId="14465"/>
    <tableColumn id="9387" xr3:uid="{E009F60D-C7F9-4DAF-A30C-8D94FEE7ED99}" name="Column9373" dataDxfId="14464" totalsRowDxfId="14463"/>
    <tableColumn id="9388" xr3:uid="{1E0DC565-73C7-4686-9225-78CD771B32AB}" name="Column9374" dataDxfId="14462" totalsRowDxfId="14461"/>
    <tableColumn id="9389" xr3:uid="{305A808B-C9FE-4549-A013-1608EA91DFF3}" name="Column9375" dataDxfId="14460" totalsRowDxfId="14459"/>
    <tableColumn id="9390" xr3:uid="{C0AD4FD9-17ED-4D5A-9EFA-912855B02638}" name="Column9376" dataDxfId="14458" totalsRowDxfId="14457"/>
    <tableColumn id="9391" xr3:uid="{D6A6E43C-998C-4CE9-9AF3-528D07CC775D}" name="Column9377" dataDxfId="14456" totalsRowDxfId="14455"/>
    <tableColumn id="9392" xr3:uid="{E462FDFB-E9FA-4AA4-9878-A2638062F7AD}" name="Column9378" dataDxfId="14454" totalsRowDxfId="14453"/>
    <tableColumn id="9393" xr3:uid="{32FE502C-575E-4B87-AD8C-8C197406DD98}" name="Column9379" dataDxfId="14452" totalsRowDxfId="14451"/>
    <tableColumn id="9394" xr3:uid="{39AFB88E-162E-47E7-8FA9-5053C72C86E9}" name="Column9380" dataDxfId="14450" totalsRowDxfId="14449"/>
    <tableColumn id="9395" xr3:uid="{DBBE0A27-3FF5-426F-A022-5B94CC287BF4}" name="Column9381" dataDxfId="14448" totalsRowDxfId="14447"/>
    <tableColumn id="9396" xr3:uid="{67D8C9CC-EFA2-4127-815B-F25B875D21E6}" name="Column9382" dataDxfId="14446" totalsRowDxfId="14445"/>
    <tableColumn id="9397" xr3:uid="{50FE8628-949C-417F-843A-1574ACA2234C}" name="Column9383" dataDxfId="14444" totalsRowDxfId="14443"/>
    <tableColumn id="9398" xr3:uid="{C15A24F3-7DEE-438F-8BE1-DDA14486E4E3}" name="Column9384" dataDxfId="14442" totalsRowDxfId="14441"/>
    <tableColumn id="9399" xr3:uid="{787B8AF8-332D-44C5-8CA3-0B7D73BD336F}" name="Column9385" dataDxfId="14440" totalsRowDxfId="14439"/>
    <tableColumn id="9400" xr3:uid="{1467E4AE-E4A0-4AB4-912C-981692685805}" name="Column9386" dataDxfId="14438" totalsRowDxfId="14437"/>
    <tableColumn id="9401" xr3:uid="{001D140F-199A-4DF5-90A4-994F793CF3BF}" name="Column9387" dataDxfId="14436" totalsRowDxfId="14435"/>
    <tableColumn id="9402" xr3:uid="{F777D094-49E6-4F40-9565-00F0FF4F9D88}" name="Column9388" dataDxfId="14434" totalsRowDxfId="14433"/>
    <tableColumn id="9403" xr3:uid="{C3AE6D0A-4062-471B-85DB-59E70CE72D7D}" name="Column9389" dataDxfId="14432" totalsRowDxfId="14431"/>
    <tableColumn id="9404" xr3:uid="{46C40226-0E98-4510-97A2-85486AD09E9D}" name="Column9390" dataDxfId="14430" totalsRowDxfId="14429"/>
    <tableColumn id="9405" xr3:uid="{9DE829CE-C24B-4FBB-ACB4-8BE9182B9266}" name="Column9391" dataDxfId="14428" totalsRowDxfId="14427"/>
    <tableColumn id="9406" xr3:uid="{E3888395-9D3F-4DB9-B50C-C424360B6667}" name="Column9392" dataDxfId="14426" totalsRowDxfId="14425"/>
    <tableColumn id="9407" xr3:uid="{C39ED330-4E7E-4807-A843-E7E7F22453B2}" name="Column9393" dataDxfId="14424" totalsRowDxfId="14423"/>
    <tableColumn id="9408" xr3:uid="{A8BB73F7-790C-49B5-809F-3E4D06A1D18B}" name="Column9394" dataDxfId="14422" totalsRowDxfId="14421"/>
    <tableColumn id="9409" xr3:uid="{A269D2B0-2A55-4CE0-9DA1-246E4A4C0CF0}" name="Column9395" dataDxfId="14420" totalsRowDxfId="14419"/>
    <tableColumn id="9410" xr3:uid="{88B23424-6868-4210-BC6E-BCF8070A7F94}" name="Column9396" dataDxfId="14418" totalsRowDxfId="14417"/>
    <tableColumn id="9411" xr3:uid="{2A243F30-4D1F-4339-86FA-E818AC6D524E}" name="Column9397" dataDxfId="14416" totalsRowDxfId="14415"/>
    <tableColumn id="9412" xr3:uid="{358B66FB-9873-453F-A58A-B0BAB7F67DC5}" name="Column9398" dataDxfId="14414" totalsRowDxfId="14413"/>
    <tableColumn id="9413" xr3:uid="{766E9AAE-391A-48F8-BB9C-0FF9CD736138}" name="Column9399" dataDxfId="14412" totalsRowDxfId="14411"/>
    <tableColumn id="9414" xr3:uid="{59119C80-02E7-45B6-A05E-82E40E23E21F}" name="Column9400" dataDxfId="14410" totalsRowDxfId="14409"/>
    <tableColumn id="9415" xr3:uid="{317F0A40-41DD-4100-ADBF-F059D235052F}" name="Column9401" dataDxfId="14408" totalsRowDxfId="14407"/>
    <tableColumn id="9416" xr3:uid="{45100B40-42DC-460C-BD4D-F75017D658F9}" name="Column9402" dataDxfId="14406" totalsRowDxfId="14405"/>
    <tableColumn id="9417" xr3:uid="{30300ED5-6F51-4826-A7A1-591DE8F6CFAB}" name="Column9403" dataDxfId="14404" totalsRowDxfId="14403"/>
    <tableColumn id="9418" xr3:uid="{59767FF4-ECC8-4A59-85DD-329000DFF7A6}" name="Column9404" dataDxfId="14402" totalsRowDxfId="14401"/>
    <tableColumn id="9419" xr3:uid="{EFD7F5A0-1BE0-4862-98DF-6CCD52208D76}" name="Column9405" dataDxfId="14400" totalsRowDxfId="14399"/>
    <tableColumn id="9420" xr3:uid="{2A2A2BE3-D47B-4F03-B880-F7A80C45FDE1}" name="Column9406" dataDxfId="14398" totalsRowDxfId="14397"/>
    <tableColumn id="9421" xr3:uid="{686A1B08-2F5E-498B-B5F2-72EC4AE077AD}" name="Column9407" dataDxfId="14396" totalsRowDxfId="14395"/>
    <tableColumn id="9422" xr3:uid="{D91BDBFA-2763-4BE3-939A-DB19C3207303}" name="Column9408" dataDxfId="14394" totalsRowDxfId="14393"/>
    <tableColumn id="9423" xr3:uid="{BA20FF96-9B32-4796-974F-68001D77AAEA}" name="Column9409" dataDxfId="14392" totalsRowDxfId="14391"/>
    <tableColumn id="9424" xr3:uid="{A988F372-B56F-461D-8FF1-E54E3577D5F2}" name="Column9410" dataDxfId="14390" totalsRowDxfId="14389"/>
    <tableColumn id="9425" xr3:uid="{2787CC14-3AEE-424B-963B-B0C887869249}" name="Column9411" dataDxfId="14388" totalsRowDxfId="14387"/>
    <tableColumn id="9426" xr3:uid="{76D06785-639A-4FF4-9D13-EFEA8A8B30BA}" name="Column9412" dataDxfId="14386" totalsRowDxfId="14385"/>
    <tableColumn id="9427" xr3:uid="{25C2CBCF-FCDE-4741-A4BA-D907B8A569ED}" name="Column9413" dataDxfId="14384" totalsRowDxfId="14383"/>
    <tableColumn id="9428" xr3:uid="{A1022D55-C26F-426F-B930-CF094AE0CACC}" name="Column9414" dataDxfId="14382" totalsRowDxfId="14381"/>
    <tableColumn id="9429" xr3:uid="{66B92787-3BEE-4E9C-A6EB-B3F3A3B8ED26}" name="Column9415" dataDxfId="14380" totalsRowDxfId="14379"/>
    <tableColumn id="9430" xr3:uid="{207A341E-8F1A-4EFF-841D-52CB6B7A6A2E}" name="Column9416" dataDxfId="14378" totalsRowDxfId="14377"/>
    <tableColumn id="9431" xr3:uid="{EF73769A-538B-4F7E-BB3D-7BD8DADFDE7F}" name="Column9417" dataDxfId="14376" totalsRowDxfId="14375"/>
    <tableColumn id="9432" xr3:uid="{279D551F-D83A-4285-91B5-26B68F2688C6}" name="Column9418" dataDxfId="14374" totalsRowDxfId="14373"/>
    <tableColumn id="9433" xr3:uid="{270D5A97-9E72-471A-8AAE-0F041C087789}" name="Column9419" dataDxfId="14372" totalsRowDxfId="14371"/>
    <tableColumn id="9434" xr3:uid="{4DDDC9EA-37CC-4A3E-A47C-CE301AEB2D08}" name="Column9420" dataDxfId="14370" totalsRowDxfId="14369"/>
    <tableColumn id="9435" xr3:uid="{275FC080-0AB8-4D7E-AB96-224E453E460A}" name="Column9421" dataDxfId="14368" totalsRowDxfId="14367"/>
    <tableColumn id="9436" xr3:uid="{FF56ACAE-4B2F-4CD4-8598-701E6F337CFF}" name="Column9422" dataDxfId="14366" totalsRowDxfId="14365"/>
    <tableColumn id="9437" xr3:uid="{9EA54E1A-A4A6-46F0-AD80-14CAA3A08F85}" name="Column9423" dataDxfId="14364" totalsRowDxfId="14363"/>
    <tableColumn id="9438" xr3:uid="{8B16699A-0F0A-491B-8EE6-2E0A31C811B5}" name="Column9424" dataDxfId="14362" totalsRowDxfId="14361"/>
    <tableColumn id="9439" xr3:uid="{45AEA6F4-E230-40B5-B1C0-DD964A094401}" name="Column9425" dataDxfId="14360" totalsRowDxfId="14359"/>
    <tableColumn id="9440" xr3:uid="{C2DFA9F4-B4C8-4BA8-8790-A1D5B2CD34B2}" name="Column9426" dataDxfId="14358" totalsRowDxfId="14357"/>
    <tableColumn id="9441" xr3:uid="{00D35241-CC14-41E8-B751-375F814F67CE}" name="Column9427" dataDxfId="14356" totalsRowDxfId="14355"/>
    <tableColumn id="9442" xr3:uid="{F069C539-5AD2-4E7E-BE80-F5F76D3C08FC}" name="Column9428" dataDxfId="14354" totalsRowDxfId="14353"/>
    <tableColumn id="9443" xr3:uid="{388302A0-1FF8-43AB-9DBD-6CCB5542EB0A}" name="Column9429" dataDxfId="14352" totalsRowDxfId="14351"/>
    <tableColumn id="9444" xr3:uid="{10F6DCC9-DA77-4528-AF4F-A9B488B3E902}" name="Column9430" dataDxfId="14350" totalsRowDxfId="14349"/>
    <tableColumn id="9445" xr3:uid="{0FD43410-78A4-4B28-B472-D2941715D438}" name="Column9431" dataDxfId="14348" totalsRowDxfId="14347"/>
    <tableColumn id="9446" xr3:uid="{9D581748-1EB3-4A21-89FF-6370A3CEB3B7}" name="Column9432" dataDxfId="14346" totalsRowDxfId="14345"/>
    <tableColumn id="9447" xr3:uid="{CD902140-4705-486C-AAA9-48021DA1E333}" name="Column9433" dataDxfId="14344" totalsRowDxfId="14343"/>
    <tableColumn id="9448" xr3:uid="{5FA6FECC-B6CB-42C0-A49B-A4BAB538BB9C}" name="Column9434" dataDxfId="14342" totalsRowDxfId="14341"/>
    <tableColumn id="9449" xr3:uid="{2000FF35-424F-4074-914A-E15C1FBB8ACE}" name="Column9435" dataDxfId="14340" totalsRowDxfId="14339"/>
    <tableColumn id="9450" xr3:uid="{4C5DB1BF-B917-46EF-A9DD-5D3F21BE4739}" name="Column9436" dataDxfId="14338" totalsRowDxfId="14337"/>
    <tableColumn id="9451" xr3:uid="{B2D865D1-68F9-452E-BB2E-64BC7F81BD6B}" name="Column9437" dataDxfId="14336" totalsRowDxfId="14335"/>
    <tableColumn id="9452" xr3:uid="{E50788B9-7B84-4A49-B20C-AB67B38F4C7A}" name="Column9438" dataDxfId="14334" totalsRowDxfId="14333"/>
    <tableColumn id="9453" xr3:uid="{6AAC9DAA-370F-4494-A696-145CB0BACE34}" name="Column9439" dataDxfId="14332" totalsRowDxfId="14331"/>
    <tableColumn id="9454" xr3:uid="{A7E7C55C-E42B-4F41-A2C1-6701375607CA}" name="Column9440" dataDxfId="14330" totalsRowDxfId="14329"/>
    <tableColumn id="9455" xr3:uid="{1F8EDBEF-C820-43CE-8C1A-9950867952AC}" name="Column9441" dataDxfId="14328" totalsRowDxfId="14327"/>
    <tableColumn id="9456" xr3:uid="{41A6FA55-4980-488A-81C0-55428A2D4553}" name="Column9442" dataDxfId="14326" totalsRowDxfId="14325"/>
    <tableColumn id="9457" xr3:uid="{3C6C4EBE-9FCC-4C29-AD99-B398290A7D66}" name="Column9443" dataDxfId="14324" totalsRowDxfId="14323"/>
    <tableColumn id="9458" xr3:uid="{EF44C679-C609-41AA-9B2A-285A6C12E26A}" name="Column9444" dataDxfId="14322" totalsRowDxfId="14321"/>
    <tableColumn id="9459" xr3:uid="{7649BE64-92A5-41DB-B54D-6133890D74AC}" name="Column9445" dataDxfId="14320" totalsRowDxfId="14319"/>
    <tableColumn id="9460" xr3:uid="{151A5449-0D56-45EC-A5F2-08358C095290}" name="Column9446" dataDxfId="14318" totalsRowDxfId="14317"/>
    <tableColumn id="9461" xr3:uid="{B97C1F0D-58B8-4887-99D1-F45C793F9B4F}" name="Column9447" dataDxfId="14316" totalsRowDxfId="14315"/>
    <tableColumn id="9462" xr3:uid="{3A4372A6-57AD-47B9-B2DD-5287E6662A82}" name="Column9448" dataDxfId="14314" totalsRowDxfId="14313"/>
    <tableColumn id="9463" xr3:uid="{D61B8252-F1D4-405C-897F-B8A3037A8B12}" name="Column9449" dataDxfId="14312" totalsRowDxfId="14311"/>
    <tableColumn id="9464" xr3:uid="{21E93C2B-878C-4D98-BB28-D9694C564C72}" name="Column9450" dataDxfId="14310" totalsRowDxfId="14309"/>
    <tableColumn id="9465" xr3:uid="{00659467-468F-488F-878E-02B2D0DF5A54}" name="Column9451" dataDxfId="14308" totalsRowDxfId="14307"/>
    <tableColumn id="9466" xr3:uid="{A180ED91-C913-45C2-AC92-4546D924D8D8}" name="Column9452" dataDxfId="14306" totalsRowDxfId="14305"/>
    <tableColumn id="9467" xr3:uid="{1C517D99-1C2A-4180-B454-61D42B83D4E4}" name="Column9453" dataDxfId="14304" totalsRowDxfId="14303"/>
    <tableColumn id="9468" xr3:uid="{0D837544-D24B-4506-AC2F-21851569C3B8}" name="Column9454" dataDxfId="14302" totalsRowDxfId="14301"/>
    <tableColumn id="9469" xr3:uid="{89BBC029-A2B4-4894-8A0A-AA6C4AC1CAA5}" name="Column9455" dataDxfId="14300" totalsRowDxfId="14299"/>
    <tableColumn id="9470" xr3:uid="{2D338768-C832-4126-9495-6AFD8A4825E5}" name="Column9456" dataDxfId="14298" totalsRowDxfId="14297"/>
    <tableColumn id="9471" xr3:uid="{3F8AA708-9528-4C90-9DA0-2A3CC502B905}" name="Column9457" dataDxfId="14296" totalsRowDxfId="14295"/>
    <tableColumn id="9472" xr3:uid="{3A3664D8-3D1B-441B-B678-15CCDAE231F2}" name="Column9458" dataDxfId="14294" totalsRowDxfId="14293"/>
    <tableColumn id="9473" xr3:uid="{6EC3B661-B029-491F-B27A-59F547F86A3D}" name="Column9459" dataDxfId="14292" totalsRowDxfId="14291"/>
    <tableColumn id="9474" xr3:uid="{169644B8-3513-4B6A-BA9F-A65B8B0DBBFB}" name="Column9460" dataDxfId="14290" totalsRowDxfId="14289"/>
    <tableColumn id="9475" xr3:uid="{45978041-9D5E-48B8-8137-247C92EEEA0E}" name="Column9461" dataDxfId="14288" totalsRowDxfId="14287"/>
    <tableColumn id="9476" xr3:uid="{C7473E30-FAB5-424C-BDBB-FFDB7FDD66F4}" name="Column9462" dataDxfId="14286" totalsRowDxfId="14285"/>
    <tableColumn id="9477" xr3:uid="{38082306-298D-4BA7-AF8F-ABBE851E3095}" name="Column9463" dataDxfId="14284" totalsRowDxfId="14283"/>
    <tableColumn id="9478" xr3:uid="{1C16A50C-E3E5-4821-B84D-98819247BEDB}" name="Column9464" dataDxfId="14282" totalsRowDxfId="14281"/>
    <tableColumn id="9479" xr3:uid="{D6F7864F-16F1-46DD-919D-771089366EBA}" name="Column9465" dataDxfId="14280" totalsRowDxfId="14279"/>
    <tableColumn id="9480" xr3:uid="{0A07EE30-15DE-42F8-9A50-B4D11B2D1BFC}" name="Column9466" dataDxfId="14278" totalsRowDxfId="14277"/>
    <tableColumn id="9481" xr3:uid="{BC672ECC-B64B-4C27-96E8-E7321E16EB84}" name="Column9467" dataDxfId="14276" totalsRowDxfId="14275"/>
    <tableColumn id="9482" xr3:uid="{2E8F8551-65C1-427E-A14A-FD4149CB0488}" name="Column9468" dataDxfId="14274" totalsRowDxfId="14273"/>
    <tableColumn id="9483" xr3:uid="{885AE55F-3380-4A31-AEE6-3E8B64F64D85}" name="Column9469" dataDxfId="14272" totalsRowDxfId="14271"/>
    <tableColumn id="9484" xr3:uid="{430C0C7A-21F6-47FE-B4F2-B7728D56A90E}" name="Column9470" dataDxfId="14270" totalsRowDxfId="14269"/>
    <tableColumn id="9485" xr3:uid="{A48A2F10-BFF2-46C9-9385-1ADE9371044A}" name="Column9471" dataDxfId="14268" totalsRowDxfId="14267"/>
    <tableColumn id="9486" xr3:uid="{DE51A4A3-29F0-4C11-BD13-99D5212B8851}" name="Column9472" dataDxfId="14266" totalsRowDxfId="14265"/>
    <tableColumn id="9487" xr3:uid="{BA3494C3-4FB2-493E-828A-F336BC7950B0}" name="Column9473" dataDxfId="14264" totalsRowDxfId="14263"/>
    <tableColumn id="9488" xr3:uid="{46CEC59F-5BBA-4A9C-BC77-E8F86C20C2A2}" name="Column9474" dataDxfId="14262" totalsRowDxfId="14261"/>
    <tableColumn id="9489" xr3:uid="{F1D4BA66-495A-40B1-B647-FAAEAA3721B3}" name="Column9475" dataDxfId="14260" totalsRowDxfId="14259"/>
    <tableColumn id="9490" xr3:uid="{40B6E35E-B89D-466C-AF01-F32D68A74027}" name="Column9476" dataDxfId="14258" totalsRowDxfId="14257"/>
    <tableColumn id="9491" xr3:uid="{2F504D41-4268-48B8-8117-EFF55FB629EC}" name="Column9477" dataDxfId="14256" totalsRowDxfId="14255"/>
    <tableColumn id="9492" xr3:uid="{6B64C098-D82A-4C81-9981-61F2020C3AC8}" name="Column9478" dataDxfId="14254" totalsRowDxfId="14253"/>
    <tableColumn id="9493" xr3:uid="{77A21E95-0D3E-4D99-8DB4-93DB2C496386}" name="Column9479" dataDxfId="14252" totalsRowDxfId="14251"/>
    <tableColumn id="9494" xr3:uid="{0BD2076E-AC46-44AF-A810-90EEB6C2733A}" name="Column9480" dataDxfId="14250" totalsRowDxfId="14249"/>
    <tableColumn id="9495" xr3:uid="{BAF85C2B-01D1-424C-9AFA-233C4D186B6A}" name="Column9481" dataDxfId="14248" totalsRowDxfId="14247"/>
    <tableColumn id="9496" xr3:uid="{68BF6BCF-AD75-4023-932B-820D4B704078}" name="Column9482" dataDxfId="14246" totalsRowDxfId="14245"/>
    <tableColumn id="9497" xr3:uid="{E1199607-F3CB-43CF-9FEC-A092B7FD02E6}" name="Column9483" dataDxfId="14244" totalsRowDxfId="14243"/>
    <tableColumn id="9498" xr3:uid="{F1304368-7598-439E-BACE-58016E5DFCD6}" name="Column9484" dataDxfId="14242" totalsRowDxfId="14241"/>
    <tableColumn id="9499" xr3:uid="{20F47DEA-ADF2-4B91-AFBE-E55DC03D7989}" name="Column9485" dataDxfId="14240" totalsRowDxfId="14239"/>
    <tableColumn id="9500" xr3:uid="{CBF903BE-4005-4798-8D85-ADFAEB1A14B2}" name="Column9486" dataDxfId="14238" totalsRowDxfId="14237"/>
    <tableColumn id="9501" xr3:uid="{F1BBB039-664F-4CAF-A546-9E9594562438}" name="Column9487" dataDxfId="14236" totalsRowDxfId="14235"/>
    <tableColumn id="9502" xr3:uid="{9CEB0F7B-A7F2-40FE-8483-8CA51B570F94}" name="Column9488" dataDxfId="14234" totalsRowDxfId="14233"/>
    <tableColumn id="9503" xr3:uid="{D4B46E56-2937-48BC-8D10-4E162AE4892C}" name="Column9489" dataDxfId="14232" totalsRowDxfId="14231"/>
    <tableColumn id="9504" xr3:uid="{042B1DCB-6457-4150-97E3-0D4B4A9568EC}" name="Column9490" dataDxfId="14230" totalsRowDxfId="14229"/>
    <tableColumn id="9505" xr3:uid="{FA44D4D9-7AB4-46EA-AD16-E5577116D97A}" name="Column9491" dataDxfId="14228" totalsRowDxfId="14227"/>
    <tableColumn id="9506" xr3:uid="{5E6F5A57-3958-4D7E-B167-301E9D0922F5}" name="Column9492" dataDxfId="14226" totalsRowDxfId="14225"/>
    <tableColumn id="9507" xr3:uid="{D2A999F5-8EA1-4179-8482-14D1B03606FF}" name="Column9493" dataDxfId="14224" totalsRowDxfId="14223"/>
    <tableColumn id="9508" xr3:uid="{64DD40B5-43FE-4236-91E3-D333077DC691}" name="Column9494" dataDxfId="14222" totalsRowDxfId="14221"/>
    <tableColumn id="9509" xr3:uid="{759EEE44-CB61-4035-A0DD-C33433874103}" name="Column9495" dataDxfId="14220" totalsRowDxfId="14219"/>
    <tableColumn id="9510" xr3:uid="{61C07A53-B142-49F4-B1C0-EF515C37F067}" name="Column9496" dataDxfId="14218" totalsRowDxfId="14217"/>
    <tableColumn id="9511" xr3:uid="{92035DAB-6B90-43A7-9B54-718C9AE47D65}" name="Column9497" dataDxfId="14216" totalsRowDxfId="14215"/>
    <tableColumn id="9512" xr3:uid="{53C2F7DD-01A2-409B-B216-05F24375429A}" name="Column9498" dataDxfId="14214" totalsRowDxfId="14213"/>
    <tableColumn id="9513" xr3:uid="{E62A62F9-1C6D-4B70-85CA-ECECF840B75E}" name="Column9499" dataDxfId="14212" totalsRowDxfId="14211"/>
    <tableColumn id="9514" xr3:uid="{D0A1B12D-92A2-4C71-B5DC-AD9A6AB2831A}" name="Column9500" dataDxfId="14210" totalsRowDxfId="14209"/>
    <tableColumn id="9515" xr3:uid="{94A1339C-F666-433D-8B47-CC095837C4E8}" name="Column9501" dataDxfId="14208" totalsRowDxfId="14207"/>
    <tableColumn id="9516" xr3:uid="{10A4E931-D6EC-407F-8A85-1F26ED25C1EA}" name="Column9502" dataDxfId="14206" totalsRowDxfId="14205"/>
    <tableColumn id="9517" xr3:uid="{AF75A60C-DB08-45CB-86C9-C2B9257FBA06}" name="Column9503" dataDxfId="14204" totalsRowDxfId="14203"/>
    <tableColumn id="9518" xr3:uid="{B1CC7C97-9698-4BA6-BD95-EE737AB5143E}" name="Column9504" dataDxfId="14202" totalsRowDxfId="14201"/>
    <tableColumn id="9519" xr3:uid="{733A9905-FDB2-4FB7-87FB-90CD0DEEC5A5}" name="Column9505" dataDxfId="14200" totalsRowDxfId="14199"/>
    <tableColumn id="9520" xr3:uid="{6586EAA4-3CB9-4BBD-8E2B-C8593FFAFB6C}" name="Column9506" dataDxfId="14198" totalsRowDxfId="14197"/>
    <tableColumn id="9521" xr3:uid="{84FFE8E2-D2BD-45E5-BD13-6EDD4D40E7F3}" name="Column9507" dataDxfId="14196" totalsRowDxfId="14195"/>
    <tableColumn id="9522" xr3:uid="{9510A37F-C538-4530-8FB4-BA7F442E22AC}" name="Column9508" dataDxfId="14194" totalsRowDxfId="14193"/>
    <tableColumn id="9523" xr3:uid="{C68B2A73-6F34-4517-8471-6BF4DC639F2B}" name="Column9509" dataDxfId="14192" totalsRowDxfId="14191"/>
    <tableColumn id="9524" xr3:uid="{16E68EC3-B09C-44A4-9885-EB9C6E186BFF}" name="Column9510" dataDxfId="14190" totalsRowDxfId="14189"/>
    <tableColumn id="9525" xr3:uid="{ECE9BFB6-9364-4F80-A1C6-F65F8B72A70D}" name="Column9511" dataDxfId="14188" totalsRowDxfId="14187"/>
    <tableColumn id="9526" xr3:uid="{041AF22D-F69E-4353-B2AD-C346F71F6F5C}" name="Column9512" dataDxfId="14186" totalsRowDxfId="14185"/>
    <tableColumn id="9527" xr3:uid="{5791456B-93CC-4728-A8B4-27D9845EC24F}" name="Column9513" dataDxfId="14184" totalsRowDxfId="14183"/>
    <tableColumn id="9528" xr3:uid="{B71B7979-E98A-4955-AC29-B4977F5C506F}" name="Column9514" dataDxfId="14182" totalsRowDxfId="14181"/>
    <tableColumn id="9529" xr3:uid="{4099BA13-6DB8-4B02-9B11-4D3C8F23B50B}" name="Column9515" dataDxfId="14180" totalsRowDxfId="14179"/>
    <tableColumn id="9530" xr3:uid="{5D495FB0-78B3-4850-94A2-DE0060506F65}" name="Column9516" dataDxfId="14178" totalsRowDxfId="14177"/>
    <tableColumn id="9531" xr3:uid="{266FE4EC-B7D4-4B2F-961B-171ECEAF95BA}" name="Column9517" dataDxfId="14176" totalsRowDxfId="14175"/>
    <tableColumn id="9532" xr3:uid="{78F4A453-9857-489A-B017-067F11EFA832}" name="Column9518" dataDxfId="14174" totalsRowDxfId="14173"/>
    <tableColumn id="9533" xr3:uid="{77664CD0-4141-4C47-A80F-DD3CC04110B1}" name="Column9519" dataDxfId="14172" totalsRowDxfId="14171"/>
    <tableColumn id="9534" xr3:uid="{2C88CB5C-7AB1-42EA-88A9-E2FDEE59ADD9}" name="Column9520" dataDxfId="14170" totalsRowDxfId="14169"/>
    <tableColumn id="9535" xr3:uid="{20586CA6-3535-484C-AE43-5469261239D9}" name="Column9521" dataDxfId="14168" totalsRowDxfId="14167"/>
    <tableColumn id="9536" xr3:uid="{446B7841-C41C-4287-B615-D5C6249BD6AA}" name="Column9522" dataDxfId="14166" totalsRowDxfId="14165"/>
    <tableColumn id="9537" xr3:uid="{5C6B21A4-FCFC-42C1-A837-6139CFCDD1C4}" name="Column9523" dataDxfId="14164" totalsRowDxfId="14163"/>
    <tableColumn id="9538" xr3:uid="{8C7F1FB8-28F8-439A-AF26-9C0F7CC2850F}" name="Column9524" dataDxfId="14162" totalsRowDxfId="14161"/>
    <tableColumn id="9539" xr3:uid="{AEF64D22-ABD9-42A3-A4F6-93F2C904BBE7}" name="Column9525" dataDxfId="14160" totalsRowDxfId="14159"/>
    <tableColumn id="9540" xr3:uid="{B1A8511C-43B2-4679-B45B-7F21AE8CD3BF}" name="Column9526" dataDxfId="14158" totalsRowDxfId="14157"/>
    <tableColumn id="9541" xr3:uid="{41168256-56D2-4C7C-A431-FF12FCE87F54}" name="Column9527" dataDxfId="14156" totalsRowDxfId="14155"/>
    <tableColumn id="9542" xr3:uid="{254290EA-8FD1-4E57-8CB4-DE2DFFCF31F7}" name="Column9528" dataDxfId="14154" totalsRowDxfId="14153"/>
    <tableColumn id="9543" xr3:uid="{4E8E6071-5CA5-44F3-9DF2-57777043785D}" name="Column9529" dataDxfId="14152" totalsRowDxfId="14151"/>
    <tableColumn id="9544" xr3:uid="{480B7E53-AFA6-4DE4-AE9D-2DA429CF3855}" name="Column9530" dataDxfId="14150" totalsRowDxfId="14149"/>
    <tableColumn id="9545" xr3:uid="{7F8AEE6E-601A-43B5-A9AB-CA3AED492EA0}" name="Column9531" dataDxfId="14148" totalsRowDxfId="14147"/>
    <tableColumn id="9546" xr3:uid="{B845B471-11A6-4433-AED0-FA4F2C443670}" name="Column9532" dataDxfId="14146" totalsRowDxfId="14145"/>
    <tableColumn id="9547" xr3:uid="{7A33A71A-C386-4C95-8FF0-05B1682FF638}" name="Column9533" dataDxfId="14144" totalsRowDxfId="14143"/>
    <tableColumn id="9548" xr3:uid="{C9FD0DAC-FA59-4C16-8073-677D114AC452}" name="Column9534" dataDxfId="14142" totalsRowDxfId="14141"/>
    <tableColumn id="9549" xr3:uid="{AAD82406-B8F9-46E1-AA2C-A745AC0293B4}" name="Column9535" dataDxfId="14140" totalsRowDxfId="14139"/>
    <tableColumn id="9550" xr3:uid="{1A935160-6B66-42B5-A9CE-E4E2CEAD417A}" name="Column9536" dataDxfId="14138" totalsRowDxfId="14137"/>
    <tableColumn id="9551" xr3:uid="{97F0F98C-E62B-4565-8036-2049C3BD22F5}" name="Column9537" dataDxfId="14136" totalsRowDxfId="14135"/>
    <tableColumn id="9552" xr3:uid="{774271E3-A39B-4BCE-A9B0-6AE77FAACE32}" name="Column9538" dataDxfId="14134" totalsRowDxfId="14133"/>
    <tableColumn id="9553" xr3:uid="{59E1A542-B6AF-4A7C-B507-8A3EE895304F}" name="Column9539" dataDxfId="14132" totalsRowDxfId="14131"/>
    <tableColumn id="9554" xr3:uid="{F976F77B-51B1-43FC-A929-51B222C9237E}" name="Column9540" dataDxfId="14130" totalsRowDxfId="14129"/>
    <tableColumn id="9555" xr3:uid="{CAE46E64-4EF8-4481-9479-68EC755BB645}" name="Column9541" dataDxfId="14128" totalsRowDxfId="14127"/>
    <tableColumn id="9556" xr3:uid="{43514ACF-61F3-4E23-98E9-B43CC7F07B71}" name="Column9542" dataDxfId="14126" totalsRowDxfId="14125"/>
    <tableColumn id="9557" xr3:uid="{4A122079-10E7-4059-A250-3CCE1E03EEF8}" name="Column9543" dataDxfId="14124" totalsRowDxfId="14123"/>
    <tableColumn id="9558" xr3:uid="{1FC2E92C-78B3-4796-A9E9-3F03D22F8677}" name="Column9544" dataDxfId="14122" totalsRowDxfId="14121"/>
    <tableColumn id="9559" xr3:uid="{E2B7BB5C-95BE-417A-8A27-878792D5E727}" name="Column9545" dataDxfId="14120" totalsRowDxfId="14119"/>
    <tableColumn id="9560" xr3:uid="{78045E6D-5F63-4303-A842-547C73AC60A1}" name="Column9546" dataDxfId="14118" totalsRowDxfId="14117"/>
    <tableColumn id="9561" xr3:uid="{6F91F381-C917-4BC3-BEED-03F9C1209B52}" name="Column9547" dataDxfId="14116" totalsRowDxfId="14115"/>
    <tableColumn id="9562" xr3:uid="{1B93D7AC-2755-4548-859E-C2EDF03EB986}" name="Column9548" dataDxfId="14114" totalsRowDxfId="14113"/>
    <tableColumn id="9563" xr3:uid="{046A79BF-A72D-4EDB-8F71-17A9FE7BE373}" name="Column9549" dataDxfId="14112" totalsRowDxfId="14111"/>
    <tableColumn id="9564" xr3:uid="{3C7EEB65-29B4-4181-A1BB-395503B74883}" name="Column9550" dataDxfId="14110" totalsRowDxfId="14109"/>
    <tableColumn id="9565" xr3:uid="{4D975E0B-40F0-43EB-BAF8-16966EE6CB27}" name="Column9551" dataDxfId="14108" totalsRowDxfId="14107"/>
    <tableColumn id="9566" xr3:uid="{91BD5568-4815-4518-A57B-E3AA965CC60D}" name="Column9552" dataDxfId="14106" totalsRowDxfId="14105"/>
    <tableColumn id="9567" xr3:uid="{B784F664-5C27-4393-A38D-F53F49C684A4}" name="Column9553" dataDxfId="14104" totalsRowDxfId="14103"/>
    <tableColumn id="9568" xr3:uid="{D7DA5914-777D-41A6-B29D-FF68609F0C06}" name="Column9554" dataDxfId="14102" totalsRowDxfId="14101"/>
    <tableColumn id="9569" xr3:uid="{360174C0-2AC8-4BA7-888E-DCAA960469ED}" name="Column9555" dataDxfId="14100" totalsRowDxfId="14099"/>
    <tableColumn id="9570" xr3:uid="{29220C3F-1F72-471B-88E6-B819B1415AC8}" name="Column9556" dataDxfId="14098" totalsRowDxfId="14097"/>
    <tableColumn id="9571" xr3:uid="{4C48A172-0CDB-4986-8151-1EB063D3F439}" name="Column9557" dataDxfId="14096" totalsRowDxfId="14095"/>
    <tableColumn id="9572" xr3:uid="{7AEE835D-42C8-4419-94B3-4269B49F57B1}" name="Column9558" dataDxfId="14094" totalsRowDxfId="14093"/>
    <tableColumn id="9573" xr3:uid="{876C4377-3711-4D98-9CA1-1512F3F786DB}" name="Column9559" dataDxfId="14092" totalsRowDxfId="14091"/>
    <tableColumn id="9574" xr3:uid="{6C19C9B4-E04A-47F1-A6A3-B465BD33BB41}" name="Column9560" dataDxfId="14090" totalsRowDxfId="14089"/>
    <tableColumn id="9575" xr3:uid="{0FDE8479-C2B9-4875-B05F-6D21491DB4AE}" name="Column9561" dataDxfId="14088" totalsRowDxfId="14087"/>
    <tableColumn id="9576" xr3:uid="{E1328847-C899-4FF4-AB61-40A8C3E1D4C9}" name="Column9562" dataDxfId="14086" totalsRowDxfId="14085"/>
    <tableColumn id="9577" xr3:uid="{21A8B229-EEEC-45A8-BB9F-EB5E99A84A87}" name="Column9563" dataDxfId="14084" totalsRowDxfId="14083"/>
    <tableColumn id="9578" xr3:uid="{93766485-D70C-4278-AD49-62AF6DDEF48A}" name="Column9564" dataDxfId="14082" totalsRowDxfId="14081"/>
    <tableColumn id="9579" xr3:uid="{B124DFA9-ACFC-4E8D-877C-8C351F2A58FC}" name="Column9565" dataDxfId="14080" totalsRowDxfId="14079"/>
    <tableColumn id="9580" xr3:uid="{6283D6DD-4E0F-45A7-9805-C53F418EE444}" name="Column9566" dataDxfId="14078" totalsRowDxfId="14077"/>
    <tableColumn id="9581" xr3:uid="{A9DCED78-5CAD-407D-8BF1-6B3826EB6C46}" name="Column9567" dataDxfId="14076" totalsRowDxfId="14075"/>
    <tableColumn id="9582" xr3:uid="{27ED9360-5E66-4847-8FF7-05D236A74CCD}" name="Column9568" dataDxfId="14074" totalsRowDxfId="14073"/>
    <tableColumn id="9583" xr3:uid="{E2545555-1DB2-4184-950E-B085C5C18DAC}" name="Column9569" dataDxfId="14072" totalsRowDxfId="14071"/>
    <tableColumn id="9584" xr3:uid="{F745476F-AF0A-4F02-BFFE-21E537A6F7BC}" name="Column9570" dataDxfId="14070" totalsRowDxfId="14069"/>
    <tableColumn id="9585" xr3:uid="{C92EBB75-7BF1-4332-A8B5-C4DE718FB9DB}" name="Column9571" dataDxfId="14068" totalsRowDxfId="14067"/>
    <tableColumn id="9586" xr3:uid="{801B669D-E9F7-4E1B-9DF6-EE965932DF40}" name="Column9572" dataDxfId="14066" totalsRowDxfId="14065"/>
    <tableColumn id="9587" xr3:uid="{80CBDFAA-ECE8-4BAE-8DC8-3AD7D52DF7EA}" name="Column9573" dataDxfId="14064" totalsRowDxfId="14063"/>
    <tableColumn id="9588" xr3:uid="{0CA0053A-F870-4D70-8597-0502C6DDD84B}" name="Column9574" dataDxfId="14062" totalsRowDxfId="14061"/>
    <tableColumn id="9589" xr3:uid="{8C6E883F-4BC1-40EC-9F47-4CE44E0799DB}" name="Column9575" dataDxfId="14060" totalsRowDxfId="14059"/>
    <tableColumn id="9590" xr3:uid="{516E9415-2595-45CC-9AE8-70FAE9097593}" name="Column9576" dataDxfId="14058" totalsRowDxfId="14057"/>
    <tableColumn id="9591" xr3:uid="{5CF96A31-54CD-4966-A9A9-B2226F215D3E}" name="Column9577" dataDxfId="14056" totalsRowDxfId="14055"/>
    <tableColumn id="9592" xr3:uid="{060CA50F-CED7-4436-B653-BC239D9A230F}" name="Column9578" dataDxfId="14054" totalsRowDxfId="14053"/>
    <tableColumn id="9593" xr3:uid="{860D7BC9-9273-441D-9436-9E03933DEC12}" name="Column9579" dataDxfId="14052" totalsRowDxfId="14051"/>
    <tableColumn id="9594" xr3:uid="{A1A253CA-6EC3-434D-B222-0C24724DC72E}" name="Column9580" dataDxfId="14050" totalsRowDxfId="14049"/>
    <tableColumn id="9595" xr3:uid="{CA7132C1-AE56-4482-A1BB-13A737BEA4AA}" name="Column9581" dataDxfId="14048" totalsRowDxfId="14047"/>
    <tableColumn id="9596" xr3:uid="{EEFB44D7-9CF5-4918-8FB1-11C9104BF00A}" name="Column9582" dataDxfId="14046" totalsRowDxfId="14045"/>
    <tableColumn id="9597" xr3:uid="{34D915D5-077F-4D53-9F5E-5A63E2727AC6}" name="Column9583" dataDxfId="14044" totalsRowDxfId="14043"/>
    <tableColumn id="9598" xr3:uid="{DEC035E9-71E1-437E-82C9-9DA771735F6E}" name="Column9584" dataDxfId="14042" totalsRowDxfId="14041"/>
    <tableColumn id="9599" xr3:uid="{9FF2E769-790F-4E7E-B6BD-F3BD01569A5A}" name="Column9585" dataDxfId="14040" totalsRowDxfId="14039"/>
    <tableColumn id="9600" xr3:uid="{41C453FC-D853-4C04-B6F9-7D5A8DFFDCE0}" name="Column9586" dataDxfId="14038" totalsRowDxfId="14037"/>
    <tableColumn id="9601" xr3:uid="{CCD96337-E9FC-4330-8801-30FCB20B7818}" name="Column9587" dataDxfId="14036" totalsRowDxfId="14035"/>
    <tableColumn id="9602" xr3:uid="{59F4B1FD-14D6-41CD-B135-361060975EA9}" name="Column9588" dataDxfId="14034" totalsRowDxfId="14033"/>
    <tableColumn id="9603" xr3:uid="{324AD7F2-CA7F-4580-9B79-D5A0B0E69108}" name="Column9589" dataDxfId="14032" totalsRowDxfId="14031"/>
    <tableColumn id="9604" xr3:uid="{9E4DB1AC-37D2-4E43-8B87-CFA22D6738C5}" name="Column9590" dataDxfId="14030" totalsRowDxfId="14029"/>
    <tableColumn id="9605" xr3:uid="{DBCF0A7E-17E8-435B-8874-F50F75010F0A}" name="Column9591" dataDxfId="14028" totalsRowDxfId="14027"/>
    <tableColumn id="9606" xr3:uid="{35B42980-8879-4027-8C96-FB9D33DBB7B9}" name="Column9592" dataDxfId="14026" totalsRowDxfId="14025"/>
    <tableColumn id="9607" xr3:uid="{8880B90B-D17C-46EE-8D73-37634A087674}" name="Column9593" dataDxfId="14024" totalsRowDxfId="14023"/>
    <tableColumn id="9608" xr3:uid="{D643C890-07EC-447F-AB92-90F68818FC90}" name="Column9594" dataDxfId="14022" totalsRowDxfId="14021"/>
    <tableColumn id="9609" xr3:uid="{C2CCBD78-F12B-4185-870C-2E371515AF84}" name="Column9595" dataDxfId="14020" totalsRowDxfId="14019"/>
    <tableColumn id="9610" xr3:uid="{2CC0C164-55CC-4FDD-BF88-CF6405D1F658}" name="Column9596" dataDxfId="14018" totalsRowDxfId="14017"/>
    <tableColumn id="9611" xr3:uid="{FC4155C0-CC95-4B85-84BD-8B64F82AC347}" name="Column9597" dataDxfId="14016" totalsRowDxfId="14015"/>
    <tableColumn id="9612" xr3:uid="{6FA8ECED-AEA9-45D6-9972-9A6224B00E58}" name="Column9598" dataDxfId="14014" totalsRowDxfId="14013"/>
    <tableColumn id="9613" xr3:uid="{6D848B76-1953-40C8-8A13-3BC0871A43AD}" name="Column9599" dataDxfId="14012" totalsRowDxfId="14011"/>
    <tableColumn id="9614" xr3:uid="{26EAC8CB-48E7-411E-8B8B-837809FC190F}" name="Column9600" dataDxfId="14010" totalsRowDxfId="14009"/>
    <tableColumn id="9615" xr3:uid="{4645ACEF-E480-415F-AC82-75C6787FBDCF}" name="Column9601" dataDxfId="14008" totalsRowDxfId="14007"/>
    <tableColumn id="9616" xr3:uid="{7336DF35-55E3-4A8B-AE14-AFA0B2937B1D}" name="Column9602" dataDxfId="14006" totalsRowDxfId="14005"/>
    <tableColumn id="9617" xr3:uid="{06D13A31-AA8D-4A16-AF73-195435D4F623}" name="Column9603" dataDxfId="14004" totalsRowDxfId="14003"/>
    <tableColumn id="9618" xr3:uid="{F5526A6F-4A5F-4CD1-8235-2894AEB98354}" name="Column9604" dataDxfId="14002" totalsRowDxfId="14001"/>
    <tableColumn id="9619" xr3:uid="{D3E1F80E-5C7F-4147-ADCC-81E056A158AC}" name="Column9605" dataDxfId="14000" totalsRowDxfId="13999"/>
    <tableColumn id="9620" xr3:uid="{3FDAC012-6CF2-475E-BB8A-5CA90A6FCAD2}" name="Column9606" dataDxfId="13998" totalsRowDxfId="13997"/>
    <tableColumn id="9621" xr3:uid="{7AE8E95B-D57E-4D5A-8C6B-6F4FD52324EE}" name="Column9607" dataDxfId="13996" totalsRowDxfId="13995"/>
    <tableColumn id="9622" xr3:uid="{C28672D0-71D4-40C4-A039-A89D1F76942C}" name="Column9608" dataDxfId="13994" totalsRowDxfId="13993"/>
    <tableColumn id="9623" xr3:uid="{944DFDAB-D8BF-42CA-BAC6-24FA9401966C}" name="Column9609" dataDxfId="13992" totalsRowDxfId="13991"/>
    <tableColumn id="9624" xr3:uid="{768A08A4-6CE8-4750-B566-8234E2064525}" name="Column9610" dataDxfId="13990" totalsRowDxfId="13989"/>
    <tableColumn id="9625" xr3:uid="{358B2C76-4040-4751-ADAF-8F0EF9291834}" name="Column9611" dataDxfId="13988" totalsRowDxfId="13987"/>
    <tableColumn id="9626" xr3:uid="{2DCD7738-8A02-4C08-BEEC-04D9B9349083}" name="Column9612" dataDxfId="13986" totalsRowDxfId="13985"/>
    <tableColumn id="9627" xr3:uid="{707A2683-4B6F-4CD1-9D30-F342A05ABA9E}" name="Column9613" dataDxfId="13984" totalsRowDxfId="13983"/>
    <tableColumn id="9628" xr3:uid="{C4CD6F26-42B9-4D7A-A240-CD6D7DDFE32F}" name="Column9614" dataDxfId="13982" totalsRowDxfId="13981"/>
    <tableColumn id="9629" xr3:uid="{761E6F80-8DA6-4F53-8995-A588D606152E}" name="Column9615" dataDxfId="13980" totalsRowDxfId="13979"/>
    <tableColumn id="9630" xr3:uid="{47E5339E-CB76-42DD-81B1-B784B66203F6}" name="Column9616" dataDxfId="13978" totalsRowDxfId="13977"/>
    <tableColumn id="9631" xr3:uid="{95F577CE-DF29-4757-AEB6-D0E9122B41C2}" name="Column9617" dataDxfId="13976" totalsRowDxfId="13975"/>
    <tableColumn id="9632" xr3:uid="{941C6581-4FF0-4CF8-A8AC-2691CC8CC439}" name="Column9618" dataDxfId="13974" totalsRowDxfId="13973"/>
    <tableColumn id="9633" xr3:uid="{B0CDC87A-E711-4E14-9B6E-3FC4BB1DCE91}" name="Column9619" dataDxfId="13972" totalsRowDxfId="13971"/>
    <tableColumn id="9634" xr3:uid="{06E9F37C-18C5-47C8-8E4F-366EFEBBB2B0}" name="Column9620" dataDxfId="13970" totalsRowDxfId="13969"/>
    <tableColumn id="9635" xr3:uid="{3F1849BF-BD49-49B6-BED2-DF1C5C206B2A}" name="Column9621" dataDxfId="13968" totalsRowDxfId="13967"/>
    <tableColumn id="9636" xr3:uid="{B0047CB4-5F66-42AF-A899-40E7D8DF82DD}" name="Column9622" dataDxfId="13966" totalsRowDxfId="13965"/>
    <tableColumn id="9637" xr3:uid="{BE536924-1EE6-40BC-9E46-A9AC259FB340}" name="Column9623" dataDxfId="13964" totalsRowDxfId="13963"/>
    <tableColumn id="9638" xr3:uid="{B6EAC3E5-C09E-470F-97F9-84C2EF3A9A62}" name="Column9624" dataDxfId="13962" totalsRowDxfId="13961"/>
    <tableColumn id="9639" xr3:uid="{5D446F7C-595C-481C-A6F5-1858D91D7A6E}" name="Column9625" dataDxfId="13960" totalsRowDxfId="13959"/>
    <tableColumn id="9640" xr3:uid="{D8BE2FF8-FCF7-4215-B429-F9A4A58844F9}" name="Column9626" dataDxfId="13958" totalsRowDxfId="13957"/>
    <tableColumn id="9641" xr3:uid="{DCEF5245-8AFA-4603-BC22-C8AED5FCCBC2}" name="Column9627" dataDxfId="13956" totalsRowDxfId="13955"/>
    <tableColumn id="9642" xr3:uid="{817B98B4-B1DB-4657-84A6-668C81991C34}" name="Column9628" dataDxfId="13954" totalsRowDxfId="13953"/>
    <tableColumn id="9643" xr3:uid="{631D4B8E-142B-46FB-ADEB-3654AAEFD0B2}" name="Column9629" dataDxfId="13952" totalsRowDxfId="13951"/>
    <tableColumn id="9644" xr3:uid="{97A7468C-2632-465E-B2D7-A89EFCA3E5B1}" name="Column9630" dataDxfId="13950" totalsRowDxfId="13949"/>
    <tableColumn id="9645" xr3:uid="{1080A8F1-EFC0-4728-9E34-4CC8F93B31FC}" name="Column9631" dataDxfId="13948" totalsRowDxfId="13947"/>
    <tableColumn id="9646" xr3:uid="{64110F9C-3779-446E-93DA-6241F3C2368A}" name="Column9632" dataDxfId="13946" totalsRowDxfId="13945"/>
    <tableColumn id="9647" xr3:uid="{9E6EC81B-887E-481D-AC15-BC8116C351CA}" name="Column9633" dataDxfId="13944" totalsRowDxfId="13943"/>
    <tableColumn id="9648" xr3:uid="{755369A6-DA0E-4B9D-800B-4BDEA7A337D7}" name="Column9634" dataDxfId="13942" totalsRowDxfId="13941"/>
    <tableColumn id="9649" xr3:uid="{D0BF372E-052A-477E-A67F-F0519BC9686B}" name="Column9635" dataDxfId="13940" totalsRowDxfId="13939"/>
    <tableColumn id="9650" xr3:uid="{D0F8922B-F5F1-4EED-8107-EA0F1AE6C216}" name="Column9636" dataDxfId="13938" totalsRowDxfId="13937"/>
    <tableColumn id="9651" xr3:uid="{4AB0EA55-DBE0-40F8-AE93-A3815E7DB1B2}" name="Column9637" dataDxfId="13936" totalsRowDxfId="13935"/>
    <tableColumn id="9652" xr3:uid="{957EBC79-905B-4F21-BCE5-9CA959FEA6DD}" name="Column9638" dataDxfId="13934" totalsRowDxfId="13933"/>
    <tableColumn id="9653" xr3:uid="{A12FC2A1-91EB-4D30-959A-9440F95C5EB7}" name="Column9639" dataDxfId="13932" totalsRowDxfId="13931"/>
    <tableColumn id="9654" xr3:uid="{4F0B1BC7-1A54-44CE-A3AC-AB42EAA97294}" name="Column9640" dataDxfId="13930" totalsRowDxfId="13929"/>
    <tableColumn id="9655" xr3:uid="{4133E895-89D7-45E8-B134-390B81648061}" name="Column9641" dataDxfId="13928" totalsRowDxfId="13927"/>
    <tableColumn id="9656" xr3:uid="{B9ADC2D2-6AB3-48BC-B71D-7FA5DB4ED144}" name="Column9642" dataDxfId="13926" totalsRowDxfId="13925"/>
    <tableColumn id="9657" xr3:uid="{3EF065EF-AA4E-4DFA-82EE-6833A4B442A1}" name="Column9643" dataDxfId="13924" totalsRowDxfId="13923"/>
    <tableColumn id="9658" xr3:uid="{E534036E-7230-4B3A-BD5B-A4B6648697E7}" name="Column9644" dataDxfId="13922" totalsRowDxfId="13921"/>
    <tableColumn id="9659" xr3:uid="{5B1E5A69-A8C9-4CB6-92B9-615BB88FC419}" name="Column9645" dataDxfId="13920" totalsRowDxfId="13919"/>
    <tableColumn id="9660" xr3:uid="{CD4A045B-CC0A-4AE9-B72A-ED4992E224AA}" name="Column9646" dataDxfId="13918" totalsRowDxfId="13917"/>
    <tableColumn id="9661" xr3:uid="{FAE0CD3E-A5D5-47FD-8B58-7E17A6E41424}" name="Column9647" dataDxfId="13916" totalsRowDxfId="13915"/>
    <tableColumn id="9662" xr3:uid="{0381C93B-7A66-4A6F-BABD-E9B0DDACDB17}" name="Column9648" dataDxfId="13914" totalsRowDxfId="13913"/>
    <tableColumn id="9663" xr3:uid="{05D8D85E-B4C2-47DA-8B23-3A9ADF52DAC5}" name="Column9649" dataDxfId="13912" totalsRowDxfId="13911"/>
    <tableColumn id="9664" xr3:uid="{DC41EAD9-A2E2-4D94-B9D2-9C2256C4BFDC}" name="Column9650" dataDxfId="13910" totalsRowDxfId="13909"/>
    <tableColumn id="9665" xr3:uid="{D4E0770A-24F6-4F65-ABB3-1C5AA610C363}" name="Column9651" dataDxfId="13908" totalsRowDxfId="13907"/>
    <tableColumn id="9666" xr3:uid="{D40BAE36-FD91-4D67-BA95-48589D101B83}" name="Column9652" dataDxfId="13906" totalsRowDxfId="13905"/>
    <tableColumn id="9667" xr3:uid="{E9C8EB2C-0E48-460B-BD25-9BC2C06D0A30}" name="Column9653" dataDxfId="13904" totalsRowDxfId="13903"/>
    <tableColumn id="9668" xr3:uid="{302B7BB5-7764-4D68-AAE3-89A019100D4A}" name="Column9654" dataDxfId="13902" totalsRowDxfId="13901"/>
    <tableColumn id="9669" xr3:uid="{EC013BF2-15E3-4EE5-8C3D-82DDBD697CFE}" name="Column9655" dataDxfId="13900" totalsRowDxfId="13899"/>
    <tableColumn id="9670" xr3:uid="{88B165F6-2AE7-4A24-B1CC-87A7CEA62396}" name="Column9656" dataDxfId="13898" totalsRowDxfId="13897"/>
    <tableColumn id="9671" xr3:uid="{B3FC5E81-4B84-4274-8240-58EBDFD2C378}" name="Column9657" dataDxfId="13896" totalsRowDxfId="13895"/>
    <tableColumn id="9672" xr3:uid="{00237762-0800-4C4D-9755-D33A20366591}" name="Column9658" dataDxfId="13894" totalsRowDxfId="13893"/>
    <tableColumn id="9673" xr3:uid="{8EF36668-B637-49EC-B40B-DD8A62592D13}" name="Column9659" dataDxfId="13892" totalsRowDxfId="13891"/>
    <tableColumn id="9674" xr3:uid="{46D18873-2C7F-4AA3-91C7-36F7CBE115E6}" name="Column9660" dataDxfId="13890" totalsRowDxfId="13889"/>
    <tableColumn id="9675" xr3:uid="{37D02DC1-EC38-44F0-AEDE-369F1A44F102}" name="Column9661" dataDxfId="13888" totalsRowDxfId="13887"/>
    <tableColumn id="9676" xr3:uid="{BE80F303-CC08-46E3-95D2-1B66BA417BD8}" name="Column9662" dataDxfId="13886" totalsRowDxfId="13885"/>
    <tableColumn id="9677" xr3:uid="{4D918296-3497-43EB-A3B1-64367D1956C7}" name="Column9663" dataDxfId="13884" totalsRowDxfId="13883"/>
    <tableColumn id="9678" xr3:uid="{1115E3DD-E3C7-4CD4-9216-24437F531272}" name="Column9664" dataDxfId="13882" totalsRowDxfId="13881"/>
    <tableColumn id="9679" xr3:uid="{6AC33EB3-9B00-4975-8451-4BD37F779CE1}" name="Column9665" dataDxfId="13880" totalsRowDxfId="13879"/>
    <tableColumn id="9680" xr3:uid="{3A2F7639-FD4C-49E8-B620-C09193845379}" name="Column9666" dataDxfId="13878" totalsRowDxfId="13877"/>
    <tableColumn id="9681" xr3:uid="{F4792657-1A27-45AD-9566-5AC4C96B52E0}" name="Column9667" dataDxfId="13876" totalsRowDxfId="13875"/>
    <tableColumn id="9682" xr3:uid="{A815744C-E72E-40FE-8DC2-46B26D36D205}" name="Column9668" dataDxfId="13874" totalsRowDxfId="13873"/>
    <tableColumn id="9683" xr3:uid="{A57DCC56-A794-4D77-836A-C728181658A0}" name="Column9669" dataDxfId="13872" totalsRowDxfId="13871"/>
    <tableColumn id="9684" xr3:uid="{DC2675C5-A3A5-4A7A-8513-F5654D0B4A70}" name="Column9670" dataDxfId="13870" totalsRowDxfId="13869"/>
    <tableColumn id="9685" xr3:uid="{21430C30-6922-41BB-A77E-45CCAC78FB78}" name="Column9671" dataDxfId="13868" totalsRowDxfId="13867"/>
    <tableColumn id="9686" xr3:uid="{A1B9DDC3-7855-4CC4-825D-BF137E46B23A}" name="Column9672" dataDxfId="13866" totalsRowDxfId="13865"/>
    <tableColumn id="9687" xr3:uid="{020ADEBF-ADBC-4E44-BB13-DCD582C958E4}" name="Column9673" dataDxfId="13864" totalsRowDxfId="13863"/>
    <tableColumn id="9688" xr3:uid="{32D58B9F-F175-48A3-9C11-6546FF72257C}" name="Column9674" dataDxfId="13862" totalsRowDxfId="13861"/>
    <tableColumn id="9689" xr3:uid="{4E5D8EEC-8C89-48DA-BAC8-D388936834AA}" name="Column9675" dataDxfId="13860" totalsRowDxfId="13859"/>
    <tableColumn id="9690" xr3:uid="{CAAA1001-56AD-47A8-AF4F-7BE5A43FCC7F}" name="Column9676" dataDxfId="13858" totalsRowDxfId="13857"/>
    <tableColumn id="9691" xr3:uid="{4E2A6019-5162-4E15-9BB5-F3F5C7A71363}" name="Column9677" dataDxfId="13856" totalsRowDxfId="13855"/>
    <tableColumn id="9692" xr3:uid="{7626CFCE-DB14-46C7-B29A-40EA9231A33D}" name="Column9678" dataDxfId="13854" totalsRowDxfId="13853"/>
    <tableColumn id="9693" xr3:uid="{D6DF68B9-F016-4651-B216-45CF401FC3A4}" name="Column9679" dataDxfId="13852" totalsRowDxfId="13851"/>
    <tableColumn id="9694" xr3:uid="{A6A759D9-BC8D-48E0-AD93-CF5EC0FBF462}" name="Column9680" dataDxfId="13850" totalsRowDxfId="13849"/>
    <tableColumn id="9695" xr3:uid="{EEE0502C-AFE6-454E-B6A0-59E4DF22EBA5}" name="Column9681" dataDxfId="13848" totalsRowDxfId="13847"/>
    <tableColumn id="9696" xr3:uid="{D3B58866-60C9-4B0D-9EFA-A2C011BA0743}" name="Column9682" dataDxfId="13846" totalsRowDxfId="13845"/>
    <tableColumn id="9697" xr3:uid="{A6EDAC91-419D-4ADB-A746-CEE6E2C46AAF}" name="Column9683" dataDxfId="13844" totalsRowDxfId="13843"/>
    <tableColumn id="9698" xr3:uid="{C57F0654-AC6A-4A81-8CF0-9B399A1D62C8}" name="Column9684" dataDxfId="13842" totalsRowDxfId="13841"/>
    <tableColumn id="9699" xr3:uid="{B8855653-26DD-423F-86AC-EE00634F4773}" name="Column9685" dataDxfId="13840" totalsRowDxfId="13839"/>
    <tableColumn id="9700" xr3:uid="{21D82067-822F-4BD5-A6AF-F16387BAA8FF}" name="Column9686" dataDxfId="13838" totalsRowDxfId="13837"/>
    <tableColumn id="9701" xr3:uid="{9F58EA1A-EBA1-4333-BB84-A1026441BA8B}" name="Column9687" dataDxfId="13836" totalsRowDxfId="13835"/>
    <tableColumn id="9702" xr3:uid="{9099DDA8-80E3-43D3-9F5F-F565003AC437}" name="Column9688" dataDxfId="13834" totalsRowDxfId="13833"/>
    <tableColumn id="9703" xr3:uid="{C93CF4D0-C866-4FEB-9854-32A926C0A16F}" name="Column9689" dataDxfId="13832" totalsRowDxfId="13831"/>
    <tableColumn id="9704" xr3:uid="{13E8B3CE-731A-4039-AE3B-36B698212E2A}" name="Column9690" dataDxfId="13830" totalsRowDxfId="13829"/>
    <tableColumn id="9705" xr3:uid="{9260F98C-BF5C-4BE3-8279-1758BA74706E}" name="Column9691" dataDxfId="13828" totalsRowDxfId="13827"/>
    <tableColumn id="9706" xr3:uid="{4B331B51-4AAB-465A-98D8-18F28B706D2E}" name="Column9692" dataDxfId="13826" totalsRowDxfId="13825"/>
    <tableColumn id="9707" xr3:uid="{78A6AC5A-4C47-4CA5-9309-014D3A79CFC0}" name="Column9693" dataDxfId="13824" totalsRowDxfId="13823"/>
    <tableColumn id="9708" xr3:uid="{7821448D-2E8E-4DE3-B9B9-189EC6DE7CDB}" name="Column9694" dataDxfId="13822" totalsRowDxfId="13821"/>
    <tableColumn id="9709" xr3:uid="{C2EC2917-03D9-401B-93AE-3F0737DF43B8}" name="Column9695" dataDxfId="13820" totalsRowDxfId="13819"/>
    <tableColumn id="9710" xr3:uid="{210379DE-E877-4A6D-9167-36D7F944418B}" name="Column9696" dataDxfId="13818" totalsRowDxfId="13817"/>
    <tableColumn id="9711" xr3:uid="{3EB30568-32A8-409B-96E8-81566992BF53}" name="Column9697" dataDxfId="13816" totalsRowDxfId="13815"/>
    <tableColumn id="9712" xr3:uid="{D223C41E-2A32-4CFA-A9E5-95C628A859A4}" name="Column9698" dataDxfId="13814" totalsRowDxfId="13813"/>
    <tableColumn id="9713" xr3:uid="{119211B1-4BDB-442D-B7BF-3C57AEAA3FA0}" name="Column9699" dataDxfId="13812" totalsRowDxfId="13811"/>
    <tableColumn id="9714" xr3:uid="{264AC9C1-AF6E-4EDF-8190-A277133ACFD4}" name="Column9700" dataDxfId="13810" totalsRowDxfId="13809"/>
    <tableColumn id="9715" xr3:uid="{6CE95F68-B538-4CE4-956F-E736123AC173}" name="Column9701" dataDxfId="13808" totalsRowDxfId="13807"/>
    <tableColumn id="9716" xr3:uid="{2E155AA1-D2BD-45A8-A2C1-D941D4647B5E}" name="Column9702" dataDxfId="13806" totalsRowDxfId="13805"/>
    <tableColumn id="9717" xr3:uid="{15511AE0-C0A9-4585-AC5D-BCCB516BD394}" name="Column9703" dataDxfId="13804" totalsRowDxfId="13803"/>
    <tableColumn id="9718" xr3:uid="{D8308A16-BB35-435E-B5CC-229C310F9E90}" name="Column9704" dataDxfId="13802" totalsRowDxfId="13801"/>
    <tableColumn id="9719" xr3:uid="{EB6AE5EB-AE63-43F2-9EEA-91F713904E14}" name="Column9705" dataDxfId="13800" totalsRowDxfId="13799"/>
    <tableColumn id="9720" xr3:uid="{6DCA3239-D150-4796-8E6D-2FAEC57D0D80}" name="Column9706" dataDxfId="13798" totalsRowDxfId="13797"/>
    <tableColumn id="9721" xr3:uid="{8E9DEEDF-9BB9-43C3-B2C1-C1221E2FD052}" name="Column9707" dataDxfId="13796" totalsRowDxfId="13795"/>
    <tableColumn id="9722" xr3:uid="{C8080B5A-7021-42CC-8BEC-958948B7244B}" name="Column9708" dataDxfId="13794" totalsRowDxfId="13793"/>
    <tableColumn id="9723" xr3:uid="{77D0561A-A5D0-460E-9DD5-245171412D90}" name="Column9709" dataDxfId="13792" totalsRowDxfId="13791"/>
    <tableColumn id="9724" xr3:uid="{B715998D-5FAC-4D60-89E9-849E9A287649}" name="Column9710" dataDxfId="13790" totalsRowDxfId="13789"/>
    <tableColumn id="9725" xr3:uid="{12F875C1-8B90-4260-B001-0AAA3DC001A5}" name="Column9711" dataDxfId="13788" totalsRowDxfId="13787"/>
    <tableColumn id="9726" xr3:uid="{9C13DA97-3AFB-40F7-9CC1-6342586F0795}" name="Column9712" dataDxfId="13786" totalsRowDxfId="13785"/>
    <tableColumn id="9727" xr3:uid="{68BCBF8F-FB1C-4A1A-AF24-7A572EAA809F}" name="Column9713" dataDxfId="13784" totalsRowDxfId="13783"/>
    <tableColumn id="9728" xr3:uid="{4D63A55B-EA7A-434D-A497-77EBC8FCDB78}" name="Column9714" dataDxfId="13782" totalsRowDxfId="13781"/>
    <tableColumn id="9729" xr3:uid="{C8BD8A61-5642-4BE0-8739-40DFBAE40EC3}" name="Column9715" dataDxfId="13780" totalsRowDxfId="13779"/>
    <tableColumn id="9730" xr3:uid="{AE83A6DF-D3DA-484C-8CB6-11B9A96835D5}" name="Column9716" dataDxfId="13778" totalsRowDxfId="13777"/>
    <tableColumn id="9731" xr3:uid="{1BE0DD67-7B02-4503-8719-B2A6D800AA8A}" name="Column9717" dataDxfId="13776" totalsRowDxfId="13775"/>
    <tableColumn id="9732" xr3:uid="{C283EE29-C807-4A1F-9D0E-58306CAC9A49}" name="Column9718" dataDxfId="13774" totalsRowDxfId="13773"/>
    <tableColumn id="9733" xr3:uid="{48A5C942-C80B-4A83-BCD7-5916B7B8FAB9}" name="Column9719" dataDxfId="13772" totalsRowDxfId="13771"/>
    <tableColumn id="9734" xr3:uid="{C5BFCDF4-5A29-4E16-A378-5324081ADFC7}" name="Column9720" dataDxfId="13770" totalsRowDxfId="13769"/>
    <tableColumn id="9735" xr3:uid="{6E06B9C7-A1FC-431E-825C-2C386987AD7D}" name="Column9721" dataDxfId="13768" totalsRowDxfId="13767"/>
    <tableColumn id="9736" xr3:uid="{997D6478-43E4-426B-9BD4-FC014DB180D8}" name="Column9722" dataDxfId="13766" totalsRowDxfId="13765"/>
    <tableColumn id="9737" xr3:uid="{EF5B384A-6538-4DD9-8960-AC6BE5820436}" name="Column9723" dataDxfId="13764" totalsRowDxfId="13763"/>
    <tableColumn id="9738" xr3:uid="{7E7C7D7A-451A-4E38-AC73-E9776351691B}" name="Column9724" dataDxfId="13762" totalsRowDxfId="13761"/>
    <tableColumn id="9739" xr3:uid="{5E13969D-4C92-45C2-93CD-50CF787CE0E5}" name="Column9725" dataDxfId="13760" totalsRowDxfId="13759"/>
    <tableColumn id="9740" xr3:uid="{120F8A61-381B-42E9-B527-0129BC909A6F}" name="Column9726" dataDxfId="13758" totalsRowDxfId="13757"/>
    <tableColumn id="9741" xr3:uid="{2C0BA156-B117-4947-8287-285537C05BDE}" name="Column9727" dataDxfId="13756" totalsRowDxfId="13755"/>
    <tableColumn id="9742" xr3:uid="{172395E7-22BC-4AB5-8F27-834DAD16A71C}" name="Column9728" dataDxfId="13754" totalsRowDxfId="13753"/>
    <tableColumn id="9743" xr3:uid="{CFEFA87F-0A48-4C7A-9BD6-2A8A9023F18C}" name="Column9729" dataDxfId="13752" totalsRowDxfId="13751"/>
    <tableColumn id="9744" xr3:uid="{91F8DE88-CBDE-4B5D-9ED4-FF29F2D63AB3}" name="Column9730" dataDxfId="13750" totalsRowDxfId="13749"/>
    <tableColumn id="9745" xr3:uid="{20397E3E-7A2F-48FB-9C1B-15DBE0174221}" name="Column9731" dataDxfId="13748" totalsRowDxfId="13747"/>
    <tableColumn id="9746" xr3:uid="{8771894A-59E0-4330-B219-1CAA8E97FDFF}" name="Column9732" dataDxfId="13746" totalsRowDxfId="13745"/>
    <tableColumn id="9747" xr3:uid="{E3F444CB-798D-4706-A3F4-D140975BB02D}" name="Column9733" dataDxfId="13744" totalsRowDxfId="13743"/>
    <tableColumn id="9748" xr3:uid="{AC86A67B-FBA0-414C-9FBF-B6B00C9067F5}" name="Column9734" dataDxfId="13742" totalsRowDxfId="13741"/>
    <tableColumn id="9749" xr3:uid="{DFC170FD-1C7E-455F-9EF8-5E4EFA91DA43}" name="Column9735" dataDxfId="13740" totalsRowDxfId="13739"/>
    <tableColumn id="9750" xr3:uid="{50C33CAA-2B72-47CE-933D-B848EBCFF1F7}" name="Column9736" dataDxfId="13738" totalsRowDxfId="13737"/>
    <tableColumn id="9751" xr3:uid="{A2C80621-2921-4D37-B7EF-98BA9FF287CF}" name="Column9737" dataDxfId="13736" totalsRowDxfId="13735"/>
    <tableColumn id="9752" xr3:uid="{F2FAF5C0-F9EE-40BD-8F40-2AF610A821E4}" name="Column9738" dataDxfId="13734" totalsRowDxfId="13733"/>
    <tableColumn id="9753" xr3:uid="{2D5971C0-CC14-4BA2-9145-24B2AA17CC1A}" name="Column9739" dataDxfId="13732" totalsRowDxfId="13731"/>
    <tableColumn id="9754" xr3:uid="{4815FAB2-748B-41B3-8EE1-004A878F5ED7}" name="Column9740" dataDxfId="13730" totalsRowDxfId="13729"/>
    <tableColumn id="9755" xr3:uid="{146D1D21-B151-4E7E-9376-E0AFC95519A7}" name="Column9741" dataDxfId="13728" totalsRowDxfId="13727"/>
    <tableColumn id="9756" xr3:uid="{632573CE-CA46-4573-904A-A250B863B376}" name="Column9742" dataDxfId="13726" totalsRowDxfId="13725"/>
    <tableColumn id="9757" xr3:uid="{22612DA3-30B1-4C5C-8470-59994D83F898}" name="Column9743" dataDxfId="13724" totalsRowDxfId="13723"/>
    <tableColumn id="9758" xr3:uid="{B11C0BE3-BD0D-4C10-BB43-228BF547F349}" name="Column9744" dataDxfId="13722" totalsRowDxfId="13721"/>
    <tableColumn id="9759" xr3:uid="{58FBF2FA-9C1F-4D14-9003-F9918B99AE04}" name="Column9745" dataDxfId="13720" totalsRowDxfId="13719"/>
    <tableColumn id="9760" xr3:uid="{0933950E-C3AE-4D58-BC2E-D6E553C108B1}" name="Column9746" dataDxfId="13718" totalsRowDxfId="13717"/>
    <tableColumn id="9761" xr3:uid="{163A425A-4C10-410D-8366-F9D74A38E92C}" name="Column9747" dataDxfId="13716" totalsRowDxfId="13715"/>
    <tableColumn id="9762" xr3:uid="{F81A9D04-930B-4DFD-B5CF-EA4527B008C1}" name="Column9748" dataDxfId="13714" totalsRowDxfId="13713"/>
    <tableColumn id="9763" xr3:uid="{83517595-48B6-4CF8-BDE0-08094ED0900D}" name="Column9749" dataDxfId="13712" totalsRowDxfId="13711"/>
    <tableColumn id="9764" xr3:uid="{6B93DCC0-672F-4A63-A1B6-37F00EAA57D5}" name="Column9750" dataDxfId="13710" totalsRowDxfId="13709"/>
    <tableColumn id="9765" xr3:uid="{FEF0D58A-9F1E-4381-8076-03C5F95AAAB6}" name="Column9751" dataDxfId="13708" totalsRowDxfId="13707"/>
    <tableColumn id="9766" xr3:uid="{62C82BFE-4A7F-4F15-8287-B1D69CDDA382}" name="Column9752" dataDxfId="13706" totalsRowDxfId="13705"/>
    <tableColumn id="9767" xr3:uid="{986CF1DD-0FEC-4E6C-BDEB-09FCE83154D8}" name="Column9753" dataDxfId="13704" totalsRowDxfId="13703"/>
    <tableColumn id="9768" xr3:uid="{B8599C02-36AD-464A-9FB1-725ECF9E41BF}" name="Column9754" dataDxfId="13702" totalsRowDxfId="13701"/>
    <tableColumn id="9769" xr3:uid="{6D143168-BEC8-4F62-A2E6-196ACE683E6F}" name="Column9755" dataDxfId="13700" totalsRowDxfId="13699"/>
    <tableColumn id="9770" xr3:uid="{D964870A-EDAC-4DAD-98EB-6C70593448ED}" name="Column9756" dataDxfId="13698" totalsRowDxfId="13697"/>
    <tableColumn id="9771" xr3:uid="{2F4395E9-11E8-4E29-8F2D-564404942576}" name="Column9757" dataDxfId="13696" totalsRowDxfId="13695"/>
    <tableColumn id="9772" xr3:uid="{E62C470E-E3A7-4A55-8E58-443FAF1B5AEA}" name="Column9758" dataDxfId="13694" totalsRowDxfId="13693"/>
    <tableColumn id="9773" xr3:uid="{8351891C-05F6-4DA2-9A9E-D1BC53441CF9}" name="Column9759" dataDxfId="13692" totalsRowDxfId="13691"/>
    <tableColumn id="9774" xr3:uid="{D4E9EA76-63AF-4EE3-8260-99AF59208184}" name="Column9760" dataDxfId="13690" totalsRowDxfId="13689"/>
    <tableColumn id="9775" xr3:uid="{7D8F9D5B-B983-41A1-826F-0449A5D0336A}" name="Column9761" dataDxfId="13688" totalsRowDxfId="13687"/>
    <tableColumn id="9776" xr3:uid="{5AA04F3B-8437-450A-BEBB-09DF373AED7D}" name="Column9762" dataDxfId="13686" totalsRowDxfId="13685"/>
    <tableColumn id="9777" xr3:uid="{53B30A5C-780E-49B5-A6DB-D9E076E45F31}" name="Column9763" dataDxfId="13684" totalsRowDxfId="13683"/>
    <tableColumn id="9778" xr3:uid="{93EC580D-CDDB-4AF8-AF45-14A0F7DB759F}" name="Column9764" dataDxfId="13682" totalsRowDxfId="13681"/>
    <tableColumn id="9779" xr3:uid="{071E2B0B-2F80-4E27-8272-4BD821EE6249}" name="Column9765" dataDxfId="13680" totalsRowDxfId="13679"/>
    <tableColumn id="9780" xr3:uid="{6BD68440-E867-4CE6-86A6-DBD54BD09116}" name="Column9766" dataDxfId="13678" totalsRowDxfId="13677"/>
    <tableColumn id="9781" xr3:uid="{18A089B9-8F61-4778-BB2C-12BF817BD04D}" name="Column9767" dataDxfId="13676" totalsRowDxfId="13675"/>
    <tableColumn id="9782" xr3:uid="{E7B6A3B9-56D1-4853-923B-CC37A294F70F}" name="Column9768" dataDxfId="13674" totalsRowDxfId="13673"/>
    <tableColumn id="9783" xr3:uid="{6CF8281A-25B5-4B4C-A9CC-3250BFB197FB}" name="Column9769" dataDxfId="13672" totalsRowDxfId="13671"/>
    <tableColumn id="9784" xr3:uid="{D39AB0C7-767C-44F2-B62A-89522AA1509E}" name="Column9770" dataDxfId="13670" totalsRowDxfId="13669"/>
    <tableColumn id="9785" xr3:uid="{0B06205D-9B69-4666-8D08-A44AFF7124DC}" name="Column9771" dataDxfId="13668" totalsRowDxfId="13667"/>
    <tableColumn id="9786" xr3:uid="{EE4F0A97-B786-487D-906B-A50DEC7A9EF1}" name="Column9772" dataDxfId="13666" totalsRowDxfId="13665"/>
    <tableColumn id="9787" xr3:uid="{0BC3C79C-CFA8-4019-AB3C-2123FAD5A728}" name="Column9773" dataDxfId="13664" totalsRowDxfId="13663"/>
    <tableColumn id="9788" xr3:uid="{B48574F3-65B3-4F8A-B66B-852E4E5DA2CB}" name="Column9774" dataDxfId="13662" totalsRowDxfId="13661"/>
    <tableColumn id="9789" xr3:uid="{DA8212C9-186F-434C-8804-B72ABA4CAAF2}" name="Column9775" dataDxfId="13660" totalsRowDxfId="13659"/>
    <tableColumn id="9790" xr3:uid="{AB2D7AFD-DE46-4EFF-9F07-EAC7CE098393}" name="Column9776" dataDxfId="13658" totalsRowDxfId="13657"/>
    <tableColumn id="9791" xr3:uid="{B63DD7B4-6A4C-48BF-AB53-C3F01978F62B}" name="Column9777" dataDxfId="13656" totalsRowDxfId="13655"/>
    <tableColumn id="9792" xr3:uid="{C9BC0367-A7D1-4E8F-84FA-1CBDC8A92A55}" name="Column9778" dataDxfId="13654" totalsRowDxfId="13653"/>
    <tableColumn id="9793" xr3:uid="{276AE6AB-B086-4E7F-B562-22F49B3BCC28}" name="Column9779" dataDxfId="13652" totalsRowDxfId="13651"/>
    <tableColumn id="9794" xr3:uid="{0CD6F3C1-FCEE-4148-8FB0-572E7978C849}" name="Column9780" dataDxfId="13650" totalsRowDxfId="13649"/>
    <tableColumn id="9795" xr3:uid="{F12E3100-E61C-41E7-BFAC-687FFBE6487B}" name="Column9781" dataDxfId="13648" totalsRowDxfId="13647"/>
    <tableColumn id="9796" xr3:uid="{CF1BBEC6-C88F-4C37-8F13-C472E1877C21}" name="Column9782" dataDxfId="13646" totalsRowDxfId="13645"/>
    <tableColumn id="9797" xr3:uid="{9BE4FC1F-2258-4F98-82E8-CEC380ECD7F1}" name="Column9783" dataDxfId="13644" totalsRowDxfId="13643"/>
    <tableColumn id="9798" xr3:uid="{41644046-DEE5-47C6-91F9-3E04538281DC}" name="Column9784" dataDxfId="13642" totalsRowDxfId="13641"/>
    <tableColumn id="9799" xr3:uid="{08ABE6CC-33BF-4994-8E0F-FFE7E09FAF40}" name="Column9785" dataDxfId="13640" totalsRowDxfId="13639"/>
    <tableColumn id="9800" xr3:uid="{2DB8A0CC-AB3D-4925-B4E1-FBBA0266E368}" name="Column9786" dataDxfId="13638" totalsRowDxfId="13637"/>
    <tableColumn id="9801" xr3:uid="{24379512-0703-4BD3-8030-D3CA1BDDCB50}" name="Column9787" dataDxfId="13636" totalsRowDxfId="13635"/>
    <tableColumn id="9802" xr3:uid="{D9D6CE60-3281-448A-81C8-33B7A3A7A237}" name="Column9788" dataDxfId="13634" totalsRowDxfId="13633"/>
    <tableColumn id="9803" xr3:uid="{4891B430-B4E8-4350-930A-D82AEF75FB99}" name="Column9789" dataDxfId="13632" totalsRowDxfId="13631"/>
    <tableColumn id="9804" xr3:uid="{49E76A9A-3CF4-41FD-AA6E-2FB57370FF72}" name="Column9790" dataDxfId="13630" totalsRowDxfId="13629"/>
    <tableColumn id="9805" xr3:uid="{A429D9A2-C775-4CA4-90A1-205A6BD78CD4}" name="Column9791" dataDxfId="13628" totalsRowDxfId="13627"/>
    <tableColumn id="9806" xr3:uid="{A0492197-C421-4071-90B6-E794E837788A}" name="Column9792" dataDxfId="13626" totalsRowDxfId="13625"/>
    <tableColumn id="9807" xr3:uid="{E205D30B-0D76-4811-A41D-C5918FEAD122}" name="Column9793" dataDxfId="13624" totalsRowDxfId="13623"/>
    <tableColumn id="9808" xr3:uid="{7CEC0B3C-4286-4194-A97C-02EF6CEE5538}" name="Column9794" dataDxfId="13622" totalsRowDxfId="13621"/>
    <tableColumn id="9809" xr3:uid="{B426271F-C829-401F-94F3-624861FECF81}" name="Column9795" dataDxfId="13620" totalsRowDxfId="13619"/>
    <tableColumn id="9810" xr3:uid="{7FC7BE53-A4AC-4858-BECE-CB0F4FF07439}" name="Column9796" dataDxfId="13618" totalsRowDxfId="13617"/>
    <tableColumn id="9811" xr3:uid="{815B636A-FD84-4F6C-B9C1-9C07FBD752AD}" name="Column9797" dataDxfId="13616" totalsRowDxfId="13615"/>
    <tableColumn id="9812" xr3:uid="{F4F35769-D33C-4F3C-8553-50A7B4FBCC4F}" name="Column9798" dataDxfId="13614" totalsRowDxfId="13613"/>
    <tableColumn id="9813" xr3:uid="{F7EB2932-4B62-4A45-8840-DB24E4BCDF36}" name="Column9799" dataDxfId="13612" totalsRowDxfId="13611"/>
    <tableColumn id="9814" xr3:uid="{9CD18276-43A7-43D6-ABEE-15F2200155FB}" name="Column9800" dataDxfId="13610" totalsRowDxfId="13609"/>
    <tableColumn id="9815" xr3:uid="{62F454F3-0E09-4024-BAA4-439D45AC3A8F}" name="Column9801" dataDxfId="13608" totalsRowDxfId="13607"/>
    <tableColumn id="9816" xr3:uid="{6577776D-5E70-4EA4-A30E-110EB424D003}" name="Column9802" dataDxfId="13606" totalsRowDxfId="13605"/>
    <tableColumn id="9817" xr3:uid="{CCC8E7ED-9218-4EC6-9563-94576E974F2D}" name="Column9803" dataDxfId="13604" totalsRowDxfId="13603"/>
    <tableColumn id="9818" xr3:uid="{F78595FD-D059-445F-BBE2-717B0AC7A1C8}" name="Column9804" dataDxfId="13602" totalsRowDxfId="13601"/>
    <tableColumn id="9819" xr3:uid="{278ABFA5-0F03-4D9B-BEB6-247AD842ECF1}" name="Column9805" dataDxfId="13600" totalsRowDxfId="13599"/>
    <tableColumn id="9820" xr3:uid="{A39587BD-FEF4-4750-8C15-E3B566462929}" name="Column9806" dataDxfId="13598" totalsRowDxfId="13597"/>
    <tableColumn id="9821" xr3:uid="{B8055F26-14AD-4E2F-A5B7-C5FCD1CA694A}" name="Column9807" dataDxfId="13596" totalsRowDxfId="13595"/>
    <tableColumn id="9822" xr3:uid="{354BC5BB-1E6A-485C-A7AB-4DAEBFD1F8ED}" name="Column9808" dataDxfId="13594" totalsRowDxfId="13593"/>
    <tableColumn id="9823" xr3:uid="{CA6F9803-EA7C-42A7-9B34-1E25C46CD399}" name="Column9809" dataDxfId="13592" totalsRowDxfId="13591"/>
    <tableColumn id="9824" xr3:uid="{27526683-3778-45FC-8AED-588125937C89}" name="Column9810" dataDxfId="13590" totalsRowDxfId="13589"/>
    <tableColumn id="9825" xr3:uid="{B54394DF-E38F-41EC-9B37-2FC03990CDA3}" name="Column9811" dataDxfId="13588" totalsRowDxfId="13587"/>
    <tableColumn id="9826" xr3:uid="{7E39A4F9-088A-4E79-B499-7D194D6CB871}" name="Column9812" dataDxfId="13586" totalsRowDxfId="13585"/>
    <tableColumn id="9827" xr3:uid="{0860CEC3-290D-46BA-A570-D91440911AE4}" name="Column9813" dataDxfId="13584" totalsRowDxfId="13583"/>
    <tableColumn id="9828" xr3:uid="{E1474E9F-88D8-45D3-9E1A-CBA74DF75193}" name="Column9814" dataDxfId="13582" totalsRowDxfId="13581"/>
    <tableColumn id="9829" xr3:uid="{9E8CCE21-2C61-44A2-A377-D568D0E08FF0}" name="Column9815" dataDxfId="13580" totalsRowDxfId="13579"/>
    <tableColumn id="9830" xr3:uid="{8EE34C28-23F7-4B7B-BB24-3F5449CF608B}" name="Column9816" dataDxfId="13578" totalsRowDxfId="13577"/>
    <tableColumn id="9831" xr3:uid="{C632AD3D-E560-4F0B-9A6C-00B37169E973}" name="Column9817" dataDxfId="13576" totalsRowDxfId="13575"/>
    <tableColumn id="9832" xr3:uid="{25A2ACD9-3C50-4B0B-BDCF-175A1AE1803A}" name="Column9818" dataDxfId="13574" totalsRowDxfId="13573"/>
    <tableColumn id="9833" xr3:uid="{FB371F66-A38C-4A73-9C77-C8B232E11C11}" name="Column9819" dataDxfId="13572" totalsRowDxfId="13571"/>
    <tableColumn id="9834" xr3:uid="{062B4C8A-BB8E-4E22-9149-6898B5CA24D4}" name="Column9820" dataDxfId="13570" totalsRowDxfId="13569"/>
    <tableColumn id="9835" xr3:uid="{5FEB4E35-E9BD-4509-8080-CC1795EAA848}" name="Column9821" dataDxfId="13568" totalsRowDxfId="13567"/>
    <tableColumn id="9836" xr3:uid="{22516830-C3A1-4D1B-8EC9-998BB98B8683}" name="Column9822" dataDxfId="13566" totalsRowDxfId="13565"/>
    <tableColumn id="9837" xr3:uid="{7D57DC59-4B30-4D12-B4BD-D10ED172BCC3}" name="Column9823" dataDxfId="13564" totalsRowDxfId="13563"/>
    <tableColumn id="9838" xr3:uid="{465FDAB1-BD8B-4675-B700-086AD485FD54}" name="Column9824" dataDxfId="13562" totalsRowDxfId="13561"/>
    <tableColumn id="9839" xr3:uid="{613AF547-4C2A-4CF8-AE1E-ECEA2FC66F71}" name="Column9825" dataDxfId="13560" totalsRowDxfId="13559"/>
    <tableColumn id="9840" xr3:uid="{F516E98C-2BC2-441A-A12C-7E337741FEEF}" name="Column9826" dataDxfId="13558" totalsRowDxfId="13557"/>
    <tableColumn id="9841" xr3:uid="{6ACE13E6-45C3-4B25-BB92-AD1E4DE6D80F}" name="Column9827" dataDxfId="13556" totalsRowDxfId="13555"/>
    <tableColumn id="9842" xr3:uid="{3F3367A9-4E89-40E2-87C1-5A652E7D18AD}" name="Column9828" dataDxfId="13554" totalsRowDxfId="13553"/>
    <tableColumn id="9843" xr3:uid="{8BC83FE2-1F34-43EE-95B5-2D1955B55338}" name="Column9829" dataDxfId="13552" totalsRowDxfId="13551"/>
    <tableColumn id="9844" xr3:uid="{50B71AF5-DD65-4761-B0A0-A39EE1B911FF}" name="Column9830" dataDxfId="13550" totalsRowDxfId="13549"/>
    <tableColumn id="9845" xr3:uid="{D4C810FE-F978-43FC-9F35-74BA26C1473E}" name="Column9831" dataDxfId="13548" totalsRowDxfId="13547"/>
    <tableColumn id="9846" xr3:uid="{486B6381-19E8-4B4D-9BFF-854D37F34D0A}" name="Column9832" dataDxfId="13546" totalsRowDxfId="13545"/>
    <tableColumn id="9847" xr3:uid="{6A1C879C-99C3-46B9-8FFC-BFFC0655BF3A}" name="Column9833" dataDxfId="13544" totalsRowDxfId="13543"/>
    <tableColumn id="9848" xr3:uid="{F9229DB1-6E89-4996-8FDC-63DF6845156F}" name="Column9834" dataDxfId="13542" totalsRowDxfId="13541"/>
    <tableColumn id="9849" xr3:uid="{A11ADF36-3E1A-402E-AA44-837FC36C01C0}" name="Column9835" dataDxfId="13540" totalsRowDxfId="13539"/>
    <tableColumn id="9850" xr3:uid="{8AB949F2-7A78-4487-9D55-654A05EC74C9}" name="Column9836" dataDxfId="13538" totalsRowDxfId="13537"/>
    <tableColumn id="9851" xr3:uid="{818C7831-F87C-409B-B07B-C2524F3EE70A}" name="Column9837" dataDxfId="13536" totalsRowDxfId="13535"/>
    <tableColumn id="9852" xr3:uid="{7F4C3BEA-7497-434F-B671-1FD217968F89}" name="Column9838" dataDxfId="13534" totalsRowDxfId="13533"/>
    <tableColumn id="9853" xr3:uid="{B65E537F-D849-4C6C-9AE4-FD2FCA083FE7}" name="Column9839" dataDxfId="13532" totalsRowDxfId="13531"/>
    <tableColumn id="9854" xr3:uid="{61AE3EAE-D8C1-4824-BE09-E7C99577AC13}" name="Column9840" dataDxfId="13530" totalsRowDxfId="13529"/>
    <tableColumn id="9855" xr3:uid="{CB343866-8CF9-4104-B1E3-DC8CD95665E9}" name="Column9841" dataDxfId="13528" totalsRowDxfId="13527"/>
    <tableColumn id="9856" xr3:uid="{E32E3767-0EBA-411F-86D7-D784B23C3D87}" name="Column9842" dataDxfId="13526" totalsRowDxfId="13525"/>
    <tableColumn id="9857" xr3:uid="{34DE85BA-ABE7-4887-879C-6DA653555008}" name="Column9843" dataDxfId="13524" totalsRowDxfId="13523"/>
    <tableColumn id="9858" xr3:uid="{7BBF3BCC-136A-495D-9A49-0C4991CD7DB5}" name="Column9844" dataDxfId="13522" totalsRowDxfId="13521"/>
    <tableColumn id="9859" xr3:uid="{5676A7EC-2CFB-4B42-80B2-E25B80F5CC61}" name="Column9845" dataDxfId="13520" totalsRowDxfId="13519"/>
    <tableColumn id="9860" xr3:uid="{02A86E30-89D5-4AF2-9934-37DA39C0586D}" name="Column9846" dataDxfId="13518" totalsRowDxfId="13517"/>
    <tableColumn id="9861" xr3:uid="{F8D94358-9AAC-47E5-AC6B-EFC2A0F01144}" name="Column9847" dataDxfId="13516" totalsRowDxfId="13515"/>
    <tableColumn id="9862" xr3:uid="{12F87CF8-3275-4CCB-B6A9-E0CDD85C8C01}" name="Column9848" dataDxfId="13514" totalsRowDxfId="13513"/>
    <tableColumn id="9863" xr3:uid="{8E47AE72-F854-41E0-AE7F-D19BBEDD3FC2}" name="Column9849" dataDxfId="13512" totalsRowDxfId="13511"/>
    <tableColumn id="9864" xr3:uid="{8A39747C-C215-4231-91E4-A888EED0743E}" name="Column9850" dataDxfId="13510" totalsRowDxfId="13509"/>
    <tableColumn id="9865" xr3:uid="{2C5639EA-5F10-40A8-9A40-A4931EC5A63B}" name="Column9851" dataDxfId="13508" totalsRowDxfId="13507"/>
    <tableColumn id="9866" xr3:uid="{D44AF556-A929-42F2-9CDE-09A4430EF059}" name="Column9852" dataDxfId="13506" totalsRowDxfId="13505"/>
    <tableColumn id="9867" xr3:uid="{2BD9D7D6-0528-47B7-A144-F341CF8A2641}" name="Column9853" dataDxfId="13504" totalsRowDxfId="13503"/>
    <tableColumn id="9868" xr3:uid="{2D68E205-71D0-4679-ABE4-DAAABF71D911}" name="Column9854" dataDxfId="13502" totalsRowDxfId="13501"/>
    <tableColumn id="9869" xr3:uid="{A718BA43-5E0F-4F40-B3CE-BF75DAA172B8}" name="Column9855" dataDxfId="13500" totalsRowDxfId="13499"/>
    <tableColumn id="9870" xr3:uid="{D517DE1A-ED0C-4554-9F05-2051ABE38F9F}" name="Column9856" dataDxfId="13498" totalsRowDxfId="13497"/>
    <tableColumn id="9871" xr3:uid="{1E6E6CA7-D60E-4757-809B-CFA2ED45F901}" name="Column9857" dataDxfId="13496" totalsRowDxfId="13495"/>
    <tableColumn id="9872" xr3:uid="{83D3C455-2CE5-443C-829F-C06CBE33F282}" name="Column9858" dataDxfId="13494" totalsRowDxfId="13493"/>
    <tableColumn id="9873" xr3:uid="{C2F09E01-F0B3-4ADE-86AC-0FEBC015D9EA}" name="Column9859" dataDxfId="13492" totalsRowDxfId="13491"/>
    <tableColumn id="9874" xr3:uid="{0BDB2673-656E-44EE-B08D-A205CDB8F7E9}" name="Column9860" dataDxfId="13490" totalsRowDxfId="13489"/>
    <tableColumn id="9875" xr3:uid="{16CC206B-5E9D-46DF-BE24-D094737598B6}" name="Column9861" dataDxfId="13488" totalsRowDxfId="13487"/>
    <tableColumn id="9876" xr3:uid="{5C05FE41-8B99-49F3-BC3A-2D514CB01AEC}" name="Column9862" dataDxfId="13486" totalsRowDxfId="13485"/>
    <tableColumn id="9877" xr3:uid="{93470308-D4E5-46F6-A178-BBCD2240A8A3}" name="Column9863" dataDxfId="13484" totalsRowDxfId="13483"/>
    <tableColumn id="9878" xr3:uid="{0D7FB49F-BC10-4BBE-B95B-2B5A39B8E73C}" name="Column9864" dataDxfId="13482" totalsRowDxfId="13481"/>
    <tableColumn id="9879" xr3:uid="{5A3B2600-8510-4AC9-857C-412F6A33AC7B}" name="Column9865" dataDxfId="13480" totalsRowDxfId="13479"/>
    <tableColumn id="9880" xr3:uid="{FCE4FF8E-A411-4A0B-901A-25C8DEAC83A8}" name="Column9866" dataDxfId="13478" totalsRowDxfId="13477"/>
    <tableColumn id="9881" xr3:uid="{7419F555-A5DE-4FBC-904F-6C635F5A4BB4}" name="Column9867" dataDxfId="13476" totalsRowDxfId="13475"/>
    <tableColumn id="9882" xr3:uid="{C30414B4-77C7-49D9-B9B7-AA69801A9254}" name="Column9868" dataDxfId="13474" totalsRowDxfId="13473"/>
    <tableColumn id="9883" xr3:uid="{3A02DB78-B4BD-4B6F-B273-ECBE4D5C9CAD}" name="Column9869" dataDxfId="13472" totalsRowDxfId="13471"/>
    <tableColumn id="9884" xr3:uid="{0DD80915-5ED4-401A-A7AF-6CC8982A0330}" name="Column9870" dataDxfId="13470" totalsRowDxfId="13469"/>
    <tableColumn id="9885" xr3:uid="{74FBB8B4-124C-4093-A985-F2BF92769470}" name="Column9871" dataDxfId="13468" totalsRowDxfId="13467"/>
    <tableColumn id="9886" xr3:uid="{4833B5E8-78BB-43CC-BB01-4EAC9340CDEA}" name="Column9872" dataDxfId="13466" totalsRowDxfId="13465"/>
    <tableColumn id="9887" xr3:uid="{4CAB2F0B-2239-48AA-910F-6E54564C34E4}" name="Column9873" dataDxfId="13464" totalsRowDxfId="13463"/>
    <tableColumn id="9888" xr3:uid="{0840A0BE-52C5-448B-A597-2244460E95B1}" name="Column9874" dataDxfId="13462" totalsRowDxfId="13461"/>
    <tableColumn id="9889" xr3:uid="{5DF0A7FD-D8CC-45CA-BA10-6D497D485B12}" name="Column9875" dataDxfId="13460" totalsRowDxfId="13459"/>
    <tableColumn id="9890" xr3:uid="{003A1CC5-7CBE-497D-A139-DBAFCD00D74D}" name="Column9876" dataDxfId="13458" totalsRowDxfId="13457"/>
    <tableColumn id="9891" xr3:uid="{4CF42E4E-5F37-439A-85E1-24D81A98CEB7}" name="Column9877" dataDxfId="13456" totalsRowDxfId="13455"/>
    <tableColumn id="9892" xr3:uid="{DE80C40F-22F8-4267-A6F5-F31069C6754A}" name="Column9878" dataDxfId="13454" totalsRowDxfId="13453"/>
    <tableColumn id="9893" xr3:uid="{7C50BC9B-98D9-45E5-99FC-54509FEEF490}" name="Column9879" dataDxfId="13452" totalsRowDxfId="13451"/>
    <tableColumn id="9894" xr3:uid="{171D1FAA-AECE-47BA-AD91-6BC603A25326}" name="Column9880" dataDxfId="13450" totalsRowDxfId="13449"/>
    <tableColumn id="9895" xr3:uid="{113B54D1-225D-40DB-A66D-6B639B7E472E}" name="Column9881" dataDxfId="13448" totalsRowDxfId="13447"/>
    <tableColumn id="9896" xr3:uid="{F2B9BDCC-5415-4797-8E52-30B928244113}" name="Column9882" dataDxfId="13446" totalsRowDxfId="13445"/>
    <tableColumn id="9897" xr3:uid="{25CD1819-FE38-4445-83FE-BC724CCC65F4}" name="Column9883" dataDxfId="13444" totalsRowDxfId="13443"/>
    <tableColumn id="9898" xr3:uid="{4EA860ED-170A-49D4-A285-30016BF39C04}" name="Column9884" dataDxfId="13442" totalsRowDxfId="13441"/>
    <tableColumn id="9899" xr3:uid="{544D08E2-AB94-49C3-97A4-B7C0FABE2EA8}" name="Column9885" dataDxfId="13440" totalsRowDxfId="13439"/>
    <tableColumn id="9900" xr3:uid="{24024E3F-5978-4305-8630-F387D6250DAF}" name="Column9886" dataDxfId="13438" totalsRowDxfId="13437"/>
    <tableColumn id="9901" xr3:uid="{30924610-8037-4D1F-966D-52B1B41952DC}" name="Column9887" dataDxfId="13436" totalsRowDxfId="13435"/>
    <tableColumn id="9902" xr3:uid="{158B64DC-5F9D-40FB-9F0A-C00EEEDD6B26}" name="Column9888" dataDxfId="13434" totalsRowDxfId="13433"/>
    <tableColumn id="9903" xr3:uid="{6798501A-0232-46F0-8B47-D68B8A82B8E4}" name="Column9889" dataDxfId="13432" totalsRowDxfId="13431"/>
    <tableColumn id="9904" xr3:uid="{C90CBD44-60E4-46C1-A67A-F2CB554888DC}" name="Column9890" dataDxfId="13430" totalsRowDxfId="13429"/>
    <tableColumn id="9905" xr3:uid="{23EE71EC-8FDA-4902-BC84-7D0A9FA54BB4}" name="Column9891" dataDxfId="13428" totalsRowDxfId="13427"/>
    <tableColumn id="9906" xr3:uid="{E0C38C66-B26D-497A-812A-ED1BBBC0C25B}" name="Column9892" dataDxfId="13426" totalsRowDxfId="13425"/>
    <tableColumn id="9907" xr3:uid="{AF764870-B477-4EC2-9D9B-8DDE5B121E15}" name="Column9893" dataDxfId="13424" totalsRowDxfId="13423"/>
    <tableColumn id="9908" xr3:uid="{8E009909-C322-4AB6-8D4D-81D3B65AFC83}" name="Column9894" dataDxfId="13422" totalsRowDxfId="13421"/>
    <tableColumn id="9909" xr3:uid="{58126809-A6B9-4E37-8FBA-C91C9BB81527}" name="Column9895" dataDxfId="13420" totalsRowDxfId="13419"/>
    <tableColumn id="9910" xr3:uid="{C95D9D9A-952F-4FB4-ADA4-C61F1AF4EC19}" name="Column9896" dataDxfId="13418" totalsRowDxfId="13417"/>
    <tableColumn id="9911" xr3:uid="{AB48D875-8CD8-41CB-A3CA-C169755C7E3C}" name="Column9897" dataDxfId="13416" totalsRowDxfId="13415"/>
    <tableColumn id="9912" xr3:uid="{83E5A6AF-4621-4FF7-9189-D605954FAF0E}" name="Column9898" dataDxfId="13414" totalsRowDxfId="13413"/>
    <tableColumn id="9913" xr3:uid="{4ADA8413-B772-4550-990A-F413C2FCD80F}" name="Column9899" dataDxfId="13412" totalsRowDxfId="13411"/>
    <tableColumn id="9914" xr3:uid="{AC70814A-ED67-43E7-84D9-75F1EC7E95CA}" name="Column9900" dataDxfId="13410" totalsRowDxfId="13409"/>
    <tableColumn id="9915" xr3:uid="{D5C2DA29-BCBE-4862-B5CC-4B6E663D0DD3}" name="Column9901" dataDxfId="13408" totalsRowDxfId="13407"/>
    <tableColumn id="9916" xr3:uid="{71D12BD5-28F3-482D-9E8E-227D28F1D152}" name="Column9902" dataDxfId="13406" totalsRowDxfId="13405"/>
    <tableColumn id="9917" xr3:uid="{76F18E52-9C57-4BF7-9171-CD4594B21323}" name="Column9903" dataDxfId="13404" totalsRowDxfId="13403"/>
    <tableColumn id="9918" xr3:uid="{EDEE4E2E-38DB-4969-94AD-63C2B834A1B3}" name="Column9904" dataDxfId="13402" totalsRowDxfId="13401"/>
    <tableColumn id="9919" xr3:uid="{4ACD56FA-6A35-4FEB-A10C-694878B12620}" name="Column9905" dataDxfId="13400" totalsRowDxfId="13399"/>
    <tableColumn id="9920" xr3:uid="{5A612C8D-2BF5-4788-9662-9A416358A5C9}" name="Column9906" dataDxfId="13398" totalsRowDxfId="13397"/>
    <tableColumn id="9921" xr3:uid="{6E607967-A7B3-4163-872B-62209D37882E}" name="Column9907" dataDxfId="13396" totalsRowDxfId="13395"/>
    <tableColumn id="9922" xr3:uid="{FEDA97FF-1662-4298-8884-7D75265CDD6C}" name="Column9908" dataDxfId="13394" totalsRowDxfId="13393"/>
    <tableColumn id="9923" xr3:uid="{1C03D594-D75C-4A89-9576-AC6F871EC048}" name="Column9909" dataDxfId="13392" totalsRowDxfId="13391"/>
    <tableColumn id="9924" xr3:uid="{05D6CF51-D768-44B0-8CDC-4C271B3F468D}" name="Column9910" dataDxfId="13390" totalsRowDxfId="13389"/>
    <tableColumn id="9925" xr3:uid="{F130C80E-EDEF-451E-B1BE-34DCD04F0D47}" name="Column9911" dataDxfId="13388" totalsRowDxfId="13387"/>
    <tableColumn id="9926" xr3:uid="{5865BAFF-6657-48C0-AE88-DDEF0658B4AE}" name="Column9912" dataDxfId="13386" totalsRowDxfId="13385"/>
    <tableColumn id="9927" xr3:uid="{D3379B96-3BC0-4413-A4B8-2C46A355EBDF}" name="Column9913" dataDxfId="13384" totalsRowDxfId="13383"/>
    <tableColumn id="9928" xr3:uid="{71F2CB71-635C-48A5-ADA3-C99CDFEDD655}" name="Column9914" dataDxfId="13382" totalsRowDxfId="13381"/>
    <tableColumn id="9929" xr3:uid="{D31E888C-2A2C-466D-8FE7-E6D172A7057A}" name="Column9915" dataDxfId="13380" totalsRowDxfId="13379"/>
    <tableColumn id="9930" xr3:uid="{63B56E8C-4CE2-46AA-BFDE-82C9326D1B1C}" name="Column9916" dataDxfId="13378" totalsRowDxfId="13377"/>
    <tableColumn id="9931" xr3:uid="{C9732D8B-A24A-45AA-AF18-C63A6DA2F507}" name="Column9917" dataDxfId="13376" totalsRowDxfId="13375"/>
    <tableColumn id="9932" xr3:uid="{C6A216B4-F5EF-4541-8A3A-3A1C46C9ABFC}" name="Column9918" dataDxfId="13374" totalsRowDxfId="13373"/>
    <tableColumn id="9933" xr3:uid="{01CBB7AA-7CBB-4DAD-972D-260CA4641020}" name="Column9919" dataDxfId="13372" totalsRowDxfId="13371"/>
    <tableColumn id="9934" xr3:uid="{70390345-C3C9-4ED2-9A85-27382CE8B5A0}" name="Column9920" dataDxfId="13370" totalsRowDxfId="13369"/>
    <tableColumn id="9935" xr3:uid="{DE705D66-D5B0-47A1-9CFA-032EA75409DA}" name="Column9921" dataDxfId="13368" totalsRowDxfId="13367"/>
    <tableColumn id="9936" xr3:uid="{D0B145A6-872E-4BB1-A51E-4B46B1ED8D2F}" name="Column9922" dataDxfId="13366" totalsRowDxfId="13365"/>
    <tableColumn id="9937" xr3:uid="{943338D7-33CA-4233-AEB9-F71185352193}" name="Column9923" dataDxfId="13364" totalsRowDxfId="13363"/>
    <tableColumn id="9938" xr3:uid="{9E3BAFEC-BB0F-4CF6-AE26-66269C848579}" name="Column9924" dataDxfId="13362" totalsRowDxfId="13361"/>
    <tableColumn id="9939" xr3:uid="{ED00FDE6-44E3-4E69-B9E9-47BC5DAE697D}" name="Column9925" dataDxfId="13360" totalsRowDxfId="13359"/>
    <tableColumn id="9940" xr3:uid="{A4C8085F-F2C9-479B-9359-69D77F459A68}" name="Column9926" dataDxfId="13358" totalsRowDxfId="13357"/>
    <tableColumn id="9941" xr3:uid="{35D11189-4DCA-4792-B211-A45D8E00DFA1}" name="Column9927" dataDxfId="13356" totalsRowDxfId="13355"/>
    <tableColumn id="9942" xr3:uid="{F5FFCD07-E713-404B-A7F4-4AB6D165DCB2}" name="Column9928" dataDxfId="13354" totalsRowDxfId="13353"/>
    <tableColumn id="9943" xr3:uid="{450BF625-2407-4F4A-A07E-ADEC29ED85F8}" name="Column9929" dataDxfId="13352" totalsRowDxfId="13351"/>
    <tableColumn id="9944" xr3:uid="{7FE32E3E-191A-4F6C-BB4F-8D84BE0B1389}" name="Column9930" dataDxfId="13350" totalsRowDxfId="13349"/>
    <tableColumn id="9945" xr3:uid="{AB439F00-2F96-49C3-A241-2572F3C49F9C}" name="Column9931" dataDxfId="13348" totalsRowDxfId="13347"/>
    <tableColumn id="9946" xr3:uid="{E79537B8-B88D-44E8-ACF1-27B566F4C554}" name="Column9932" dataDxfId="13346" totalsRowDxfId="13345"/>
    <tableColumn id="9947" xr3:uid="{AC46DC25-88B2-4FA6-A7B4-315AE8CBC0F4}" name="Column9933" dataDxfId="13344" totalsRowDxfId="13343"/>
    <tableColumn id="9948" xr3:uid="{B3F2B9D4-FD6C-4C7C-885C-3904B6F81117}" name="Column9934" dataDxfId="13342" totalsRowDxfId="13341"/>
    <tableColumn id="9949" xr3:uid="{364400CC-B7DF-41DD-B7DE-152DB015BE57}" name="Column9935" dataDxfId="13340" totalsRowDxfId="13339"/>
    <tableColumn id="9950" xr3:uid="{473DD589-AD9B-49FE-A73A-DEB05A9D3FEB}" name="Column9936" dataDxfId="13338" totalsRowDxfId="13337"/>
    <tableColumn id="9951" xr3:uid="{518ADED4-02D2-4D8F-83EB-C92BCA6A8127}" name="Column9937" dataDxfId="13336" totalsRowDxfId="13335"/>
    <tableColumn id="9952" xr3:uid="{E455D968-401A-4EC4-ABD4-E25D5068009F}" name="Column9938" dataDxfId="13334" totalsRowDxfId="13333"/>
    <tableColumn id="9953" xr3:uid="{8682D87A-9003-47B9-913F-1FBAE54E9A71}" name="Column9939" dataDxfId="13332" totalsRowDxfId="13331"/>
    <tableColumn id="9954" xr3:uid="{5F41CF93-FDE6-47A6-B85C-AEF9A829E038}" name="Column9940" dataDxfId="13330" totalsRowDxfId="13329"/>
    <tableColumn id="9955" xr3:uid="{68D74A16-1F3F-4EF6-BA4C-6818E694415E}" name="Column9941" dataDxfId="13328" totalsRowDxfId="13327"/>
    <tableColumn id="9956" xr3:uid="{554F219A-BFE5-4851-89F8-BD28765412B4}" name="Column9942" dataDxfId="13326" totalsRowDxfId="13325"/>
    <tableColumn id="9957" xr3:uid="{A4F00AE4-DCFB-4EBD-A5BA-0074F84F3376}" name="Column9943" dataDxfId="13324" totalsRowDxfId="13323"/>
    <tableColumn id="9958" xr3:uid="{D34B5413-A304-4140-9AAD-EF8663FC171D}" name="Column9944" dataDxfId="13322" totalsRowDxfId="13321"/>
    <tableColumn id="9959" xr3:uid="{E7A99B53-A546-49E5-9FEC-DDCA35886827}" name="Column9945" dataDxfId="13320" totalsRowDxfId="13319"/>
    <tableColumn id="9960" xr3:uid="{482B4443-E286-4BBE-86CB-775793FC3FCE}" name="Column9946" dataDxfId="13318" totalsRowDxfId="13317"/>
    <tableColumn id="9961" xr3:uid="{E1E4CC65-30F2-4CC9-A262-BB04B4B9146F}" name="Column9947" dataDxfId="13316" totalsRowDxfId="13315"/>
    <tableColumn id="9962" xr3:uid="{F370C901-378A-40FF-A7AF-BEA2C0F5B194}" name="Column9948" dataDxfId="13314" totalsRowDxfId="13313"/>
    <tableColumn id="9963" xr3:uid="{CD6CA07E-C4EA-45A4-83D9-654BAD26AF53}" name="Column9949" dataDxfId="13312" totalsRowDxfId="13311"/>
    <tableColumn id="9964" xr3:uid="{E9B10836-C0CA-4B56-8228-DDE9C59FDD6D}" name="Column9950" dataDxfId="13310" totalsRowDxfId="13309"/>
    <tableColumn id="9965" xr3:uid="{7A909C94-AD6D-4669-985E-9F7DE04F97D1}" name="Column9951" dataDxfId="13308" totalsRowDxfId="13307"/>
    <tableColumn id="9966" xr3:uid="{F01AECCC-D8DC-43CE-8892-BE6A01CFFCF4}" name="Column9952" dataDxfId="13306" totalsRowDxfId="13305"/>
    <tableColumn id="9967" xr3:uid="{2B7D4328-FE29-4F79-8AC7-CC51690D33A5}" name="Column9953" dataDxfId="13304" totalsRowDxfId="13303"/>
    <tableColumn id="9968" xr3:uid="{F520E9E7-86FF-456E-9D5E-AC911DDF1360}" name="Column9954" dataDxfId="13302" totalsRowDxfId="13301"/>
    <tableColumn id="9969" xr3:uid="{8F2FEE03-7073-4F37-8732-FD11CC24734B}" name="Column9955" dataDxfId="13300" totalsRowDxfId="13299"/>
    <tableColumn id="9970" xr3:uid="{1A9E504A-D893-43C8-8E1A-81687AF019FA}" name="Column9956" dataDxfId="13298" totalsRowDxfId="13297"/>
    <tableColumn id="9971" xr3:uid="{4CCE804D-F72E-48D0-AED3-5AF760E676B3}" name="Column9957" dataDxfId="13296" totalsRowDxfId="13295"/>
    <tableColumn id="9972" xr3:uid="{C6FDC8E8-6E06-4616-B721-451DD68EDF6B}" name="Column9958" dataDxfId="13294" totalsRowDxfId="13293"/>
    <tableColumn id="9973" xr3:uid="{039CAB9A-4F59-48B8-9600-0B6046C6AA13}" name="Column9959" dataDxfId="13292" totalsRowDxfId="13291"/>
    <tableColumn id="9974" xr3:uid="{D8D3A160-3E75-4C2D-AF40-58A586BFE2DF}" name="Column9960" dataDxfId="13290" totalsRowDxfId="13289"/>
    <tableColumn id="9975" xr3:uid="{DBEB665C-F861-4EB1-BE3F-A0FC72242767}" name="Column9961" dataDxfId="13288" totalsRowDxfId="13287"/>
    <tableColumn id="9976" xr3:uid="{9D8957A4-04B0-4FD1-9664-4EC71B674EAF}" name="Column9962" dataDxfId="13286" totalsRowDxfId="13285"/>
    <tableColumn id="9977" xr3:uid="{7E845C32-A90C-44B3-A501-E6B0D25C0F32}" name="Column9963" dataDxfId="13284" totalsRowDxfId="13283"/>
    <tableColumn id="9978" xr3:uid="{33BDDA9F-4EF4-4E56-ABD0-BD2D12B85D18}" name="Column9964" dataDxfId="13282" totalsRowDxfId="13281"/>
    <tableColumn id="9979" xr3:uid="{705439E8-D57B-4AE4-8C50-A120E0CD94FA}" name="Column9965" dataDxfId="13280" totalsRowDxfId="13279"/>
    <tableColumn id="9980" xr3:uid="{E51C25E0-AF53-44F1-8A16-C44B2357DED0}" name="Column9966" dataDxfId="13278" totalsRowDxfId="13277"/>
    <tableColumn id="9981" xr3:uid="{5E6D46C2-DAD3-408E-8220-6FF8F9061DAE}" name="Column9967" dataDxfId="13276" totalsRowDxfId="13275"/>
    <tableColumn id="9982" xr3:uid="{8422AC75-9C09-43BD-BA8C-F4A4995874E6}" name="Column9968" dataDxfId="13274" totalsRowDxfId="13273"/>
    <tableColumn id="9983" xr3:uid="{89E4783A-D6E2-4BF4-A547-C8631CDC36EE}" name="Column9969" dataDxfId="13272" totalsRowDxfId="13271"/>
    <tableColumn id="9984" xr3:uid="{CFAD99E2-8933-47A6-ABFD-5F020529B722}" name="Column9970" dataDxfId="13270" totalsRowDxfId="13269"/>
    <tableColumn id="9985" xr3:uid="{D9FD68BE-71C8-421B-B0DE-060B3882BF59}" name="Column9971" dataDxfId="13268" totalsRowDxfId="13267"/>
    <tableColumn id="9986" xr3:uid="{52849A57-1F85-4375-857F-3BBF2207C286}" name="Column9972" dataDxfId="13266" totalsRowDxfId="13265"/>
    <tableColumn id="9987" xr3:uid="{CA02112B-81B2-4F94-9C3B-390003A3AB30}" name="Column9973" dataDxfId="13264" totalsRowDxfId="13263"/>
    <tableColumn id="9988" xr3:uid="{021A916B-57C9-4718-823A-4DF424EC70DF}" name="Column9974" dataDxfId="13262" totalsRowDxfId="13261"/>
    <tableColumn id="9989" xr3:uid="{E9173E3E-CF33-44E9-B3D1-01E384D8F050}" name="Column9975" dataDxfId="13260" totalsRowDxfId="13259"/>
    <tableColumn id="9990" xr3:uid="{51A257D5-5A82-4ADF-8C27-C46CACABF63F}" name="Column9976" dataDxfId="13258" totalsRowDxfId="13257"/>
    <tableColumn id="9991" xr3:uid="{F402BF3A-D703-4CFF-BBDB-7F0FBFDFA222}" name="Column9977" dataDxfId="13256" totalsRowDxfId="13255"/>
    <tableColumn id="9992" xr3:uid="{3FB9A7BC-7F43-49E5-BBB0-EA0AEA0157B6}" name="Column9978" dataDxfId="13254" totalsRowDxfId="13253"/>
    <tableColumn id="9993" xr3:uid="{33F17378-7AE2-478D-A679-6FF0602EDB03}" name="Column9979" dataDxfId="13252" totalsRowDxfId="13251"/>
    <tableColumn id="9994" xr3:uid="{8F2B2783-1318-43FD-A6BA-BD7F2BAF5E95}" name="Column9980" dataDxfId="13250" totalsRowDxfId="13249"/>
    <tableColumn id="9995" xr3:uid="{0239D305-5475-446B-A7BD-C70AF4935A4E}" name="Column9981" dataDxfId="13248" totalsRowDxfId="13247"/>
    <tableColumn id="9996" xr3:uid="{39EF7D3F-FEB1-4CF6-8D18-3E319073469F}" name="Column9982" dataDxfId="13246" totalsRowDxfId="13245"/>
    <tableColumn id="9997" xr3:uid="{D9241482-EFA7-4112-B488-FD14DA519B0B}" name="Column9983" dataDxfId="13244" totalsRowDxfId="13243"/>
    <tableColumn id="9998" xr3:uid="{FBD9B7F7-552C-419D-B217-6C73E7668AE9}" name="Column9984" dataDxfId="13242" totalsRowDxfId="13241"/>
    <tableColumn id="9999" xr3:uid="{622AD950-AC1A-43C0-A14D-352DDA7AD2B3}" name="Column9985" dataDxfId="13240" totalsRowDxfId="13239"/>
    <tableColumn id="10000" xr3:uid="{6B02BA97-55ED-4F8E-9158-35EFF9E88F5E}" name="Column9986" dataDxfId="13238" totalsRowDxfId="13237"/>
    <tableColumn id="10001" xr3:uid="{CAA9E9D3-9C95-4157-BF8F-6E8F69DC2A38}" name="Column9987" dataDxfId="13236" totalsRowDxfId="13235"/>
    <tableColumn id="10002" xr3:uid="{6306F307-14FE-4B99-B348-57EDF35A77D2}" name="Column9988" dataDxfId="13234" totalsRowDxfId="13233"/>
    <tableColumn id="10003" xr3:uid="{44F300D0-AB1D-490E-BC8E-C4E7AE5C7556}" name="Column9989" dataDxfId="13232" totalsRowDxfId="13231"/>
    <tableColumn id="10004" xr3:uid="{D648AF23-4068-4386-8D6E-99DF6E85CDE0}" name="Column9990" dataDxfId="13230" totalsRowDxfId="13229"/>
    <tableColumn id="10005" xr3:uid="{67C11029-E5A5-4065-80C0-69292824FD23}" name="Column9991" dataDxfId="13228" totalsRowDxfId="13227"/>
    <tableColumn id="10006" xr3:uid="{15CBC213-86CF-4874-BFA3-EE0A387548D8}" name="Column9992" dataDxfId="13226" totalsRowDxfId="13225"/>
    <tableColumn id="10007" xr3:uid="{075EF647-E140-4C0F-B6E7-073FDE521AE0}" name="Column9993" dataDxfId="13224" totalsRowDxfId="13223"/>
    <tableColumn id="10008" xr3:uid="{7784C579-BAE0-402B-A3A5-6676FD95FF71}" name="Column9994" dataDxfId="13222" totalsRowDxfId="13221"/>
    <tableColumn id="10009" xr3:uid="{4C4C12A2-1195-43FE-A417-B3F391986742}" name="Column9995" dataDxfId="13220" totalsRowDxfId="13219"/>
    <tableColumn id="10010" xr3:uid="{9C6591A4-3852-4A9B-9D90-7544872D5FBE}" name="Column9996" dataDxfId="13218" totalsRowDxfId="13217"/>
    <tableColumn id="10011" xr3:uid="{EC0CDCF5-9FAA-4EDE-A14C-BAF28F61A18E}" name="Column9997" dataDxfId="13216" totalsRowDxfId="13215"/>
    <tableColumn id="10012" xr3:uid="{4851F78C-3059-4B04-84E3-19771902293A}" name="Column9998" dataDxfId="13214" totalsRowDxfId="13213"/>
    <tableColumn id="10013" xr3:uid="{5F48DE07-A95B-475F-844F-85F104BE73B8}" name="Column9999" dataDxfId="13212" totalsRowDxfId="13211"/>
    <tableColumn id="10014" xr3:uid="{811C0707-B2E1-4F3E-956B-954F0D16EF9F}" name="Column10000" dataDxfId="13210" totalsRowDxfId="13209"/>
    <tableColumn id="10015" xr3:uid="{C4798C58-3639-4A44-90E0-A9C17F568C4C}" name="Column10001" dataDxfId="13208" totalsRowDxfId="13207"/>
    <tableColumn id="10016" xr3:uid="{04E86E77-A0CF-4F5F-A1E3-BA917079E72B}" name="Column10002" dataDxfId="13206" totalsRowDxfId="13205"/>
    <tableColumn id="10017" xr3:uid="{84DE1275-6D61-4CF1-A665-F4774BA26C16}" name="Column10003" dataDxfId="13204" totalsRowDxfId="13203"/>
    <tableColumn id="10018" xr3:uid="{741D2712-4CEC-42C4-8133-0613B11E9E4A}" name="Column10004" dataDxfId="13202" totalsRowDxfId="13201"/>
    <tableColumn id="10019" xr3:uid="{6025F3A9-F1F5-4017-9751-FB91D1AB5478}" name="Column10005" dataDxfId="13200" totalsRowDxfId="13199"/>
    <tableColumn id="10020" xr3:uid="{65DE0885-B8B1-4ACB-9D69-366293ED82C7}" name="Column10006" dataDxfId="13198" totalsRowDxfId="13197"/>
    <tableColumn id="10021" xr3:uid="{8D8F4F37-F588-442D-8DFD-5454CEB61290}" name="Column10007" dataDxfId="13196" totalsRowDxfId="13195"/>
    <tableColumn id="10022" xr3:uid="{3E0151A2-D531-44A1-9529-6AFE4C8B105E}" name="Column10008" dataDxfId="13194" totalsRowDxfId="13193"/>
    <tableColumn id="10023" xr3:uid="{C6463A99-AF9F-47FE-9D4B-8FBBA58A19CF}" name="Column10009" dataDxfId="13192" totalsRowDxfId="13191"/>
    <tableColumn id="10024" xr3:uid="{AD2A30C5-36D9-49DB-915A-38006FCDF73E}" name="Column10010" dataDxfId="13190" totalsRowDxfId="13189"/>
    <tableColumn id="10025" xr3:uid="{FC1BA038-C317-4DD4-904A-9BAA8365EB83}" name="Column10011" dataDxfId="13188" totalsRowDxfId="13187"/>
    <tableColumn id="10026" xr3:uid="{8367B52D-52C7-4B6D-92BB-45CB0B7AF25A}" name="Column10012" dataDxfId="13186" totalsRowDxfId="13185"/>
    <tableColumn id="10027" xr3:uid="{90D20A7C-905B-4784-AB12-190B00D0621A}" name="Column10013" dataDxfId="13184" totalsRowDxfId="13183"/>
    <tableColumn id="10028" xr3:uid="{37B1ADEA-3A65-4A01-82AF-778DB721240D}" name="Column10014" dataDxfId="13182" totalsRowDxfId="13181"/>
    <tableColumn id="10029" xr3:uid="{6199AF9F-F891-4AF9-B081-D3406C2BCBF8}" name="Column10015" dataDxfId="13180" totalsRowDxfId="13179"/>
    <tableColumn id="10030" xr3:uid="{AD6E60A3-3DE6-4BAF-A836-5FDF32203208}" name="Column10016" dataDxfId="13178" totalsRowDxfId="13177"/>
    <tableColumn id="10031" xr3:uid="{2BB0FC17-F997-474F-AA58-7A8287ADE3EA}" name="Column10017" dataDxfId="13176" totalsRowDxfId="13175"/>
    <tableColumn id="10032" xr3:uid="{69F482DF-564D-441F-8EA3-2A97419454DA}" name="Column10018" dataDxfId="13174" totalsRowDxfId="13173"/>
    <tableColumn id="10033" xr3:uid="{99117AC1-B4E2-445B-9664-C30DFB25186D}" name="Column10019" dataDxfId="13172" totalsRowDxfId="13171"/>
    <tableColumn id="10034" xr3:uid="{B23CCE59-5494-4EDA-AF8E-4EF21577E972}" name="Column10020" dataDxfId="13170" totalsRowDxfId="13169"/>
    <tableColumn id="10035" xr3:uid="{36C59487-4478-41ED-B550-A6DF779F28A0}" name="Column10021" dataDxfId="13168" totalsRowDxfId="13167"/>
    <tableColumn id="10036" xr3:uid="{FD9F62F3-7545-41CB-BD2A-D2E31A375F13}" name="Column10022" dataDxfId="13166" totalsRowDxfId="13165"/>
    <tableColumn id="10037" xr3:uid="{D737773B-F64B-412D-88C6-8100837860D1}" name="Column10023" dataDxfId="13164" totalsRowDxfId="13163"/>
    <tableColumn id="10038" xr3:uid="{BC22BF07-4B91-480A-BAD4-6DBFC547BF8B}" name="Column10024" dataDxfId="13162" totalsRowDxfId="13161"/>
    <tableColumn id="10039" xr3:uid="{99DED5B5-4105-49FC-82F1-76FAF7E98880}" name="Column10025" dataDxfId="13160" totalsRowDxfId="13159"/>
    <tableColumn id="10040" xr3:uid="{B796D8E6-5DB5-4EEA-8B88-F8D905C46741}" name="Column10026" dataDxfId="13158" totalsRowDxfId="13157"/>
    <tableColumn id="10041" xr3:uid="{91B4C7C4-F93A-4390-94F5-0019C922B70D}" name="Column10027" dataDxfId="13156" totalsRowDxfId="13155"/>
    <tableColumn id="10042" xr3:uid="{01923F43-20A6-4E75-A8E6-370056A697B1}" name="Column10028" dataDxfId="13154" totalsRowDxfId="13153"/>
    <tableColumn id="10043" xr3:uid="{6A5297BE-16BD-4B82-85AE-06606EE70E2C}" name="Column10029" dataDxfId="13152" totalsRowDxfId="13151"/>
    <tableColumn id="10044" xr3:uid="{D839879E-F02E-440E-8FAB-ACEFA220DF7E}" name="Column10030" dataDxfId="13150" totalsRowDxfId="13149"/>
    <tableColumn id="10045" xr3:uid="{FF910AF2-1872-4182-9F33-B09298B68910}" name="Column10031" dataDxfId="13148" totalsRowDxfId="13147"/>
    <tableColumn id="10046" xr3:uid="{D5163519-DDC2-4647-8242-B8B7A6280A42}" name="Column10032" dataDxfId="13146" totalsRowDxfId="13145"/>
    <tableColumn id="10047" xr3:uid="{31496D8D-EEA6-470C-B07B-1B3847615F19}" name="Column10033" dataDxfId="13144" totalsRowDxfId="13143"/>
    <tableColumn id="10048" xr3:uid="{5D9D5130-7F29-4FE9-A1E1-B21C186D8B94}" name="Column10034" dataDxfId="13142" totalsRowDxfId="13141"/>
    <tableColumn id="10049" xr3:uid="{A6ABBE0B-5743-428F-BF1F-13BA9B16405E}" name="Column10035" dataDxfId="13140" totalsRowDxfId="13139"/>
    <tableColumn id="10050" xr3:uid="{8680C0B8-56E8-47CC-8445-B177F21849C4}" name="Column10036" dataDxfId="13138" totalsRowDxfId="13137"/>
    <tableColumn id="10051" xr3:uid="{7FD18BCB-CBF1-48EE-935E-110003B8C634}" name="Column10037" dataDxfId="13136" totalsRowDxfId="13135"/>
    <tableColumn id="10052" xr3:uid="{73A7E3CD-471C-4C8F-B9FF-BB35C410BD88}" name="Column10038" dataDxfId="13134" totalsRowDxfId="13133"/>
    <tableColumn id="10053" xr3:uid="{35A77063-030C-494A-A3FB-8EE0E77498AA}" name="Column10039" dataDxfId="13132" totalsRowDxfId="13131"/>
    <tableColumn id="10054" xr3:uid="{8B4D30F5-D972-49E4-94A3-DA76646EFFEA}" name="Column10040" dataDxfId="13130" totalsRowDxfId="13129"/>
    <tableColumn id="10055" xr3:uid="{D8040590-E91A-4751-8B58-66DF9D6C5956}" name="Column10041" dataDxfId="13128" totalsRowDxfId="13127"/>
    <tableColumn id="10056" xr3:uid="{B7EFE150-3438-4663-BD66-6E5DB5767644}" name="Column10042" dataDxfId="13126" totalsRowDxfId="13125"/>
    <tableColumn id="10057" xr3:uid="{33CDA861-AD7C-46AE-B4B3-F082115C3FFD}" name="Column10043" dataDxfId="13124" totalsRowDxfId="13123"/>
    <tableColumn id="10058" xr3:uid="{1CEEFC97-B35F-43CF-A70B-32338FC67A2F}" name="Column10044" dataDxfId="13122" totalsRowDxfId="13121"/>
    <tableColumn id="10059" xr3:uid="{85600A90-94ED-4D55-8921-B852BE95FE74}" name="Column10045" dataDxfId="13120" totalsRowDxfId="13119"/>
    <tableColumn id="10060" xr3:uid="{578E3964-ABA5-41D3-BDC6-C294636C9646}" name="Column10046" dataDxfId="13118" totalsRowDxfId="13117"/>
    <tableColumn id="10061" xr3:uid="{2ED120C1-A01D-4CF0-84A5-130444AC9125}" name="Column10047" dataDxfId="13116" totalsRowDxfId="13115"/>
    <tableColumn id="10062" xr3:uid="{0B13D6E8-260B-4AB6-B4D3-8A8D3C3A019F}" name="Column10048" dataDxfId="13114" totalsRowDxfId="13113"/>
    <tableColumn id="10063" xr3:uid="{1DE86D90-E05D-4189-BE51-162BE6CEB440}" name="Column10049" dataDxfId="13112" totalsRowDxfId="13111"/>
    <tableColumn id="10064" xr3:uid="{E869E4D3-2D42-4920-A1EB-DE1499AE3397}" name="Column10050" dataDxfId="13110" totalsRowDxfId="13109"/>
    <tableColumn id="10065" xr3:uid="{62762926-35BE-4A25-B8D7-E08271EA7FBB}" name="Column10051" dataDxfId="13108" totalsRowDxfId="13107"/>
    <tableColumn id="10066" xr3:uid="{3A67AA14-CA67-4BEF-8347-23DADE03FE01}" name="Column10052" dataDxfId="13106" totalsRowDxfId="13105"/>
    <tableColumn id="10067" xr3:uid="{78BB690D-EE7F-4EDA-813A-D6222C01AEBB}" name="Column10053" dataDxfId="13104" totalsRowDxfId="13103"/>
    <tableColumn id="10068" xr3:uid="{5FD7F12B-3D4E-4E66-A678-00D98B774D8E}" name="Column10054" dataDxfId="13102" totalsRowDxfId="13101"/>
    <tableColumn id="10069" xr3:uid="{13A4AE21-7B46-401E-BDFC-BFB2C5BE80AB}" name="Column10055" dataDxfId="13100" totalsRowDxfId="13099"/>
    <tableColumn id="10070" xr3:uid="{453D4344-5B81-43C8-B9CA-1AF8F3FE3217}" name="Column10056" dataDxfId="13098" totalsRowDxfId="13097"/>
    <tableColumn id="10071" xr3:uid="{A1F216E0-26A1-4002-BA43-8DE0C997742F}" name="Column10057" dataDxfId="13096" totalsRowDxfId="13095"/>
    <tableColumn id="10072" xr3:uid="{FA2C5145-7CF1-482F-A91F-2D26CDBE1437}" name="Column10058" dataDxfId="13094" totalsRowDxfId="13093"/>
    <tableColumn id="10073" xr3:uid="{E1B1725C-C77F-4FD4-A876-EAF07AF0C870}" name="Column10059" dataDxfId="13092" totalsRowDxfId="13091"/>
    <tableColumn id="10074" xr3:uid="{7E6958B9-DD9A-41C4-816D-754933EFCDCF}" name="Column10060" dataDxfId="13090" totalsRowDxfId="13089"/>
    <tableColumn id="10075" xr3:uid="{AA5BC9A8-BFDD-4BDD-9D92-169EA354640A}" name="Column10061" dataDxfId="13088" totalsRowDxfId="13087"/>
    <tableColumn id="10076" xr3:uid="{3BF25C03-B639-4B55-8218-CF9831A92A57}" name="Column10062" dataDxfId="13086" totalsRowDxfId="13085"/>
    <tableColumn id="10077" xr3:uid="{58C788C5-3E5E-4817-B278-EE06A80EB7A6}" name="Column10063" dataDxfId="13084" totalsRowDxfId="13083"/>
    <tableColumn id="10078" xr3:uid="{68D94681-329C-42A6-AA2C-4160B944C92D}" name="Column10064" dataDxfId="13082" totalsRowDxfId="13081"/>
    <tableColumn id="10079" xr3:uid="{79B67694-67C0-4CD0-8F67-1D5102BA4202}" name="Column10065" dataDxfId="13080" totalsRowDxfId="13079"/>
    <tableColumn id="10080" xr3:uid="{2978BF3B-9763-4207-9637-D8ECBA868009}" name="Column10066" dataDxfId="13078" totalsRowDxfId="13077"/>
    <tableColumn id="10081" xr3:uid="{5B19FC8B-3462-43A2-A90A-D5946E5008C0}" name="Column10067" dataDxfId="13076" totalsRowDxfId="13075"/>
    <tableColumn id="10082" xr3:uid="{EDF777B0-F662-40B0-9C60-C4CA52BB0B6C}" name="Column10068" dataDxfId="13074" totalsRowDxfId="13073"/>
    <tableColumn id="10083" xr3:uid="{7F428570-94AA-4E2B-99F7-ADCAC385DEEF}" name="Column10069" dataDxfId="13072" totalsRowDxfId="13071"/>
    <tableColumn id="10084" xr3:uid="{02E723AB-FAD6-4D6E-B4B3-25E2A3EA6DE2}" name="Column10070" dataDxfId="13070" totalsRowDxfId="13069"/>
    <tableColumn id="10085" xr3:uid="{30BCC1B0-7DA1-4122-B550-2C1C9196DD10}" name="Column10071" dataDxfId="13068" totalsRowDxfId="13067"/>
    <tableColumn id="10086" xr3:uid="{C84C0C05-67D8-413C-A80F-A9DF1DCCE14C}" name="Column10072" dataDxfId="13066" totalsRowDxfId="13065"/>
    <tableColumn id="10087" xr3:uid="{6400C7C9-1437-481A-8AEC-17A4ADDE2ABF}" name="Column10073" dataDxfId="13064" totalsRowDxfId="13063"/>
    <tableColumn id="10088" xr3:uid="{67EA284E-2B41-4E0D-A344-5BA438A6E30D}" name="Column10074" dataDxfId="13062" totalsRowDxfId="13061"/>
    <tableColumn id="10089" xr3:uid="{C6C94A24-AAE2-41AA-8CAD-0E2498B4E88C}" name="Column10075" dataDxfId="13060" totalsRowDxfId="13059"/>
    <tableColumn id="10090" xr3:uid="{D74660B2-E6EF-4A5E-941C-38A09CC04264}" name="Column10076" dataDxfId="13058" totalsRowDxfId="13057"/>
    <tableColumn id="10091" xr3:uid="{0F690383-7E61-482A-86D9-996346F5D3C6}" name="Column10077" dataDxfId="13056" totalsRowDxfId="13055"/>
    <tableColumn id="10092" xr3:uid="{55F10B0E-2DE2-4A03-A6E2-B6CA06685134}" name="Column10078" dataDxfId="13054" totalsRowDxfId="13053"/>
    <tableColumn id="10093" xr3:uid="{8B5B0103-42F0-4169-B7C5-4D3C81B5098A}" name="Column10079" dataDxfId="13052" totalsRowDxfId="13051"/>
    <tableColumn id="10094" xr3:uid="{5E3EFCC5-CF1E-4FC5-9DD4-BC7BCC242D43}" name="Column10080" dataDxfId="13050" totalsRowDxfId="13049"/>
    <tableColumn id="10095" xr3:uid="{3563AADE-AF3D-4B10-B643-1C643D087A9A}" name="Column10081" dataDxfId="13048" totalsRowDxfId="13047"/>
    <tableColumn id="10096" xr3:uid="{0A82D64E-0033-4054-AD65-B153565AA586}" name="Column10082" dataDxfId="13046" totalsRowDxfId="13045"/>
    <tableColumn id="10097" xr3:uid="{88A6C6E7-456B-4558-9A7E-B38DD6F56C94}" name="Column10083" dataDxfId="13044" totalsRowDxfId="13043"/>
    <tableColumn id="10098" xr3:uid="{C8720A36-4150-4E18-AC1F-5E94B6BEC181}" name="Column10084" dataDxfId="13042" totalsRowDxfId="13041"/>
    <tableColumn id="10099" xr3:uid="{63771161-1A7C-41A3-BB4C-16655DB700D6}" name="Column10085" dataDxfId="13040" totalsRowDxfId="13039"/>
    <tableColumn id="10100" xr3:uid="{CCB9484E-2857-40D7-9FC3-20181FC37557}" name="Column10086" dataDxfId="13038" totalsRowDxfId="13037"/>
    <tableColumn id="10101" xr3:uid="{0676AEE7-0534-43F6-B58A-BB860FD85070}" name="Column10087" dataDxfId="13036" totalsRowDxfId="13035"/>
    <tableColumn id="10102" xr3:uid="{1907502C-4B56-4D20-BDA6-E8177E6EB106}" name="Column10088" dataDxfId="13034" totalsRowDxfId="13033"/>
    <tableColumn id="10103" xr3:uid="{40404DFB-230F-4BB4-B608-168891C2DD35}" name="Column10089" dataDxfId="13032" totalsRowDxfId="13031"/>
    <tableColumn id="10104" xr3:uid="{93ABD04F-C6C5-4E78-B4C0-921E594919D6}" name="Column10090" dataDxfId="13030" totalsRowDxfId="13029"/>
    <tableColumn id="10105" xr3:uid="{5C1902AF-B83F-4CF4-8125-E42B11D57A18}" name="Column10091" dataDxfId="13028" totalsRowDxfId="13027"/>
    <tableColumn id="10106" xr3:uid="{E59640EB-A17D-4FA8-9804-E1D0DE606DC5}" name="Column10092" dataDxfId="13026" totalsRowDxfId="13025"/>
    <tableColumn id="10107" xr3:uid="{2A05DE1C-57C1-4AE0-B660-ABCF45F6411E}" name="Column10093" dataDxfId="13024" totalsRowDxfId="13023"/>
    <tableColumn id="10108" xr3:uid="{D85C980A-DF46-41AC-ACB0-CDE9EE8D48F8}" name="Column10094" dataDxfId="13022" totalsRowDxfId="13021"/>
    <tableColumn id="10109" xr3:uid="{BFE2DA65-759D-4CAC-BD6D-A05E45781FEC}" name="Column10095" dataDxfId="13020" totalsRowDxfId="13019"/>
    <tableColumn id="10110" xr3:uid="{C48BC16F-A2D9-45BE-BAED-846F49618126}" name="Column10096" dataDxfId="13018" totalsRowDxfId="13017"/>
    <tableColumn id="10111" xr3:uid="{D0EEF00B-50F0-43B5-9974-009346736ED3}" name="Column10097" dataDxfId="13016" totalsRowDxfId="13015"/>
    <tableColumn id="10112" xr3:uid="{B915A835-9E6F-499C-B1AD-D5F69F7C5BB0}" name="Column10098" dataDxfId="13014" totalsRowDxfId="13013"/>
    <tableColumn id="10113" xr3:uid="{5C12522C-D24B-49F8-9F10-7487B785FF25}" name="Column10099" dataDxfId="13012" totalsRowDxfId="13011"/>
    <tableColumn id="10114" xr3:uid="{69C1C516-0E72-488D-B2F4-1DDBE6B0D42E}" name="Column10100" dataDxfId="13010" totalsRowDxfId="13009"/>
    <tableColumn id="10115" xr3:uid="{DBC5C0E5-6335-4A11-9DA2-5DBB052A540F}" name="Column10101" dataDxfId="13008" totalsRowDxfId="13007"/>
    <tableColumn id="10116" xr3:uid="{6F715AA7-1478-4AD8-8ACF-77406AF7E109}" name="Column10102" dataDxfId="13006" totalsRowDxfId="13005"/>
    <tableColumn id="10117" xr3:uid="{E7D05E92-C195-44AE-98C5-B0937F81B888}" name="Column10103" dataDxfId="13004" totalsRowDxfId="13003"/>
    <tableColumn id="10118" xr3:uid="{54F12B92-A00B-405F-9080-5C40C0258BB4}" name="Column10104" dataDxfId="13002" totalsRowDxfId="13001"/>
    <tableColumn id="10119" xr3:uid="{FE9B5F0F-F8E3-4328-AD14-2D826E32E86A}" name="Column10105" dataDxfId="13000" totalsRowDxfId="12999"/>
    <tableColumn id="10120" xr3:uid="{2FED861C-307C-4AA7-966E-77A962AE9996}" name="Column10106" dataDxfId="12998" totalsRowDxfId="12997"/>
    <tableColumn id="10121" xr3:uid="{82A86ADF-F32C-457F-9F29-212D8FE2B901}" name="Column10107" dataDxfId="12996" totalsRowDxfId="12995"/>
    <tableColumn id="10122" xr3:uid="{5142F495-DEA5-441F-BA5F-21E8BC2D980A}" name="Column10108" dataDxfId="12994" totalsRowDxfId="12993"/>
    <tableColumn id="10123" xr3:uid="{4A427B64-8224-42F6-86C0-0EC172F3CF34}" name="Column10109" dataDxfId="12992" totalsRowDxfId="12991"/>
    <tableColumn id="10124" xr3:uid="{7802FB30-1EE2-455C-9912-B6C14B9CFBFE}" name="Column10110" dataDxfId="12990" totalsRowDxfId="12989"/>
    <tableColumn id="10125" xr3:uid="{0935DD7C-80E1-4A09-838D-BD5BF739F0B1}" name="Column10111" dataDxfId="12988" totalsRowDxfId="12987"/>
    <tableColumn id="10126" xr3:uid="{990D3225-970F-4970-9703-B9487E9EB068}" name="Column10112" dataDxfId="12986" totalsRowDxfId="12985"/>
    <tableColumn id="10127" xr3:uid="{91287F0D-C09D-4A0F-B6B8-8456C442B24D}" name="Column10113" dataDxfId="12984" totalsRowDxfId="12983"/>
    <tableColumn id="10128" xr3:uid="{B7FE195E-3972-4833-9C37-A0503F8B34C8}" name="Column10114" dataDxfId="12982" totalsRowDxfId="12981"/>
    <tableColumn id="10129" xr3:uid="{7CBACDBE-FDD9-4FA4-A874-B4DC36013DB2}" name="Column10115" dataDxfId="12980" totalsRowDxfId="12979"/>
    <tableColumn id="10130" xr3:uid="{CECAAA51-3259-485D-A083-B2CC712D5E0E}" name="Column10116" dataDxfId="12978" totalsRowDxfId="12977"/>
    <tableColumn id="10131" xr3:uid="{B1A7F985-CDAB-4BDA-9C7A-3C9C8675EA4A}" name="Column10117" dataDxfId="12976" totalsRowDxfId="12975"/>
    <tableColumn id="10132" xr3:uid="{684FFEC8-7C75-43D6-B411-C819FD7B0A3E}" name="Column10118" dataDxfId="12974" totalsRowDxfId="12973"/>
    <tableColumn id="10133" xr3:uid="{C589B1C4-F8C9-485B-9E37-FB89E39D29E8}" name="Column10119" dataDxfId="12972" totalsRowDxfId="12971"/>
    <tableColumn id="10134" xr3:uid="{684DC719-721C-45F0-BB2C-6B2CC51C89AA}" name="Column10120" dataDxfId="12970" totalsRowDxfId="12969"/>
    <tableColumn id="10135" xr3:uid="{24394154-61BF-4C6F-8A2F-B6985A293008}" name="Column10121" dataDxfId="12968" totalsRowDxfId="12967"/>
    <tableColumn id="10136" xr3:uid="{95FD0A0A-EB24-4E71-8644-B9D2C2887F51}" name="Column10122" dataDxfId="12966" totalsRowDxfId="12965"/>
    <tableColumn id="10137" xr3:uid="{5D7B3E5A-B130-4ECE-9172-E86F77C6D112}" name="Column10123" dataDxfId="12964" totalsRowDxfId="12963"/>
    <tableColumn id="10138" xr3:uid="{83AC8EA5-7AFE-41DB-82F2-D146C8CAD8E7}" name="Column10124" dataDxfId="12962" totalsRowDxfId="12961"/>
    <tableColumn id="10139" xr3:uid="{2AA09BEC-2BD3-47F2-954C-7283F4385C1C}" name="Column10125" dataDxfId="12960" totalsRowDxfId="12959"/>
    <tableColumn id="10140" xr3:uid="{ABC8F56D-D5EF-4496-9A02-A9AB0F986424}" name="Column10126" dataDxfId="12958" totalsRowDxfId="12957"/>
    <tableColumn id="10141" xr3:uid="{018D891E-C1BC-47BE-9EB3-BECA28A313A9}" name="Column10127" dataDxfId="12956" totalsRowDxfId="12955"/>
    <tableColumn id="10142" xr3:uid="{6B6D4F43-719A-471F-9E2F-D6DF17DE4E78}" name="Column10128" dataDxfId="12954" totalsRowDxfId="12953"/>
    <tableColumn id="10143" xr3:uid="{0CD3A521-317D-44EF-ADB4-2CF238412017}" name="Column10129" dataDxfId="12952" totalsRowDxfId="12951"/>
    <tableColumn id="10144" xr3:uid="{9BE71A6C-B2FA-46F6-A69D-090AD1645569}" name="Column10130" dataDxfId="12950" totalsRowDxfId="12949"/>
    <tableColumn id="10145" xr3:uid="{0810AADE-FAE7-4AC2-B5E9-16A4E4F2F337}" name="Column10131" dataDxfId="12948" totalsRowDxfId="12947"/>
    <tableColumn id="10146" xr3:uid="{1376C46F-9193-4D55-85B1-E85FC5953E11}" name="Column10132" dataDxfId="12946" totalsRowDxfId="12945"/>
    <tableColumn id="10147" xr3:uid="{82E27E4C-B5A1-4F2A-8EE7-E2BBB6C6FE5C}" name="Column10133" dataDxfId="12944" totalsRowDxfId="12943"/>
    <tableColumn id="10148" xr3:uid="{1D9490F5-60C6-4A1F-AAD4-1C6E11578A4B}" name="Column10134" dataDxfId="12942" totalsRowDxfId="12941"/>
    <tableColumn id="10149" xr3:uid="{1509815E-3D8F-4859-B692-D6544DEDBDE1}" name="Column10135" dataDxfId="12940" totalsRowDxfId="12939"/>
    <tableColumn id="10150" xr3:uid="{47422DBA-834F-4F07-B08E-14EC857EB849}" name="Column10136" dataDxfId="12938" totalsRowDxfId="12937"/>
    <tableColumn id="10151" xr3:uid="{10816B90-9B94-4670-923B-CE1814AC36AA}" name="Column10137" dataDxfId="12936" totalsRowDxfId="12935"/>
    <tableColumn id="10152" xr3:uid="{2359BFA0-BCC2-4CA2-8A75-73632FDC2C70}" name="Column10138" dataDxfId="12934" totalsRowDxfId="12933"/>
    <tableColumn id="10153" xr3:uid="{EDFD0043-A714-4DD9-9E7B-B2B3C8E5BBE7}" name="Column10139" dataDxfId="12932" totalsRowDxfId="12931"/>
    <tableColumn id="10154" xr3:uid="{076DB7CF-E874-4C40-B7D0-F2676F164E2B}" name="Column10140" dataDxfId="12930" totalsRowDxfId="12929"/>
    <tableColumn id="10155" xr3:uid="{04F1E045-D306-4EB7-A8AC-B9C204D4100C}" name="Column10141" dataDxfId="12928" totalsRowDxfId="12927"/>
    <tableColumn id="10156" xr3:uid="{7FEE4DB0-C74A-4DA8-A36B-3C3D1C7CD37C}" name="Column10142" dataDxfId="12926" totalsRowDxfId="12925"/>
    <tableColumn id="10157" xr3:uid="{9730522A-E90E-41AA-A75B-BCB9CBDD525C}" name="Column10143" dataDxfId="12924" totalsRowDxfId="12923"/>
    <tableColumn id="10158" xr3:uid="{63B20D70-7329-426C-898C-57A932FB2243}" name="Column10144" dataDxfId="12922" totalsRowDxfId="12921"/>
    <tableColumn id="10159" xr3:uid="{7C3E0EBA-30C2-4135-AE6F-C6630CDF7E08}" name="Column10145" dataDxfId="12920" totalsRowDxfId="12919"/>
    <tableColumn id="10160" xr3:uid="{6228AA82-DE5B-4A45-8A2B-E585170F1FC7}" name="Column10146" dataDxfId="12918" totalsRowDxfId="12917"/>
    <tableColumn id="10161" xr3:uid="{0D46465F-2B89-439F-B0FC-8F0E25CF3DE8}" name="Column10147" dataDxfId="12916" totalsRowDxfId="12915"/>
    <tableColumn id="10162" xr3:uid="{AB2C1943-F413-4841-835C-D59492E37B7E}" name="Column10148" dataDxfId="12914" totalsRowDxfId="12913"/>
    <tableColumn id="10163" xr3:uid="{42570726-941E-424D-9403-260FF6515D7C}" name="Column10149" dataDxfId="12912" totalsRowDxfId="12911"/>
    <tableColumn id="10164" xr3:uid="{5D0FFCD0-AF26-4F08-B36A-6BA6D1CF0651}" name="Column10150" dataDxfId="12910" totalsRowDxfId="12909"/>
    <tableColumn id="10165" xr3:uid="{E99C74BE-870D-4F94-8F8B-E4C3F90E5A1C}" name="Column10151" dataDxfId="12908" totalsRowDxfId="12907"/>
    <tableColumn id="10166" xr3:uid="{70285ACA-A85A-46B9-8323-D8FB82DA7E8B}" name="Column10152" dataDxfId="12906" totalsRowDxfId="12905"/>
    <tableColumn id="10167" xr3:uid="{4D55E713-5EE5-4FB9-BB1E-E7D10BC4178F}" name="Column10153" dataDxfId="12904" totalsRowDxfId="12903"/>
    <tableColumn id="10168" xr3:uid="{1C7E69D6-07D0-480A-BDE1-7AB8ECBDF7B2}" name="Column10154" dataDxfId="12902" totalsRowDxfId="12901"/>
    <tableColumn id="10169" xr3:uid="{0043D765-D60B-46A8-8DEE-4713E153E018}" name="Column10155" dataDxfId="12900" totalsRowDxfId="12899"/>
    <tableColumn id="10170" xr3:uid="{6A994A93-52F8-4343-A096-EFC32718429F}" name="Column10156" dataDxfId="12898" totalsRowDxfId="12897"/>
    <tableColumn id="10171" xr3:uid="{39A8D165-5E06-4FF1-A7B4-C5A08F30CFEE}" name="Column10157" dataDxfId="12896" totalsRowDxfId="12895"/>
    <tableColumn id="10172" xr3:uid="{C6D8F980-840E-41A9-B065-62E20521E703}" name="Column10158" dataDxfId="12894" totalsRowDxfId="12893"/>
    <tableColumn id="10173" xr3:uid="{15F4F5FA-8512-41FB-8024-C772EE4B2B67}" name="Column10159" dataDxfId="12892" totalsRowDxfId="12891"/>
    <tableColumn id="10174" xr3:uid="{E73A550D-46A2-4BE9-B797-0C8CF44E1F1C}" name="Column10160" dataDxfId="12890" totalsRowDxfId="12889"/>
    <tableColumn id="10175" xr3:uid="{EB5C737F-4F03-4C40-A085-8E13974E2867}" name="Column10161" dataDxfId="12888" totalsRowDxfId="12887"/>
    <tableColumn id="10176" xr3:uid="{9923E4D9-C026-4BF3-906A-A7CEE99C9DC3}" name="Column10162" dataDxfId="12886" totalsRowDxfId="12885"/>
    <tableColumn id="10177" xr3:uid="{963EFFFC-F875-463F-A34C-5803C6087C9E}" name="Column10163" dataDxfId="12884" totalsRowDxfId="12883"/>
    <tableColumn id="10178" xr3:uid="{D6109DD5-3899-4393-9E89-1EE3145B9B00}" name="Column10164" dataDxfId="12882" totalsRowDxfId="12881"/>
    <tableColumn id="10179" xr3:uid="{06FE9866-422C-42AF-A058-87A2CDFDA455}" name="Column10165" dataDxfId="12880" totalsRowDxfId="12879"/>
    <tableColumn id="10180" xr3:uid="{5A69191B-0490-46BE-9447-00A3A36749C1}" name="Column10166" dataDxfId="12878" totalsRowDxfId="12877"/>
    <tableColumn id="10181" xr3:uid="{D36A09FE-B437-4B05-B6B3-54E732763744}" name="Column10167" dataDxfId="12876" totalsRowDxfId="12875"/>
    <tableColumn id="10182" xr3:uid="{C2661298-F1A9-4E89-BBC7-535AE8004E7D}" name="Column10168" dataDxfId="12874" totalsRowDxfId="12873"/>
    <tableColumn id="10183" xr3:uid="{142DF999-BEA0-4A41-A2D2-B91283BB62D3}" name="Column10169" dataDxfId="12872" totalsRowDxfId="12871"/>
    <tableColumn id="10184" xr3:uid="{A7FD7710-74A8-4786-A5D4-93162E9B5879}" name="Column10170" dataDxfId="12870" totalsRowDxfId="12869"/>
    <tableColumn id="10185" xr3:uid="{836BB35E-5B92-41D0-B601-6A401BFC5DC3}" name="Column10171" dataDxfId="12868" totalsRowDxfId="12867"/>
    <tableColumn id="10186" xr3:uid="{1EE4E271-46C5-4282-930E-5E34821275EA}" name="Column10172" dataDxfId="12866" totalsRowDxfId="12865"/>
    <tableColumn id="10187" xr3:uid="{7C0434B3-B515-4267-8B33-52BC13C4D429}" name="Column10173" dataDxfId="12864" totalsRowDxfId="12863"/>
    <tableColumn id="10188" xr3:uid="{EBF8BE80-1A9F-470D-8EDB-D283F2E4109D}" name="Column10174" dataDxfId="12862" totalsRowDxfId="12861"/>
    <tableColumn id="10189" xr3:uid="{26746E65-7902-4166-9BF0-185866A993AA}" name="Column10175" dataDxfId="12860" totalsRowDxfId="12859"/>
    <tableColumn id="10190" xr3:uid="{BCAC38DA-1258-41EB-8BC3-C7F934F14E5D}" name="Column10176" dataDxfId="12858" totalsRowDxfId="12857"/>
    <tableColumn id="10191" xr3:uid="{ED4321A2-702E-4F00-B315-0D2424D1EB5C}" name="Column10177" dataDxfId="12856" totalsRowDxfId="12855"/>
    <tableColumn id="10192" xr3:uid="{7FD7E1CB-508F-43A4-8A10-AC6CD2F42FD2}" name="Column10178" dataDxfId="12854" totalsRowDxfId="12853"/>
    <tableColumn id="10193" xr3:uid="{0A4029C2-725D-44BF-AD82-497C72E56604}" name="Column10179" dataDxfId="12852" totalsRowDxfId="12851"/>
    <tableColumn id="10194" xr3:uid="{2ACE673D-5D99-4A77-A89C-E6CF46632723}" name="Column10180" dataDxfId="12850" totalsRowDxfId="12849"/>
    <tableColumn id="10195" xr3:uid="{C6A7A053-E44F-4577-920B-A3277E91B0DE}" name="Column10181" dataDxfId="12848" totalsRowDxfId="12847"/>
    <tableColumn id="10196" xr3:uid="{44104B7F-90E5-4718-9115-04A7370806AC}" name="Column10182" dataDxfId="12846" totalsRowDxfId="12845"/>
    <tableColumn id="10197" xr3:uid="{387FEFB7-E02D-4A8B-8985-704E057B2FC8}" name="Column10183" dataDxfId="12844" totalsRowDxfId="12843"/>
    <tableColumn id="10198" xr3:uid="{8CBACF09-5AAD-4BFD-9F95-ED233170F6DB}" name="Column10184" dataDxfId="12842" totalsRowDxfId="12841"/>
    <tableColumn id="10199" xr3:uid="{2F379D05-8E39-41C0-8FF1-EBDAE3142D79}" name="Column10185" dataDxfId="12840" totalsRowDxfId="12839"/>
    <tableColumn id="10200" xr3:uid="{54C49C57-3C3C-4B77-9CD3-FA09106AB27E}" name="Column10186" dataDxfId="12838" totalsRowDxfId="12837"/>
    <tableColumn id="10201" xr3:uid="{9E3A2CA3-879E-4B7A-B592-FCBFC9A58C09}" name="Column10187" dataDxfId="12836" totalsRowDxfId="12835"/>
    <tableColumn id="10202" xr3:uid="{69625A9E-71DB-46FD-89BC-03962679DF67}" name="Column10188" dataDxfId="12834" totalsRowDxfId="12833"/>
    <tableColumn id="10203" xr3:uid="{24D2CF2E-7947-4442-B5EB-EFDF7F4A1C2C}" name="Column10189" dataDxfId="12832" totalsRowDxfId="12831"/>
    <tableColumn id="10204" xr3:uid="{A1A57B71-1749-4144-888A-4CA8EE72F6FC}" name="Column10190" dataDxfId="12830" totalsRowDxfId="12829"/>
    <tableColumn id="10205" xr3:uid="{070E7089-9110-4D1F-A7C4-779A102FA8E9}" name="Column10191" dataDxfId="12828" totalsRowDxfId="12827"/>
    <tableColumn id="10206" xr3:uid="{8F0D0814-C19D-4007-AF56-E95115FCFAA4}" name="Column10192" dataDxfId="12826" totalsRowDxfId="12825"/>
    <tableColumn id="10207" xr3:uid="{6F08AC8F-77D1-46CD-A87E-8C2270C58BB1}" name="Column10193" dataDxfId="12824" totalsRowDxfId="12823"/>
    <tableColumn id="10208" xr3:uid="{2EE5F073-84E2-4D3A-9CBA-F7C855521A8C}" name="Column10194" dataDxfId="12822" totalsRowDxfId="12821"/>
    <tableColumn id="10209" xr3:uid="{3F342260-7904-4064-B7C9-D82F28FB1A23}" name="Column10195" dataDxfId="12820" totalsRowDxfId="12819"/>
    <tableColumn id="10210" xr3:uid="{D380488F-A006-49EF-81C8-10522927E2FF}" name="Column10196" dataDxfId="12818" totalsRowDxfId="12817"/>
    <tableColumn id="10211" xr3:uid="{ED7E96EB-3364-480A-A357-5B23CD8A4962}" name="Column10197" dataDxfId="12816" totalsRowDxfId="12815"/>
    <tableColumn id="10212" xr3:uid="{F0C70E4C-330F-46C5-85DB-9E7D283AD69E}" name="Column10198" dataDxfId="12814" totalsRowDxfId="12813"/>
    <tableColumn id="10213" xr3:uid="{F168BA7A-A816-45D6-A0ED-AF314E6C147E}" name="Column10199" dataDxfId="12812" totalsRowDxfId="12811"/>
    <tableColumn id="10214" xr3:uid="{F72E7872-FB8C-4245-A576-7CDC18D1871B}" name="Column10200" dataDxfId="12810" totalsRowDxfId="12809"/>
    <tableColumn id="10215" xr3:uid="{2760FC3B-97D4-436D-A754-851556F6A0A0}" name="Column10201" dataDxfId="12808" totalsRowDxfId="12807"/>
    <tableColumn id="10216" xr3:uid="{5CCEFA4E-DB5E-4480-BBCB-C6332ABE5A0C}" name="Column10202" dataDxfId="12806" totalsRowDxfId="12805"/>
    <tableColumn id="10217" xr3:uid="{07388390-2225-4747-B0FC-92D4AAD12358}" name="Column10203" dataDxfId="12804" totalsRowDxfId="12803"/>
    <tableColumn id="10218" xr3:uid="{5F486190-FCBD-4FEC-A54B-D02FF23A48BC}" name="Column10204" dataDxfId="12802" totalsRowDxfId="12801"/>
    <tableColumn id="10219" xr3:uid="{A01A35B6-41FE-43B0-9DB0-10E58DA0D7B7}" name="Column10205" dataDxfId="12800" totalsRowDxfId="12799"/>
    <tableColumn id="10220" xr3:uid="{F5A93CB3-D5EF-45DD-AB60-BD1CD66A6D8E}" name="Column10206" dataDxfId="12798" totalsRowDxfId="12797"/>
    <tableColumn id="10221" xr3:uid="{D54896AE-32AA-45B8-8B26-EEF31878C82D}" name="Column10207" dataDxfId="12796" totalsRowDxfId="12795"/>
    <tableColumn id="10222" xr3:uid="{73E2D71F-A467-4A60-AF64-3AA56A0EB63A}" name="Column10208" dataDxfId="12794" totalsRowDxfId="12793"/>
    <tableColumn id="10223" xr3:uid="{064919F8-F467-4202-AA0A-71F95D8793A0}" name="Column10209" dataDxfId="12792" totalsRowDxfId="12791"/>
    <tableColumn id="10224" xr3:uid="{BA79B248-3B27-4955-8368-90378D8609F4}" name="Column10210" dataDxfId="12790" totalsRowDxfId="12789"/>
    <tableColumn id="10225" xr3:uid="{9AC56C1B-3DBE-4787-B8FD-DD11600BF8F2}" name="Column10211" dataDxfId="12788" totalsRowDxfId="12787"/>
    <tableColumn id="10226" xr3:uid="{6A379500-F9AC-4A44-8D9A-9C3DB10B70E7}" name="Column10212" dataDxfId="12786" totalsRowDxfId="12785"/>
    <tableColumn id="10227" xr3:uid="{78B18C2A-A1C5-4E81-9DC9-DA3B79385597}" name="Column10213" dataDxfId="12784" totalsRowDxfId="12783"/>
    <tableColumn id="10228" xr3:uid="{27275496-3F29-406E-90B8-59145CFA54B3}" name="Column10214" dataDxfId="12782" totalsRowDxfId="12781"/>
    <tableColumn id="10229" xr3:uid="{E975D040-FE1F-4363-ABFD-A34E1691D1A6}" name="Column10215" dataDxfId="12780" totalsRowDxfId="12779"/>
    <tableColumn id="10230" xr3:uid="{A6649FBA-4870-4657-97A5-59B3A7B9D74A}" name="Column10216" dataDxfId="12778" totalsRowDxfId="12777"/>
    <tableColumn id="10231" xr3:uid="{FA79FE85-DF57-4FAE-94F1-57008F692DF3}" name="Column10217" dataDxfId="12776" totalsRowDxfId="12775"/>
    <tableColumn id="10232" xr3:uid="{CFBD45D6-29C7-45C7-A424-78F83B6A4657}" name="Column10218" dataDxfId="12774" totalsRowDxfId="12773"/>
    <tableColumn id="10233" xr3:uid="{693DC155-12CE-4852-8572-F76786DB29FA}" name="Column10219" dataDxfId="12772" totalsRowDxfId="12771"/>
    <tableColumn id="10234" xr3:uid="{3F3253C3-431C-44A7-9F57-443F55A6DA68}" name="Column10220" dataDxfId="12770" totalsRowDxfId="12769"/>
    <tableColumn id="10235" xr3:uid="{75C649D2-FD25-4C7E-BCDE-3F14DD191B8F}" name="Column10221" dataDxfId="12768" totalsRowDxfId="12767"/>
    <tableColumn id="10236" xr3:uid="{F8B04456-A52D-47C4-975C-7C305B8CFC92}" name="Column10222" dataDxfId="12766" totalsRowDxfId="12765"/>
    <tableColumn id="10237" xr3:uid="{3D238F2A-E55A-4EB4-9229-7360D23443A7}" name="Column10223" dataDxfId="12764" totalsRowDxfId="12763"/>
    <tableColumn id="10238" xr3:uid="{7C24E523-83A2-45E3-B2D5-D06D2DBEE93C}" name="Column10224" dataDxfId="12762" totalsRowDxfId="12761"/>
    <tableColumn id="10239" xr3:uid="{460A5FEB-30D3-4BBE-A9AB-41418AD02C12}" name="Column10225" dataDxfId="12760" totalsRowDxfId="12759"/>
    <tableColumn id="10240" xr3:uid="{37D6CA21-41BD-4BFF-9D22-0859DF979DAC}" name="Column10226" dataDxfId="12758" totalsRowDxfId="12757"/>
    <tableColumn id="10241" xr3:uid="{AC72FC65-712A-46E1-9FEE-068B963ED7E2}" name="Column10227" dataDxfId="12756" totalsRowDxfId="12755"/>
    <tableColumn id="10242" xr3:uid="{C70C5502-5D93-4B80-B578-DBBCEC782A4A}" name="Column10228" dataDxfId="12754" totalsRowDxfId="12753"/>
    <tableColumn id="10243" xr3:uid="{62C06EDD-06CD-4DB9-B235-A629A906CCC2}" name="Column10229" dataDxfId="12752" totalsRowDxfId="12751"/>
    <tableColumn id="10244" xr3:uid="{C5BFE3A0-432B-4192-B3A8-BC6E3A02B96E}" name="Column10230" dataDxfId="12750" totalsRowDxfId="12749"/>
    <tableColumn id="10245" xr3:uid="{93B9A270-0EED-4027-AAA9-A88984A55A19}" name="Column10231" dataDxfId="12748" totalsRowDxfId="12747"/>
    <tableColumn id="10246" xr3:uid="{7A727298-2C89-43E6-A639-205778972485}" name="Column10232" dataDxfId="12746" totalsRowDxfId="12745"/>
    <tableColumn id="10247" xr3:uid="{BE7C602A-A293-428D-94E1-D0C23C17335F}" name="Column10233" dataDxfId="12744" totalsRowDxfId="12743"/>
    <tableColumn id="10248" xr3:uid="{B826D40B-5ADD-4A4A-B0CE-7EF5508FAB97}" name="Column10234" dataDxfId="12742" totalsRowDxfId="12741"/>
    <tableColumn id="10249" xr3:uid="{793987E9-D13E-4A81-ACD4-F742C1553E22}" name="Column10235" dataDxfId="12740" totalsRowDxfId="12739"/>
    <tableColumn id="10250" xr3:uid="{E24C52C7-402E-441F-BA54-1E49DF48EE99}" name="Column10236" dataDxfId="12738" totalsRowDxfId="12737"/>
    <tableColumn id="10251" xr3:uid="{0EAF183C-BE55-4A3D-A98F-775D89E99F64}" name="Column10237" dataDxfId="12736" totalsRowDxfId="12735"/>
    <tableColumn id="10252" xr3:uid="{CD018C35-B173-42F9-A396-0962C3C127A9}" name="Column10238" dataDxfId="12734" totalsRowDxfId="12733"/>
    <tableColumn id="10253" xr3:uid="{C965991F-1C1F-4B67-80D7-FF89F8B7FA10}" name="Column10239" dataDxfId="12732" totalsRowDxfId="12731"/>
    <tableColumn id="10254" xr3:uid="{89AE2E87-9D7A-4308-8B6D-38FC83AE0D95}" name="Column10240" dataDxfId="12730" totalsRowDxfId="12729"/>
    <tableColumn id="10255" xr3:uid="{1FD477C1-1C95-43AF-9946-B7F859358A30}" name="Column10241" dataDxfId="12728" totalsRowDxfId="12727"/>
    <tableColumn id="10256" xr3:uid="{110DD1EC-CBA8-4FB1-9476-924FA8D94840}" name="Column10242" dataDxfId="12726" totalsRowDxfId="12725"/>
    <tableColumn id="10257" xr3:uid="{C5AD8236-7EAD-441E-AC8B-7AC637CA88DE}" name="Column10243" dataDxfId="12724" totalsRowDxfId="12723"/>
    <tableColumn id="10258" xr3:uid="{669443EE-39FE-4454-89DF-96FE3AB65838}" name="Column10244" dataDxfId="12722" totalsRowDxfId="12721"/>
    <tableColumn id="10259" xr3:uid="{FBC07222-793B-41D1-B3DD-E6626D9C5F48}" name="Column10245" dataDxfId="12720" totalsRowDxfId="12719"/>
    <tableColumn id="10260" xr3:uid="{7617F9BE-2F16-4E22-B902-F328CA0554AA}" name="Column10246" dataDxfId="12718" totalsRowDxfId="12717"/>
    <tableColumn id="10261" xr3:uid="{0B459F2A-C64A-42A4-ABA3-196D680ABD65}" name="Column10247" dataDxfId="12716" totalsRowDxfId="12715"/>
    <tableColumn id="10262" xr3:uid="{81BDB40D-C319-41E3-ABF9-2C74A0F04976}" name="Column10248" dataDxfId="12714" totalsRowDxfId="12713"/>
    <tableColumn id="10263" xr3:uid="{0BE56947-CF6D-4C57-9CC3-920698712490}" name="Column10249" dataDxfId="12712" totalsRowDxfId="12711"/>
    <tableColumn id="10264" xr3:uid="{1200C333-D714-400B-968B-7335A037DAB2}" name="Column10250" dataDxfId="12710" totalsRowDxfId="12709"/>
    <tableColumn id="10265" xr3:uid="{93734ABC-8DB3-4469-8FE0-6C2F70941F7E}" name="Column10251" dataDxfId="12708" totalsRowDxfId="12707"/>
    <tableColumn id="10266" xr3:uid="{B26B91E3-9783-4DF6-A019-D3A8FED13ADA}" name="Column10252" dataDxfId="12706" totalsRowDxfId="12705"/>
    <tableColumn id="10267" xr3:uid="{77EDC02E-80C9-4E69-AD84-411AC07B5927}" name="Column10253" dataDxfId="12704" totalsRowDxfId="12703"/>
    <tableColumn id="10268" xr3:uid="{F6451F06-3A30-4606-BA74-154E19A1B169}" name="Column10254" dataDxfId="12702" totalsRowDxfId="12701"/>
    <tableColumn id="10269" xr3:uid="{C320832D-0240-4D34-94C3-F3A2691AB6F2}" name="Column10255" dataDxfId="12700" totalsRowDxfId="12699"/>
    <tableColumn id="10270" xr3:uid="{DAABB147-1379-478E-9983-17027E4231BF}" name="Column10256" dataDxfId="12698" totalsRowDxfId="12697"/>
    <tableColumn id="10271" xr3:uid="{46BC58B5-D759-4B12-8B4D-66A8214D8CC5}" name="Column10257" dataDxfId="12696" totalsRowDxfId="12695"/>
    <tableColumn id="10272" xr3:uid="{DC81DE7A-9613-4E5A-B28C-8EE2B5D2B9BD}" name="Column10258" dataDxfId="12694" totalsRowDxfId="12693"/>
    <tableColumn id="10273" xr3:uid="{B3E1CC52-0B93-4D8F-8AFB-33E84F9599F9}" name="Column10259" dataDxfId="12692" totalsRowDxfId="12691"/>
    <tableColumn id="10274" xr3:uid="{AA25690F-9258-4FA5-959F-669EA6A17C56}" name="Column10260" dataDxfId="12690" totalsRowDxfId="12689"/>
    <tableColumn id="10275" xr3:uid="{401C5983-BA6C-4979-A914-7CBDF2FB227C}" name="Column10261" dataDxfId="12688" totalsRowDxfId="12687"/>
    <tableColumn id="10276" xr3:uid="{4057205C-7285-4A49-9811-75A2EEF08E2C}" name="Column10262" dataDxfId="12686" totalsRowDxfId="12685"/>
    <tableColumn id="10277" xr3:uid="{C867029E-9E34-4D13-95C8-9B2AE3D7E1EB}" name="Column10263" dataDxfId="12684" totalsRowDxfId="12683"/>
    <tableColumn id="10278" xr3:uid="{0D2E7A8A-B3A6-4C65-AB49-C07A30E50A0E}" name="Column10264" dataDxfId="12682" totalsRowDxfId="12681"/>
    <tableColumn id="10279" xr3:uid="{A38AA41F-55AF-4D1E-9811-206E76813E65}" name="Column10265" dataDxfId="12680" totalsRowDxfId="12679"/>
    <tableColumn id="10280" xr3:uid="{7424B93D-D3E8-4DA1-98EF-E9670F49B20E}" name="Column10266" dataDxfId="12678" totalsRowDxfId="12677"/>
    <tableColumn id="10281" xr3:uid="{DE012711-C1A8-44BE-A93E-010270FE8508}" name="Column10267" dataDxfId="12676" totalsRowDxfId="12675"/>
    <tableColumn id="10282" xr3:uid="{C6A461A9-0E32-4242-A5D2-1BC1D8A6E53C}" name="Column10268" dataDxfId="12674" totalsRowDxfId="12673"/>
    <tableColumn id="10283" xr3:uid="{BF406173-88E1-4B01-A06A-8D46F58B49CE}" name="Column10269" dataDxfId="12672" totalsRowDxfId="12671"/>
    <tableColumn id="10284" xr3:uid="{66DA0B67-467D-4EBB-92D2-55E25333F3F7}" name="Column10270" dataDxfId="12670" totalsRowDxfId="12669"/>
    <tableColumn id="10285" xr3:uid="{82887D6B-4E6D-4DF0-A5BB-42361B56799E}" name="Column10271" dataDxfId="12668" totalsRowDxfId="12667"/>
    <tableColumn id="10286" xr3:uid="{C738D973-B6E3-4214-9193-BA754F43D7BE}" name="Column10272" dataDxfId="12666" totalsRowDxfId="12665"/>
    <tableColumn id="10287" xr3:uid="{C0980FA1-14F0-4CB7-9A70-329AA7EA875B}" name="Column10273" dataDxfId="12664" totalsRowDxfId="12663"/>
    <tableColumn id="10288" xr3:uid="{44E14CE4-9187-4383-B7BF-E975A5A24048}" name="Column10274" dataDxfId="12662" totalsRowDxfId="12661"/>
    <tableColumn id="10289" xr3:uid="{746B48A3-7742-4E89-8ECD-47DFAB46B75E}" name="Column10275" dataDxfId="12660" totalsRowDxfId="12659"/>
    <tableColumn id="10290" xr3:uid="{C49EDF67-730E-492B-8832-B5A2AA140304}" name="Column10276" dataDxfId="12658" totalsRowDxfId="12657"/>
    <tableColumn id="10291" xr3:uid="{D8E40517-3366-4D45-8412-7BA4178AB444}" name="Column10277" dataDxfId="12656" totalsRowDxfId="12655"/>
    <tableColumn id="10292" xr3:uid="{0FB0D616-93A4-4540-813B-5AD599DC2AC9}" name="Column10278" dataDxfId="12654" totalsRowDxfId="12653"/>
    <tableColumn id="10293" xr3:uid="{0CD4D385-B136-43B3-9689-9AE07F72556E}" name="Column10279" dataDxfId="12652" totalsRowDxfId="12651"/>
    <tableColumn id="10294" xr3:uid="{EC86F79D-A890-437C-9204-F91399F20CE5}" name="Column10280" dataDxfId="12650" totalsRowDxfId="12649"/>
    <tableColumn id="10295" xr3:uid="{952C43FB-8DA0-4745-9BE2-8957A4CF8824}" name="Column10281" dataDxfId="12648" totalsRowDxfId="12647"/>
    <tableColumn id="10296" xr3:uid="{4253B01F-E824-4939-83BD-F0438437FEB4}" name="Column10282" dataDxfId="12646" totalsRowDxfId="12645"/>
    <tableColumn id="10297" xr3:uid="{7C790C75-877C-44C3-8EEB-7524587BE537}" name="Column10283" dataDxfId="12644" totalsRowDxfId="12643"/>
    <tableColumn id="10298" xr3:uid="{E18A37C2-A8CE-4CF2-A577-9970BD0716B6}" name="Column10284" dataDxfId="12642" totalsRowDxfId="12641"/>
    <tableColumn id="10299" xr3:uid="{311056D6-A7AC-4866-A149-329D8931541E}" name="Column10285" dataDxfId="12640" totalsRowDxfId="12639"/>
    <tableColumn id="10300" xr3:uid="{8BE9B038-23F6-4411-9EF7-0EFBE9AF5047}" name="Column10286" dataDxfId="12638" totalsRowDxfId="12637"/>
    <tableColumn id="10301" xr3:uid="{AFADA49C-A7D9-4FC6-AD70-D2F698AEF314}" name="Column10287" dataDxfId="12636" totalsRowDxfId="12635"/>
    <tableColumn id="10302" xr3:uid="{7020440E-555B-40F2-A0E1-B6533A4312BD}" name="Column10288" dataDxfId="12634" totalsRowDxfId="12633"/>
    <tableColumn id="10303" xr3:uid="{6744F12C-5750-4A0F-8ECE-14FD8E47F01F}" name="Column10289" dataDxfId="12632" totalsRowDxfId="12631"/>
    <tableColumn id="10304" xr3:uid="{9BE80675-2969-48D0-99B2-07A1925A8DB9}" name="Column10290" dataDxfId="12630" totalsRowDxfId="12629"/>
    <tableColumn id="10305" xr3:uid="{8E1D90B4-9DC4-43B4-8C7A-13BBC196C3FC}" name="Column10291" dataDxfId="12628" totalsRowDxfId="12627"/>
    <tableColumn id="10306" xr3:uid="{E05A4B47-6EB5-4695-8D92-C4BE419949BB}" name="Column10292" dataDxfId="12626" totalsRowDxfId="12625"/>
    <tableColumn id="10307" xr3:uid="{9F013C54-8D76-4485-AE3F-7710A441AEF8}" name="Column10293" dataDxfId="12624" totalsRowDxfId="12623"/>
    <tableColumn id="10308" xr3:uid="{DA8ACC75-5719-4AAD-9522-268232023F6B}" name="Column10294" dataDxfId="12622" totalsRowDxfId="12621"/>
    <tableColumn id="10309" xr3:uid="{AD819502-BC21-4720-A236-6E467D0BE03D}" name="Column10295" dataDxfId="12620" totalsRowDxfId="12619"/>
    <tableColumn id="10310" xr3:uid="{5E1DE59E-C7F7-4F4E-892E-96E223C48AE1}" name="Column10296" dataDxfId="12618" totalsRowDxfId="12617"/>
    <tableColumn id="10311" xr3:uid="{AA1166D6-A776-4FAF-B134-4CE0BBA9FC94}" name="Column10297" dataDxfId="12616" totalsRowDxfId="12615"/>
    <tableColumn id="10312" xr3:uid="{19BAD746-A821-4EC6-BEA6-77D766912F1B}" name="Column10298" dataDxfId="12614" totalsRowDxfId="12613"/>
    <tableColumn id="10313" xr3:uid="{4B629576-BE7B-4C7A-A725-BD6CFFEC86A2}" name="Column10299" dataDxfId="12612" totalsRowDxfId="12611"/>
    <tableColumn id="10314" xr3:uid="{2129C1D8-C9C0-4889-BFC0-1C5988E741F3}" name="Column10300" dataDxfId="12610" totalsRowDxfId="12609"/>
    <tableColumn id="10315" xr3:uid="{60BE74EE-8BDE-4642-863C-A59B2D2A036E}" name="Column10301" dataDxfId="12608" totalsRowDxfId="12607"/>
    <tableColumn id="10316" xr3:uid="{85035E57-3D4C-4D81-8CE4-34339C73D43F}" name="Column10302" dataDxfId="12606" totalsRowDxfId="12605"/>
    <tableColumn id="10317" xr3:uid="{7B294FC5-B23B-493F-AC8B-E022420A15FA}" name="Column10303" dataDxfId="12604" totalsRowDxfId="12603"/>
    <tableColumn id="10318" xr3:uid="{A4E899A9-1C0F-4B18-8139-3F907AE1DFBE}" name="Column10304" dataDxfId="12602" totalsRowDxfId="12601"/>
    <tableColumn id="10319" xr3:uid="{960AEE98-4791-4786-A7BC-FBFA065B3839}" name="Column10305" dataDxfId="12600" totalsRowDxfId="12599"/>
    <tableColumn id="10320" xr3:uid="{DA9233E8-6D0C-4628-92B9-67D00B94EB51}" name="Column10306" dataDxfId="12598" totalsRowDxfId="12597"/>
    <tableColumn id="10321" xr3:uid="{921DDFF8-5AF3-4DF0-ABB3-BA3182609773}" name="Column10307" dataDxfId="12596" totalsRowDxfId="12595"/>
    <tableColumn id="10322" xr3:uid="{E7B5E1C4-FD8B-4308-A1AC-83FC1724B79A}" name="Column10308" dataDxfId="12594" totalsRowDxfId="12593"/>
    <tableColumn id="10323" xr3:uid="{B541C024-6EAD-42CB-B90C-01BB7460562D}" name="Column10309" dataDxfId="12592" totalsRowDxfId="12591"/>
    <tableColumn id="10324" xr3:uid="{C2C2A5D7-491E-448C-B3FF-6D159AC33740}" name="Column10310" dataDxfId="12590" totalsRowDxfId="12589"/>
    <tableColumn id="10325" xr3:uid="{AE0FCFEE-0652-49D0-995F-7C1C42E5C098}" name="Column10311" dataDxfId="12588" totalsRowDxfId="12587"/>
    <tableColumn id="10326" xr3:uid="{E61C7145-81E6-4DC2-ABF5-0B81BF452C7D}" name="Column10312" dataDxfId="12586" totalsRowDxfId="12585"/>
    <tableColumn id="10327" xr3:uid="{D61C199E-CEB9-4000-837F-3D772C3D009C}" name="Column10313" dataDxfId="12584" totalsRowDxfId="12583"/>
    <tableColumn id="10328" xr3:uid="{8BF0766F-C070-41A4-AF80-321AFA3C6B02}" name="Column10314" dataDxfId="12582" totalsRowDxfId="12581"/>
    <tableColumn id="10329" xr3:uid="{C120CE46-8D63-410B-B9F0-354BC847C0CF}" name="Column10315" dataDxfId="12580" totalsRowDxfId="12579"/>
    <tableColumn id="10330" xr3:uid="{C3FA7882-0881-415A-AF3C-66B86B6C914D}" name="Column10316" dataDxfId="12578" totalsRowDxfId="12577"/>
    <tableColumn id="10331" xr3:uid="{0AC1A1F0-D47E-4E73-BD85-7B58F26E4EBE}" name="Column10317" dataDxfId="12576" totalsRowDxfId="12575"/>
    <tableColumn id="10332" xr3:uid="{18FDEB22-C81D-4689-9207-844729091AC9}" name="Column10318" dataDxfId="12574" totalsRowDxfId="12573"/>
    <tableColumn id="10333" xr3:uid="{B63F7207-AD80-43C8-9824-9D825516AE19}" name="Column10319" dataDxfId="12572" totalsRowDxfId="12571"/>
    <tableColumn id="10334" xr3:uid="{5C9A75F9-16BE-4D2F-931B-302B6020BD29}" name="Column10320" dataDxfId="12570" totalsRowDxfId="12569"/>
    <tableColumn id="10335" xr3:uid="{E375B4FB-F193-4BE2-AC65-7484B41CA4F7}" name="Column10321" dataDxfId="12568" totalsRowDxfId="12567"/>
    <tableColumn id="10336" xr3:uid="{0490FAA2-F5F6-4AB8-87C3-9BAA99B86CB1}" name="Column10322" dataDxfId="12566" totalsRowDxfId="12565"/>
    <tableColumn id="10337" xr3:uid="{30D3C9A9-B975-49B8-AAAA-038BA4C33F2C}" name="Column10323" dataDxfId="12564" totalsRowDxfId="12563"/>
    <tableColumn id="10338" xr3:uid="{2CA577BF-B2F0-48F6-B31A-43D74BD10F96}" name="Column10324" dataDxfId="12562" totalsRowDxfId="12561"/>
    <tableColumn id="10339" xr3:uid="{848CFD6C-A6CB-49F9-98D6-15D41458E9CB}" name="Column10325" dataDxfId="12560" totalsRowDxfId="12559"/>
    <tableColumn id="10340" xr3:uid="{6526AC93-AC36-448D-A984-7CC7C23BDD27}" name="Column10326" dataDxfId="12558" totalsRowDxfId="12557"/>
    <tableColumn id="10341" xr3:uid="{7DA8DF47-F116-4C47-AF2D-700C6D33C73B}" name="Column10327" dataDxfId="12556" totalsRowDxfId="12555"/>
    <tableColumn id="10342" xr3:uid="{CBFA606C-0CCC-4D0A-BD15-9AC6E0AAD3B2}" name="Column10328" dataDxfId="12554" totalsRowDxfId="12553"/>
    <tableColumn id="10343" xr3:uid="{6482778D-F699-4BA8-BF01-DEB4D899C7B7}" name="Column10329" dataDxfId="12552" totalsRowDxfId="12551"/>
    <tableColumn id="10344" xr3:uid="{CD5A0DBB-8E00-4261-AE0D-8E435314BD92}" name="Column10330" dataDxfId="12550" totalsRowDxfId="12549"/>
    <tableColumn id="10345" xr3:uid="{F3F32409-E68D-4432-BB56-165DF258A97E}" name="Column10331" dataDxfId="12548" totalsRowDxfId="12547"/>
    <tableColumn id="10346" xr3:uid="{EB3282BE-6D71-4EC7-88E3-8CD8AAE210F8}" name="Column10332" dataDxfId="12546" totalsRowDxfId="12545"/>
    <tableColumn id="10347" xr3:uid="{3F009D5B-788B-4779-969A-F80A4633ACE3}" name="Column10333" dataDxfId="12544" totalsRowDxfId="12543"/>
    <tableColumn id="10348" xr3:uid="{C4B2983F-3978-4044-B0AE-FE175FFE4361}" name="Column10334" dataDxfId="12542" totalsRowDxfId="12541"/>
    <tableColumn id="10349" xr3:uid="{3B9A230D-9865-4A08-906D-1CB12A64CE20}" name="Column10335" dataDxfId="12540" totalsRowDxfId="12539"/>
    <tableColumn id="10350" xr3:uid="{073038F9-7896-4FBA-B1BF-B5C5790DCFCE}" name="Column10336" dataDxfId="12538" totalsRowDxfId="12537"/>
    <tableColumn id="10351" xr3:uid="{873A58D6-7177-4713-B6FC-383EB5B85C6B}" name="Column10337" dataDxfId="12536" totalsRowDxfId="12535"/>
    <tableColumn id="10352" xr3:uid="{4FE57967-038C-422E-B668-AD76F0E1820B}" name="Column10338" dataDxfId="12534" totalsRowDxfId="12533"/>
    <tableColumn id="10353" xr3:uid="{F740C60B-D42E-49CB-AD32-76D9B0742E81}" name="Column10339" dataDxfId="12532" totalsRowDxfId="12531"/>
    <tableColumn id="10354" xr3:uid="{97E2CFE8-CF39-4586-A863-7016034D765F}" name="Column10340" dataDxfId="12530" totalsRowDxfId="12529"/>
    <tableColumn id="10355" xr3:uid="{CAE4241D-7D37-4862-AC4E-4274CD36AB8F}" name="Column10341" dataDxfId="12528" totalsRowDxfId="12527"/>
    <tableColumn id="10356" xr3:uid="{6F429E8C-3D72-4B73-A667-0806CF781622}" name="Column10342" dataDxfId="12526" totalsRowDxfId="12525"/>
    <tableColumn id="10357" xr3:uid="{0A696261-B9FB-4B0C-8EFD-22620150D041}" name="Column10343" dataDxfId="12524" totalsRowDxfId="12523"/>
    <tableColumn id="10358" xr3:uid="{BC078D08-D2D0-4335-B50A-BEF62A74E9DF}" name="Column10344" dataDxfId="12522" totalsRowDxfId="12521"/>
    <tableColumn id="10359" xr3:uid="{84672C69-0F92-4810-B15A-1AC74C48C6F6}" name="Column10345" dataDxfId="12520" totalsRowDxfId="12519"/>
    <tableColumn id="10360" xr3:uid="{166B4508-1D8C-49C6-A0B8-DB7723ED4144}" name="Column10346" dataDxfId="12518" totalsRowDxfId="12517"/>
    <tableColumn id="10361" xr3:uid="{EB410D89-5A5B-4DE1-89A1-6E2FE7D22C09}" name="Column10347" dataDxfId="12516" totalsRowDxfId="12515"/>
    <tableColumn id="10362" xr3:uid="{9B67F817-B410-45D3-A976-B74D44DEB006}" name="Column10348" dataDxfId="12514" totalsRowDxfId="12513"/>
    <tableColumn id="10363" xr3:uid="{586F558B-2EA3-42CB-912B-A01797AFA266}" name="Column10349" dataDxfId="12512" totalsRowDxfId="12511"/>
    <tableColumn id="10364" xr3:uid="{6D8219EE-CF51-488D-9C4E-01A20E7B33CC}" name="Column10350" dataDxfId="12510" totalsRowDxfId="12509"/>
    <tableColumn id="10365" xr3:uid="{5958C1C5-5416-47B1-9E08-5AC9A306BD62}" name="Column10351" dataDxfId="12508" totalsRowDxfId="12507"/>
    <tableColumn id="10366" xr3:uid="{E97C013C-43C7-4C6A-A48E-DE311933CCD3}" name="Column10352" dataDxfId="12506" totalsRowDxfId="12505"/>
    <tableColumn id="10367" xr3:uid="{754ECEBE-DC5B-4157-8822-075B85AA655A}" name="Column10353" dataDxfId="12504" totalsRowDxfId="12503"/>
    <tableColumn id="10368" xr3:uid="{5D2FE8C7-C9DC-439A-B81A-F04798030DC6}" name="Column10354" dataDxfId="12502" totalsRowDxfId="12501"/>
    <tableColumn id="10369" xr3:uid="{2992BE01-CBC4-420C-BCC2-BA09F5FE68E5}" name="Column10355" dataDxfId="12500" totalsRowDxfId="12499"/>
    <tableColumn id="10370" xr3:uid="{527667B2-1EE0-4091-BC5F-420EA969721B}" name="Column10356" dataDxfId="12498" totalsRowDxfId="12497"/>
    <tableColumn id="10371" xr3:uid="{6D77C13A-97D8-4224-9449-B5D92231EBC3}" name="Column10357" dataDxfId="12496" totalsRowDxfId="12495"/>
    <tableColumn id="10372" xr3:uid="{DB7EDA5B-554F-4F4E-B25D-EE15085F0074}" name="Column10358" dataDxfId="12494" totalsRowDxfId="12493"/>
    <tableColumn id="10373" xr3:uid="{737069F3-D994-49EE-8212-1495FD3D7299}" name="Column10359" dataDxfId="12492" totalsRowDxfId="12491"/>
    <tableColumn id="10374" xr3:uid="{B66C9049-86E2-4E80-B1F9-57825878D334}" name="Column10360" dataDxfId="12490" totalsRowDxfId="12489"/>
    <tableColumn id="10375" xr3:uid="{1478968F-EC92-4EF1-B22D-7EF781401533}" name="Column10361" dataDxfId="12488" totalsRowDxfId="12487"/>
    <tableColumn id="10376" xr3:uid="{23D42058-AE2E-42FB-BAEE-81E5169F12B8}" name="Column10362" dataDxfId="12486" totalsRowDxfId="12485"/>
    <tableColumn id="10377" xr3:uid="{D6C728E2-72A9-4CFB-BD23-EEBEF6D96491}" name="Column10363" dataDxfId="12484" totalsRowDxfId="12483"/>
    <tableColumn id="10378" xr3:uid="{77BCD188-151E-4C3F-9CE7-9867CF994D0A}" name="Column10364" dataDxfId="12482" totalsRowDxfId="12481"/>
    <tableColumn id="10379" xr3:uid="{9FE8B9DE-7227-47D5-A8CF-7561DF226171}" name="Column10365" dataDxfId="12480" totalsRowDxfId="12479"/>
    <tableColumn id="10380" xr3:uid="{AEA12768-6E64-42FF-A778-4DF2B288D924}" name="Column10366" dataDxfId="12478" totalsRowDxfId="12477"/>
    <tableColumn id="10381" xr3:uid="{E63349CE-9D8F-4CCF-9E41-54FB7414B2FB}" name="Column10367" dataDxfId="12476" totalsRowDxfId="12475"/>
    <tableColumn id="10382" xr3:uid="{C9ADD197-B319-44E2-9E81-DC4D4AD15D1E}" name="Column10368" dataDxfId="12474" totalsRowDxfId="12473"/>
    <tableColumn id="10383" xr3:uid="{671EA3DB-E8BA-4540-B693-91D5C59D4C28}" name="Column10369" dataDxfId="12472" totalsRowDxfId="12471"/>
    <tableColumn id="10384" xr3:uid="{FE38BD86-6500-4A87-B302-E481A8950E95}" name="Column10370" dataDxfId="12470" totalsRowDxfId="12469"/>
    <tableColumn id="10385" xr3:uid="{9EF309FA-503A-47DB-A342-4BB02E5F6526}" name="Column10371" dataDxfId="12468" totalsRowDxfId="12467"/>
    <tableColumn id="10386" xr3:uid="{5CCCDE99-C92D-4689-8255-6802B026CCB9}" name="Column10372" dataDxfId="12466" totalsRowDxfId="12465"/>
    <tableColumn id="10387" xr3:uid="{FEF50021-7A1C-4F5A-BF5D-B0145D39C1F2}" name="Column10373" dataDxfId="12464" totalsRowDxfId="12463"/>
    <tableColumn id="10388" xr3:uid="{13722EB4-DA08-430B-85B2-179D057832A7}" name="Column10374" dataDxfId="12462" totalsRowDxfId="12461"/>
    <tableColumn id="10389" xr3:uid="{91D015B1-77BC-4C5F-8F0C-FFB34571BEE3}" name="Column10375" dataDxfId="12460" totalsRowDxfId="12459"/>
    <tableColumn id="10390" xr3:uid="{611AA369-D2EE-41B1-837C-A95D66CDB45C}" name="Column10376" dataDxfId="12458" totalsRowDxfId="12457"/>
    <tableColumn id="10391" xr3:uid="{7572DB81-3642-423B-98B7-8DDD2DB74C91}" name="Column10377" dataDxfId="12456" totalsRowDxfId="12455"/>
    <tableColumn id="10392" xr3:uid="{AA534CE9-C14A-45E3-8F7F-93C5A8A2F569}" name="Column10378" dataDxfId="12454" totalsRowDxfId="12453"/>
    <tableColumn id="10393" xr3:uid="{0D00A5DF-8F16-4A11-A25A-3F98F4F65E84}" name="Column10379" dataDxfId="12452" totalsRowDxfId="12451"/>
    <tableColumn id="10394" xr3:uid="{549B894A-AB9D-4EC8-9C3C-AD2D113E1C1C}" name="Column10380" dataDxfId="12450" totalsRowDxfId="12449"/>
    <tableColumn id="10395" xr3:uid="{8D7C39F5-5654-46EC-9B55-72E7469F7DE6}" name="Column10381" dataDxfId="12448" totalsRowDxfId="12447"/>
    <tableColumn id="10396" xr3:uid="{E686AE70-210C-484E-98BF-A4F7F8078658}" name="Column10382" dataDxfId="12446" totalsRowDxfId="12445"/>
    <tableColumn id="10397" xr3:uid="{6B3D8C01-8C13-4481-95BB-9A447CB7A173}" name="Column10383" dataDxfId="12444" totalsRowDxfId="12443"/>
    <tableColumn id="10398" xr3:uid="{B2460E34-C70C-4C8E-83BD-3765BE496938}" name="Column10384" dataDxfId="12442" totalsRowDxfId="12441"/>
    <tableColumn id="10399" xr3:uid="{EB1F381B-C186-4AB0-BD33-76A878D7A3EE}" name="Column10385" dataDxfId="12440" totalsRowDxfId="12439"/>
    <tableColumn id="10400" xr3:uid="{DC084C6B-4FA6-4BD2-8830-C3F3AE835E0F}" name="Column10386" dataDxfId="12438" totalsRowDxfId="12437"/>
    <tableColumn id="10401" xr3:uid="{F7378D4A-CAE6-4CC1-B9B0-AC6949AA665B}" name="Column10387" dataDxfId="12436" totalsRowDxfId="12435"/>
    <tableColumn id="10402" xr3:uid="{2E427F7F-ADA3-460F-B495-7F33A6A9C2C8}" name="Column10388" dataDxfId="12434" totalsRowDxfId="12433"/>
    <tableColumn id="10403" xr3:uid="{28E3EFAA-D78F-4CAE-9AEF-6320E2A90E67}" name="Column10389" dataDxfId="12432" totalsRowDxfId="12431"/>
    <tableColumn id="10404" xr3:uid="{C6B0159D-CB0D-458F-9AC8-260B872362F9}" name="Column10390" dataDxfId="12430" totalsRowDxfId="12429"/>
    <tableColumn id="10405" xr3:uid="{9A25F0DB-9528-4486-8F4E-ADFE4C5AB0E6}" name="Column10391" dataDxfId="12428" totalsRowDxfId="12427"/>
    <tableColumn id="10406" xr3:uid="{A53BBE7C-F662-4247-9F00-9A14D9889815}" name="Column10392" dataDxfId="12426" totalsRowDxfId="12425"/>
    <tableColumn id="10407" xr3:uid="{A4D08C2F-A58A-42A2-84A5-D4CA4EAB01DE}" name="Column10393" dataDxfId="12424" totalsRowDxfId="12423"/>
    <tableColumn id="10408" xr3:uid="{6BB48883-5BA4-4BF4-96F7-3BD92CB22F08}" name="Column10394" dataDxfId="12422" totalsRowDxfId="12421"/>
    <tableColumn id="10409" xr3:uid="{D6DD0238-1741-43A0-9FDD-DA5A391DB26C}" name="Column10395" dataDxfId="12420" totalsRowDxfId="12419"/>
    <tableColumn id="10410" xr3:uid="{64812840-1CB6-49AD-B8A1-14DD2C59A50E}" name="Column10396" dataDxfId="12418" totalsRowDxfId="12417"/>
    <tableColumn id="10411" xr3:uid="{FFA5E912-4355-4C1F-BDC1-5E5EA49022C9}" name="Column10397" dataDxfId="12416" totalsRowDxfId="12415"/>
    <tableColumn id="10412" xr3:uid="{BC236DA5-12FB-4D63-B4A8-892CCDB32960}" name="Column10398" dataDxfId="12414" totalsRowDxfId="12413"/>
    <tableColumn id="10413" xr3:uid="{F7989F9E-B326-4E19-8AE4-8F1DFCD3D0D7}" name="Column10399" dataDxfId="12412" totalsRowDxfId="12411"/>
    <tableColumn id="10414" xr3:uid="{D8456503-86E4-420E-A63F-B357B3DE65FB}" name="Column10400" dataDxfId="12410" totalsRowDxfId="12409"/>
    <tableColumn id="10415" xr3:uid="{46144E9C-9010-4B6B-8052-03EDFCCA8E46}" name="Column10401" dataDxfId="12408" totalsRowDxfId="12407"/>
    <tableColumn id="10416" xr3:uid="{E004803F-67C5-409C-9A5A-9F2304D7A401}" name="Column10402" dataDxfId="12406" totalsRowDxfId="12405"/>
    <tableColumn id="10417" xr3:uid="{2944415A-F386-4A50-880E-C0D56051F36D}" name="Column10403" dataDxfId="12404" totalsRowDxfId="12403"/>
    <tableColumn id="10418" xr3:uid="{2B8CD5B3-3ADB-4B99-A3AE-669202A3A7DB}" name="Column10404" dataDxfId="12402" totalsRowDxfId="12401"/>
    <tableColumn id="10419" xr3:uid="{B13E2E94-41F4-4781-B307-BE0113C6E543}" name="Column10405" dataDxfId="12400" totalsRowDxfId="12399"/>
    <tableColumn id="10420" xr3:uid="{C763D8CE-CC94-447C-8EFA-D607B56F09C2}" name="Column10406" dataDxfId="12398" totalsRowDxfId="12397"/>
    <tableColumn id="10421" xr3:uid="{72040011-14E7-47B3-AB74-00A9F046BFF8}" name="Column10407" dataDxfId="12396" totalsRowDxfId="12395"/>
    <tableColumn id="10422" xr3:uid="{0A43737D-F64B-4EBA-A4F3-4F5F367AADD2}" name="Column10408" dataDxfId="12394" totalsRowDxfId="12393"/>
    <tableColumn id="10423" xr3:uid="{73DFAE04-9E12-4707-A872-E4E169A4CA68}" name="Column10409" dataDxfId="12392" totalsRowDxfId="12391"/>
    <tableColumn id="10424" xr3:uid="{39F80645-5A0C-45E3-8CA9-04BE9BD83AC7}" name="Column10410" dataDxfId="12390" totalsRowDxfId="12389"/>
    <tableColumn id="10425" xr3:uid="{9B8A1527-A609-4B36-9C95-BCB03C134934}" name="Column10411" dataDxfId="12388" totalsRowDxfId="12387"/>
    <tableColumn id="10426" xr3:uid="{10181E52-E5F7-4BE6-8D48-F7EF973F814D}" name="Column10412" dataDxfId="12386" totalsRowDxfId="12385"/>
    <tableColumn id="10427" xr3:uid="{338639D7-83F4-45A5-9BB5-4B942A91EE3A}" name="Column10413" dataDxfId="12384" totalsRowDxfId="12383"/>
    <tableColumn id="10428" xr3:uid="{569CE4FC-70A9-4D87-A5F5-CD7D32D4E700}" name="Column10414" dataDxfId="12382" totalsRowDxfId="12381"/>
    <tableColumn id="10429" xr3:uid="{85F3F6AF-1D03-498B-A549-15BDA4C617B8}" name="Column10415" dataDxfId="12380" totalsRowDxfId="12379"/>
    <tableColumn id="10430" xr3:uid="{4CEF81D7-70CB-4978-A550-BE6AE4E28875}" name="Column10416" dataDxfId="12378" totalsRowDxfId="12377"/>
    <tableColumn id="10431" xr3:uid="{2154F239-68C8-420E-A7C9-88F19545B361}" name="Column10417" dataDxfId="12376" totalsRowDxfId="12375"/>
    <tableColumn id="10432" xr3:uid="{115A00D9-EA66-4E76-9E3E-0B86D03306C0}" name="Column10418" dataDxfId="12374" totalsRowDxfId="12373"/>
    <tableColumn id="10433" xr3:uid="{DD6BB3D3-1DA1-420E-A2E1-F388B76F04AF}" name="Column10419" dataDxfId="12372" totalsRowDxfId="12371"/>
    <tableColumn id="10434" xr3:uid="{9A0D15AE-92FE-4FC6-89A1-5E2078468D5E}" name="Column10420" dataDxfId="12370" totalsRowDxfId="12369"/>
    <tableColumn id="10435" xr3:uid="{BFCB1EB8-619C-4E07-B196-AD925C296419}" name="Column10421" dataDxfId="12368" totalsRowDxfId="12367"/>
    <tableColumn id="10436" xr3:uid="{3B07714B-F094-4260-9243-6FDB37ACEC27}" name="Column10422" dataDxfId="12366" totalsRowDxfId="12365"/>
    <tableColumn id="10437" xr3:uid="{1A62FC2C-25C0-4758-A347-30983103E93F}" name="Column10423" dataDxfId="12364" totalsRowDxfId="12363"/>
    <tableColumn id="10438" xr3:uid="{54B3BAE4-5FC2-4397-911B-8D0CB2B08AA9}" name="Column10424" dataDxfId="12362" totalsRowDxfId="12361"/>
    <tableColumn id="10439" xr3:uid="{B3C7AF40-3A14-4F02-9082-3A7E00DEA03C}" name="Column10425" dataDxfId="12360" totalsRowDxfId="12359"/>
    <tableColumn id="10440" xr3:uid="{EA26A9EF-9196-411D-8F90-95502B442B82}" name="Column10426" dataDxfId="12358" totalsRowDxfId="12357"/>
    <tableColumn id="10441" xr3:uid="{785B2DF5-D9B8-4D50-A613-6033CD45C63D}" name="Column10427" dataDxfId="12356" totalsRowDxfId="12355"/>
    <tableColumn id="10442" xr3:uid="{0EEECAEC-5E38-4C9E-AFF3-9F811E6DC296}" name="Column10428" dataDxfId="12354" totalsRowDxfId="12353"/>
    <tableColumn id="10443" xr3:uid="{F03ED7EF-27B6-42A0-88DB-C2A010857B72}" name="Column10429" dataDxfId="12352" totalsRowDxfId="12351"/>
    <tableColumn id="10444" xr3:uid="{5051EBDA-BAE6-43AB-B667-C1A80B74A87C}" name="Column10430" dataDxfId="12350" totalsRowDxfId="12349"/>
    <tableColumn id="10445" xr3:uid="{E71AD365-B975-407C-B043-9682C5009C34}" name="Column10431" dataDxfId="12348" totalsRowDxfId="12347"/>
    <tableColumn id="10446" xr3:uid="{90849551-F45B-4FE3-9201-9B2B89632E83}" name="Column10432" dataDxfId="12346" totalsRowDxfId="12345"/>
    <tableColumn id="10447" xr3:uid="{8AFC3C0A-DC4C-4A65-AF93-666EACAA05D6}" name="Column10433" dataDxfId="12344" totalsRowDxfId="12343"/>
    <tableColumn id="10448" xr3:uid="{D0F33C15-AEB6-4904-B4F5-6D11D9810E95}" name="Column10434" dataDxfId="12342" totalsRowDxfId="12341"/>
    <tableColumn id="10449" xr3:uid="{1FAECD44-55BA-4223-8EDF-5E00AAC63CFB}" name="Column10435" dataDxfId="12340" totalsRowDxfId="12339"/>
    <tableColumn id="10450" xr3:uid="{DB34F946-B244-4302-BCE8-1EE0A07A68E0}" name="Column10436" dataDxfId="12338" totalsRowDxfId="12337"/>
    <tableColumn id="10451" xr3:uid="{BE34BBF4-7B8B-4AF8-8E7A-36BB57AC961C}" name="Column10437" dataDxfId="12336" totalsRowDxfId="12335"/>
    <tableColumn id="10452" xr3:uid="{B2B32881-F4ED-4354-AFEE-9321A6B542A3}" name="Column10438" dataDxfId="12334" totalsRowDxfId="12333"/>
    <tableColumn id="10453" xr3:uid="{073A9BF0-DE14-4511-ACB6-7134A341D2A1}" name="Column10439" dataDxfId="12332" totalsRowDxfId="12331"/>
    <tableColumn id="10454" xr3:uid="{7C0EDA8C-ADA6-42FA-AF0A-9BAB49445664}" name="Column10440" dataDxfId="12330" totalsRowDxfId="12329"/>
    <tableColumn id="10455" xr3:uid="{0CAD8705-706E-4796-8CA5-6D039AEA1367}" name="Column10441" dataDxfId="12328" totalsRowDxfId="12327"/>
    <tableColumn id="10456" xr3:uid="{AF0BBE4D-7B30-4250-91F6-B5C570B422D2}" name="Column10442" dataDxfId="12326" totalsRowDxfId="12325"/>
    <tableColumn id="10457" xr3:uid="{33901BB3-7AC1-4A1C-BBFB-ED3D6D4D92F3}" name="Column10443" dataDxfId="12324" totalsRowDxfId="12323"/>
    <tableColumn id="10458" xr3:uid="{E6B5F7EB-4B45-4776-AC34-E9D5696B7338}" name="Column10444" dataDxfId="12322" totalsRowDxfId="12321"/>
    <tableColumn id="10459" xr3:uid="{ADC3CAD8-A4F3-47C0-BC85-8B8AFF6AB7EE}" name="Column10445" dataDxfId="12320" totalsRowDxfId="12319"/>
    <tableColumn id="10460" xr3:uid="{E2AD2DB2-6951-47B2-948E-FA57AA8BC11A}" name="Column10446" dataDxfId="12318" totalsRowDxfId="12317"/>
    <tableColumn id="10461" xr3:uid="{6ABBAFCA-1A13-471D-831B-5F3B98689FBB}" name="Column10447" dataDxfId="12316" totalsRowDxfId="12315"/>
    <tableColumn id="10462" xr3:uid="{16999E3F-4D36-41EB-84FD-C49242537133}" name="Column10448" dataDxfId="12314" totalsRowDxfId="12313"/>
    <tableColumn id="10463" xr3:uid="{35C9903D-6C23-4B61-9EE5-60CDD3559BDE}" name="Column10449" dataDxfId="12312" totalsRowDxfId="12311"/>
    <tableColumn id="10464" xr3:uid="{87E58813-EC48-43FE-8C10-178532C3BBD5}" name="Column10450" dataDxfId="12310" totalsRowDxfId="12309"/>
    <tableColumn id="10465" xr3:uid="{FAE7B061-F775-41E5-8597-731E9D8A5EA3}" name="Column10451" dataDxfId="12308" totalsRowDxfId="12307"/>
    <tableColumn id="10466" xr3:uid="{3B8629CB-A62D-494B-BF9C-A602CD12AEC8}" name="Column10452" dataDxfId="12306" totalsRowDxfId="12305"/>
    <tableColumn id="10467" xr3:uid="{DBB97975-B8B1-485B-92CC-9324E836CDAE}" name="Column10453" dataDxfId="12304" totalsRowDxfId="12303"/>
    <tableColumn id="10468" xr3:uid="{CDF2A8C4-13B8-4E74-8BAB-05751F94FBE3}" name="Column10454" dataDxfId="12302" totalsRowDxfId="12301"/>
    <tableColumn id="10469" xr3:uid="{6060293C-EFC6-4AC3-B9BD-F8F92BF69C36}" name="Column10455" dataDxfId="12300" totalsRowDxfId="12299"/>
    <tableColumn id="10470" xr3:uid="{838CE2E9-FBAC-48EB-9514-304EAE3263B7}" name="Column10456" dataDxfId="12298" totalsRowDxfId="12297"/>
    <tableColumn id="10471" xr3:uid="{EA8B68E8-0D29-4543-B28A-701E1A2F52B3}" name="Column10457" dataDxfId="12296" totalsRowDxfId="12295"/>
    <tableColumn id="10472" xr3:uid="{55EB8327-9668-4986-8493-B2C216BF6E6A}" name="Column10458" dataDxfId="12294" totalsRowDxfId="12293"/>
    <tableColumn id="10473" xr3:uid="{9D6E36FA-E945-4DE1-831C-6F5A88BA851A}" name="Column10459" dataDxfId="12292" totalsRowDxfId="12291"/>
    <tableColumn id="10474" xr3:uid="{A79387BB-2354-431D-B323-3DA192698DA1}" name="Column10460" dataDxfId="12290" totalsRowDxfId="12289"/>
    <tableColumn id="10475" xr3:uid="{2C301EE1-7312-4489-873D-D6C3C9CE06D3}" name="Column10461" dataDxfId="12288" totalsRowDxfId="12287"/>
    <tableColumn id="10476" xr3:uid="{5B1EFB81-6D64-4965-AE93-E57FCB80097A}" name="Column10462" dataDxfId="12286" totalsRowDxfId="12285"/>
    <tableColumn id="10477" xr3:uid="{CE206101-AD6D-4651-BC2B-67E551BB80AE}" name="Column10463" dataDxfId="12284" totalsRowDxfId="12283"/>
    <tableColumn id="10478" xr3:uid="{F824F688-9E9C-462F-AA00-01024853AFE6}" name="Column10464" dataDxfId="12282" totalsRowDxfId="12281"/>
    <tableColumn id="10479" xr3:uid="{E4527276-A3FB-415C-9C7F-EAC6D951C10C}" name="Column10465" dataDxfId="12280" totalsRowDxfId="12279"/>
    <tableColumn id="10480" xr3:uid="{067D5022-6A45-46CB-9DEB-F16FE1452BE1}" name="Column10466" dataDxfId="12278" totalsRowDxfId="12277"/>
    <tableColumn id="10481" xr3:uid="{2E235E36-63FF-4F56-9170-C60A1B5C21A6}" name="Column10467" dataDxfId="12276" totalsRowDxfId="12275"/>
    <tableColumn id="10482" xr3:uid="{62C0AAAB-7C1A-4A53-9866-218B35FDB45E}" name="Column10468" dataDxfId="12274" totalsRowDxfId="12273"/>
    <tableColumn id="10483" xr3:uid="{B52878CE-E4B5-438B-86B7-3F7BEC1082A9}" name="Column10469" dataDxfId="12272" totalsRowDxfId="12271"/>
    <tableColumn id="10484" xr3:uid="{54715F45-8B99-47B0-A62F-F9C594378871}" name="Column10470" dataDxfId="12270" totalsRowDxfId="12269"/>
    <tableColumn id="10485" xr3:uid="{B6024EFA-D6BB-46B3-AA38-2FF2033D443B}" name="Column10471" dataDxfId="12268" totalsRowDxfId="12267"/>
    <tableColumn id="10486" xr3:uid="{D500AC50-B4FA-4FCF-98F1-25EDDD5475E3}" name="Column10472" dataDxfId="12266" totalsRowDxfId="12265"/>
    <tableColumn id="10487" xr3:uid="{AD9579A6-6304-47C7-98E3-17B6744EAB64}" name="Column10473" dataDxfId="12264" totalsRowDxfId="12263"/>
    <tableColumn id="10488" xr3:uid="{807867B0-245D-493B-8CCB-55CC97578CF8}" name="Column10474" dataDxfId="12262" totalsRowDxfId="12261"/>
    <tableColumn id="10489" xr3:uid="{E022E03F-927E-4D46-B2AF-62ADBD83112D}" name="Column10475" dataDxfId="12260" totalsRowDxfId="12259"/>
    <tableColumn id="10490" xr3:uid="{8860BB58-1A6E-4A3E-AB5D-C1B13A9AC144}" name="Column10476" dataDxfId="12258" totalsRowDxfId="12257"/>
    <tableColumn id="10491" xr3:uid="{AFB36993-E37B-4DDC-8364-074039BBF8F9}" name="Column10477" dataDxfId="12256" totalsRowDxfId="12255"/>
    <tableColumn id="10492" xr3:uid="{54DD476D-78ED-4D77-9163-9C3C89F0473A}" name="Column10478" dataDxfId="12254" totalsRowDxfId="12253"/>
    <tableColumn id="10493" xr3:uid="{6DF2815F-E576-4467-9B71-90EAF1F8C9ED}" name="Column10479" dataDxfId="12252" totalsRowDxfId="12251"/>
    <tableColumn id="10494" xr3:uid="{03EB63F3-77A5-4CB2-BB4F-26892F6107E5}" name="Column10480" dataDxfId="12250" totalsRowDxfId="12249"/>
    <tableColumn id="10495" xr3:uid="{3649C551-243D-4C0F-A5C4-A03FEEFA09DE}" name="Column10481" dataDxfId="12248" totalsRowDxfId="12247"/>
    <tableColumn id="10496" xr3:uid="{F554E8AB-6FCF-4FB2-A401-E5738AC9F92A}" name="Column10482" dataDxfId="12246" totalsRowDxfId="12245"/>
    <tableColumn id="10497" xr3:uid="{F4D74549-B76F-485A-A2AA-E866248EB28F}" name="Column10483" dataDxfId="12244" totalsRowDxfId="12243"/>
    <tableColumn id="10498" xr3:uid="{795AA1AA-4FD7-4D48-A506-C7084F33F1B6}" name="Column10484" dataDxfId="12242" totalsRowDxfId="12241"/>
    <tableColumn id="10499" xr3:uid="{3FAC3337-7168-4E90-804C-0E40187FE38F}" name="Column10485" dataDxfId="12240" totalsRowDxfId="12239"/>
    <tableColumn id="10500" xr3:uid="{5061F79A-B1EE-43F2-9947-DFE40EE0CE2B}" name="Column10486" dataDxfId="12238" totalsRowDxfId="12237"/>
    <tableColumn id="10501" xr3:uid="{C9295734-7DA7-4530-81BA-5B88BEB206F1}" name="Column10487" dataDxfId="12236" totalsRowDxfId="12235"/>
    <tableColumn id="10502" xr3:uid="{2AB6AF5D-E07D-4DED-B032-E7CE6FAD7954}" name="Column10488" dataDxfId="12234" totalsRowDxfId="12233"/>
    <tableColumn id="10503" xr3:uid="{7A639DEC-6D33-4716-B66C-1751D0793A72}" name="Column10489" dataDxfId="12232" totalsRowDxfId="12231"/>
    <tableColumn id="10504" xr3:uid="{8A922FED-CD9E-4204-BAB1-CDE4D7396F77}" name="Column10490" dataDxfId="12230" totalsRowDxfId="12229"/>
    <tableColumn id="10505" xr3:uid="{1986F812-1D6B-4AC3-AD88-FB71BE364FDF}" name="Column10491" dataDxfId="12228" totalsRowDxfId="12227"/>
    <tableColumn id="10506" xr3:uid="{724182BA-9012-449F-800B-B316D7D882F3}" name="Column10492" dataDxfId="12226" totalsRowDxfId="12225"/>
    <tableColumn id="10507" xr3:uid="{382E2EB2-F854-4BCC-AB25-F9B498D4DE01}" name="Column10493" dataDxfId="12224" totalsRowDxfId="12223"/>
    <tableColumn id="10508" xr3:uid="{85B385C3-2D23-485F-A9E4-3D7C71C1A065}" name="Column10494" dataDxfId="12222" totalsRowDxfId="12221"/>
    <tableColumn id="10509" xr3:uid="{A5C8809A-9791-4752-B6D2-46B297CF31A5}" name="Column10495" dataDxfId="12220" totalsRowDxfId="12219"/>
    <tableColumn id="10510" xr3:uid="{603E4E01-3FB8-44FC-A9F8-64718F73325E}" name="Column10496" dataDxfId="12218" totalsRowDxfId="12217"/>
    <tableColumn id="10511" xr3:uid="{D4B9783C-189B-4B90-8D7F-1C75DECC45C2}" name="Column10497" dataDxfId="12216" totalsRowDxfId="12215"/>
    <tableColumn id="10512" xr3:uid="{24D64D3C-9586-4C5E-845B-337304E95D34}" name="Column10498" dataDxfId="12214" totalsRowDxfId="12213"/>
    <tableColumn id="10513" xr3:uid="{D235CC2E-746D-42CC-91E8-FC5D24CBC893}" name="Column10499" dataDxfId="12212" totalsRowDxfId="12211"/>
    <tableColumn id="10514" xr3:uid="{D7FC41F8-4D18-4AD9-AF29-E721BE1B0C89}" name="Column10500" dataDxfId="12210" totalsRowDxfId="12209"/>
    <tableColumn id="10515" xr3:uid="{EDAE1313-1CCC-491F-8060-45578FD378D5}" name="Column10501" dataDxfId="12208" totalsRowDxfId="12207"/>
    <tableColumn id="10516" xr3:uid="{D45F49EB-09EA-441E-B74E-D26226DD3330}" name="Column10502" dataDxfId="12206" totalsRowDxfId="12205"/>
    <tableColumn id="10517" xr3:uid="{2A7AB85C-4E13-4C13-A017-9D4BC5609071}" name="Column10503" dataDxfId="12204" totalsRowDxfId="12203"/>
    <tableColumn id="10518" xr3:uid="{5A0309C3-1D84-40DB-B5AC-605BF71EC777}" name="Column10504" dataDxfId="12202" totalsRowDxfId="12201"/>
    <tableColumn id="10519" xr3:uid="{4FBEA531-64AE-4726-8A16-1B6F95E7EBF4}" name="Column10505" dataDxfId="12200" totalsRowDxfId="12199"/>
    <tableColumn id="10520" xr3:uid="{81747F16-A71B-4774-80D3-6BDB2594C4B0}" name="Column10506" dataDxfId="12198" totalsRowDxfId="12197"/>
    <tableColumn id="10521" xr3:uid="{3393F556-CC4C-4B78-BC94-855EB5C4D9A3}" name="Column10507" dataDxfId="12196" totalsRowDxfId="12195"/>
    <tableColumn id="10522" xr3:uid="{037792D7-34F5-4B44-9AAF-F6E96E38ADBC}" name="Column10508" dataDxfId="12194" totalsRowDxfId="12193"/>
    <tableColumn id="10523" xr3:uid="{5EEFEFF5-9250-4AD7-9D54-17146C9B0CE4}" name="Column10509" dataDxfId="12192" totalsRowDxfId="12191"/>
    <tableColumn id="10524" xr3:uid="{0636310A-3258-4DE1-A6D4-E2DF2B2455B0}" name="Column10510" dataDxfId="12190" totalsRowDxfId="12189"/>
    <tableColumn id="10525" xr3:uid="{7C7FC979-F70A-404C-B38A-DF2E1B62FC81}" name="Column10511" dataDxfId="12188" totalsRowDxfId="12187"/>
    <tableColumn id="10526" xr3:uid="{7D329332-AB4B-4AA6-97FE-A5915BEF6C72}" name="Column10512" dataDxfId="12186" totalsRowDxfId="12185"/>
    <tableColumn id="10527" xr3:uid="{EF0E38F2-157B-4C6C-A3C5-10E7DB9BEE32}" name="Column10513" dataDxfId="12184" totalsRowDxfId="12183"/>
    <tableColumn id="10528" xr3:uid="{C8CDEDD3-2855-4B21-BD08-74914505B553}" name="Column10514" dataDxfId="12182" totalsRowDxfId="12181"/>
    <tableColumn id="10529" xr3:uid="{BA2F452C-A824-4B9C-9EB9-2D906075795C}" name="Column10515" dataDxfId="12180" totalsRowDxfId="12179"/>
    <tableColumn id="10530" xr3:uid="{32EFACC1-2BC6-43DA-9D06-85CDA50A25B5}" name="Column10516" dataDxfId="12178" totalsRowDxfId="12177"/>
    <tableColumn id="10531" xr3:uid="{07D386E9-E0AB-4C22-B274-2848AD155AE8}" name="Column10517" dataDxfId="12176" totalsRowDxfId="12175"/>
    <tableColumn id="10532" xr3:uid="{173A8F73-FDCD-4DCE-8C8F-E40419624CE8}" name="Column10518" dataDxfId="12174" totalsRowDxfId="12173"/>
    <tableColumn id="10533" xr3:uid="{D52E9D08-94AD-430C-A599-09A38587FE6A}" name="Column10519" dataDxfId="12172" totalsRowDxfId="12171"/>
    <tableColumn id="10534" xr3:uid="{E0183B3F-B814-4909-95C6-CA5EE6279282}" name="Column10520" dataDxfId="12170" totalsRowDxfId="12169"/>
    <tableColumn id="10535" xr3:uid="{7C374F47-5A71-48DC-B5E4-DFCB2B8F7C00}" name="Column10521" dataDxfId="12168" totalsRowDxfId="12167"/>
    <tableColumn id="10536" xr3:uid="{6685DE29-4DDE-4C15-9A58-45DC7D6427A4}" name="Column10522" dataDxfId="12166" totalsRowDxfId="12165"/>
    <tableColumn id="10537" xr3:uid="{1D041763-2193-4CFD-A777-4CCA628671A2}" name="Column10523" dataDxfId="12164" totalsRowDxfId="12163"/>
    <tableColumn id="10538" xr3:uid="{E4761317-C306-4F29-8BB2-B8F40E9E0BBE}" name="Column10524" dataDxfId="12162" totalsRowDxfId="12161"/>
    <tableColumn id="10539" xr3:uid="{A2728B47-188F-4F19-B01C-8893627E4772}" name="Column10525" dataDxfId="12160" totalsRowDxfId="12159"/>
    <tableColumn id="10540" xr3:uid="{48E502FA-D22A-488A-8BF1-0B8C0629CF8A}" name="Column10526" dataDxfId="12158" totalsRowDxfId="12157"/>
    <tableColumn id="10541" xr3:uid="{C7D78DFD-F43D-4FCC-8704-57641EA6F84F}" name="Column10527" dataDxfId="12156" totalsRowDxfId="12155"/>
    <tableColumn id="10542" xr3:uid="{622DDEFB-95FE-4A82-81DF-1281D5AFBBB8}" name="Column10528" dataDxfId="12154" totalsRowDxfId="12153"/>
    <tableColumn id="10543" xr3:uid="{E469CF8C-5F2B-45FD-8604-7A7ED2E9D8BA}" name="Column10529" dataDxfId="12152" totalsRowDxfId="12151"/>
    <tableColumn id="10544" xr3:uid="{C3A1F98E-7FE2-4747-BF2F-1C5B17356F26}" name="Column10530" dataDxfId="12150" totalsRowDxfId="12149"/>
    <tableColumn id="10545" xr3:uid="{14248481-B37E-48E1-A013-C8A88F4EBD73}" name="Column10531" dataDxfId="12148" totalsRowDxfId="12147"/>
    <tableColumn id="10546" xr3:uid="{52D86B96-FFC4-41E0-953D-F8A7CC4977F5}" name="Column10532" dataDxfId="12146" totalsRowDxfId="12145"/>
    <tableColumn id="10547" xr3:uid="{220F6079-FC5C-4163-BB3C-C1FBDD2768EE}" name="Column10533" dataDxfId="12144" totalsRowDxfId="12143"/>
    <tableColumn id="10548" xr3:uid="{3A2B5C57-0888-4321-AFFF-697FAE30ACA4}" name="Column10534" dataDxfId="12142" totalsRowDxfId="12141"/>
    <tableColumn id="10549" xr3:uid="{17782FE4-3A48-420E-836A-C1037DDC5E46}" name="Column10535" dataDxfId="12140" totalsRowDxfId="12139"/>
    <tableColumn id="10550" xr3:uid="{1B149646-FAF4-4826-AE3F-8E867F50CA81}" name="Column10536" dataDxfId="12138" totalsRowDxfId="12137"/>
    <tableColumn id="10551" xr3:uid="{C716D217-C23F-4D0B-9AA0-5819530F0D3B}" name="Column10537" dataDxfId="12136" totalsRowDxfId="12135"/>
    <tableColumn id="10552" xr3:uid="{78688DA0-3BA1-426A-9DCB-891FF3A11FB3}" name="Column10538" dataDxfId="12134" totalsRowDxfId="12133"/>
    <tableColumn id="10553" xr3:uid="{3AE7410F-2F83-4140-8300-BC0DAA60DFA0}" name="Column10539" dataDxfId="12132" totalsRowDxfId="12131"/>
    <tableColumn id="10554" xr3:uid="{2A4405D5-DE2B-4CFA-A596-2E356E462D61}" name="Column10540" dataDxfId="12130" totalsRowDxfId="12129"/>
    <tableColumn id="10555" xr3:uid="{B602A53C-52E8-4D0A-ABE1-9A3779C54053}" name="Column10541" dataDxfId="12128" totalsRowDxfId="12127"/>
    <tableColumn id="10556" xr3:uid="{B8F4AED7-6AF1-4576-B031-93A0D8592F7E}" name="Column10542" dataDxfId="12126" totalsRowDxfId="12125"/>
    <tableColumn id="10557" xr3:uid="{C342E1DF-714B-418C-B1F9-0EDACF330BDD}" name="Column10543" dataDxfId="12124" totalsRowDxfId="12123"/>
    <tableColumn id="10558" xr3:uid="{45945611-57FD-4E0B-819D-063CB91AF341}" name="Column10544" dataDxfId="12122" totalsRowDxfId="12121"/>
    <tableColumn id="10559" xr3:uid="{B6E123C4-E304-4976-9EC2-4CE640BC4223}" name="Column10545" dataDxfId="12120" totalsRowDxfId="12119"/>
    <tableColumn id="10560" xr3:uid="{45D08102-4C82-406B-900E-6BA347432853}" name="Column10546" dataDxfId="12118" totalsRowDxfId="12117"/>
    <tableColumn id="10561" xr3:uid="{63B3FCCA-DE1E-46C9-873D-769B3822A410}" name="Column10547" dataDxfId="12116" totalsRowDxfId="12115"/>
    <tableColumn id="10562" xr3:uid="{61267215-3783-42A3-B7B6-6C301535657F}" name="Column10548" dataDxfId="12114" totalsRowDxfId="12113"/>
    <tableColumn id="10563" xr3:uid="{1508D227-B276-417C-92B2-B020D9296485}" name="Column10549" dataDxfId="12112" totalsRowDxfId="12111"/>
    <tableColumn id="10564" xr3:uid="{D7C0C731-B9FF-4BF3-96FA-383A6B2A3377}" name="Column10550" dataDxfId="12110" totalsRowDxfId="12109"/>
    <tableColumn id="10565" xr3:uid="{2C2589AF-D9D5-4303-8DE0-783A24385D75}" name="Column10551" dataDxfId="12108" totalsRowDxfId="12107"/>
    <tableColumn id="10566" xr3:uid="{8ADCB58D-88F4-4736-A279-B00DD6431421}" name="Column10552" dataDxfId="12106" totalsRowDxfId="12105"/>
    <tableColumn id="10567" xr3:uid="{A031A4F6-F9CE-4EE4-B9C0-682DB449B8E7}" name="Column10553" dataDxfId="12104" totalsRowDxfId="12103"/>
    <tableColumn id="10568" xr3:uid="{A69AE56A-443E-4043-B9AD-A1C96F729836}" name="Column10554" dataDxfId="12102" totalsRowDxfId="12101"/>
    <tableColumn id="10569" xr3:uid="{951BE60B-A2F0-469B-9B53-BC1008848914}" name="Column10555" dataDxfId="12100" totalsRowDxfId="12099"/>
    <tableColumn id="10570" xr3:uid="{23A8F50D-370E-4CBC-BA70-E1D02AA0B581}" name="Column10556" dataDxfId="12098" totalsRowDxfId="12097"/>
    <tableColumn id="10571" xr3:uid="{1E35DB39-A141-4DDF-B8DF-6217732838A9}" name="Column10557" dataDxfId="12096" totalsRowDxfId="12095"/>
    <tableColumn id="10572" xr3:uid="{2DB00ABF-61E9-47D6-B56C-6763AC6A303F}" name="Column10558" dataDxfId="12094" totalsRowDxfId="12093"/>
    <tableColumn id="10573" xr3:uid="{87214336-DA54-4F1B-845D-B9AA1CBC3CE6}" name="Column10559" dataDxfId="12092" totalsRowDxfId="12091"/>
    <tableColumn id="10574" xr3:uid="{08DB89C2-A815-4E03-BE7F-80B94097863D}" name="Column10560" dataDxfId="12090" totalsRowDxfId="12089"/>
    <tableColumn id="10575" xr3:uid="{B9A6AE0D-7ACA-4FB0-B707-D20735E5B26E}" name="Column10561" dataDxfId="12088" totalsRowDxfId="12087"/>
    <tableColumn id="10576" xr3:uid="{786E90B0-8C32-4770-905E-C129FD0FE0C7}" name="Column10562" dataDxfId="12086" totalsRowDxfId="12085"/>
    <tableColumn id="10577" xr3:uid="{E3825990-1A63-410A-829D-16D137954A83}" name="Column10563" dataDxfId="12084" totalsRowDxfId="12083"/>
    <tableColumn id="10578" xr3:uid="{0FFE36F3-01D6-484F-8BE8-6FCEC104C3C9}" name="Column10564" dataDxfId="12082" totalsRowDxfId="12081"/>
    <tableColumn id="10579" xr3:uid="{E3A0BD9B-BE2A-4337-87DD-9F8B9C3BFA4E}" name="Column10565" dataDxfId="12080" totalsRowDxfId="12079"/>
    <tableColumn id="10580" xr3:uid="{1E90B58D-0210-4AAD-B619-54BE8C910573}" name="Column10566" dataDxfId="12078" totalsRowDxfId="12077"/>
    <tableColumn id="10581" xr3:uid="{EE3EAFD4-EBB7-4DBC-A13C-75400AF7D4A6}" name="Column10567" dataDxfId="12076" totalsRowDxfId="12075"/>
    <tableColumn id="10582" xr3:uid="{2569615F-4FB1-413E-828B-2BDAF9D7C4A8}" name="Column10568" dataDxfId="12074" totalsRowDxfId="12073"/>
    <tableColumn id="10583" xr3:uid="{FB00526E-7CA3-4AB7-B3C0-190BFE78BB06}" name="Column10569" dataDxfId="12072" totalsRowDxfId="12071"/>
    <tableColumn id="10584" xr3:uid="{C9DA73F8-28B1-496A-8EA3-596F30F79D82}" name="Column10570" dataDxfId="12070" totalsRowDxfId="12069"/>
    <tableColumn id="10585" xr3:uid="{6DE69750-1281-473B-B9F8-73F7F8746063}" name="Column10571" dataDxfId="12068" totalsRowDxfId="12067"/>
    <tableColumn id="10586" xr3:uid="{17E35A1E-1ACA-4D76-8B04-72DA82F5D3B2}" name="Column10572" dataDxfId="12066" totalsRowDxfId="12065"/>
    <tableColumn id="10587" xr3:uid="{2FB2131E-3D6E-4DF6-B7A6-D07468DD0227}" name="Column10573" dataDxfId="12064" totalsRowDxfId="12063"/>
    <tableColumn id="10588" xr3:uid="{0FE081E9-5F15-4DF1-B388-C60EDC2D2D4F}" name="Column10574" dataDxfId="12062" totalsRowDxfId="12061"/>
    <tableColumn id="10589" xr3:uid="{4E268E5A-82E4-4082-965A-77B74D5509BC}" name="Column10575" dataDxfId="12060" totalsRowDxfId="12059"/>
    <tableColumn id="10590" xr3:uid="{55A3BFD5-2BEC-432E-92C0-D272A4DA28D5}" name="Column10576" dataDxfId="12058" totalsRowDxfId="12057"/>
    <tableColumn id="10591" xr3:uid="{DC574268-6ECF-4369-A771-92BCA2327670}" name="Column10577" dataDxfId="12056" totalsRowDxfId="12055"/>
    <tableColumn id="10592" xr3:uid="{A25BDBA9-7455-4BBD-9346-871DD2EE74B5}" name="Column10578" dataDxfId="12054" totalsRowDxfId="12053"/>
    <tableColumn id="10593" xr3:uid="{374FE4FA-4E0B-43B8-9535-78DBFA7482B1}" name="Column10579" dataDxfId="12052" totalsRowDxfId="12051"/>
    <tableColumn id="10594" xr3:uid="{B17C989E-2413-4D51-B83F-9EF927E39739}" name="Column10580" dataDxfId="12050" totalsRowDxfId="12049"/>
    <tableColumn id="10595" xr3:uid="{6CC43FA3-9379-4BFE-8F31-87E6E0C5C1D3}" name="Column10581" dataDxfId="12048" totalsRowDxfId="12047"/>
    <tableColumn id="10596" xr3:uid="{211D0D8B-4F32-44F7-9368-19DE40DD77AD}" name="Column10582" dataDxfId="12046" totalsRowDxfId="12045"/>
    <tableColumn id="10597" xr3:uid="{02CD9E9B-B712-458B-8AF1-9A25A735B109}" name="Column10583" dataDxfId="12044" totalsRowDxfId="12043"/>
    <tableColumn id="10598" xr3:uid="{7ADDD865-40A7-432B-885D-62451D4C1C3C}" name="Column10584" dataDxfId="12042" totalsRowDxfId="12041"/>
    <tableColumn id="10599" xr3:uid="{6391B807-2DB7-456E-9C43-349436E4F518}" name="Column10585" dataDxfId="12040" totalsRowDxfId="12039"/>
    <tableColumn id="10600" xr3:uid="{3D85E2FD-B4D7-4508-BFB9-3E799562278E}" name="Column10586" dataDxfId="12038" totalsRowDxfId="12037"/>
    <tableColumn id="10601" xr3:uid="{15EF98CA-EA44-4271-A9ED-F4F427847E05}" name="Column10587" dataDxfId="12036" totalsRowDxfId="12035"/>
    <tableColumn id="10602" xr3:uid="{207BD837-C4E0-4DE3-905D-804DDFA60C31}" name="Column10588" dataDxfId="12034" totalsRowDxfId="12033"/>
    <tableColumn id="10603" xr3:uid="{95775319-3769-4C5D-9632-877B7BD6D4DD}" name="Column10589" dataDxfId="12032" totalsRowDxfId="12031"/>
    <tableColumn id="10604" xr3:uid="{54A1F497-9BCE-4F6D-8927-B7D3EF80D8F6}" name="Column10590" dataDxfId="12030" totalsRowDxfId="12029"/>
    <tableColumn id="10605" xr3:uid="{BBF8DD9B-11C6-4872-BDFF-417F90D71FAB}" name="Column10591" dataDxfId="12028" totalsRowDxfId="12027"/>
    <tableColumn id="10606" xr3:uid="{C1FF98E4-BFCB-43A9-AA01-9199051B651F}" name="Column10592" dataDxfId="12026" totalsRowDxfId="12025"/>
    <tableColumn id="10607" xr3:uid="{08F5E804-B2FD-43FD-A188-20E9516B69F2}" name="Column10593" dataDxfId="12024" totalsRowDxfId="12023"/>
    <tableColumn id="10608" xr3:uid="{B10DA49A-3566-4C6F-A954-A93A8AC80FFB}" name="Column10594" dataDxfId="12022" totalsRowDxfId="12021"/>
    <tableColumn id="10609" xr3:uid="{C4AE444D-D97D-4A12-9367-6A2D8B1D2707}" name="Column10595" dataDxfId="12020" totalsRowDxfId="12019"/>
    <tableColumn id="10610" xr3:uid="{11636CCD-4732-4E77-99E1-779C2ADB42F0}" name="Column10596" dataDxfId="12018" totalsRowDxfId="12017"/>
    <tableColumn id="10611" xr3:uid="{7DCE4B9C-BACF-4B81-B747-8CD300290E8C}" name="Column10597" dataDxfId="12016" totalsRowDxfId="12015"/>
    <tableColumn id="10612" xr3:uid="{C1DEBA3A-93BC-4643-A910-04926D9FD68F}" name="Column10598" dataDxfId="12014" totalsRowDxfId="12013"/>
    <tableColumn id="10613" xr3:uid="{6253B0C2-2D9B-4579-B3B7-6BE20F67EE32}" name="Column10599" dataDxfId="12012" totalsRowDxfId="12011"/>
    <tableColumn id="10614" xr3:uid="{E95744D8-B284-4104-8DE9-ADB7F4A59763}" name="Column10600" dataDxfId="12010" totalsRowDxfId="12009"/>
    <tableColumn id="10615" xr3:uid="{1CA2814B-B816-4B1F-964A-1166F39C207E}" name="Column10601" dataDxfId="12008" totalsRowDxfId="12007"/>
    <tableColumn id="10616" xr3:uid="{C2E3E613-66FC-4B08-B05C-D1C30B10F8F5}" name="Column10602" dataDxfId="12006" totalsRowDxfId="12005"/>
    <tableColumn id="10617" xr3:uid="{4714F607-C908-4BFB-BA57-734AE6D97BEB}" name="Column10603" dataDxfId="12004" totalsRowDxfId="12003"/>
    <tableColumn id="10618" xr3:uid="{54F16259-9785-47A1-BEFB-3B182D1EDF69}" name="Column10604" dataDxfId="12002" totalsRowDxfId="12001"/>
    <tableColumn id="10619" xr3:uid="{E40577AF-4F54-4481-B5FE-618004DB77BD}" name="Column10605" dataDxfId="12000" totalsRowDxfId="11999"/>
    <tableColumn id="10620" xr3:uid="{C9EF442F-6C63-4C6B-BC0E-BF2AA7BDB629}" name="Column10606" dataDxfId="11998" totalsRowDxfId="11997"/>
    <tableColumn id="10621" xr3:uid="{50B6F7B3-C33D-4551-B635-4FF4ECE00D77}" name="Column10607" dataDxfId="11996" totalsRowDxfId="11995"/>
    <tableColumn id="10622" xr3:uid="{7EA16AEE-E215-46CE-B18C-F018E5F5908A}" name="Column10608" dataDxfId="11994" totalsRowDxfId="11993"/>
    <tableColumn id="10623" xr3:uid="{D2660293-BBEF-43E8-9DE1-3ED9140EE414}" name="Column10609" dataDxfId="11992" totalsRowDxfId="11991"/>
    <tableColumn id="10624" xr3:uid="{731012C4-741B-4377-B66A-CF26D3D7B99A}" name="Column10610" dataDxfId="11990" totalsRowDxfId="11989"/>
    <tableColumn id="10625" xr3:uid="{0DD21A71-588A-4E2D-8754-48BB59DC8FDC}" name="Column10611" dataDxfId="11988" totalsRowDxfId="11987"/>
    <tableColumn id="10626" xr3:uid="{DD8FEAE4-3F48-4A7E-ACA5-E63233716BDC}" name="Column10612" dataDxfId="11986" totalsRowDxfId="11985"/>
    <tableColumn id="10627" xr3:uid="{97709E7A-6749-4F2F-94E3-A5B03E530331}" name="Column10613" dataDxfId="11984" totalsRowDxfId="11983"/>
    <tableColumn id="10628" xr3:uid="{5AA3B614-F856-4DA3-9124-A1C45C4FA05E}" name="Column10614" dataDxfId="11982" totalsRowDxfId="11981"/>
    <tableColumn id="10629" xr3:uid="{50D528D4-9D13-4013-B6B8-746FC01F0CD8}" name="Column10615" dataDxfId="11980" totalsRowDxfId="11979"/>
    <tableColumn id="10630" xr3:uid="{693E5622-5DAE-42BC-BA33-8B33417F3DDB}" name="Column10616" dataDxfId="11978" totalsRowDxfId="11977"/>
    <tableColumn id="10631" xr3:uid="{0E9A7FD8-4CBE-4D10-9D64-51B5410A59A8}" name="Column10617" dataDxfId="11976" totalsRowDxfId="11975"/>
    <tableColumn id="10632" xr3:uid="{C6A28F09-E5DB-4679-BCBB-A8038F661602}" name="Column10618" dataDxfId="11974" totalsRowDxfId="11973"/>
    <tableColumn id="10633" xr3:uid="{A6541AFC-EF62-4DB9-9C24-8DECA3F563FD}" name="Column10619" dataDxfId="11972" totalsRowDxfId="11971"/>
    <tableColumn id="10634" xr3:uid="{D8375C0E-D7E5-4DAE-9C09-1640608DFDD1}" name="Column10620" dataDxfId="11970" totalsRowDxfId="11969"/>
    <tableColumn id="10635" xr3:uid="{946522FB-42C6-44FE-8693-C276CE6C9DFD}" name="Column10621" dataDxfId="11968" totalsRowDxfId="11967"/>
    <tableColumn id="10636" xr3:uid="{5FEF2094-37AB-4409-A89F-5B8E35E17F20}" name="Column10622" dataDxfId="11966" totalsRowDxfId="11965"/>
    <tableColumn id="10637" xr3:uid="{390AB104-1516-40A2-B1FD-F3511ADCE903}" name="Column10623" dataDxfId="11964" totalsRowDxfId="11963"/>
    <tableColumn id="10638" xr3:uid="{2BD35645-5AFA-4AF6-906F-6426D30BEE26}" name="Column10624" dataDxfId="11962" totalsRowDxfId="11961"/>
    <tableColumn id="10639" xr3:uid="{BD06E55A-E174-459D-BE3B-7106EB0DAA06}" name="Column10625" dataDxfId="11960" totalsRowDxfId="11959"/>
    <tableColumn id="10640" xr3:uid="{40B8E465-9084-4F97-B662-EF66A786C7F9}" name="Column10626" dataDxfId="11958" totalsRowDxfId="11957"/>
    <tableColumn id="10641" xr3:uid="{F7811F60-261C-42C8-BB17-201D490A75C3}" name="Column10627" dataDxfId="11956" totalsRowDxfId="11955"/>
    <tableColumn id="10642" xr3:uid="{7323C590-EEFA-4E80-A1FA-2F5E7D6C519F}" name="Column10628" dataDxfId="11954" totalsRowDxfId="11953"/>
    <tableColumn id="10643" xr3:uid="{1A33C8FB-D93F-4EE8-9716-F79A54A619AD}" name="Column10629" dataDxfId="11952" totalsRowDxfId="11951"/>
    <tableColumn id="10644" xr3:uid="{5072EE4B-2ACA-4DC1-B406-17FAF7334C29}" name="Column10630" dataDxfId="11950" totalsRowDxfId="11949"/>
    <tableColumn id="10645" xr3:uid="{5BD26698-7E58-414D-AEDF-6B9980B38002}" name="Column10631" dataDxfId="11948" totalsRowDxfId="11947"/>
    <tableColumn id="10646" xr3:uid="{A12E914E-FE3B-469E-883F-FED4A6D9F39F}" name="Column10632" dataDxfId="11946" totalsRowDxfId="11945"/>
    <tableColumn id="10647" xr3:uid="{B781112C-F65B-45E0-B2B4-C85D717D658C}" name="Column10633" dataDxfId="11944" totalsRowDxfId="11943"/>
    <tableColumn id="10648" xr3:uid="{E8DCBE34-334E-4346-94BC-001D05CB640F}" name="Column10634" dataDxfId="11942" totalsRowDxfId="11941"/>
    <tableColumn id="10649" xr3:uid="{7B1E8D5E-261E-4DDB-9491-FFB1892E6B95}" name="Column10635" dataDxfId="11940" totalsRowDxfId="11939"/>
    <tableColumn id="10650" xr3:uid="{3D368A99-2DBF-4370-8747-2645ADA67BD9}" name="Column10636" dataDxfId="11938" totalsRowDxfId="11937"/>
    <tableColumn id="10651" xr3:uid="{C8957A79-4634-4775-91A9-F1C7DD75C05A}" name="Column10637" dataDxfId="11936" totalsRowDxfId="11935"/>
    <tableColumn id="10652" xr3:uid="{585B4478-5FA0-4C42-B4C7-7023DA602CA6}" name="Column10638" dataDxfId="11934" totalsRowDxfId="11933"/>
    <tableColumn id="10653" xr3:uid="{48D5D8AF-A573-42C7-8DCA-093C5837E5D1}" name="Column10639" dataDxfId="11932" totalsRowDxfId="11931"/>
    <tableColumn id="10654" xr3:uid="{A716F9D7-7F7A-4256-B5DD-07536BDC286D}" name="Column10640" dataDxfId="11930" totalsRowDxfId="11929"/>
    <tableColumn id="10655" xr3:uid="{1EB7ED6F-4D10-45DB-9406-7A024B5C4930}" name="Column10641" dataDxfId="11928" totalsRowDxfId="11927"/>
    <tableColumn id="10656" xr3:uid="{6C992E4C-3407-4971-93C5-9FB4E0A3819D}" name="Column10642" dataDxfId="11926" totalsRowDxfId="11925"/>
    <tableColumn id="10657" xr3:uid="{D6634702-C010-43B4-B31C-A1058A3E8834}" name="Column10643" dataDxfId="11924" totalsRowDxfId="11923"/>
    <tableColumn id="10658" xr3:uid="{0725CFB8-68D9-4F6E-9F16-09A25B99C494}" name="Column10644" dataDxfId="11922" totalsRowDxfId="11921"/>
    <tableColumn id="10659" xr3:uid="{98C5944D-E872-4B50-AE98-BEB99DB546BF}" name="Column10645" dataDxfId="11920" totalsRowDxfId="11919"/>
    <tableColumn id="10660" xr3:uid="{B5FC703D-8650-46BE-A72C-838646633F6C}" name="Column10646" dataDxfId="11918" totalsRowDxfId="11917"/>
    <tableColumn id="10661" xr3:uid="{11FA7D37-D373-407A-8AF8-B0EC43CD0D92}" name="Column10647" dataDxfId="11916" totalsRowDxfId="11915"/>
    <tableColumn id="10662" xr3:uid="{9083BC36-EFE0-4669-91BD-3F8CE6852965}" name="Column10648" dataDxfId="11914" totalsRowDxfId="11913"/>
    <tableColumn id="10663" xr3:uid="{3A43CAD2-2543-4AEC-B6AF-BDC72949B09E}" name="Column10649" dataDxfId="11912" totalsRowDxfId="11911"/>
    <tableColumn id="10664" xr3:uid="{ECBD76B0-9B65-46FD-BDEE-2E7EC4E60B10}" name="Column10650" dataDxfId="11910" totalsRowDxfId="11909"/>
    <tableColumn id="10665" xr3:uid="{C592751D-444D-4A24-86B0-4575597F1767}" name="Column10651" dataDxfId="11908" totalsRowDxfId="11907"/>
    <tableColumn id="10666" xr3:uid="{647C12DF-05EA-4CD1-B4C5-7E0D96E3629E}" name="Column10652" dataDxfId="11906" totalsRowDxfId="11905"/>
    <tableColumn id="10667" xr3:uid="{F77B25AA-6546-4F6B-BE19-4B1585BF081B}" name="Column10653" dataDxfId="11904" totalsRowDxfId="11903"/>
    <tableColumn id="10668" xr3:uid="{B1F3A703-6F82-4155-8D48-7A9AB405B76B}" name="Column10654" dataDxfId="11902" totalsRowDxfId="11901"/>
    <tableColumn id="10669" xr3:uid="{342EE260-675E-416F-8BDA-BD4226B50304}" name="Column10655" dataDxfId="11900" totalsRowDxfId="11899"/>
    <tableColumn id="10670" xr3:uid="{3EB8022F-2A82-4AF4-8ACD-834AC58037B1}" name="Column10656" dataDxfId="11898" totalsRowDxfId="11897"/>
    <tableColumn id="10671" xr3:uid="{01BE4067-2F88-4012-B284-427326722AF4}" name="Column10657" dataDxfId="11896" totalsRowDxfId="11895"/>
    <tableColumn id="10672" xr3:uid="{DB0F24AC-D39B-4377-9A35-130286A46050}" name="Column10658" dataDxfId="11894" totalsRowDxfId="11893"/>
    <tableColumn id="10673" xr3:uid="{6B488D95-89FE-49A2-BB1F-DC15A1F3158D}" name="Column10659" dataDxfId="11892" totalsRowDxfId="11891"/>
    <tableColumn id="10674" xr3:uid="{60512FC4-9D94-4CA5-BF34-A06549A3600B}" name="Column10660" dataDxfId="11890" totalsRowDxfId="11889"/>
    <tableColumn id="10675" xr3:uid="{10529452-306B-4671-9033-F56DF9C69543}" name="Column10661" dataDxfId="11888" totalsRowDxfId="11887"/>
    <tableColumn id="10676" xr3:uid="{3308D54C-2D23-4C48-ABD1-FB26E9186C01}" name="Column10662" dataDxfId="11886" totalsRowDxfId="11885"/>
    <tableColumn id="10677" xr3:uid="{FECF7CC6-B0F1-4A55-9F69-89381F46F413}" name="Column10663" dataDxfId="11884" totalsRowDxfId="11883"/>
    <tableColumn id="10678" xr3:uid="{838D8B89-887F-46DF-9070-F7865B2AD10D}" name="Column10664" dataDxfId="11882" totalsRowDxfId="11881"/>
    <tableColumn id="10679" xr3:uid="{F1665B29-7D31-4255-A645-51932DF15C3A}" name="Column10665" dataDxfId="11880" totalsRowDxfId="11879"/>
    <tableColumn id="10680" xr3:uid="{96D79E0C-8223-4F32-B77F-4C59D0E92AC4}" name="Column10666" dataDxfId="11878" totalsRowDxfId="11877"/>
    <tableColumn id="10681" xr3:uid="{46BE9AC0-8472-4E99-A7A1-4F63711FB68D}" name="Column10667" dataDxfId="11876" totalsRowDxfId="11875"/>
    <tableColumn id="10682" xr3:uid="{44E73CC5-C61E-4D42-BD93-70AB11A973BA}" name="Column10668" dataDxfId="11874" totalsRowDxfId="11873"/>
    <tableColumn id="10683" xr3:uid="{5DB778AD-3EA6-4EC8-BA3C-78F1A993F0F1}" name="Column10669" dataDxfId="11872" totalsRowDxfId="11871"/>
    <tableColumn id="10684" xr3:uid="{25331E9A-499C-4654-A504-18176910C7D0}" name="Column10670" dataDxfId="11870" totalsRowDxfId="11869"/>
    <tableColumn id="10685" xr3:uid="{CD8A5F1D-C3F2-47C6-AC02-D6E8A47AEB2F}" name="Column10671" dataDxfId="11868" totalsRowDxfId="11867"/>
    <tableColumn id="10686" xr3:uid="{B7EED077-98F3-4B20-8882-F4D900E7E70A}" name="Column10672" dataDxfId="11866" totalsRowDxfId="11865"/>
    <tableColumn id="10687" xr3:uid="{FD1A5E54-C580-415E-9717-74EE5604241B}" name="Column10673" dataDxfId="11864" totalsRowDxfId="11863"/>
    <tableColumn id="10688" xr3:uid="{C38021C0-AFB1-4324-B292-E4C7C192D535}" name="Column10674" dataDxfId="11862" totalsRowDxfId="11861"/>
    <tableColumn id="10689" xr3:uid="{A3A9C9DD-6689-4296-ADC3-B86156B72DCE}" name="Column10675" dataDxfId="11860" totalsRowDxfId="11859"/>
    <tableColumn id="10690" xr3:uid="{8DD61518-1EAE-46FD-ADA2-B70AB545FE38}" name="Column10676" dataDxfId="11858" totalsRowDxfId="11857"/>
    <tableColumn id="10691" xr3:uid="{765B66F7-DC10-4FB8-B8A0-A33FBE44CAB5}" name="Column10677" dataDxfId="11856" totalsRowDxfId="11855"/>
    <tableColumn id="10692" xr3:uid="{063B2DCC-0E0C-45A7-9585-01FDF8416248}" name="Column10678" dataDxfId="11854" totalsRowDxfId="11853"/>
    <tableColumn id="10693" xr3:uid="{80335BE8-E54D-41BD-A514-CDAE272218D5}" name="Column10679" dataDxfId="11852" totalsRowDxfId="11851"/>
    <tableColumn id="10694" xr3:uid="{96166479-C9FB-417D-B11A-E00A5527CB1A}" name="Column10680" dataDxfId="11850" totalsRowDxfId="11849"/>
    <tableColumn id="10695" xr3:uid="{5BAB9B19-2BD5-4A88-8934-95E73261C172}" name="Column10681" dataDxfId="11848" totalsRowDxfId="11847"/>
    <tableColumn id="10696" xr3:uid="{2A48D8E0-E53E-4C9E-BF5D-FF0605E7E22A}" name="Column10682" dataDxfId="11846" totalsRowDxfId="11845"/>
    <tableColumn id="10697" xr3:uid="{16F8832F-5DC3-4B34-9B3B-EF9F45D60D5F}" name="Column10683" dataDxfId="11844" totalsRowDxfId="11843"/>
    <tableColumn id="10698" xr3:uid="{A4607973-87FE-4F49-9C7C-5CB7140FB9A8}" name="Column10684" dataDxfId="11842" totalsRowDxfId="11841"/>
    <tableColumn id="10699" xr3:uid="{F3006654-BC20-4621-9477-AA8E82F74F04}" name="Column10685" dataDxfId="11840" totalsRowDxfId="11839"/>
    <tableColumn id="10700" xr3:uid="{CBF2E0E2-B6D6-4CFF-85D5-2289E39AD494}" name="Column10686" dataDxfId="11838" totalsRowDxfId="11837"/>
    <tableColumn id="10701" xr3:uid="{067CC2F2-A39C-4543-8EE1-18E3D19E6424}" name="Column10687" dataDxfId="11836" totalsRowDxfId="11835"/>
    <tableColumn id="10702" xr3:uid="{811FBDDC-D41E-4F67-8BB0-0CEBE4F80B48}" name="Column10688" dataDxfId="11834" totalsRowDxfId="11833"/>
    <tableColumn id="10703" xr3:uid="{CBE8563F-7342-4E8C-BE36-20C11D4E6A11}" name="Column10689" dataDxfId="11832" totalsRowDxfId="11831"/>
    <tableColumn id="10704" xr3:uid="{15D85D58-E88A-4FB7-8ACA-0C727A29D2E1}" name="Column10690" dataDxfId="11830" totalsRowDxfId="11829"/>
    <tableColumn id="10705" xr3:uid="{44AFE966-0AF7-45C6-BC43-4562151976EA}" name="Column10691" dataDxfId="11828" totalsRowDxfId="11827"/>
    <tableColumn id="10706" xr3:uid="{8F3A84A2-B046-4C30-8DED-8C7E2C2B6215}" name="Column10692" dataDxfId="11826" totalsRowDxfId="11825"/>
    <tableColumn id="10707" xr3:uid="{7DE41F9F-2E82-421F-B0F8-3D2BE59693A7}" name="Column10693" dataDxfId="11824" totalsRowDxfId="11823"/>
    <tableColumn id="10708" xr3:uid="{F513AD3C-C81E-423C-BBBE-7049A39BF980}" name="Column10694" dataDxfId="11822" totalsRowDxfId="11821"/>
    <tableColumn id="10709" xr3:uid="{307FF4CD-F0AF-46AD-BDCF-5FC8A17FD49C}" name="Column10695" dataDxfId="11820" totalsRowDxfId="11819"/>
    <tableColumn id="10710" xr3:uid="{8BE77653-23D3-449C-A19E-208FB601BD59}" name="Column10696" dataDxfId="11818" totalsRowDxfId="11817"/>
    <tableColumn id="10711" xr3:uid="{B0792AC3-927E-441F-ABA4-04841F43257B}" name="Column10697" dataDxfId="11816" totalsRowDxfId="11815"/>
    <tableColumn id="10712" xr3:uid="{ED7B1226-82D9-4ABE-957F-5DAD4302B8AE}" name="Column10698" dataDxfId="11814" totalsRowDxfId="11813"/>
    <tableColumn id="10713" xr3:uid="{D5488E8E-6399-411B-9E5A-BB4E27217448}" name="Column10699" dataDxfId="11812" totalsRowDxfId="11811"/>
    <tableColumn id="10714" xr3:uid="{99FA218D-E92E-4169-908F-B609599CAFBE}" name="Column10700" dataDxfId="11810" totalsRowDxfId="11809"/>
    <tableColumn id="10715" xr3:uid="{391AD7E9-3291-4011-9B62-F8A9CF18B9C9}" name="Column10701" dataDxfId="11808" totalsRowDxfId="11807"/>
    <tableColumn id="10716" xr3:uid="{6D531849-44EC-4AE3-BF93-9301F885501D}" name="Column10702" dataDxfId="11806" totalsRowDxfId="11805"/>
    <tableColumn id="10717" xr3:uid="{CCFC96C4-5228-449E-A1D6-13F539B86A80}" name="Column10703" dataDxfId="11804" totalsRowDxfId="11803"/>
    <tableColumn id="10718" xr3:uid="{D2AC776C-9106-4CC4-BBAC-8FC0F6190D15}" name="Column10704" dataDxfId="11802" totalsRowDxfId="11801"/>
    <tableColumn id="10719" xr3:uid="{7A9F3712-0D88-423C-B7BF-8CDFB4E4E810}" name="Column10705" dataDxfId="11800" totalsRowDxfId="11799"/>
    <tableColumn id="10720" xr3:uid="{E5329923-5965-4233-B78B-498923AD916E}" name="Column10706" dataDxfId="11798" totalsRowDxfId="11797"/>
    <tableColumn id="10721" xr3:uid="{AEDB6F76-D212-4AED-8C49-3701740962E1}" name="Column10707" dataDxfId="11796" totalsRowDxfId="11795"/>
    <tableColumn id="10722" xr3:uid="{008CB05A-4E76-4145-8760-56E6E3F4E08F}" name="Column10708" dataDxfId="11794" totalsRowDxfId="11793"/>
    <tableColumn id="10723" xr3:uid="{26683CBB-D284-4FFF-81A1-BE7C2AB9348E}" name="Column10709" dataDxfId="11792" totalsRowDxfId="11791"/>
    <tableColumn id="10724" xr3:uid="{C85C9270-0B58-408D-B054-ABE55AE198F9}" name="Column10710" dataDxfId="11790" totalsRowDxfId="11789"/>
    <tableColumn id="10725" xr3:uid="{5B076280-E0AD-4732-A107-1B2E46873C25}" name="Column10711" dataDxfId="11788" totalsRowDxfId="11787"/>
    <tableColumn id="10726" xr3:uid="{FF6915B9-D5DB-47CD-BDAC-39E2B9BFDA96}" name="Column10712" dataDxfId="11786" totalsRowDxfId="11785"/>
    <tableColumn id="10727" xr3:uid="{BE245A70-D160-4017-9AA6-8A547D84136D}" name="Column10713" dataDxfId="11784" totalsRowDxfId="11783"/>
    <tableColumn id="10728" xr3:uid="{F40FD0E7-68F2-40A6-903E-5C4CF9239F4C}" name="Column10714" dataDxfId="11782" totalsRowDxfId="11781"/>
    <tableColumn id="10729" xr3:uid="{23BD8583-1222-474D-B3F5-02DC6AC6B658}" name="Column10715" dataDxfId="11780" totalsRowDxfId="11779"/>
    <tableColumn id="10730" xr3:uid="{3755AF81-EC07-4141-B421-5C58638F4806}" name="Column10716" dataDxfId="11778" totalsRowDxfId="11777"/>
    <tableColumn id="10731" xr3:uid="{14DAAEAB-6BC1-4032-BF4E-B0E12AA33C6E}" name="Column10717" dataDxfId="11776" totalsRowDxfId="11775"/>
    <tableColumn id="10732" xr3:uid="{544C0D83-0B9B-4F26-B2BE-88FDB7FF1ABC}" name="Column10718" dataDxfId="11774" totalsRowDxfId="11773"/>
    <tableColumn id="10733" xr3:uid="{050A3737-EBD4-40ED-A851-42A9F6CDCC22}" name="Column10719" dataDxfId="11772" totalsRowDxfId="11771"/>
    <tableColumn id="10734" xr3:uid="{0DD29E8B-1FA3-4441-BA37-6590E762AD07}" name="Column10720" dataDxfId="11770" totalsRowDxfId="11769"/>
    <tableColumn id="10735" xr3:uid="{64F2D681-DAB2-4E75-A7CD-6361FB3C758C}" name="Column10721" dataDxfId="11768" totalsRowDxfId="11767"/>
    <tableColumn id="10736" xr3:uid="{36EA1EBA-058F-442F-B52F-7F6EB3A8A5D8}" name="Column10722" dataDxfId="11766" totalsRowDxfId="11765"/>
    <tableColumn id="10737" xr3:uid="{80D17728-0CD1-43FD-AE72-2CEAB50B0D94}" name="Column10723" dataDxfId="11764" totalsRowDxfId="11763"/>
    <tableColumn id="10738" xr3:uid="{18337FE2-86BF-4272-9BB9-55173BF402F8}" name="Column10724" dataDxfId="11762" totalsRowDxfId="11761"/>
    <tableColumn id="10739" xr3:uid="{815CD3EF-C80B-42B0-A231-3735EE7B877A}" name="Column10725" dataDxfId="11760" totalsRowDxfId="11759"/>
    <tableColumn id="10740" xr3:uid="{8876A31A-8976-43DB-8F0E-E2A3F7934442}" name="Column10726" dataDxfId="11758" totalsRowDxfId="11757"/>
    <tableColumn id="10741" xr3:uid="{D1E3529D-A0DB-4069-BC76-A3C3E1CA73A5}" name="Column10727" dataDxfId="11756" totalsRowDxfId="11755"/>
    <tableColumn id="10742" xr3:uid="{B6C053B9-F89E-4F76-876A-11A44BF443AB}" name="Column10728" dataDxfId="11754" totalsRowDxfId="11753"/>
    <tableColumn id="10743" xr3:uid="{535863FB-3FFB-4758-A25A-B38FC383923F}" name="Column10729" dataDxfId="11752" totalsRowDxfId="11751"/>
    <tableColumn id="10744" xr3:uid="{D5B38DE1-2E56-4FA6-A306-333BC16B6FA0}" name="Column10730" dataDxfId="11750" totalsRowDxfId="11749"/>
    <tableColumn id="10745" xr3:uid="{333A2F42-98D1-4612-83EB-32ACBECA75AC}" name="Column10731" dataDxfId="11748" totalsRowDxfId="11747"/>
    <tableColumn id="10746" xr3:uid="{63627B08-FB43-4299-BF4D-861433777A7D}" name="Column10732" dataDxfId="11746" totalsRowDxfId="11745"/>
    <tableColumn id="10747" xr3:uid="{7DD7D985-4905-4CB5-AA40-025219780144}" name="Column10733" dataDxfId="11744" totalsRowDxfId="11743"/>
    <tableColumn id="10748" xr3:uid="{2A5E66AE-6931-40FC-AF0A-1739EC2BEBCF}" name="Column10734" dataDxfId="11742" totalsRowDxfId="11741"/>
    <tableColumn id="10749" xr3:uid="{973D5F29-F3C9-470A-B3E5-CEE0F635E054}" name="Column10735" dataDxfId="11740" totalsRowDxfId="11739"/>
    <tableColumn id="10750" xr3:uid="{C4D567E8-95BB-4880-ADB3-2E3A92EAFA59}" name="Column10736" dataDxfId="11738" totalsRowDxfId="11737"/>
    <tableColumn id="10751" xr3:uid="{8B92191B-BE94-4A11-91D0-29DB5C670BA6}" name="Column10737" dataDxfId="11736" totalsRowDxfId="11735"/>
    <tableColumn id="10752" xr3:uid="{318E8974-E6F8-48B4-B36D-EA6B3713426A}" name="Column10738" dataDxfId="11734" totalsRowDxfId="11733"/>
    <tableColumn id="10753" xr3:uid="{13F9F045-F4C9-4A72-8294-1ED54B6FFCE6}" name="Column10739" dataDxfId="11732" totalsRowDxfId="11731"/>
    <tableColumn id="10754" xr3:uid="{A7D284CC-6B67-44BE-A5F9-676D62F06BDF}" name="Column10740" dataDxfId="11730" totalsRowDxfId="11729"/>
    <tableColumn id="10755" xr3:uid="{384A8986-596E-4660-87B7-4EE193CB2281}" name="Column10741" dataDxfId="11728" totalsRowDxfId="11727"/>
    <tableColumn id="10756" xr3:uid="{4D9E14DA-0CD8-40CD-B4F9-69CAA001098E}" name="Column10742" dataDxfId="11726" totalsRowDxfId="11725"/>
    <tableColumn id="10757" xr3:uid="{40445AB9-2FE6-4FE9-BDAE-24276C69D1E3}" name="Column10743" dataDxfId="11724" totalsRowDxfId="11723"/>
    <tableColumn id="10758" xr3:uid="{940EC0E1-6BC5-4852-BFD8-5656BA0593B5}" name="Column10744" dataDxfId="11722" totalsRowDxfId="11721"/>
    <tableColumn id="10759" xr3:uid="{ADAB0ACB-D462-45F7-8432-8BFA0F08D934}" name="Column10745" dataDxfId="11720" totalsRowDxfId="11719"/>
    <tableColumn id="10760" xr3:uid="{3074C221-2A4F-45F7-BDB6-6AEA7DAD87FB}" name="Column10746" dataDxfId="11718" totalsRowDxfId="11717"/>
    <tableColumn id="10761" xr3:uid="{E1C7FE08-0829-441F-A935-A29D3FB8C444}" name="Column10747" dataDxfId="11716" totalsRowDxfId="11715"/>
    <tableColumn id="10762" xr3:uid="{04827A33-D9CC-4418-B32F-501F6D82B4FA}" name="Column10748" dataDxfId="11714" totalsRowDxfId="11713"/>
    <tableColumn id="10763" xr3:uid="{C3C2EDCE-EDB8-46B8-80E4-D94565440E0D}" name="Column10749" dataDxfId="11712" totalsRowDxfId="11711"/>
    <tableColumn id="10764" xr3:uid="{4EDDF26C-BF75-4574-942F-4B21201F30C2}" name="Column10750" dataDxfId="11710" totalsRowDxfId="11709"/>
    <tableColumn id="10765" xr3:uid="{D041F4D2-28EB-49D9-84EC-C9123867FF1F}" name="Column10751" dataDxfId="11708" totalsRowDxfId="11707"/>
    <tableColumn id="10766" xr3:uid="{BD833BF5-5FB2-4A2A-80C3-46BFF12CDD08}" name="Column10752" dataDxfId="11706" totalsRowDxfId="11705"/>
    <tableColumn id="10767" xr3:uid="{378B7C87-8834-47B3-8F9E-4D2BCD527326}" name="Column10753" dataDxfId="11704" totalsRowDxfId="11703"/>
    <tableColumn id="10768" xr3:uid="{9C45F032-2D8F-4C42-B44E-362FAC02C4DD}" name="Column10754" dataDxfId="11702" totalsRowDxfId="11701"/>
    <tableColumn id="10769" xr3:uid="{99C80C2C-4C85-42F0-BD9A-715FE41EA965}" name="Column10755" dataDxfId="11700" totalsRowDxfId="11699"/>
    <tableColumn id="10770" xr3:uid="{089B9918-5442-46FC-87DA-9A43D6D51FB5}" name="Column10756" dataDxfId="11698" totalsRowDxfId="11697"/>
    <tableColumn id="10771" xr3:uid="{3F5DAB49-8B37-45CE-BB14-C0DBCB68E33D}" name="Column10757" dataDxfId="11696" totalsRowDxfId="11695"/>
    <tableColumn id="10772" xr3:uid="{6E36AFED-E06C-4E97-BC3B-F93142219848}" name="Column10758" dataDxfId="11694" totalsRowDxfId="11693"/>
    <tableColumn id="10773" xr3:uid="{592ACF2B-3E4C-42D4-B71D-E088DC300B7E}" name="Column10759" dataDxfId="11692" totalsRowDxfId="11691"/>
    <tableColumn id="10774" xr3:uid="{912BD864-B127-4151-BE0A-6161EBD2CA4D}" name="Column10760" dataDxfId="11690" totalsRowDxfId="11689"/>
    <tableColumn id="10775" xr3:uid="{D068C682-C5DB-4969-8EC2-2277357C163E}" name="Column10761" dataDxfId="11688" totalsRowDxfId="11687"/>
    <tableColumn id="10776" xr3:uid="{E7AC4653-AE57-4BF7-9263-7AC19A44545F}" name="Column10762" dataDxfId="11686" totalsRowDxfId="11685"/>
    <tableColumn id="10777" xr3:uid="{CB3F1563-2659-43EA-BCD2-30110F475B38}" name="Column10763" dataDxfId="11684" totalsRowDxfId="11683"/>
    <tableColumn id="10778" xr3:uid="{947D2B33-B579-427A-BD54-311F7D866C8A}" name="Column10764" dataDxfId="11682" totalsRowDxfId="11681"/>
    <tableColumn id="10779" xr3:uid="{4BF8307F-EE06-42BF-A484-6F91B129F977}" name="Column10765" dataDxfId="11680" totalsRowDxfId="11679"/>
    <tableColumn id="10780" xr3:uid="{1C851A96-6635-4E6D-9223-1E22AF4A0014}" name="Column10766" dataDxfId="11678" totalsRowDxfId="11677"/>
    <tableColumn id="10781" xr3:uid="{288C70F6-C0EF-4BF2-8EC9-34DD16D8EF6A}" name="Column10767" dataDxfId="11676" totalsRowDxfId="11675"/>
    <tableColumn id="10782" xr3:uid="{0FC1CBF1-5B70-474A-83AA-040FDDF04635}" name="Column10768" dataDxfId="11674" totalsRowDxfId="11673"/>
    <tableColumn id="10783" xr3:uid="{01A3BF60-C204-489F-A618-C12DDD5A561B}" name="Column10769" dataDxfId="11672" totalsRowDxfId="11671"/>
    <tableColumn id="10784" xr3:uid="{EFBFBD2E-14BD-4110-BDF2-1809C4A1944C}" name="Column10770" dataDxfId="11670" totalsRowDxfId="11669"/>
    <tableColumn id="10785" xr3:uid="{519FACAC-A426-4ADD-8490-0585FDE5174C}" name="Column10771" dataDxfId="11668" totalsRowDxfId="11667"/>
    <tableColumn id="10786" xr3:uid="{50659BC9-A22A-4310-902A-DC9C4D4FEAE8}" name="Column10772" dataDxfId="11666" totalsRowDxfId="11665"/>
    <tableColumn id="10787" xr3:uid="{5221EBE8-B593-468E-BF90-45289976F6EE}" name="Column10773" dataDxfId="11664" totalsRowDxfId="11663"/>
    <tableColumn id="10788" xr3:uid="{8D9BDB15-A377-42B3-B55C-BD61D139E272}" name="Column10774" dataDxfId="11662" totalsRowDxfId="11661"/>
    <tableColumn id="10789" xr3:uid="{980DBFDD-CD67-49FA-9F4E-EB1C2D8E5132}" name="Column10775" dataDxfId="11660" totalsRowDxfId="11659"/>
    <tableColumn id="10790" xr3:uid="{6B14262E-F077-427A-9AF7-9C758481D729}" name="Column10776" dataDxfId="11658" totalsRowDxfId="11657"/>
    <tableColumn id="10791" xr3:uid="{4FA6B844-467D-4C47-B49E-132D7C570872}" name="Column10777" dataDxfId="11656" totalsRowDxfId="11655"/>
    <tableColumn id="10792" xr3:uid="{AE0607F4-2142-4F02-BE4D-C0F8B507EF39}" name="Column10778" dataDxfId="11654" totalsRowDxfId="11653"/>
    <tableColumn id="10793" xr3:uid="{0DB65308-BE4E-431A-BC02-EBCF5FD68A84}" name="Column10779" dataDxfId="11652" totalsRowDxfId="11651"/>
    <tableColumn id="10794" xr3:uid="{99614B97-0EA9-43C3-A554-1F2C39F13908}" name="Column10780" dataDxfId="11650" totalsRowDxfId="11649"/>
    <tableColumn id="10795" xr3:uid="{6D4A43E2-BB24-4762-A92E-13DB4FF09D19}" name="Column10781" dataDxfId="11648" totalsRowDxfId="11647"/>
    <tableColumn id="10796" xr3:uid="{86B2372E-5672-4EC7-B4E4-12C497BF0E7C}" name="Column10782" dataDxfId="11646" totalsRowDxfId="11645"/>
    <tableColumn id="10797" xr3:uid="{2079CBEE-3730-4483-AC60-29D64A38A6CB}" name="Column10783" dataDxfId="11644" totalsRowDxfId="11643"/>
    <tableColumn id="10798" xr3:uid="{AD44442C-FA45-42E1-A17A-F17BAB00028C}" name="Column10784" dataDxfId="11642" totalsRowDxfId="11641"/>
    <tableColumn id="10799" xr3:uid="{FD0EE26A-2CEE-4C5B-AA15-BC2DC9348B9A}" name="Column10785" dataDxfId="11640" totalsRowDxfId="11639"/>
    <tableColumn id="10800" xr3:uid="{249C3A74-5493-4067-9FE9-DF8A58B298ED}" name="Column10786" dataDxfId="11638" totalsRowDxfId="11637"/>
    <tableColumn id="10801" xr3:uid="{56B082E0-0122-44E5-9130-C2204D1E99AB}" name="Column10787" dataDxfId="11636" totalsRowDxfId="11635"/>
    <tableColumn id="10802" xr3:uid="{082F91C6-35B0-498D-9CBB-3528E4572AC3}" name="Column10788" dataDxfId="11634" totalsRowDxfId="11633"/>
    <tableColumn id="10803" xr3:uid="{C8C074C0-C4CB-47ED-A1B7-7ACBAF6DB6B9}" name="Column10789" dataDxfId="11632" totalsRowDxfId="11631"/>
    <tableColumn id="10804" xr3:uid="{B6BF3897-B131-4D55-8945-951E0051FD95}" name="Column10790" dataDxfId="11630" totalsRowDxfId="11629"/>
    <tableColumn id="10805" xr3:uid="{7929FCA7-FB8C-4C7A-8586-44D9F8B34CAD}" name="Column10791" dataDxfId="11628" totalsRowDxfId="11627"/>
    <tableColumn id="10806" xr3:uid="{8F5F00FC-F5F1-422E-9145-A3388705C717}" name="Column10792" dataDxfId="11626" totalsRowDxfId="11625"/>
    <tableColumn id="10807" xr3:uid="{C31B8275-E49E-4025-871D-F98413A02661}" name="Column10793" dataDxfId="11624" totalsRowDxfId="11623"/>
    <tableColumn id="10808" xr3:uid="{FD9546B6-2122-4D38-9D9D-D7E6CCF1FB89}" name="Column10794" dataDxfId="11622" totalsRowDxfId="11621"/>
    <tableColumn id="10809" xr3:uid="{66D6A01A-6589-4ECB-91AB-F6E98B69E39D}" name="Column10795" dataDxfId="11620" totalsRowDxfId="11619"/>
    <tableColumn id="10810" xr3:uid="{F754467D-9D94-4D09-8829-4BB795AE7BAF}" name="Column10796" dataDxfId="11618" totalsRowDxfId="11617"/>
    <tableColumn id="10811" xr3:uid="{410C91E5-AF86-4F91-BE86-65119C2B9A58}" name="Column10797" dataDxfId="11616" totalsRowDxfId="11615"/>
    <tableColumn id="10812" xr3:uid="{6E2F435D-4E0E-4991-93DC-2944B6FA5706}" name="Column10798" dataDxfId="11614" totalsRowDxfId="11613"/>
    <tableColumn id="10813" xr3:uid="{0876DB4C-52DE-43C1-BC41-EE6CE6CEC691}" name="Column10799" dataDxfId="11612" totalsRowDxfId="11611"/>
    <tableColumn id="10814" xr3:uid="{CBCF0D49-A6E9-4299-930E-B14B74E90791}" name="Column10800" dataDxfId="11610" totalsRowDxfId="11609"/>
    <tableColumn id="10815" xr3:uid="{7B67DAD3-3312-4FB1-8123-C02B9A30EB71}" name="Column10801" dataDxfId="11608" totalsRowDxfId="11607"/>
    <tableColumn id="10816" xr3:uid="{12C3581A-D977-4C55-9FFD-5519A54871E9}" name="Column10802" dataDxfId="11606" totalsRowDxfId="11605"/>
    <tableColumn id="10817" xr3:uid="{2BB1905D-07CD-494D-A848-DA75379D9786}" name="Column10803" dataDxfId="11604" totalsRowDxfId="11603"/>
    <tableColumn id="10818" xr3:uid="{CD21F0AE-30AC-4C65-8312-73A04A5EB156}" name="Column10804" dataDxfId="11602" totalsRowDxfId="11601"/>
    <tableColumn id="10819" xr3:uid="{D7463BD3-24A0-4284-9D18-79C93048A178}" name="Column10805" dataDxfId="11600" totalsRowDxfId="11599"/>
    <tableColumn id="10820" xr3:uid="{97839CD3-D127-44D7-A2CF-17132FC8034B}" name="Column10806" dataDxfId="11598" totalsRowDxfId="11597"/>
    <tableColumn id="10821" xr3:uid="{098AE198-84DF-4538-A508-9F799A7AE383}" name="Column10807" dataDxfId="11596" totalsRowDxfId="11595"/>
    <tableColumn id="10822" xr3:uid="{EDD41742-FDB2-4495-AC88-A6A9488154BF}" name="Column10808" dataDxfId="11594" totalsRowDxfId="11593"/>
    <tableColumn id="10823" xr3:uid="{C0092D5D-3A41-4735-AC54-60E6017FFB46}" name="Column10809" dataDxfId="11592" totalsRowDxfId="11591"/>
    <tableColumn id="10824" xr3:uid="{AEF09D86-9AFC-4AA1-8531-5229ACCBE5BC}" name="Column10810" dataDxfId="11590" totalsRowDxfId="11589"/>
    <tableColumn id="10825" xr3:uid="{C915EEAE-F5A5-42EB-A3E6-A3B9595E8C22}" name="Column10811" dataDxfId="11588" totalsRowDxfId="11587"/>
    <tableColumn id="10826" xr3:uid="{CEE332DD-FC77-4A27-826F-D6D79C214964}" name="Column10812" dataDxfId="11586" totalsRowDxfId="11585"/>
    <tableColumn id="10827" xr3:uid="{F93D8F37-CD57-4962-A12A-3CFECBFE1E55}" name="Column10813" dataDxfId="11584" totalsRowDxfId="11583"/>
    <tableColumn id="10828" xr3:uid="{A4DE3575-27E9-4391-A319-5C49480D3158}" name="Column10814" dataDxfId="11582" totalsRowDxfId="11581"/>
    <tableColumn id="10829" xr3:uid="{E380B60A-E4D0-4731-A86F-DF1D9A561941}" name="Column10815" dataDxfId="11580" totalsRowDxfId="11579"/>
    <tableColumn id="10830" xr3:uid="{9DFF254B-D9E1-4083-B95B-A96ED491C1BE}" name="Column10816" dataDxfId="11578" totalsRowDxfId="11577"/>
    <tableColumn id="10831" xr3:uid="{1A7852AA-FA32-47B9-B440-1082D762DAAC}" name="Column10817" dataDxfId="11576" totalsRowDxfId="11575"/>
    <tableColumn id="10832" xr3:uid="{0B18059A-8168-4A48-8C3C-30DB36EB5897}" name="Column10818" dataDxfId="11574" totalsRowDxfId="11573"/>
    <tableColumn id="10833" xr3:uid="{271C6D05-C891-40E1-B10B-E65C1637651F}" name="Column10819" dataDxfId="11572" totalsRowDxfId="11571"/>
    <tableColumn id="10834" xr3:uid="{E65195BF-7CB3-4C5D-A1A1-B9A82A689AC7}" name="Column10820" dataDxfId="11570" totalsRowDxfId="11569"/>
    <tableColumn id="10835" xr3:uid="{B93DB02C-B904-4655-9060-DEFAFC0579DE}" name="Column10821" dataDxfId="11568" totalsRowDxfId="11567"/>
    <tableColumn id="10836" xr3:uid="{6DCCD11B-2882-462B-A4CC-A51B573F6D96}" name="Column10822" dataDxfId="11566" totalsRowDxfId="11565"/>
    <tableColumn id="10837" xr3:uid="{6BC34962-3F25-460C-B21D-F22A48E4296D}" name="Column10823" dataDxfId="11564" totalsRowDxfId="11563"/>
    <tableColumn id="10838" xr3:uid="{2A0EC7C3-6241-4B3F-8B65-9C25F085F2BD}" name="Column10824" dataDxfId="11562" totalsRowDxfId="11561"/>
    <tableColumn id="10839" xr3:uid="{4CAB401D-BA23-495A-80F2-D63036063C8E}" name="Column10825" dataDxfId="11560" totalsRowDxfId="11559"/>
    <tableColumn id="10840" xr3:uid="{EEA891BB-6CD4-4EB0-890B-10BE4B0448D0}" name="Column10826" dataDxfId="11558" totalsRowDxfId="11557"/>
    <tableColumn id="10841" xr3:uid="{333CF4B6-0C09-4522-94CE-C376404AEDDF}" name="Column10827" dataDxfId="11556" totalsRowDxfId="11555"/>
    <tableColumn id="10842" xr3:uid="{0FC73950-F7F5-497C-AA7A-D23AE202FC54}" name="Column10828" dataDxfId="11554" totalsRowDxfId="11553"/>
    <tableColumn id="10843" xr3:uid="{F9978908-4B0B-4BDB-93D1-1A835C8D3842}" name="Column10829" dataDxfId="11552" totalsRowDxfId="11551"/>
    <tableColumn id="10844" xr3:uid="{03F4318F-699B-4789-AA77-2F595996675A}" name="Column10830" dataDxfId="11550" totalsRowDxfId="11549"/>
    <tableColumn id="10845" xr3:uid="{CD909F5C-A0DC-4180-95B9-2A391AB717E8}" name="Column10831" dataDxfId="11548" totalsRowDxfId="11547"/>
    <tableColumn id="10846" xr3:uid="{033DC7E4-39C7-476E-86CC-F3D52890BE78}" name="Column10832" dataDxfId="11546" totalsRowDxfId="11545"/>
    <tableColumn id="10847" xr3:uid="{814D096C-1120-4F5B-B675-4E83156B6B34}" name="Column10833" dataDxfId="11544" totalsRowDxfId="11543"/>
    <tableColumn id="10848" xr3:uid="{8A99A65A-E69D-4635-A83F-5A4723665894}" name="Column10834" dataDxfId="11542" totalsRowDxfId="11541"/>
    <tableColumn id="10849" xr3:uid="{8A52E1C3-E4AB-4B57-9965-FB248CB3AFFD}" name="Column10835" dataDxfId="11540" totalsRowDxfId="11539"/>
    <tableColumn id="10850" xr3:uid="{A977ADA5-47FE-4BDE-AC1E-51EB18662A68}" name="Column10836" dataDxfId="11538" totalsRowDxfId="11537"/>
    <tableColumn id="10851" xr3:uid="{4378F4C3-0371-46EE-AEEF-070C10DB7434}" name="Column10837" dataDxfId="11536" totalsRowDxfId="11535"/>
    <tableColumn id="10852" xr3:uid="{5D1FE12E-F953-4035-918D-EA7911C57DD1}" name="Column10838" dataDxfId="11534" totalsRowDxfId="11533"/>
    <tableColumn id="10853" xr3:uid="{1279E78A-BF66-4A85-A1BD-E5975ABAFFB7}" name="Column10839" dataDxfId="11532" totalsRowDxfId="11531"/>
    <tableColumn id="10854" xr3:uid="{DBB124F1-B80B-454B-8412-BA399131A178}" name="Column10840" dataDxfId="11530" totalsRowDxfId="11529"/>
    <tableColumn id="10855" xr3:uid="{EAF8FCB7-204F-436E-8B93-2D239B0503B2}" name="Column10841" dataDxfId="11528" totalsRowDxfId="11527"/>
    <tableColumn id="10856" xr3:uid="{730E2ABF-FBE2-43E9-AC31-695B44A8690B}" name="Column10842" dataDxfId="11526" totalsRowDxfId="11525"/>
    <tableColumn id="10857" xr3:uid="{78F96FC7-52EC-4839-861E-C8AB2CF38D31}" name="Column10843" dataDxfId="11524" totalsRowDxfId="11523"/>
    <tableColumn id="10858" xr3:uid="{D694D2C7-DD33-4E70-96E4-5D960DF26E6D}" name="Column10844" dataDxfId="11522" totalsRowDxfId="11521"/>
    <tableColumn id="10859" xr3:uid="{9DD92542-D3B8-41DD-A397-1125F1E2F7C7}" name="Column10845" dataDxfId="11520" totalsRowDxfId="11519"/>
    <tableColumn id="10860" xr3:uid="{E7A04CDF-8D80-420E-B490-193850C64AD7}" name="Column10846" dataDxfId="11518" totalsRowDxfId="11517"/>
    <tableColumn id="10861" xr3:uid="{DDBFB345-6AFB-47AB-B229-E3FB43449F73}" name="Column10847" dataDxfId="11516" totalsRowDxfId="11515"/>
    <tableColumn id="10862" xr3:uid="{D4474E44-C75C-46AB-8ADD-FDE907A1B639}" name="Column10848" dataDxfId="11514" totalsRowDxfId="11513"/>
    <tableColumn id="10863" xr3:uid="{89333F76-26D8-4821-BFEF-0C6B20CE9B8E}" name="Column10849" dataDxfId="11512" totalsRowDxfId="11511"/>
    <tableColumn id="10864" xr3:uid="{63590F6C-BE27-4667-925D-1B23D1A61782}" name="Column10850" dataDxfId="11510" totalsRowDxfId="11509"/>
    <tableColumn id="10865" xr3:uid="{81B08BD6-B289-4DF8-A8F6-870E5C9B1A78}" name="Column10851" dataDxfId="11508" totalsRowDxfId="11507"/>
    <tableColumn id="10866" xr3:uid="{C40C6426-F81B-4590-9B96-D6158593C531}" name="Column10852" dataDxfId="11506" totalsRowDxfId="11505"/>
    <tableColumn id="10867" xr3:uid="{B724ACDE-529C-406A-9158-92BE47FE8B4C}" name="Column10853" dataDxfId="11504" totalsRowDxfId="11503"/>
    <tableColumn id="10868" xr3:uid="{9481E60F-6F46-4426-A2F7-4E6DEC77746A}" name="Column10854" dataDxfId="11502" totalsRowDxfId="11501"/>
    <tableColumn id="10869" xr3:uid="{240F5F77-C9EF-4B40-B0D0-8C7CC476D8AD}" name="Column10855" dataDxfId="11500" totalsRowDxfId="11499"/>
    <tableColumn id="10870" xr3:uid="{0A7170DE-B39C-4071-B9B5-95DEB5F7B117}" name="Column10856" dataDxfId="11498" totalsRowDxfId="11497"/>
    <tableColumn id="10871" xr3:uid="{A1FFF013-7069-40E6-BEB8-B2881FA5B78A}" name="Column10857" dataDxfId="11496" totalsRowDxfId="11495"/>
    <tableColumn id="10872" xr3:uid="{D50B2343-2AC5-4E1C-BA9F-AD359576103A}" name="Column10858" dataDxfId="11494" totalsRowDxfId="11493"/>
    <tableColumn id="10873" xr3:uid="{28F43F46-D655-43A7-A5AE-B29F800BA658}" name="Column10859" dataDxfId="11492" totalsRowDxfId="11491"/>
    <tableColumn id="10874" xr3:uid="{4B6F1BB6-F208-4614-84D3-A8B492DBDB00}" name="Column10860" dataDxfId="11490" totalsRowDxfId="11489"/>
    <tableColumn id="10875" xr3:uid="{2E0414E5-F00B-4A33-9A00-4A7B4A64CDAE}" name="Column10861" dataDxfId="11488" totalsRowDxfId="11487"/>
    <tableColumn id="10876" xr3:uid="{802DC8C1-7B06-4C1F-A433-5519DD833272}" name="Column10862" dataDxfId="11486" totalsRowDxfId="11485"/>
    <tableColumn id="10877" xr3:uid="{D8C49CCE-281B-49BC-B33B-09FCA08AD202}" name="Column10863" dataDxfId="11484" totalsRowDxfId="11483"/>
    <tableColumn id="10878" xr3:uid="{2EAB0644-9CEC-4FBD-8209-F38F6C93C26E}" name="Column10864" dataDxfId="11482" totalsRowDxfId="11481"/>
    <tableColumn id="10879" xr3:uid="{6CB25CC4-435F-470C-8623-0071680A42B3}" name="Column10865" dataDxfId="11480" totalsRowDxfId="11479"/>
    <tableColumn id="10880" xr3:uid="{102D3B74-3C27-4987-8933-7399C74BE569}" name="Column10866" dataDxfId="11478" totalsRowDxfId="11477"/>
    <tableColumn id="10881" xr3:uid="{9D909FF9-604A-47C3-89EF-022BB783606F}" name="Column10867" dataDxfId="11476" totalsRowDxfId="11475"/>
    <tableColumn id="10882" xr3:uid="{64CD684A-929E-423A-A6B0-9DA4CECA219A}" name="Column10868" dataDxfId="11474" totalsRowDxfId="11473"/>
    <tableColumn id="10883" xr3:uid="{D9204827-D7A8-4E57-9213-C454A6046408}" name="Column10869" dataDxfId="11472" totalsRowDxfId="11471"/>
    <tableColumn id="10884" xr3:uid="{9E7C95A7-659D-4812-846A-E7157DC09A44}" name="Column10870" dataDxfId="11470" totalsRowDxfId="11469"/>
    <tableColumn id="10885" xr3:uid="{B9B916B3-ED6B-4406-8E10-2061566AC2D4}" name="Column10871" dataDxfId="11468" totalsRowDxfId="11467"/>
    <tableColumn id="10886" xr3:uid="{EE49FBA1-BC68-4155-962F-EDC81003AB8B}" name="Column10872" dataDxfId="11466" totalsRowDxfId="11465"/>
    <tableColumn id="10887" xr3:uid="{826621ED-C7F7-4C07-BDD8-CD4CA489E884}" name="Column10873" dataDxfId="11464" totalsRowDxfId="11463"/>
    <tableColumn id="10888" xr3:uid="{911004BD-6D04-40F5-8DD5-106D005E77DA}" name="Column10874" dataDxfId="11462" totalsRowDxfId="11461"/>
    <tableColumn id="10889" xr3:uid="{4E22FBDF-D0C5-4DE1-BBFB-85F67231308A}" name="Column10875" dataDxfId="11460" totalsRowDxfId="11459"/>
    <tableColumn id="10890" xr3:uid="{F9283839-C762-4431-88E5-3D079CF88B30}" name="Column10876" dataDxfId="11458" totalsRowDxfId="11457"/>
    <tableColumn id="10891" xr3:uid="{F694B141-5308-4D9C-A992-EDFA54D09EA5}" name="Column10877" dataDxfId="11456" totalsRowDxfId="11455"/>
    <tableColumn id="10892" xr3:uid="{B0709C04-B482-455D-9572-A0185549C7FD}" name="Column10878" dataDxfId="11454" totalsRowDxfId="11453"/>
    <tableColumn id="10893" xr3:uid="{11D2675E-CEB0-4EE6-A3DC-23DF11F838DF}" name="Column10879" dataDxfId="11452" totalsRowDxfId="11451"/>
    <tableColumn id="10894" xr3:uid="{239D34BC-9C8D-4CBA-9571-EBFAA65F25C9}" name="Column10880" dataDxfId="11450" totalsRowDxfId="11449"/>
    <tableColumn id="10895" xr3:uid="{39AFD118-01F9-4C0A-9B2B-39C183A6FDEE}" name="Column10881" dataDxfId="11448" totalsRowDxfId="11447"/>
    <tableColumn id="10896" xr3:uid="{A4F6001B-AA2C-4056-B391-B1F0AF33C9B1}" name="Column10882" dataDxfId="11446" totalsRowDxfId="11445"/>
    <tableColumn id="10897" xr3:uid="{05F668D0-C734-4051-AE93-5AAC31078F00}" name="Column10883" dataDxfId="11444" totalsRowDxfId="11443"/>
    <tableColumn id="10898" xr3:uid="{43587F99-59E9-407F-805D-452D47ED9799}" name="Column10884" dataDxfId="11442" totalsRowDxfId="11441"/>
    <tableColumn id="10899" xr3:uid="{560F9EA7-A3B8-473E-989C-71429C6E004D}" name="Column10885" dataDxfId="11440" totalsRowDxfId="11439"/>
    <tableColumn id="10900" xr3:uid="{DE2FF3DD-C840-4B39-BAE2-6A13CCDEAAF1}" name="Column10886" dataDxfId="11438" totalsRowDxfId="11437"/>
    <tableColumn id="10901" xr3:uid="{D3E8681E-23C2-4D50-A94B-C05265A15F37}" name="Column10887" dataDxfId="11436" totalsRowDxfId="11435"/>
    <tableColumn id="10902" xr3:uid="{AE7959CF-36B7-400A-B251-B6F6DE4949A0}" name="Column10888" dataDxfId="11434" totalsRowDxfId="11433"/>
    <tableColumn id="10903" xr3:uid="{DD538EC8-06CB-4E11-8C90-798C19371DF1}" name="Column10889" dataDxfId="11432" totalsRowDxfId="11431"/>
    <tableColumn id="10904" xr3:uid="{2CBC5408-5538-45A4-A316-A8116F516DB2}" name="Column10890" dataDxfId="11430" totalsRowDxfId="11429"/>
    <tableColumn id="10905" xr3:uid="{B6B7BCFC-3AAA-4EE3-AE4B-233FDE6E6D96}" name="Column10891" dataDxfId="11428" totalsRowDxfId="11427"/>
    <tableColumn id="10906" xr3:uid="{06500C94-B2FF-4A3F-8F5A-65BA87E889AB}" name="Column10892" dataDxfId="11426" totalsRowDxfId="11425"/>
    <tableColumn id="10907" xr3:uid="{F2EAE4CF-0881-4646-89D9-6B4018CF9971}" name="Column10893" dataDxfId="11424" totalsRowDxfId="11423"/>
    <tableColumn id="10908" xr3:uid="{8CE85D0A-36EF-4E33-953E-94FD978D9224}" name="Column10894" dataDxfId="11422" totalsRowDxfId="11421"/>
    <tableColumn id="10909" xr3:uid="{1F8D7440-90C1-466F-BCF4-30B310C93F3F}" name="Column10895" dataDxfId="11420" totalsRowDxfId="11419"/>
    <tableColumn id="10910" xr3:uid="{6D31D060-A02A-48F1-8615-884C8E78EFBC}" name="Column10896" dataDxfId="11418" totalsRowDxfId="11417"/>
    <tableColumn id="10911" xr3:uid="{7145FCF0-7138-490A-A43F-B1D2CBA3C17A}" name="Column10897" dataDxfId="11416" totalsRowDxfId="11415"/>
    <tableColumn id="10912" xr3:uid="{B7733AD1-C2E4-46B6-92B0-CF2718C923E8}" name="Column10898" dataDxfId="11414" totalsRowDxfId="11413"/>
    <tableColumn id="10913" xr3:uid="{1E812545-1DDC-45C4-AED2-8A0A4270309A}" name="Column10899" dataDxfId="11412" totalsRowDxfId="11411"/>
    <tableColumn id="10914" xr3:uid="{5D6C53E8-8A09-40D8-8B34-6D6C8E765183}" name="Column10900" dataDxfId="11410" totalsRowDxfId="11409"/>
    <tableColumn id="10915" xr3:uid="{A62CA502-6940-419D-A2E3-18CFDF07D105}" name="Column10901" dataDxfId="11408" totalsRowDxfId="11407"/>
    <tableColumn id="10916" xr3:uid="{5F757C18-4A28-4027-8017-662FB8EA7B27}" name="Column10902" dataDxfId="11406" totalsRowDxfId="11405"/>
    <tableColumn id="10917" xr3:uid="{324D0FA0-6A37-4362-AA11-50DEFEAF9938}" name="Column10903" dataDxfId="11404" totalsRowDxfId="11403"/>
    <tableColumn id="10918" xr3:uid="{FFF77383-5FF1-4876-9F81-AEBD94255968}" name="Column10904" dataDxfId="11402" totalsRowDxfId="11401"/>
    <tableColumn id="10919" xr3:uid="{9F54E246-E5E7-4185-A44F-FA2211F3167C}" name="Column10905" dataDxfId="11400" totalsRowDxfId="11399"/>
    <tableColumn id="10920" xr3:uid="{8378468B-94E0-4A57-95F7-1D0A78E9C28C}" name="Column10906" dataDxfId="11398" totalsRowDxfId="11397"/>
    <tableColumn id="10921" xr3:uid="{9680323E-CDB5-4260-84F5-8688EB4B3849}" name="Column10907" dataDxfId="11396" totalsRowDxfId="11395"/>
    <tableColumn id="10922" xr3:uid="{E8B15D0B-DD8D-4857-8F60-07D77467118E}" name="Column10908" dataDxfId="11394" totalsRowDxfId="11393"/>
    <tableColumn id="10923" xr3:uid="{6E560D64-CD96-4DF6-B616-763EB3DA5D37}" name="Column10909" dataDxfId="11392" totalsRowDxfId="11391"/>
    <tableColumn id="10924" xr3:uid="{D63CF153-1C08-4465-A0B4-37D180E3F8D0}" name="Column10910" dataDxfId="11390" totalsRowDxfId="11389"/>
    <tableColumn id="10925" xr3:uid="{6456A53B-0B54-4B15-8587-2DE875EA88ED}" name="Column10911" dataDxfId="11388" totalsRowDxfId="11387"/>
    <tableColumn id="10926" xr3:uid="{8C9482DD-DFB0-472F-86A9-7D6EC8099B28}" name="Column10912" dataDxfId="11386" totalsRowDxfId="11385"/>
    <tableColumn id="10927" xr3:uid="{BF9395F4-2836-47C9-8864-1F85E073FC47}" name="Column10913" dataDxfId="11384" totalsRowDxfId="11383"/>
    <tableColumn id="10928" xr3:uid="{C3B6ACF1-3079-4BEF-A7B9-C5514C65CDD8}" name="Column10914" dataDxfId="11382" totalsRowDxfId="11381"/>
    <tableColumn id="10929" xr3:uid="{62A870A6-6C81-4F7E-8E33-F1BF3D567AF4}" name="Column10915" dataDxfId="11380" totalsRowDxfId="11379"/>
    <tableColumn id="10930" xr3:uid="{7555C07B-899B-4F16-BF30-2049203A9E30}" name="Column10916" dataDxfId="11378" totalsRowDxfId="11377"/>
    <tableColumn id="10931" xr3:uid="{56B4E1E4-8AAA-4E91-93FF-9207A50C54B0}" name="Column10917" dataDxfId="11376" totalsRowDxfId="11375"/>
    <tableColumn id="10932" xr3:uid="{1FDC9F7D-249B-4950-9817-796C9C1AD244}" name="Column10918" dataDxfId="11374" totalsRowDxfId="11373"/>
    <tableColumn id="10933" xr3:uid="{016FCA93-68E6-43F4-8C83-1F0BE08DCBD1}" name="Column10919" dataDxfId="11372" totalsRowDxfId="11371"/>
    <tableColumn id="10934" xr3:uid="{C2F96F36-3140-4ED4-867A-373B52BD83BF}" name="Column10920" dataDxfId="11370" totalsRowDxfId="11369"/>
    <tableColumn id="10935" xr3:uid="{D3DEF225-F104-494B-A1CE-7E66AA63C2C1}" name="Column10921" dataDxfId="11368" totalsRowDxfId="11367"/>
    <tableColumn id="10936" xr3:uid="{88152D43-1A8E-47B1-A522-58232712D28C}" name="Column10922" dataDxfId="11366" totalsRowDxfId="11365"/>
    <tableColumn id="10937" xr3:uid="{3D05D2FD-E22A-41DA-8F94-A4EA0D61DC94}" name="Column10923" dataDxfId="11364" totalsRowDxfId="11363"/>
    <tableColumn id="10938" xr3:uid="{FAEEB658-C408-4203-8F9A-6E2270FFD865}" name="Column10924" dataDxfId="11362" totalsRowDxfId="11361"/>
    <tableColumn id="10939" xr3:uid="{B5456EA1-7BFF-4B23-9494-70831DB5D1EF}" name="Column10925" dataDxfId="11360" totalsRowDxfId="11359"/>
    <tableColumn id="10940" xr3:uid="{F521DDEB-6892-4EAB-A570-4573327695D2}" name="Column10926" dataDxfId="11358" totalsRowDxfId="11357"/>
    <tableColumn id="10941" xr3:uid="{0973D68E-D582-4610-9C3E-26E7EC21FDE4}" name="Column10927" dataDxfId="11356" totalsRowDxfId="11355"/>
    <tableColumn id="10942" xr3:uid="{9D528F49-D709-4E4A-A5CB-00FB83455A70}" name="Column10928" dataDxfId="11354" totalsRowDxfId="11353"/>
    <tableColumn id="10943" xr3:uid="{CAB7F5B7-16AF-412E-8DD4-334F4F4EE90F}" name="Column10929" dataDxfId="11352" totalsRowDxfId="11351"/>
    <tableColumn id="10944" xr3:uid="{DBA21802-E2C9-498E-8C0C-B268A14B9CD6}" name="Column10930" dataDxfId="11350" totalsRowDxfId="11349"/>
    <tableColumn id="10945" xr3:uid="{85B8A7A8-EC0A-4AAB-ABA4-8828088CC3A7}" name="Column10931" dataDxfId="11348" totalsRowDxfId="11347"/>
    <tableColumn id="10946" xr3:uid="{CE68D993-49E4-4228-849F-DFDCCF739324}" name="Column10932" dataDxfId="11346" totalsRowDxfId="11345"/>
    <tableColumn id="10947" xr3:uid="{7F61B631-D72F-4E4D-BFCC-A2ACC3C79951}" name="Column10933" dataDxfId="11344" totalsRowDxfId="11343"/>
    <tableColumn id="10948" xr3:uid="{2657CC68-8F7D-477C-AFBD-BE2C8A207F79}" name="Column10934" dataDxfId="11342" totalsRowDxfId="11341"/>
    <tableColumn id="10949" xr3:uid="{0C8A195A-E08F-4B80-9950-70E8AD9E96BB}" name="Column10935" dataDxfId="11340" totalsRowDxfId="11339"/>
    <tableColumn id="10950" xr3:uid="{B59BF814-F9F4-43B2-B1F3-25666BE6C786}" name="Column10936" dataDxfId="11338" totalsRowDxfId="11337"/>
    <tableColumn id="10951" xr3:uid="{6FBDAE3B-7FCD-4F4C-84D7-42C1EE66771A}" name="Column10937" dataDxfId="11336" totalsRowDxfId="11335"/>
    <tableColumn id="10952" xr3:uid="{D82FB20B-5182-4C5D-B34F-32252FDB7044}" name="Column10938" dataDxfId="11334" totalsRowDxfId="11333"/>
    <tableColumn id="10953" xr3:uid="{4647E7C5-6AA8-4B3A-B242-CA9951C24456}" name="Column10939" dataDxfId="11332" totalsRowDxfId="11331"/>
    <tableColumn id="10954" xr3:uid="{D1B22598-CB01-4E62-BC13-F7826E87C852}" name="Column10940" dataDxfId="11330" totalsRowDxfId="11329"/>
    <tableColumn id="10955" xr3:uid="{6DEA4C67-83DD-4958-B3C7-5ED319679719}" name="Column10941" dataDxfId="11328" totalsRowDxfId="11327"/>
    <tableColumn id="10956" xr3:uid="{2DD010C7-A595-4A5A-8DFA-1DBA5A45A00A}" name="Column10942" dataDxfId="11326" totalsRowDxfId="11325"/>
    <tableColumn id="10957" xr3:uid="{1BCE9E48-F4E6-496D-B036-2D856D7E859F}" name="Column10943" dataDxfId="11324" totalsRowDxfId="11323"/>
    <tableColumn id="10958" xr3:uid="{9630E11B-B6CA-404B-AD08-4FB48FBA9F85}" name="Column10944" dataDxfId="11322" totalsRowDxfId="11321"/>
    <tableColumn id="10959" xr3:uid="{771DA83E-1A9C-4F88-9D7B-F2C33C1894D0}" name="Column10945" dataDxfId="11320" totalsRowDxfId="11319"/>
    <tableColumn id="10960" xr3:uid="{7106C279-4785-4CF4-A540-B568968D4740}" name="Column10946" dataDxfId="11318" totalsRowDxfId="11317"/>
    <tableColumn id="10961" xr3:uid="{D1F4299E-ACD6-4B14-A79C-D2CD00F635F3}" name="Column10947" dataDxfId="11316" totalsRowDxfId="11315"/>
    <tableColumn id="10962" xr3:uid="{ABA3CF4D-8263-4592-90DC-F47BB9894F2D}" name="Column10948" dataDxfId="11314" totalsRowDxfId="11313"/>
    <tableColumn id="10963" xr3:uid="{8DEF6A32-713F-4960-BA86-1A3C3907C089}" name="Column10949" dataDxfId="11312" totalsRowDxfId="11311"/>
    <tableColumn id="10964" xr3:uid="{566503C6-8C33-40BE-8CF5-F2356E6DA63C}" name="Column10950" dataDxfId="11310" totalsRowDxfId="11309"/>
    <tableColumn id="10965" xr3:uid="{1045C03E-5B53-4396-BFAF-8065104FE7A6}" name="Column10951" dataDxfId="11308" totalsRowDxfId="11307"/>
    <tableColumn id="10966" xr3:uid="{BDD052D0-AA38-4E8A-8EEA-D0D5827BA38B}" name="Column10952" dataDxfId="11306" totalsRowDxfId="11305"/>
    <tableColumn id="10967" xr3:uid="{B1344978-0931-44BA-85FA-966046BFB0C1}" name="Column10953" dataDxfId="11304" totalsRowDxfId="11303"/>
    <tableColumn id="10968" xr3:uid="{FD615294-DF7F-4C70-A1D8-686BA1FBAFD3}" name="Column10954" dataDxfId="11302" totalsRowDxfId="11301"/>
    <tableColumn id="10969" xr3:uid="{E7D06FBA-E128-49B3-909F-8B05AF14CB7E}" name="Column10955" dataDxfId="11300" totalsRowDxfId="11299"/>
    <tableColumn id="10970" xr3:uid="{C9D364A4-AD7F-470F-A1BC-7C22E977743E}" name="Column10956" dataDxfId="11298" totalsRowDxfId="11297"/>
    <tableColumn id="10971" xr3:uid="{EB3E2792-02D7-4DFA-B8AC-0C6DF9B08ED7}" name="Column10957" dataDxfId="11296" totalsRowDxfId="11295"/>
    <tableColumn id="10972" xr3:uid="{DDD13382-C2F5-47AA-9292-FC782EC4C6BA}" name="Column10958" dataDxfId="11294" totalsRowDxfId="11293"/>
    <tableColumn id="10973" xr3:uid="{B4E3D964-178C-4B69-93E4-624B0B54C261}" name="Column10959" dataDxfId="11292" totalsRowDxfId="11291"/>
    <tableColumn id="10974" xr3:uid="{C56377A0-E834-4F88-8B1F-F5C3F976F3BB}" name="Column10960" dataDxfId="11290" totalsRowDxfId="11289"/>
    <tableColumn id="10975" xr3:uid="{8D35AEC2-204F-43B1-ABC2-41B46050C4CC}" name="Column10961" dataDxfId="11288" totalsRowDxfId="11287"/>
    <tableColumn id="10976" xr3:uid="{B4D1ED62-A020-4853-8200-0FF24F801D63}" name="Column10962" dataDxfId="11286" totalsRowDxfId="11285"/>
    <tableColumn id="10977" xr3:uid="{3AB2C740-1B53-453F-A422-53603224749D}" name="Column10963" dataDxfId="11284" totalsRowDxfId="11283"/>
    <tableColumn id="10978" xr3:uid="{61DB2543-E22D-4E58-A3E1-B321B4AE5FEB}" name="Column10964" dataDxfId="11282" totalsRowDxfId="11281"/>
    <tableColumn id="10979" xr3:uid="{76261C02-ECEC-46BE-8FF3-73B10EBE0838}" name="Column10965" dataDxfId="11280" totalsRowDxfId="11279"/>
    <tableColumn id="10980" xr3:uid="{E1E35269-1E3D-4786-8FAE-D82A7C2B0818}" name="Column10966" dataDxfId="11278" totalsRowDxfId="11277"/>
    <tableColumn id="10981" xr3:uid="{07B7D622-7AEE-44EF-ABE1-BEE33719BD72}" name="Column10967" dataDxfId="11276" totalsRowDxfId="11275"/>
    <tableColumn id="10982" xr3:uid="{C8280C42-C590-4B76-85D8-33F107FAA499}" name="Column10968" dataDxfId="11274" totalsRowDxfId="11273"/>
    <tableColumn id="10983" xr3:uid="{21FB9436-AFC9-4FEC-A81D-95312D45885C}" name="Column10969" dataDxfId="11272" totalsRowDxfId="11271"/>
    <tableColumn id="10984" xr3:uid="{440A365B-1273-4AAE-B7DC-F5CF401A60AE}" name="Column10970" dataDxfId="11270" totalsRowDxfId="11269"/>
    <tableColumn id="10985" xr3:uid="{0CD43F77-C72F-4ACF-9368-C07CCA5BBD0F}" name="Column10971" dataDxfId="11268" totalsRowDxfId="11267"/>
    <tableColumn id="10986" xr3:uid="{35E6BC63-9231-4855-99E3-8B54B6AE9E36}" name="Column10972" dataDxfId="11266" totalsRowDxfId="11265"/>
    <tableColumn id="10987" xr3:uid="{B840F519-21FA-41A8-8D17-C58AC6F8A445}" name="Column10973" dataDxfId="11264" totalsRowDxfId="11263"/>
    <tableColumn id="10988" xr3:uid="{10BDCC13-26A9-429F-8C3D-D4E17464D808}" name="Column10974" dataDxfId="11262" totalsRowDxfId="11261"/>
    <tableColumn id="10989" xr3:uid="{B6F7380A-5444-4614-B80F-A6932E8557E4}" name="Column10975" dataDxfId="11260" totalsRowDxfId="11259"/>
    <tableColumn id="10990" xr3:uid="{D34F33EE-4ABB-4A29-8AB0-AC1057FFD35E}" name="Column10976" dataDxfId="11258" totalsRowDxfId="11257"/>
    <tableColumn id="10991" xr3:uid="{74BC3AB8-E8F1-453B-A06B-D534E732F83F}" name="Column10977" dataDxfId="11256" totalsRowDxfId="11255"/>
    <tableColumn id="10992" xr3:uid="{5078B49F-D357-4CD7-94E2-0A3A6DBFDCD1}" name="Column10978" dataDxfId="11254" totalsRowDxfId="11253"/>
    <tableColumn id="10993" xr3:uid="{EF12C762-58DB-4DEA-ADBF-7066D4EC42A9}" name="Column10979" dataDxfId="11252" totalsRowDxfId="11251"/>
    <tableColumn id="10994" xr3:uid="{6A8144ED-2AAD-41C2-9ED2-7322EADCCFC1}" name="Column10980" dataDxfId="11250" totalsRowDxfId="11249"/>
    <tableColumn id="10995" xr3:uid="{D91D378F-9DBC-42EC-B34C-546FEF7822A9}" name="Column10981" dataDxfId="11248" totalsRowDxfId="11247"/>
    <tableColumn id="10996" xr3:uid="{421699BC-D5CB-4F7C-A6EA-1718A9E0191B}" name="Column10982" dataDxfId="11246" totalsRowDxfId="11245"/>
    <tableColumn id="10997" xr3:uid="{AA075307-D15D-47D8-9F5F-69B4273AF6E7}" name="Column10983" dataDxfId="11244" totalsRowDxfId="11243"/>
    <tableColumn id="10998" xr3:uid="{A1C76160-5B93-4093-8734-1C63A7200BBF}" name="Column10984" dataDxfId="11242" totalsRowDxfId="11241"/>
    <tableColumn id="10999" xr3:uid="{D3D749AA-2560-4F67-88C8-3E2F9B5E401D}" name="Column10985" dataDxfId="11240" totalsRowDxfId="11239"/>
    <tableColumn id="11000" xr3:uid="{1A549374-9EAE-442D-A523-BCB64ADA4422}" name="Column10986" dataDxfId="11238" totalsRowDxfId="11237"/>
    <tableColumn id="11001" xr3:uid="{442B45A2-F3E8-4EFC-A35A-211642A6BE5F}" name="Column10987" dataDxfId="11236" totalsRowDxfId="11235"/>
    <tableColumn id="11002" xr3:uid="{E437BE81-A3D8-428E-9413-3FD3D45B6734}" name="Column10988" dataDxfId="11234" totalsRowDxfId="11233"/>
    <tableColumn id="11003" xr3:uid="{1E218E00-40D8-42A2-9322-A7ECF0B7684C}" name="Column10989" dataDxfId="11232" totalsRowDxfId="11231"/>
    <tableColumn id="11004" xr3:uid="{3A6468C0-6592-4C02-9D61-C6F32E7A7B09}" name="Column10990" dataDxfId="11230" totalsRowDxfId="11229"/>
    <tableColumn id="11005" xr3:uid="{EFA237D6-277D-499A-9B31-4343A8E35444}" name="Column10991" dataDxfId="11228" totalsRowDxfId="11227"/>
    <tableColumn id="11006" xr3:uid="{69144BBF-D694-472A-8B94-B2A73433855B}" name="Column10992" dataDxfId="11226" totalsRowDxfId="11225"/>
    <tableColumn id="11007" xr3:uid="{F09C389F-F2EA-40D0-827D-FF2DFEA3AAE4}" name="Column10993" dataDxfId="11224" totalsRowDxfId="11223"/>
    <tableColumn id="11008" xr3:uid="{92FA7DDF-DFF7-43D5-81B9-45399E217751}" name="Column10994" dataDxfId="11222" totalsRowDxfId="11221"/>
    <tableColumn id="11009" xr3:uid="{36C2B44C-90AF-4222-8A3D-D5B55F3119A9}" name="Column10995" dataDxfId="11220" totalsRowDxfId="11219"/>
    <tableColumn id="11010" xr3:uid="{6A3AE53F-53CF-4EF5-A3B7-E0C7A27DEF34}" name="Column10996" dataDxfId="11218" totalsRowDxfId="11217"/>
    <tableColumn id="11011" xr3:uid="{197B266A-E423-45A4-A3FD-5F3A2540FE7E}" name="Column10997" dataDxfId="11216" totalsRowDxfId="11215"/>
    <tableColumn id="11012" xr3:uid="{C297B390-6A42-43A3-A5E2-45EBC7B126A8}" name="Column10998" dataDxfId="11214" totalsRowDxfId="11213"/>
    <tableColumn id="11013" xr3:uid="{3C898126-03D3-4DEE-9345-A771DD481ED1}" name="Column10999" dataDxfId="11212" totalsRowDxfId="11211"/>
    <tableColumn id="11014" xr3:uid="{83809677-B09C-4AEA-904A-FA9ED1414264}" name="Column11000" dataDxfId="11210" totalsRowDxfId="11209"/>
    <tableColumn id="11015" xr3:uid="{0E6D4A21-8CEB-4CA1-B204-41DBAA942632}" name="Column11001" dataDxfId="11208" totalsRowDxfId="11207"/>
    <tableColumn id="11016" xr3:uid="{E21685C8-6B43-4BD6-ACF5-F79E621C0860}" name="Column11002" dataDxfId="11206" totalsRowDxfId="11205"/>
    <tableColumn id="11017" xr3:uid="{5C381ABE-0711-49CE-B225-610C72DCFB3C}" name="Column11003" dataDxfId="11204" totalsRowDxfId="11203"/>
    <tableColumn id="11018" xr3:uid="{B18275A6-6A2E-4A85-87B4-7861E7C180A3}" name="Column11004" dataDxfId="11202" totalsRowDxfId="11201"/>
    <tableColumn id="11019" xr3:uid="{CC899807-0EA4-4AC8-9B99-546ED9C1A26D}" name="Column11005" dataDxfId="11200" totalsRowDxfId="11199"/>
    <tableColumn id="11020" xr3:uid="{78328649-08F2-411C-AE15-46FAAE126E0B}" name="Column11006" dataDxfId="11198" totalsRowDxfId="11197"/>
    <tableColumn id="11021" xr3:uid="{188C51D3-2899-4DEF-83A1-063ABE6184D1}" name="Column11007" dataDxfId="11196" totalsRowDxfId="11195"/>
    <tableColumn id="11022" xr3:uid="{A51FF956-B182-417B-BAB2-BA58145B4C2A}" name="Column11008" dataDxfId="11194" totalsRowDxfId="11193"/>
    <tableColumn id="11023" xr3:uid="{3298828A-61E9-42FE-867A-3DA4B7B42F81}" name="Column11009" dataDxfId="11192" totalsRowDxfId="11191"/>
    <tableColumn id="11024" xr3:uid="{09E1D67D-C2BF-4965-AED5-36639B1E1B19}" name="Column11010" dataDxfId="11190" totalsRowDxfId="11189"/>
    <tableColumn id="11025" xr3:uid="{BA86ED0B-B36D-4521-B8A4-327A9681BB1E}" name="Column11011" dataDxfId="11188" totalsRowDxfId="11187"/>
    <tableColumn id="11026" xr3:uid="{806B0DA8-0695-4223-89F0-8FE077B17379}" name="Column11012" dataDxfId="11186" totalsRowDxfId="11185"/>
    <tableColumn id="11027" xr3:uid="{DC155318-E9AC-4657-83B9-AE4A91DB48E3}" name="Column11013" dataDxfId="11184" totalsRowDxfId="11183"/>
    <tableColumn id="11028" xr3:uid="{098FE08D-6295-4180-BFCE-CA30F38CD344}" name="Column11014" dataDxfId="11182" totalsRowDxfId="11181"/>
    <tableColumn id="11029" xr3:uid="{D82AAF9E-F92D-42E2-9385-3AA95BF51F8D}" name="Column11015" dataDxfId="11180" totalsRowDxfId="11179"/>
    <tableColumn id="11030" xr3:uid="{6005AE75-DD49-4764-A499-17A7892C7F77}" name="Column11016" dataDxfId="11178" totalsRowDxfId="11177"/>
    <tableColumn id="11031" xr3:uid="{919AEB39-6F95-4225-938D-4AC35CB207A9}" name="Column11017" dataDxfId="11176" totalsRowDxfId="11175"/>
    <tableColumn id="11032" xr3:uid="{85D0ED0A-C7FD-409A-9B17-6B77FDD3DC2F}" name="Column11018" dataDxfId="11174" totalsRowDxfId="11173"/>
    <tableColumn id="11033" xr3:uid="{5D006B12-1624-427C-B9FB-FE4206996DCA}" name="Column11019" dataDxfId="11172" totalsRowDxfId="11171"/>
    <tableColumn id="11034" xr3:uid="{F6EB6F04-F358-4674-A212-F37ABAC0834D}" name="Column11020" dataDxfId="11170" totalsRowDxfId="11169"/>
    <tableColumn id="11035" xr3:uid="{3BB6C1D1-0121-4BD8-8F1C-AE5C82C2D83E}" name="Column11021" dataDxfId="11168" totalsRowDxfId="11167"/>
    <tableColumn id="11036" xr3:uid="{8406F8EA-6C0C-49DB-9A03-B7AD8F4DC16E}" name="Column11022" dataDxfId="11166" totalsRowDxfId="11165"/>
    <tableColumn id="11037" xr3:uid="{1F1B1727-A631-4F4F-9242-CFDA430843B4}" name="Column11023" dataDxfId="11164" totalsRowDxfId="11163"/>
    <tableColumn id="11038" xr3:uid="{BC40D70B-248E-49E2-8D27-DF0370E61A27}" name="Column11024" dataDxfId="11162" totalsRowDxfId="11161"/>
    <tableColumn id="11039" xr3:uid="{4D65925D-59EA-4F78-B679-D53478816CCE}" name="Column11025" dataDxfId="11160" totalsRowDxfId="11159"/>
    <tableColumn id="11040" xr3:uid="{55B0549F-881D-4EB8-ACA5-A94CF9DA4F4C}" name="Column11026" dataDxfId="11158" totalsRowDxfId="11157"/>
    <tableColumn id="11041" xr3:uid="{695AD71F-6E94-41A9-821B-968BF25F584D}" name="Column11027" dataDxfId="11156" totalsRowDxfId="11155"/>
    <tableColumn id="11042" xr3:uid="{D0A2AC5D-4E60-47E3-93F5-417C53B4E216}" name="Column11028" dataDxfId="11154" totalsRowDxfId="11153"/>
    <tableColumn id="11043" xr3:uid="{49BF38A1-7C5E-440B-AA51-A1D9456E3284}" name="Column11029" dataDxfId="11152" totalsRowDxfId="11151"/>
    <tableColumn id="11044" xr3:uid="{21E04B7C-7BA5-4B4F-ABD0-54CDF5482C2F}" name="Column11030" dataDxfId="11150" totalsRowDxfId="11149"/>
    <tableColumn id="11045" xr3:uid="{95D2CF2A-ED11-423D-92B8-D1B660EE2E19}" name="Column11031" dataDxfId="11148" totalsRowDxfId="11147"/>
    <tableColumn id="11046" xr3:uid="{45454D72-CC71-4AF7-BB31-56B76EC8F524}" name="Column11032" dataDxfId="11146" totalsRowDxfId="11145"/>
    <tableColumn id="11047" xr3:uid="{551A1B0F-D6A0-49ED-B638-F517A37570D7}" name="Column11033" dataDxfId="11144" totalsRowDxfId="11143"/>
    <tableColumn id="11048" xr3:uid="{FE67B427-FEA8-411A-8FEB-6135C27F1C54}" name="Column11034" dataDxfId="11142" totalsRowDxfId="11141"/>
    <tableColumn id="11049" xr3:uid="{E3D124E0-328D-40A7-8845-3A5B3A99043E}" name="Column11035" dataDxfId="11140" totalsRowDxfId="11139"/>
    <tableColumn id="11050" xr3:uid="{8A86005C-404F-4643-B027-CE393A406D6E}" name="Column11036" dataDxfId="11138" totalsRowDxfId="11137"/>
    <tableColumn id="11051" xr3:uid="{1E276945-88C4-4EC6-962B-871A951A3E40}" name="Column11037" dataDxfId="11136" totalsRowDxfId="11135"/>
    <tableColumn id="11052" xr3:uid="{A7F52A97-F627-46CC-A1E5-477C1CF648E5}" name="Column11038" dataDxfId="11134" totalsRowDxfId="11133"/>
    <tableColumn id="11053" xr3:uid="{D6AF3AB0-439F-4134-81D0-EC934259B8B7}" name="Column11039" dataDxfId="11132" totalsRowDxfId="11131"/>
    <tableColumn id="11054" xr3:uid="{FF7BBF52-CF12-4D26-BE61-4290F634718D}" name="Column11040" dataDxfId="11130" totalsRowDxfId="11129"/>
    <tableColumn id="11055" xr3:uid="{C42BC02D-6B22-4E23-8D19-993C0C6D98E7}" name="Column11041" dataDxfId="11128" totalsRowDxfId="11127"/>
    <tableColumn id="11056" xr3:uid="{F7104361-B4F6-4C01-A5DF-59648D6F8FE3}" name="Column11042" dataDxfId="11126" totalsRowDxfId="11125"/>
    <tableColumn id="11057" xr3:uid="{655ED7CA-B2FF-4C48-883F-5FC62993026E}" name="Column11043" dataDxfId="11124" totalsRowDxfId="11123"/>
    <tableColumn id="11058" xr3:uid="{A6A5CC6E-8CEB-4298-9525-3E54099DA335}" name="Column11044" dataDxfId="11122" totalsRowDxfId="11121"/>
    <tableColumn id="11059" xr3:uid="{7E5FBA89-AC0B-4281-A24A-86AC4FAA3152}" name="Column11045" dataDxfId="11120" totalsRowDxfId="11119"/>
    <tableColumn id="11060" xr3:uid="{FD208B77-13C0-427B-A6F3-E2778A03742B}" name="Column11046" dataDxfId="11118" totalsRowDxfId="11117"/>
    <tableColumn id="11061" xr3:uid="{AB8EF6A4-A501-4158-A7A0-00E9BF3CCCD7}" name="Column11047" dataDxfId="11116" totalsRowDxfId="11115"/>
    <tableColumn id="11062" xr3:uid="{F1DACB41-7C70-4C5B-BD04-C08C85EE1C3E}" name="Column11048" dataDxfId="11114" totalsRowDxfId="11113"/>
    <tableColumn id="11063" xr3:uid="{918215AE-086E-4643-9141-2D6BFB956565}" name="Column11049" dataDxfId="11112" totalsRowDxfId="11111"/>
    <tableColumn id="11064" xr3:uid="{B2A7282A-BE17-4754-8048-E0C551E863C2}" name="Column11050" dataDxfId="11110" totalsRowDxfId="11109"/>
    <tableColumn id="11065" xr3:uid="{42DA6544-94E5-452D-B258-BBCFAF4BBFB2}" name="Column11051" dataDxfId="11108" totalsRowDxfId="11107"/>
    <tableColumn id="11066" xr3:uid="{95F349C2-A13B-4AD3-83DD-1E80EF38C8D9}" name="Column11052" dataDxfId="11106" totalsRowDxfId="11105"/>
    <tableColumn id="11067" xr3:uid="{598949B9-BB43-4030-86DC-DEF88E4107D8}" name="Column11053" dataDxfId="11104" totalsRowDxfId="11103"/>
    <tableColumn id="11068" xr3:uid="{8B80F343-552B-4975-B517-74CC0805F888}" name="Column11054" dataDxfId="11102" totalsRowDxfId="11101"/>
    <tableColumn id="11069" xr3:uid="{34D4F32B-DE4D-4E88-B3EF-E14FAAB0BF5F}" name="Column11055" dataDxfId="11100" totalsRowDxfId="11099"/>
    <tableColumn id="11070" xr3:uid="{E04FB5C1-BA10-4A09-8D19-0212CBA5C257}" name="Column11056" dataDxfId="11098" totalsRowDxfId="11097"/>
    <tableColumn id="11071" xr3:uid="{35C021FE-5245-40B5-A4D0-01BBA3BA2DA3}" name="Column11057" dataDxfId="11096" totalsRowDxfId="11095"/>
    <tableColumn id="11072" xr3:uid="{44801DA5-8A4D-4D33-8A3F-7A498AFE6F20}" name="Column11058" dataDxfId="11094" totalsRowDxfId="11093"/>
    <tableColumn id="11073" xr3:uid="{9946831B-4BCD-460D-BDA5-025DC24AAA8D}" name="Column11059" dataDxfId="11092" totalsRowDxfId="11091"/>
    <tableColumn id="11074" xr3:uid="{5A9F14AF-9D25-4E14-9D6C-7ED5C97EB0C2}" name="Column11060" dataDxfId="11090" totalsRowDxfId="11089"/>
    <tableColumn id="11075" xr3:uid="{8ECA17A4-C357-4A81-9E2D-A218E53F4D1E}" name="Column11061" dataDxfId="11088" totalsRowDxfId="11087"/>
    <tableColumn id="11076" xr3:uid="{5FD887DE-011E-46D1-8A84-68E2F7EA24BF}" name="Column11062" dataDxfId="11086" totalsRowDxfId="11085"/>
    <tableColumn id="11077" xr3:uid="{365E359A-BD0D-4C56-B46C-088FAFA0BFAF}" name="Column11063" dataDxfId="11084" totalsRowDxfId="11083"/>
    <tableColumn id="11078" xr3:uid="{B5E041B9-6A26-42B2-B74B-13898917C4E9}" name="Column11064" dataDxfId="11082" totalsRowDxfId="11081"/>
    <tableColumn id="11079" xr3:uid="{16A8B427-DEC5-4E79-BB17-B52CEC7AB742}" name="Column11065" dataDxfId="11080" totalsRowDxfId="11079"/>
    <tableColumn id="11080" xr3:uid="{437751F5-E245-496A-8024-3C7F86D4F500}" name="Column11066" dataDxfId="11078" totalsRowDxfId="11077"/>
    <tableColumn id="11081" xr3:uid="{A9C54E72-C0F7-4F91-B3A4-4CCC4C4887CA}" name="Column11067" dataDxfId="11076" totalsRowDxfId="11075"/>
    <tableColumn id="11082" xr3:uid="{61DFCC32-F732-49D3-8F10-5D3BD98CA9E2}" name="Column11068" dataDxfId="11074" totalsRowDxfId="11073"/>
    <tableColumn id="11083" xr3:uid="{D19C0E51-95AC-4541-9B92-D16649683FCA}" name="Column11069" dataDxfId="11072" totalsRowDxfId="11071"/>
    <tableColumn id="11084" xr3:uid="{EDD17856-C4BF-4F89-A21A-E1C98152D8EF}" name="Column11070" dataDxfId="11070" totalsRowDxfId="11069"/>
    <tableColumn id="11085" xr3:uid="{BBB1BCF3-8A5C-4B32-BFEB-5199591F0C93}" name="Column11071" dataDxfId="11068" totalsRowDxfId="11067"/>
    <tableColumn id="11086" xr3:uid="{9E61DA8E-CCB0-48EC-98C6-040A03CBC82E}" name="Column11072" dataDxfId="11066" totalsRowDxfId="11065"/>
    <tableColumn id="11087" xr3:uid="{9380BDD6-D139-4FC7-B859-839FA7E2ED53}" name="Column11073" dataDxfId="11064" totalsRowDxfId="11063"/>
    <tableColumn id="11088" xr3:uid="{D719FC4A-7FFA-4A33-8775-960E90EB78E9}" name="Column11074" dataDxfId="11062" totalsRowDxfId="11061"/>
    <tableColumn id="11089" xr3:uid="{F87AC4A9-8844-49FA-A0BF-6284BD2CCD10}" name="Column11075" dataDxfId="11060" totalsRowDxfId="11059"/>
    <tableColumn id="11090" xr3:uid="{6FA47DD5-46F8-4107-8C44-5ACC54BDDF8D}" name="Column11076" dataDxfId="11058" totalsRowDxfId="11057"/>
    <tableColumn id="11091" xr3:uid="{529A9DDD-6164-4607-A97C-E9DDF7A52C0E}" name="Column11077" dataDxfId="11056" totalsRowDxfId="11055"/>
    <tableColumn id="11092" xr3:uid="{B6A2EA34-8D9A-4B52-BC15-96834D71564B}" name="Column11078" dataDxfId="11054" totalsRowDxfId="11053"/>
    <tableColumn id="11093" xr3:uid="{F85FA93A-9C41-4018-A724-6CC5B27AAFA8}" name="Column11079" dataDxfId="11052" totalsRowDxfId="11051"/>
    <tableColumn id="11094" xr3:uid="{DEE68588-9B60-4097-B3A0-3AB4F45FA390}" name="Column11080" dataDxfId="11050" totalsRowDxfId="11049"/>
    <tableColumn id="11095" xr3:uid="{A08F29BB-BFCB-42B7-807F-2581CE07AEF7}" name="Column11081" dataDxfId="11048" totalsRowDxfId="11047"/>
    <tableColumn id="11096" xr3:uid="{416DE51C-2087-4009-B86E-AFCF88530C82}" name="Column11082" dataDxfId="11046" totalsRowDxfId="11045"/>
    <tableColumn id="11097" xr3:uid="{AE0E3A92-E5D9-4178-A632-7ACFAF6D0F2E}" name="Column11083" dataDxfId="11044" totalsRowDxfId="11043"/>
    <tableColumn id="11098" xr3:uid="{5EA3A334-0F89-4123-B641-1B3C8495C9AB}" name="Column11084" dataDxfId="11042" totalsRowDxfId="11041"/>
    <tableColumn id="11099" xr3:uid="{057E6332-75E8-4968-88BD-C2EA4C2556B6}" name="Column11085" dataDxfId="11040" totalsRowDxfId="11039"/>
    <tableColumn id="11100" xr3:uid="{76F68C24-4309-44C2-A52C-DC6956B12AEC}" name="Column11086" dataDxfId="11038" totalsRowDxfId="11037"/>
    <tableColumn id="11101" xr3:uid="{CE405E0C-0A86-469D-B654-E89249D41CFB}" name="Column11087" dataDxfId="11036" totalsRowDxfId="11035"/>
    <tableColumn id="11102" xr3:uid="{488F2BEF-39EA-4D29-A6B2-86F5932FAC34}" name="Column11088" dataDxfId="11034" totalsRowDxfId="11033"/>
    <tableColumn id="11103" xr3:uid="{560F7299-DFA3-42A0-B8A9-E8F22CCE43FB}" name="Column11089" dataDxfId="11032" totalsRowDxfId="11031"/>
    <tableColumn id="11104" xr3:uid="{671DB44F-478A-489A-AF34-9F3802D1F8D7}" name="Column11090" dataDxfId="11030" totalsRowDxfId="11029"/>
    <tableColumn id="11105" xr3:uid="{B6423272-354D-4AA8-BE94-EC818CDA20AF}" name="Column11091" dataDxfId="11028" totalsRowDxfId="11027"/>
    <tableColumn id="11106" xr3:uid="{F739B637-5504-4126-81DF-AF698725A0C7}" name="Column11092" dataDxfId="11026" totalsRowDxfId="11025"/>
    <tableColumn id="11107" xr3:uid="{30590ABF-6408-4611-A9A3-66BDF40208E9}" name="Column11093" dataDxfId="11024" totalsRowDxfId="11023"/>
    <tableColumn id="11108" xr3:uid="{2D8384E0-B81D-4AE9-A287-2875B766A44A}" name="Column11094" dataDxfId="11022" totalsRowDxfId="11021"/>
    <tableColumn id="11109" xr3:uid="{E38F2116-293C-4D00-8A23-B467EAF7E340}" name="Column11095" dataDxfId="11020" totalsRowDxfId="11019"/>
    <tableColumn id="11110" xr3:uid="{F153CE21-EBEE-47E2-BD03-ED106D7BA463}" name="Column11096" dataDxfId="11018" totalsRowDxfId="11017"/>
    <tableColumn id="11111" xr3:uid="{F91F3715-2973-4E08-BB1E-10FDBFE3673E}" name="Column11097" dataDxfId="11016" totalsRowDxfId="11015"/>
    <tableColumn id="11112" xr3:uid="{74B7E617-AE17-464E-B23C-DB046AE402C9}" name="Column11098" dataDxfId="11014" totalsRowDxfId="11013"/>
    <tableColumn id="11113" xr3:uid="{FC60A058-64E5-49EC-96A5-DD5AA3F84678}" name="Column11099" dataDxfId="11012" totalsRowDxfId="11011"/>
    <tableColumn id="11114" xr3:uid="{9AD0ED7A-1D96-4E14-AA8A-AD1E838DA8F3}" name="Column11100" dataDxfId="11010" totalsRowDxfId="11009"/>
    <tableColumn id="11115" xr3:uid="{D9F84113-6B90-42D9-B32E-8C22A2CDE1A4}" name="Column11101" dataDxfId="11008" totalsRowDxfId="11007"/>
    <tableColumn id="11116" xr3:uid="{E6F20B1D-A78E-4CC0-B570-8D3BBB7FB284}" name="Column11102" dataDxfId="11006" totalsRowDxfId="11005"/>
    <tableColumn id="11117" xr3:uid="{E9DCA64F-EB0B-4233-A9A5-8A404250A497}" name="Column11103" dataDxfId="11004" totalsRowDxfId="11003"/>
    <tableColumn id="11118" xr3:uid="{12466077-9BA1-4F7A-B83B-ABEA5B5B053D}" name="Column11104" dataDxfId="11002" totalsRowDxfId="11001"/>
    <tableColumn id="11119" xr3:uid="{9C6EAC3E-805F-4206-9804-55A25198C964}" name="Column11105" dataDxfId="11000" totalsRowDxfId="10999"/>
    <tableColumn id="11120" xr3:uid="{0784593F-E3CF-4A96-AE75-F6C91D1808DE}" name="Column11106" dataDxfId="10998" totalsRowDxfId="10997"/>
    <tableColumn id="11121" xr3:uid="{9BD7AC62-FE73-42C3-B410-07B2A6A4D0B6}" name="Column11107" dataDxfId="10996" totalsRowDxfId="10995"/>
    <tableColumn id="11122" xr3:uid="{4CD69142-711F-41E4-93F6-0FE79E05B019}" name="Column11108" dataDxfId="10994" totalsRowDxfId="10993"/>
    <tableColumn id="11123" xr3:uid="{459EEED0-FD49-4C18-8096-577F9E88F1D1}" name="Column11109" dataDxfId="10992" totalsRowDxfId="10991"/>
    <tableColumn id="11124" xr3:uid="{7789CF9E-C9EC-48FB-A5DB-3535B144B74F}" name="Column11110" dataDxfId="10990" totalsRowDxfId="10989"/>
    <tableColumn id="11125" xr3:uid="{0C0FDB66-7B06-4D40-8F09-90D0999F72D3}" name="Column11111" dataDxfId="10988" totalsRowDxfId="10987"/>
    <tableColumn id="11126" xr3:uid="{F9D9C27C-7856-4C8B-ABF0-5A4DDFBA0C8F}" name="Column11112" dataDxfId="10986" totalsRowDxfId="10985"/>
    <tableColumn id="11127" xr3:uid="{1B490BA9-0545-46C9-9652-82E6EBB7CB5E}" name="Column11113" dataDxfId="10984" totalsRowDxfId="10983"/>
    <tableColumn id="11128" xr3:uid="{87F8A2BB-0229-4A1F-B338-4FB0F152D52F}" name="Column11114" dataDxfId="10982" totalsRowDxfId="10981"/>
    <tableColumn id="11129" xr3:uid="{F8914060-9E1B-4B8C-9401-CF2148F46949}" name="Column11115" dataDxfId="10980" totalsRowDxfId="10979"/>
    <tableColumn id="11130" xr3:uid="{35256359-9BA3-4B99-B252-20CA319835A6}" name="Column11116" dataDxfId="10978" totalsRowDxfId="10977"/>
    <tableColumn id="11131" xr3:uid="{E66FFEA3-0525-4440-867C-B16B1BB38B62}" name="Column11117" dataDxfId="10976" totalsRowDxfId="10975"/>
    <tableColumn id="11132" xr3:uid="{ED817A62-8180-48A4-9D87-4401EF56F0C9}" name="Column11118" dataDxfId="10974" totalsRowDxfId="10973"/>
    <tableColumn id="11133" xr3:uid="{3B1A39EE-C5A8-4B12-B292-6142780F0972}" name="Column11119" dataDxfId="10972" totalsRowDxfId="10971"/>
    <tableColumn id="11134" xr3:uid="{84754983-899C-470B-8E38-CB32C2740FA9}" name="Column11120" dataDxfId="10970" totalsRowDxfId="10969"/>
    <tableColumn id="11135" xr3:uid="{7D062C7F-9135-41C7-B619-301533E24C40}" name="Column11121" dataDxfId="10968" totalsRowDxfId="10967"/>
    <tableColumn id="11136" xr3:uid="{07D13D2C-300C-4E08-B901-6BF549947051}" name="Column11122" dataDxfId="10966" totalsRowDxfId="10965"/>
    <tableColumn id="11137" xr3:uid="{8E0BF70E-AF07-4433-B714-230BB6820250}" name="Column11123" dataDxfId="10964" totalsRowDxfId="10963"/>
    <tableColumn id="11138" xr3:uid="{AE976B77-C997-4B93-A0B7-B74FEE579795}" name="Column11124" dataDxfId="10962" totalsRowDxfId="10961"/>
    <tableColumn id="11139" xr3:uid="{3ED13A95-7DB0-4C28-A216-816ADC3844BE}" name="Column11125" dataDxfId="10960" totalsRowDxfId="10959"/>
    <tableColumn id="11140" xr3:uid="{6D8282E1-02F1-41D2-8647-858620162E9D}" name="Column11126" dataDxfId="10958" totalsRowDxfId="10957"/>
    <tableColumn id="11141" xr3:uid="{3ADA4F65-8410-4B57-B517-3DC593BF5EBB}" name="Column11127" dataDxfId="10956" totalsRowDxfId="10955"/>
    <tableColumn id="11142" xr3:uid="{9B05BDCE-A57E-45A4-A03E-F47BE05CF611}" name="Column11128" dataDxfId="10954" totalsRowDxfId="10953"/>
    <tableColumn id="11143" xr3:uid="{34440E65-05AA-4006-95B3-CC00B00DC3C9}" name="Column11129" dataDxfId="10952" totalsRowDxfId="10951"/>
    <tableColumn id="11144" xr3:uid="{147041AA-E37D-429D-9C24-B202237B2F0D}" name="Column11130" dataDxfId="10950" totalsRowDxfId="10949"/>
    <tableColumn id="11145" xr3:uid="{1F0A6154-C435-4F38-BC6F-37E8311900E3}" name="Column11131" dataDxfId="10948" totalsRowDxfId="10947"/>
    <tableColumn id="11146" xr3:uid="{F87DAB56-AF2A-442F-9DFB-6086FEE9D266}" name="Column11132" dataDxfId="10946" totalsRowDxfId="10945"/>
    <tableColumn id="11147" xr3:uid="{8070F166-8FE6-449A-9F63-FED6E1F4D296}" name="Column11133" dataDxfId="10944" totalsRowDxfId="10943"/>
    <tableColumn id="11148" xr3:uid="{578FE272-8405-4668-9EE2-10C772538331}" name="Column11134" dataDxfId="10942" totalsRowDxfId="10941"/>
    <tableColumn id="11149" xr3:uid="{C7D188C3-12A6-46E5-AABB-C110AAEE535A}" name="Column11135" dataDxfId="10940" totalsRowDxfId="10939"/>
    <tableColumn id="11150" xr3:uid="{F382F52B-104E-40B1-80EA-A5398BAD80AB}" name="Column11136" dataDxfId="10938" totalsRowDxfId="10937"/>
    <tableColumn id="11151" xr3:uid="{2B8C8B8E-23A7-497E-9852-E4A5BB84B4E6}" name="Column11137" dataDxfId="10936" totalsRowDxfId="10935"/>
    <tableColumn id="11152" xr3:uid="{ED458198-3E9B-4181-BB8A-EDA49E70824F}" name="Column11138" dataDxfId="10934" totalsRowDxfId="10933"/>
    <tableColumn id="11153" xr3:uid="{FAB4A813-06A8-4405-955F-154C7DFFF32D}" name="Column11139" dataDxfId="10932" totalsRowDxfId="10931"/>
    <tableColumn id="11154" xr3:uid="{6EFBD5B8-0BBF-4318-B661-C0D2A8165E49}" name="Column11140" dataDxfId="10930" totalsRowDxfId="10929"/>
    <tableColumn id="11155" xr3:uid="{5DE0722F-1889-42FC-8515-802A60A2C208}" name="Column11141" dataDxfId="10928" totalsRowDxfId="10927"/>
    <tableColumn id="11156" xr3:uid="{0CB25AD8-8A3F-4EEE-9626-AAD319BD106D}" name="Column11142" dataDxfId="10926" totalsRowDxfId="10925"/>
    <tableColumn id="11157" xr3:uid="{0480E682-BDAB-472B-9BE4-36B4899D7893}" name="Column11143" dataDxfId="10924" totalsRowDxfId="10923"/>
    <tableColumn id="11158" xr3:uid="{BED96FDF-F989-445C-B6F3-6FF80C5E4D49}" name="Column11144" dataDxfId="10922" totalsRowDxfId="10921"/>
    <tableColumn id="11159" xr3:uid="{EED13394-B13A-43E1-9B04-170CA898E388}" name="Column11145" dataDxfId="10920" totalsRowDxfId="10919"/>
    <tableColumn id="11160" xr3:uid="{D232D245-7F98-44CA-AB85-0FB09BF708DD}" name="Column11146" dataDxfId="10918" totalsRowDxfId="10917"/>
    <tableColumn id="11161" xr3:uid="{AF0E7686-B90E-491F-B366-13A1281E658D}" name="Column11147" dataDxfId="10916" totalsRowDxfId="10915"/>
    <tableColumn id="11162" xr3:uid="{03DF1BD5-935E-49EC-9E08-16A5E355ECEE}" name="Column11148" dataDxfId="10914" totalsRowDxfId="10913"/>
    <tableColumn id="11163" xr3:uid="{9B2D1816-C74E-49FB-9C38-2860E64DBB95}" name="Column11149" dataDxfId="10912" totalsRowDxfId="10911"/>
    <tableColumn id="11164" xr3:uid="{4A4E0733-1D92-4612-AFEC-9E702AADF53E}" name="Column11150" dataDxfId="10910" totalsRowDxfId="10909"/>
    <tableColumn id="11165" xr3:uid="{CAE59686-B36C-4E36-B5B8-144F4DE53929}" name="Column11151" dataDxfId="10908" totalsRowDxfId="10907"/>
    <tableColumn id="11166" xr3:uid="{02357BBC-62DD-4D4B-B1EA-6211C82FC3E4}" name="Column11152" dataDxfId="10906" totalsRowDxfId="10905"/>
    <tableColumn id="11167" xr3:uid="{8E329873-EDED-4761-B36F-7C947EAD0649}" name="Column11153" dataDxfId="10904" totalsRowDxfId="10903"/>
    <tableColumn id="11168" xr3:uid="{A80B77FC-F6F9-4D2E-B10E-1684D9007EAC}" name="Column11154" dataDxfId="10902" totalsRowDxfId="10901"/>
    <tableColumn id="11169" xr3:uid="{ECF82F37-D37D-43F1-9F47-D3983701C962}" name="Column11155" dataDxfId="10900" totalsRowDxfId="10899"/>
    <tableColumn id="11170" xr3:uid="{E4D7567C-B6E9-4421-8ABE-FDFC38252D4D}" name="Column11156" dataDxfId="10898" totalsRowDxfId="10897"/>
    <tableColumn id="11171" xr3:uid="{5A78A137-F78A-4ED9-8834-002B0D73CF8C}" name="Column11157" dataDxfId="10896" totalsRowDxfId="10895"/>
    <tableColumn id="11172" xr3:uid="{0E477F5A-DD5C-439F-91C9-DF7FEB4161CE}" name="Column11158" dataDxfId="10894" totalsRowDxfId="10893"/>
    <tableColumn id="11173" xr3:uid="{36EA7058-6C4B-443C-91E0-151AE0510357}" name="Column11159" dataDxfId="10892" totalsRowDxfId="10891"/>
    <tableColumn id="11174" xr3:uid="{B0D9B533-2299-4D76-9F0D-501CB9A56396}" name="Column11160" dataDxfId="10890" totalsRowDxfId="10889"/>
    <tableColumn id="11175" xr3:uid="{70D1DB9F-7244-473C-9036-184607A9CE72}" name="Column11161" dataDxfId="10888" totalsRowDxfId="10887"/>
    <tableColumn id="11176" xr3:uid="{1CCA6F21-AB5F-4221-9CED-2663D5928BF3}" name="Column11162" dataDxfId="10886" totalsRowDxfId="10885"/>
    <tableColumn id="11177" xr3:uid="{FC64985B-DABA-46F2-AA7C-4D293A01DDF1}" name="Column11163" dataDxfId="10884" totalsRowDxfId="10883"/>
    <tableColumn id="11178" xr3:uid="{05D632BC-1699-48EC-ABEB-B4EA02E2F551}" name="Column11164" dataDxfId="10882" totalsRowDxfId="10881"/>
    <tableColumn id="11179" xr3:uid="{4353DC54-64DC-4F07-8B77-1EC2A25F2E52}" name="Column11165" dataDxfId="10880" totalsRowDxfId="10879"/>
    <tableColumn id="11180" xr3:uid="{0872B00A-78F4-4AE0-9125-842C87D1C779}" name="Column11166" dataDxfId="10878" totalsRowDxfId="10877"/>
    <tableColumn id="11181" xr3:uid="{FB25C90B-B4FD-40F9-80A1-52FC9BFB4B76}" name="Column11167" dataDxfId="10876" totalsRowDxfId="10875"/>
    <tableColumn id="11182" xr3:uid="{211B050B-DBEA-4BCE-9C7B-75F41D6A22D5}" name="Column11168" dataDxfId="10874" totalsRowDxfId="10873"/>
    <tableColumn id="11183" xr3:uid="{ADED1A8B-0CF8-4E8B-B0A4-53A6474495AC}" name="Column11169" dataDxfId="10872" totalsRowDxfId="10871"/>
    <tableColumn id="11184" xr3:uid="{2D6BE37A-901E-42C3-BF07-0FA5652B0A3E}" name="Column11170" dataDxfId="10870" totalsRowDxfId="10869"/>
    <tableColumn id="11185" xr3:uid="{49D6FFBA-E286-4FB1-A207-5C00253856CF}" name="Column11171" dataDxfId="10868" totalsRowDxfId="10867"/>
    <tableColumn id="11186" xr3:uid="{AE49791C-CB86-48C7-8185-333E20C947C2}" name="Column11172" dataDxfId="10866" totalsRowDxfId="10865"/>
    <tableColumn id="11187" xr3:uid="{37EA3B84-51B5-4A01-AAA6-66FC5D9C239F}" name="Column11173" dataDxfId="10864" totalsRowDxfId="10863"/>
    <tableColumn id="11188" xr3:uid="{6D618D6F-5209-48E0-9E60-33B27A8C4138}" name="Column11174" dataDxfId="10862" totalsRowDxfId="10861"/>
    <tableColumn id="11189" xr3:uid="{FC65B557-0A6A-4256-AD49-3ED56110543A}" name="Column11175" dataDxfId="10860" totalsRowDxfId="10859"/>
    <tableColumn id="11190" xr3:uid="{06EAD676-F961-462A-8FDE-0077F392BE0D}" name="Column11176" dataDxfId="10858" totalsRowDxfId="10857"/>
    <tableColumn id="11191" xr3:uid="{F18DD545-F9BE-46C6-99F7-4305421B4902}" name="Column11177" dataDxfId="10856" totalsRowDxfId="10855"/>
    <tableColumn id="11192" xr3:uid="{E6273F88-3C50-4B20-A986-3439E4C6E8C7}" name="Column11178" dataDxfId="10854" totalsRowDxfId="10853"/>
    <tableColumn id="11193" xr3:uid="{68AB102A-8376-4302-BB13-3305EFFDF577}" name="Column11179" dataDxfId="10852" totalsRowDxfId="10851"/>
    <tableColumn id="11194" xr3:uid="{15B27CD8-4F28-49A4-9334-FDA495BFCDAC}" name="Column11180" dataDxfId="10850" totalsRowDxfId="10849"/>
    <tableColumn id="11195" xr3:uid="{5D264715-469B-4D08-AC0A-93324B7C5179}" name="Column11181" dataDxfId="10848" totalsRowDxfId="10847"/>
    <tableColumn id="11196" xr3:uid="{30F0CE3C-79FE-41EE-9DB5-D275099AF282}" name="Column11182" dataDxfId="10846" totalsRowDxfId="10845"/>
    <tableColumn id="11197" xr3:uid="{238B6153-F41E-46CC-B513-7353BA599E29}" name="Column11183" dataDxfId="10844" totalsRowDxfId="10843"/>
    <tableColumn id="11198" xr3:uid="{A7EC8DF8-1386-4D42-8B5A-996E8779FCA1}" name="Column11184" dataDxfId="10842" totalsRowDxfId="10841"/>
    <tableColumn id="11199" xr3:uid="{DA3B8D16-7BE8-4F20-A5A6-95DA7FAF1C5F}" name="Column11185" dataDxfId="10840" totalsRowDxfId="10839"/>
    <tableColumn id="11200" xr3:uid="{4AD902DA-E4B2-4CF2-A067-06E01506F156}" name="Column11186" dataDxfId="10838" totalsRowDxfId="10837"/>
    <tableColumn id="11201" xr3:uid="{B18F678A-E304-4609-A520-AE96CBC80E3C}" name="Column11187" dataDxfId="10836" totalsRowDxfId="10835"/>
    <tableColumn id="11202" xr3:uid="{9A8FF6C6-FDA2-4AB9-A763-82FE55851CA1}" name="Column11188" dataDxfId="10834" totalsRowDxfId="10833"/>
    <tableColumn id="11203" xr3:uid="{5734EAB6-55E9-406E-BC26-75964B8EB487}" name="Column11189" dataDxfId="10832" totalsRowDxfId="10831"/>
    <tableColumn id="11204" xr3:uid="{C8004F19-F49C-46C4-90DB-D40914B3DC2C}" name="Column11190" dataDxfId="10830" totalsRowDxfId="10829"/>
    <tableColumn id="11205" xr3:uid="{0D7DE94E-5BE6-4F85-9486-3CC6028DFBAC}" name="Column11191" dataDxfId="10828" totalsRowDxfId="10827"/>
    <tableColumn id="11206" xr3:uid="{A8461407-6262-46FF-98D5-00E9CF9A0A98}" name="Column11192" dataDxfId="10826" totalsRowDxfId="10825"/>
    <tableColumn id="11207" xr3:uid="{91A0DE3B-871B-410F-BF57-B96499416294}" name="Column11193" dataDxfId="10824" totalsRowDxfId="10823"/>
    <tableColumn id="11208" xr3:uid="{77F7B122-8F10-4DDA-A706-433C89633AAE}" name="Column11194" dataDxfId="10822" totalsRowDxfId="10821"/>
    <tableColumn id="11209" xr3:uid="{45336C28-57F5-4DCD-A69F-CBC05A2E8997}" name="Column11195" dataDxfId="10820" totalsRowDxfId="10819"/>
    <tableColumn id="11210" xr3:uid="{3CDC27E8-4850-4A93-8F23-FEE501247F35}" name="Column11196" dataDxfId="10818" totalsRowDxfId="10817"/>
    <tableColumn id="11211" xr3:uid="{59C945C0-3412-49FA-B4EB-97AD24023557}" name="Column11197" dataDxfId="10816" totalsRowDxfId="10815"/>
    <tableColumn id="11212" xr3:uid="{61A36F0F-58CD-4235-9058-18A6C3E850B4}" name="Column11198" dataDxfId="10814" totalsRowDxfId="10813"/>
    <tableColumn id="11213" xr3:uid="{F33B8D21-528D-467E-84C2-670844D3A484}" name="Column11199" dataDxfId="10812" totalsRowDxfId="10811"/>
    <tableColumn id="11214" xr3:uid="{1C6B9EA3-EC7F-49F1-AB56-5AC6513ABAF5}" name="Column11200" dataDxfId="10810" totalsRowDxfId="10809"/>
    <tableColumn id="11215" xr3:uid="{6EE11197-91D4-40AF-9D02-4607F5EC66CD}" name="Column11201" dataDxfId="10808" totalsRowDxfId="10807"/>
    <tableColumn id="11216" xr3:uid="{4FEC4BE8-5E48-4F5A-9E8E-105FE938FD92}" name="Column11202" dataDxfId="10806" totalsRowDxfId="10805"/>
    <tableColumn id="11217" xr3:uid="{D61EE699-0FAF-4151-B623-54D0C1642BC8}" name="Column11203" dataDxfId="10804" totalsRowDxfId="10803"/>
    <tableColumn id="11218" xr3:uid="{77C9B893-337D-403F-ABDB-CE77F88DAA03}" name="Column11204" dataDxfId="10802" totalsRowDxfId="10801"/>
    <tableColumn id="11219" xr3:uid="{152F3D5F-437C-4CB1-A341-D695DFD25DFC}" name="Column11205" dataDxfId="10800" totalsRowDxfId="10799"/>
    <tableColumn id="11220" xr3:uid="{6D58E384-3D0D-4208-A48D-9B354F4ED8F7}" name="Column11206" dataDxfId="10798" totalsRowDxfId="10797"/>
    <tableColumn id="11221" xr3:uid="{7960CEC1-CA7E-49D0-828A-B007020301DF}" name="Column11207" dataDxfId="10796" totalsRowDxfId="10795"/>
    <tableColumn id="11222" xr3:uid="{865E0E07-4452-438C-9F4D-E33EC7718953}" name="Column11208" dataDxfId="10794" totalsRowDxfId="10793"/>
    <tableColumn id="11223" xr3:uid="{18383E9F-56A4-44DD-A16A-7A09EFE40F81}" name="Column11209" dataDxfId="10792" totalsRowDxfId="10791"/>
    <tableColumn id="11224" xr3:uid="{20D97813-73C7-46DB-8786-E7ABEB1A292A}" name="Column11210" dataDxfId="10790" totalsRowDxfId="10789"/>
    <tableColumn id="11225" xr3:uid="{2D358579-2E13-43A9-AE7F-3C48E31FE1E8}" name="Column11211" dataDxfId="10788" totalsRowDxfId="10787"/>
    <tableColumn id="11226" xr3:uid="{2FF0E3C1-739F-4201-BBF5-227D3DB5ADB2}" name="Column11212" dataDxfId="10786" totalsRowDxfId="10785"/>
    <tableColumn id="11227" xr3:uid="{0670831E-39DA-4122-8A82-BD331671880A}" name="Column11213" dataDxfId="10784" totalsRowDxfId="10783"/>
    <tableColumn id="11228" xr3:uid="{8A5E920F-B325-465B-AB78-938E46BCCBCB}" name="Column11214" dataDxfId="10782" totalsRowDxfId="10781"/>
    <tableColumn id="11229" xr3:uid="{FB6C263F-2B3A-4824-9562-D24ED7821131}" name="Column11215" dataDxfId="10780" totalsRowDxfId="10779"/>
    <tableColumn id="11230" xr3:uid="{7F26554F-B90A-4181-8128-2B2B2B15A5BC}" name="Column11216" dataDxfId="10778" totalsRowDxfId="10777"/>
    <tableColumn id="11231" xr3:uid="{40DD5CEC-6590-44CC-8963-10925669D10A}" name="Column11217" dataDxfId="10776" totalsRowDxfId="10775"/>
    <tableColumn id="11232" xr3:uid="{203B7480-24F6-4BCA-ABB7-620DE9E3C51D}" name="Column11218" dataDxfId="10774" totalsRowDxfId="10773"/>
    <tableColumn id="11233" xr3:uid="{56359B5A-20EC-47EC-9A47-1AFE23586E4B}" name="Column11219" dataDxfId="10772" totalsRowDxfId="10771"/>
    <tableColumn id="11234" xr3:uid="{79297B0D-9832-417E-BE3A-7085AE8323A6}" name="Column11220" dataDxfId="10770" totalsRowDxfId="10769"/>
    <tableColumn id="11235" xr3:uid="{4D0619D6-06EB-4362-9853-6C2A06156C80}" name="Column11221" dataDxfId="10768" totalsRowDxfId="10767"/>
    <tableColumn id="11236" xr3:uid="{FBDE0AC0-F716-4396-8F72-D006B7AFA084}" name="Column11222" dataDxfId="10766" totalsRowDxfId="10765"/>
    <tableColumn id="11237" xr3:uid="{44F3BFB8-26C2-4530-8782-8FD2E8CBEFF2}" name="Column11223" dataDxfId="10764" totalsRowDxfId="10763"/>
    <tableColumn id="11238" xr3:uid="{CB7EBFA0-D361-46D0-942A-4E92955A114A}" name="Column11224" dataDxfId="10762" totalsRowDxfId="10761"/>
    <tableColumn id="11239" xr3:uid="{F5B83657-49F2-465F-A168-1CF84982909A}" name="Column11225" dataDxfId="10760" totalsRowDxfId="10759"/>
    <tableColumn id="11240" xr3:uid="{26F8197C-56D3-4B85-A132-2D60B7CEC796}" name="Column11226" dataDxfId="10758" totalsRowDxfId="10757"/>
    <tableColumn id="11241" xr3:uid="{25A6614F-05D6-4AAC-8042-111DA428609D}" name="Column11227" dataDxfId="10756" totalsRowDxfId="10755"/>
    <tableColumn id="11242" xr3:uid="{D36DD189-10A0-44AE-9141-69252943F668}" name="Column11228" dataDxfId="10754" totalsRowDxfId="10753"/>
    <tableColumn id="11243" xr3:uid="{B5477399-C9B9-4D77-8842-52A0864962FC}" name="Column11229" dataDxfId="10752" totalsRowDxfId="10751"/>
    <tableColumn id="11244" xr3:uid="{8C712A76-CA58-462E-A078-41EEA2D9148F}" name="Column11230" dataDxfId="10750" totalsRowDxfId="10749"/>
    <tableColumn id="11245" xr3:uid="{23412BD1-E3E3-4E78-AB4E-19FF4FEEBBE7}" name="Column11231" dataDxfId="10748" totalsRowDxfId="10747"/>
    <tableColumn id="11246" xr3:uid="{F8045A5D-2CC7-4D72-89F6-28B43902B3CD}" name="Column11232" dataDxfId="10746" totalsRowDxfId="10745"/>
    <tableColumn id="11247" xr3:uid="{BB87FAD5-1EAF-46FF-91B7-3584545ADD51}" name="Column11233" dataDxfId="10744" totalsRowDxfId="10743"/>
    <tableColumn id="11248" xr3:uid="{5576992C-C9EB-4B56-BF3A-DA1A4DBF6BF9}" name="Column11234" dataDxfId="10742" totalsRowDxfId="10741"/>
    <tableColumn id="11249" xr3:uid="{01133E97-75C1-42B6-8AA7-7F24D5FC7914}" name="Column11235" dataDxfId="10740" totalsRowDxfId="10739"/>
    <tableColumn id="11250" xr3:uid="{B6741ABF-F279-4120-BF56-96E59365165D}" name="Column11236" dataDxfId="10738" totalsRowDxfId="10737"/>
    <tableColumn id="11251" xr3:uid="{D4160A9E-ED67-4BE6-B146-AA0878E2B667}" name="Column11237" dataDxfId="10736" totalsRowDxfId="10735"/>
    <tableColumn id="11252" xr3:uid="{105862BD-246B-46FA-BB3E-0C47B400FBA8}" name="Column11238" dataDxfId="10734" totalsRowDxfId="10733"/>
    <tableColumn id="11253" xr3:uid="{ECF9669A-27C8-43BC-9672-2EBBAB9586D9}" name="Column11239" dataDxfId="10732" totalsRowDxfId="10731"/>
    <tableColumn id="11254" xr3:uid="{4D86DD7E-E22E-43A7-8DCC-636AD6899032}" name="Column11240" dataDxfId="10730" totalsRowDxfId="10729"/>
    <tableColumn id="11255" xr3:uid="{C7A45138-2DF1-45DD-A521-DE4B42625573}" name="Column11241" dataDxfId="10728" totalsRowDxfId="10727"/>
    <tableColumn id="11256" xr3:uid="{C5D814DC-BFE2-41C4-BCA3-E4998D198D6D}" name="Column11242" dataDxfId="10726" totalsRowDxfId="10725"/>
    <tableColumn id="11257" xr3:uid="{6F8D6BD6-0A41-4D63-8F44-BEA63CFD1CD2}" name="Column11243" dataDxfId="10724" totalsRowDxfId="10723"/>
    <tableColumn id="11258" xr3:uid="{0A8A5646-A85C-42D2-A928-7EF839EA9493}" name="Column11244" dataDxfId="10722" totalsRowDxfId="10721"/>
    <tableColumn id="11259" xr3:uid="{CCD6920C-B688-4E63-AC22-57782644FDEB}" name="Column11245" dataDxfId="10720" totalsRowDxfId="10719"/>
    <tableColumn id="11260" xr3:uid="{28BDBB4E-9080-4DCF-99FC-83AD30BBEC5F}" name="Column11246" dataDxfId="10718" totalsRowDxfId="10717"/>
    <tableColumn id="11261" xr3:uid="{399E18D4-E529-4CBD-A474-B00751EDF99B}" name="Column11247" dataDxfId="10716" totalsRowDxfId="10715"/>
    <tableColumn id="11262" xr3:uid="{386EA28F-925F-4D98-8910-3AB38291BCE7}" name="Column11248" dataDxfId="10714" totalsRowDxfId="10713"/>
    <tableColumn id="11263" xr3:uid="{0DE09025-4AD5-44FC-99AB-B6FE348637BE}" name="Column11249" dataDxfId="10712" totalsRowDxfId="10711"/>
    <tableColumn id="11264" xr3:uid="{93A34CB9-6786-499D-AD9E-8247BD5AB72F}" name="Column11250" dataDxfId="10710" totalsRowDxfId="10709"/>
    <tableColumn id="11265" xr3:uid="{7890A2B5-4BC9-49EE-88EE-64B7F5031916}" name="Column11251" dataDxfId="10708" totalsRowDxfId="10707"/>
    <tableColumn id="11266" xr3:uid="{24F405CE-7A9B-44A1-B67E-53108B7779B7}" name="Column11252" dataDxfId="10706" totalsRowDxfId="10705"/>
    <tableColumn id="11267" xr3:uid="{916394FA-B6B7-4E40-9DA6-7B1E83401DF2}" name="Column11253" dataDxfId="10704" totalsRowDxfId="10703"/>
    <tableColumn id="11268" xr3:uid="{F63EAC29-1928-4A18-BBFA-1A1D7C683233}" name="Column11254" dataDxfId="10702" totalsRowDxfId="10701"/>
    <tableColumn id="11269" xr3:uid="{5E77593D-0F4F-4BD9-8AF2-C3B1A04D31D8}" name="Column11255" dataDxfId="10700" totalsRowDxfId="10699"/>
    <tableColumn id="11270" xr3:uid="{EB881957-A0B1-4D1B-A287-C30F684858EE}" name="Column11256" dataDxfId="10698" totalsRowDxfId="10697"/>
    <tableColumn id="11271" xr3:uid="{6C5A4C91-0CC8-40ED-B358-053EE3587856}" name="Column11257" dataDxfId="10696" totalsRowDxfId="10695"/>
    <tableColumn id="11272" xr3:uid="{8199997F-4F99-4DF4-A1E6-01D2F39BD2D4}" name="Column11258" dataDxfId="10694" totalsRowDxfId="10693"/>
    <tableColumn id="11273" xr3:uid="{039F3DAB-8490-4168-AD04-276A4AE3C9C7}" name="Column11259" dataDxfId="10692" totalsRowDxfId="10691"/>
    <tableColumn id="11274" xr3:uid="{26AC73AD-9613-44F4-9994-92878FC6769C}" name="Column11260" dataDxfId="10690" totalsRowDxfId="10689"/>
    <tableColumn id="11275" xr3:uid="{B0A9F6D2-4CD5-49AD-9E6E-1F4CD6E79B44}" name="Column11261" dataDxfId="10688" totalsRowDxfId="10687"/>
    <tableColumn id="11276" xr3:uid="{A1ABFF6F-9E6A-4F1E-86A5-6185B403A80A}" name="Column11262" dataDxfId="10686" totalsRowDxfId="10685"/>
    <tableColumn id="11277" xr3:uid="{2B6BE653-2303-49E1-9708-A8410A24CBA1}" name="Column11263" dataDxfId="10684" totalsRowDxfId="10683"/>
    <tableColumn id="11278" xr3:uid="{3FDFF77C-5DE0-41E0-9538-2703B05D8C75}" name="Column11264" dataDxfId="10682" totalsRowDxfId="10681"/>
    <tableColumn id="11279" xr3:uid="{840BD658-B8EF-4786-83D4-3A0D72B41E46}" name="Column11265" dataDxfId="10680" totalsRowDxfId="10679"/>
    <tableColumn id="11280" xr3:uid="{D4C2E54C-1267-407F-AB32-D997489B7176}" name="Column11266" dataDxfId="10678" totalsRowDxfId="10677"/>
    <tableColumn id="11281" xr3:uid="{052967E3-9363-4AA9-BFC7-1F41723E5622}" name="Column11267" dataDxfId="10676" totalsRowDxfId="10675"/>
    <tableColumn id="11282" xr3:uid="{F807B1D6-4C57-40B7-95BA-0FF40909C2B6}" name="Column11268" dataDxfId="10674" totalsRowDxfId="10673"/>
    <tableColumn id="11283" xr3:uid="{99036DC6-F90F-45CF-AB29-4E3F89CBD758}" name="Column11269" dataDxfId="10672" totalsRowDxfId="10671"/>
    <tableColumn id="11284" xr3:uid="{911C282B-3CFE-43FB-A99E-892F659DABA2}" name="Column11270" dataDxfId="10670" totalsRowDxfId="10669"/>
    <tableColumn id="11285" xr3:uid="{9BC11055-6026-47AF-9635-2F894F271AF7}" name="Column11271" dataDxfId="10668" totalsRowDxfId="10667"/>
    <tableColumn id="11286" xr3:uid="{3F7A3FC1-803D-443B-9671-12A7AB78D4AA}" name="Column11272" dataDxfId="10666" totalsRowDxfId="10665"/>
    <tableColumn id="11287" xr3:uid="{422CECD4-04BA-4E51-BF6A-566988A2F1E2}" name="Column11273" dataDxfId="10664" totalsRowDxfId="10663"/>
    <tableColumn id="11288" xr3:uid="{7DB7127B-3A7D-4BC2-A40A-841D4D55B192}" name="Column11274" dataDxfId="10662" totalsRowDxfId="10661"/>
    <tableColumn id="11289" xr3:uid="{2BE3E822-E17A-46CF-9265-ED1E14A9DE54}" name="Column11275" dataDxfId="10660" totalsRowDxfId="10659"/>
    <tableColumn id="11290" xr3:uid="{EFFA856B-8FDF-4997-8FDB-376F33B3EB9C}" name="Column11276" dataDxfId="10658" totalsRowDxfId="10657"/>
    <tableColumn id="11291" xr3:uid="{BF4199B4-8B42-4440-A553-274F067771B9}" name="Column11277" dataDxfId="10656" totalsRowDxfId="10655"/>
    <tableColumn id="11292" xr3:uid="{8F28EEAE-E54A-49E9-9062-7AEFF1F70839}" name="Column11278" dataDxfId="10654" totalsRowDxfId="10653"/>
    <tableColumn id="11293" xr3:uid="{DE815734-0887-448A-86FA-200453CF0D21}" name="Column11279" dataDxfId="10652" totalsRowDxfId="10651"/>
    <tableColumn id="11294" xr3:uid="{49F7D4C9-5D82-4CCF-A63F-9878E9DB15BD}" name="Column11280" dataDxfId="10650" totalsRowDxfId="10649"/>
    <tableColumn id="11295" xr3:uid="{F08FFE9B-00FD-471C-94BF-6088AD33C1CC}" name="Column11281" dataDxfId="10648" totalsRowDxfId="10647"/>
    <tableColumn id="11296" xr3:uid="{3860C8EA-64CE-4E4B-B313-685AD63C6076}" name="Column11282" dataDxfId="10646" totalsRowDxfId="10645"/>
    <tableColumn id="11297" xr3:uid="{1B1B6B7C-5B2C-4978-97F5-CFA1BA0CEE6D}" name="Column11283" dataDxfId="10644" totalsRowDxfId="10643"/>
    <tableColumn id="11298" xr3:uid="{9341F1D3-1C9D-4640-BC10-CB28CB791691}" name="Column11284" dataDxfId="10642" totalsRowDxfId="10641"/>
    <tableColumn id="11299" xr3:uid="{3C2ADF87-57C6-4215-BAAB-A5DAD14561DE}" name="Column11285" dataDxfId="10640" totalsRowDxfId="10639"/>
    <tableColumn id="11300" xr3:uid="{3323ABA1-83B5-4CB5-8544-27786020CB4A}" name="Column11286" dataDxfId="10638" totalsRowDxfId="10637"/>
    <tableColumn id="11301" xr3:uid="{48821CFA-AC31-48B6-AEA6-A56B0CFF8EA8}" name="Column11287" dataDxfId="10636" totalsRowDxfId="10635"/>
    <tableColumn id="11302" xr3:uid="{8F732850-4212-4452-BC8B-AA7067C6B53D}" name="Column11288" dataDxfId="10634" totalsRowDxfId="10633"/>
    <tableColumn id="11303" xr3:uid="{03EAE679-BB95-4D18-AE1C-C7CCDA153AF3}" name="Column11289" dataDxfId="10632" totalsRowDxfId="10631"/>
    <tableColumn id="11304" xr3:uid="{A9741E6F-24B8-49FD-A800-2619CE2BBADA}" name="Column11290" dataDxfId="10630" totalsRowDxfId="10629"/>
    <tableColumn id="11305" xr3:uid="{BB6338D4-3AD8-4288-BA4F-D137B8BC4615}" name="Column11291" dataDxfId="10628" totalsRowDxfId="10627"/>
    <tableColumn id="11306" xr3:uid="{63C52183-A1B9-495A-A3C7-D35B1A327987}" name="Column11292" dataDxfId="10626" totalsRowDxfId="10625"/>
    <tableColumn id="11307" xr3:uid="{DB846AAF-6DD1-44E6-90FA-7AC2A3D5E7EB}" name="Column11293" dataDxfId="10624" totalsRowDxfId="10623"/>
    <tableColumn id="11308" xr3:uid="{24B08899-9EDA-4CCE-A796-4781E00D6EB3}" name="Column11294" dataDxfId="10622" totalsRowDxfId="10621"/>
    <tableColumn id="11309" xr3:uid="{B657C57A-F3E7-4313-9D9D-A9F78EBBCDBA}" name="Column11295" dataDxfId="10620" totalsRowDxfId="10619"/>
    <tableColumn id="11310" xr3:uid="{2D9016B6-FEB3-47BF-97FB-DA2DC1CAAA59}" name="Column11296" dataDxfId="10618" totalsRowDxfId="10617"/>
    <tableColumn id="11311" xr3:uid="{BB0611E8-A546-4570-A539-C2E34252181F}" name="Column11297" dataDxfId="10616" totalsRowDxfId="10615"/>
    <tableColumn id="11312" xr3:uid="{5E91BAA0-3CB3-42E0-B0BB-2A0A80F0D587}" name="Column11298" dataDxfId="10614" totalsRowDxfId="10613"/>
    <tableColumn id="11313" xr3:uid="{97C311EA-E443-4285-9220-24BBCA88B6D3}" name="Column11299" dataDxfId="10612" totalsRowDxfId="10611"/>
    <tableColumn id="11314" xr3:uid="{A4804F65-D18E-4541-A09C-84EB23424C12}" name="Column11300" dataDxfId="10610" totalsRowDxfId="10609"/>
    <tableColumn id="11315" xr3:uid="{5FA1DC17-B6F2-4AAC-8D7D-6A27E34D1334}" name="Column11301" dataDxfId="10608" totalsRowDxfId="10607"/>
    <tableColumn id="11316" xr3:uid="{DFF74F2D-8D0C-4538-A6A2-A6E660902435}" name="Column11302" dataDxfId="10606" totalsRowDxfId="10605"/>
    <tableColumn id="11317" xr3:uid="{DA9E26AC-4C86-4A52-8521-AA099363FDA4}" name="Column11303" dataDxfId="10604" totalsRowDxfId="10603"/>
    <tableColumn id="11318" xr3:uid="{ACD604E5-743D-4688-9BF1-1DDCDB069DEB}" name="Column11304" dataDxfId="10602" totalsRowDxfId="10601"/>
    <tableColumn id="11319" xr3:uid="{E8D91F81-047F-4701-9B5B-C0FD78B211B7}" name="Column11305" dataDxfId="10600" totalsRowDxfId="10599"/>
    <tableColumn id="11320" xr3:uid="{F61C724F-961D-4BE8-9D5B-28DF5A2DB0B9}" name="Column11306" dataDxfId="10598" totalsRowDxfId="10597"/>
    <tableColumn id="11321" xr3:uid="{8C2D7956-7FD3-477B-8477-14F9DC6D2A1C}" name="Column11307" dataDxfId="10596" totalsRowDxfId="10595"/>
    <tableColumn id="11322" xr3:uid="{3C987AC8-C13C-494C-879C-1E5E105BC9F1}" name="Column11308" dataDxfId="10594" totalsRowDxfId="10593"/>
    <tableColumn id="11323" xr3:uid="{8F44380B-66D5-4F46-ACA3-866AFBC86C8C}" name="Column11309" dataDxfId="10592" totalsRowDxfId="10591"/>
    <tableColumn id="11324" xr3:uid="{1DDBFF33-86D0-4262-BA8C-068969F68512}" name="Column11310" dataDxfId="10590" totalsRowDxfId="10589"/>
    <tableColumn id="11325" xr3:uid="{1B6D77EA-3A38-42C0-8340-B0EB4477DB8A}" name="Column11311" dataDxfId="10588" totalsRowDxfId="10587"/>
    <tableColumn id="11326" xr3:uid="{4B17965D-F593-429E-A59A-7605C93DF5A9}" name="Column11312" dataDxfId="10586" totalsRowDxfId="10585"/>
    <tableColumn id="11327" xr3:uid="{163CC292-EACE-4114-B1B5-3A2DCF5EC136}" name="Column11313" dataDxfId="10584" totalsRowDxfId="10583"/>
    <tableColumn id="11328" xr3:uid="{C3220605-7946-413C-8E94-5F66DB72C7D6}" name="Column11314" dataDxfId="10582" totalsRowDxfId="10581"/>
    <tableColumn id="11329" xr3:uid="{E40266C3-4816-420C-A91F-7862CDA7F9E9}" name="Column11315" dataDxfId="10580" totalsRowDxfId="10579"/>
    <tableColumn id="11330" xr3:uid="{79368170-A2D8-4F92-B8F8-13E432A4840D}" name="Column11316" dataDxfId="10578" totalsRowDxfId="10577"/>
    <tableColumn id="11331" xr3:uid="{D4797D9B-2C32-4D9A-9827-BA965EBA773A}" name="Column11317" dataDxfId="10576" totalsRowDxfId="10575"/>
    <tableColumn id="11332" xr3:uid="{A98CA4C9-7139-4A4B-A740-CBD5F40981AD}" name="Column11318" dataDxfId="10574" totalsRowDxfId="10573"/>
    <tableColumn id="11333" xr3:uid="{B87CF5A0-96A9-4E12-999C-95ABD9C83F61}" name="Column11319" dataDxfId="10572" totalsRowDxfId="10571"/>
    <tableColumn id="11334" xr3:uid="{A302BB8A-F1A8-45A3-8B60-BA5375FA6B26}" name="Column11320" dataDxfId="10570" totalsRowDxfId="10569"/>
    <tableColumn id="11335" xr3:uid="{F85CE3BF-55D3-4444-B54E-9AF22A50B877}" name="Column11321" dataDxfId="10568" totalsRowDxfId="10567"/>
    <tableColumn id="11336" xr3:uid="{B903B62A-C7D1-4B4A-B847-C8F9D874A920}" name="Column11322" dataDxfId="10566" totalsRowDxfId="10565"/>
    <tableColumn id="11337" xr3:uid="{3A13CD3A-ADF0-43CC-A675-A2FDF5DA5E53}" name="Column11323" dataDxfId="10564" totalsRowDxfId="10563"/>
    <tableColumn id="11338" xr3:uid="{99C0EBEE-A6CA-46AD-87DE-C3A730351B26}" name="Column11324" dataDxfId="10562" totalsRowDxfId="10561"/>
    <tableColumn id="11339" xr3:uid="{4FDDECEE-E54E-4FC9-AB06-5B9886D84105}" name="Column11325" dataDxfId="10560" totalsRowDxfId="10559"/>
    <tableColumn id="11340" xr3:uid="{E57B0D69-94B8-4EA7-8630-77D7885D596C}" name="Column11326" dataDxfId="10558" totalsRowDxfId="10557"/>
    <tableColumn id="11341" xr3:uid="{67C41F81-15C2-47C1-B89A-9D3BC0A5105D}" name="Column11327" dataDxfId="10556" totalsRowDxfId="10555"/>
    <tableColumn id="11342" xr3:uid="{BF2B6C21-75B5-4EEE-AADB-AD4C71D3A68B}" name="Column11328" dataDxfId="10554" totalsRowDxfId="10553"/>
    <tableColumn id="11343" xr3:uid="{B4CCA118-830B-4FCD-8006-42B311BB43BE}" name="Column11329" dataDxfId="10552" totalsRowDxfId="10551"/>
    <tableColumn id="11344" xr3:uid="{05E95BBE-5A10-4266-B060-0C93D56E4F23}" name="Column11330" dataDxfId="10550" totalsRowDxfId="10549"/>
    <tableColumn id="11345" xr3:uid="{CB285C0F-8AC3-40E3-8CDE-B512814C8C7C}" name="Column11331" dataDxfId="10548" totalsRowDxfId="10547"/>
    <tableColumn id="11346" xr3:uid="{924672E6-FD43-40DB-9E77-746040BA8E18}" name="Column11332" dataDxfId="10546" totalsRowDxfId="10545"/>
    <tableColumn id="11347" xr3:uid="{278E9A56-AF49-480D-A604-A43645D4303E}" name="Column11333" dataDxfId="10544" totalsRowDxfId="10543"/>
    <tableColumn id="11348" xr3:uid="{743E042D-4819-45BA-B161-817C9850E87C}" name="Column11334" dataDxfId="10542" totalsRowDxfId="10541"/>
    <tableColumn id="11349" xr3:uid="{AB4322A0-6539-458E-A045-5B5E07AAFB46}" name="Column11335" dataDxfId="10540" totalsRowDxfId="10539"/>
    <tableColumn id="11350" xr3:uid="{1BD361FA-792F-4685-84E8-2E732380FCD8}" name="Column11336" dataDxfId="10538" totalsRowDxfId="10537"/>
    <tableColumn id="11351" xr3:uid="{EBEA3166-0A10-4154-A18E-1FE9B7567EBB}" name="Column11337" dataDxfId="10536" totalsRowDxfId="10535"/>
    <tableColumn id="11352" xr3:uid="{9FD92A3F-D6C4-437B-897D-06BE346EF7AC}" name="Column11338" dataDxfId="10534" totalsRowDxfId="10533"/>
    <tableColumn id="11353" xr3:uid="{7B80B3A8-BC53-430B-AAA8-9F866D78E105}" name="Column11339" dataDxfId="10532" totalsRowDxfId="10531"/>
    <tableColumn id="11354" xr3:uid="{BA7A61AD-F93C-4B5F-B33F-C4230B6D296D}" name="Column11340" dataDxfId="10530" totalsRowDxfId="10529"/>
    <tableColumn id="11355" xr3:uid="{EAF8155F-22D4-423C-A471-FC53AD54FCFC}" name="Column11341" dataDxfId="10528" totalsRowDxfId="10527"/>
    <tableColumn id="11356" xr3:uid="{03EA1C09-5CFE-4672-9BFE-A391AB2AF370}" name="Column11342" dataDxfId="10526" totalsRowDxfId="10525"/>
    <tableColumn id="11357" xr3:uid="{E045CB8A-3EA4-4723-9E54-0703D0A2576E}" name="Column11343" dataDxfId="10524" totalsRowDxfId="10523"/>
    <tableColumn id="11358" xr3:uid="{ADDD774A-B062-4353-A262-A07F566DC12E}" name="Column11344" dataDxfId="10522" totalsRowDxfId="10521"/>
    <tableColumn id="11359" xr3:uid="{FCFAF26A-A87E-43F5-B9D4-617AAFF86029}" name="Column11345" dataDxfId="10520" totalsRowDxfId="10519"/>
    <tableColumn id="11360" xr3:uid="{96ADA771-7E1B-4D22-AE88-34B28626194A}" name="Column11346" dataDxfId="10518" totalsRowDxfId="10517"/>
    <tableColumn id="11361" xr3:uid="{0D65DD48-5C25-467D-B5F6-D34978EFEA4B}" name="Column11347" dataDxfId="10516" totalsRowDxfId="10515"/>
    <tableColumn id="11362" xr3:uid="{0AC0F232-0FE5-49A4-9F84-3879009CF677}" name="Column11348" dataDxfId="10514" totalsRowDxfId="10513"/>
    <tableColumn id="11363" xr3:uid="{18EDF29C-9F95-41DD-9101-569D8CC8910D}" name="Column11349" dataDxfId="10512" totalsRowDxfId="10511"/>
    <tableColumn id="11364" xr3:uid="{E84CF0BD-1938-4DE8-B387-DC6D27F2EEAC}" name="Column11350" dataDxfId="10510" totalsRowDxfId="10509"/>
    <tableColumn id="11365" xr3:uid="{1D9313BD-CE19-4811-8831-8DCF8B979B93}" name="Column11351" dataDxfId="10508" totalsRowDxfId="10507"/>
    <tableColumn id="11366" xr3:uid="{B1CDBF75-E80F-41A3-8230-E4CE34826057}" name="Column11352" dataDxfId="10506" totalsRowDxfId="10505"/>
    <tableColumn id="11367" xr3:uid="{68572787-E722-43FE-B18D-2A1AE3CE6217}" name="Column11353" dataDxfId="10504" totalsRowDxfId="10503"/>
    <tableColumn id="11368" xr3:uid="{64A1A80B-0DC1-4F82-9DEB-68365D83B864}" name="Column11354" dataDxfId="10502" totalsRowDxfId="10501"/>
    <tableColumn id="11369" xr3:uid="{23A0A2C7-3B00-4629-8AD3-CBA1EED4268B}" name="Column11355" dataDxfId="10500" totalsRowDxfId="10499"/>
    <tableColumn id="11370" xr3:uid="{A7D5808A-A1CF-404D-B146-AF035C025EFE}" name="Column11356" dataDxfId="10498" totalsRowDxfId="10497"/>
    <tableColumn id="11371" xr3:uid="{2A0757AC-7A36-4C41-BA3D-4CE86CE9385D}" name="Column11357" dataDxfId="10496" totalsRowDxfId="10495"/>
    <tableColumn id="11372" xr3:uid="{F2D99D2C-2EBD-4E24-B8E8-2A72D7BF47AA}" name="Column11358" dataDxfId="10494" totalsRowDxfId="10493"/>
    <tableColumn id="11373" xr3:uid="{A7CE9D22-118C-49EC-8C77-7CA8D32199B0}" name="Column11359" dataDxfId="10492" totalsRowDxfId="10491"/>
    <tableColumn id="11374" xr3:uid="{FF1E5948-DF2A-4244-8413-BD8CB85DE561}" name="Column11360" dataDxfId="10490" totalsRowDxfId="10489"/>
    <tableColumn id="11375" xr3:uid="{CE0AE576-0066-4030-802E-889AAB1863F2}" name="Column11361" dataDxfId="10488" totalsRowDxfId="10487"/>
    <tableColumn id="11376" xr3:uid="{94E31B5A-2F01-4B38-BBCA-737220AF95E4}" name="Column11362" dataDxfId="10486" totalsRowDxfId="10485"/>
    <tableColumn id="11377" xr3:uid="{1D4874B1-D7BF-4783-8E7E-D6D7DBBEA771}" name="Column11363" dataDxfId="10484" totalsRowDxfId="10483"/>
    <tableColumn id="11378" xr3:uid="{5446AF11-62EC-4D99-957D-A7436DFB64E0}" name="Column11364" dataDxfId="10482" totalsRowDxfId="10481"/>
    <tableColumn id="11379" xr3:uid="{3F7B227C-EAFF-4AD3-9BFB-0750ACF138CC}" name="Column11365" dataDxfId="10480" totalsRowDxfId="10479"/>
    <tableColumn id="11380" xr3:uid="{BBF90298-C8A5-4930-951F-146C1A9789A3}" name="Column11366" dataDxfId="10478" totalsRowDxfId="10477"/>
    <tableColumn id="11381" xr3:uid="{F1C1B671-970E-4B86-9A64-67E5CE6E84A4}" name="Column11367" dataDxfId="10476" totalsRowDxfId="10475"/>
    <tableColumn id="11382" xr3:uid="{F36D464D-FB36-449D-AE8F-FDD06EDFE78B}" name="Column11368" dataDxfId="10474" totalsRowDxfId="10473"/>
    <tableColumn id="11383" xr3:uid="{B24EBA55-D55E-4D09-8630-F926A9A95038}" name="Column11369" dataDxfId="10472" totalsRowDxfId="10471"/>
    <tableColumn id="11384" xr3:uid="{862F5590-0980-4608-BFA8-D33AE33B09C6}" name="Column11370" dataDxfId="10470" totalsRowDxfId="10469"/>
    <tableColumn id="11385" xr3:uid="{3A4D6A09-5C4A-4F91-AC9B-469B01F754B2}" name="Column11371" dataDxfId="10468" totalsRowDxfId="10467"/>
    <tableColumn id="11386" xr3:uid="{C2EAEBEE-0730-4514-AB26-795A51769D7D}" name="Column11372" dataDxfId="10466" totalsRowDxfId="10465"/>
    <tableColumn id="11387" xr3:uid="{58CB7DDC-FADE-46D0-A001-CA9D1A2758FB}" name="Column11373" dataDxfId="10464" totalsRowDxfId="10463"/>
    <tableColumn id="11388" xr3:uid="{307EE4CB-F6E2-47C9-AA71-1C8F6951F632}" name="Column11374" dataDxfId="10462" totalsRowDxfId="10461"/>
    <tableColumn id="11389" xr3:uid="{7FEB8567-C452-40AF-8AE6-DA63260B955F}" name="Column11375" dataDxfId="10460" totalsRowDxfId="10459"/>
    <tableColumn id="11390" xr3:uid="{0B6BD7BB-7E8D-4855-ACD4-4690B5BD606E}" name="Column11376" dataDxfId="10458" totalsRowDxfId="10457"/>
    <tableColumn id="11391" xr3:uid="{9B84E0E1-8802-491C-835A-CF4C86EB1057}" name="Column11377" dataDxfId="10456" totalsRowDxfId="10455"/>
    <tableColumn id="11392" xr3:uid="{D6719889-9F17-426C-BD7B-832A65E272EC}" name="Column11378" dataDxfId="10454" totalsRowDxfId="10453"/>
    <tableColumn id="11393" xr3:uid="{8BC2F86D-BEBA-4AC7-B59A-541F833022F3}" name="Column11379" dataDxfId="10452" totalsRowDxfId="10451"/>
    <tableColumn id="11394" xr3:uid="{3F9BF22D-8CA6-4C19-A600-78379A5EA959}" name="Column11380" dataDxfId="10450" totalsRowDxfId="10449"/>
    <tableColumn id="11395" xr3:uid="{8F40F319-D7D3-4C29-8663-7509B1120328}" name="Column11381" dataDxfId="10448" totalsRowDxfId="10447"/>
    <tableColumn id="11396" xr3:uid="{EB71481A-E2EE-4CEF-9A3D-D7D4707B97C3}" name="Column11382" dataDxfId="10446" totalsRowDxfId="10445"/>
    <tableColumn id="11397" xr3:uid="{C4523A70-251F-462A-B630-C67F4C6DEC4C}" name="Column11383" dataDxfId="10444" totalsRowDxfId="10443"/>
    <tableColumn id="11398" xr3:uid="{E517D262-FDC6-4BBD-9614-20D6C50171C4}" name="Column11384" dataDxfId="10442" totalsRowDxfId="10441"/>
    <tableColumn id="11399" xr3:uid="{EBE58B00-F257-41CF-B927-53266B18516A}" name="Column11385" dataDxfId="10440" totalsRowDxfId="10439"/>
    <tableColumn id="11400" xr3:uid="{D59CB1A6-127C-48A5-BC73-6F4BEAAEC0FC}" name="Column11386" dataDxfId="10438" totalsRowDxfId="10437"/>
    <tableColumn id="11401" xr3:uid="{0865C3AE-C3A4-4A75-B40D-A98D56CB20D7}" name="Column11387" dataDxfId="10436" totalsRowDxfId="10435"/>
    <tableColumn id="11402" xr3:uid="{EB73172B-5B3D-4923-A79D-EA81FF535CB4}" name="Column11388" dataDxfId="10434" totalsRowDxfId="10433"/>
    <tableColumn id="11403" xr3:uid="{48C167AB-8DA5-4836-A680-EC257848FFF3}" name="Column11389" dataDxfId="10432" totalsRowDxfId="10431"/>
    <tableColumn id="11404" xr3:uid="{B674CDC2-2BFA-4940-87D4-F9712FC8E018}" name="Column11390" dataDxfId="10430" totalsRowDxfId="10429"/>
    <tableColumn id="11405" xr3:uid="{A8C4BF91-FD2B-4558-9880-13E171C6F0BA}" name="Column11391" dataDxfId="10428" totalsRowDxfId="10427"/>
    <tableColumn id="11406" xr3:uid="{110A0027-AEB5-476A-AC2E-97CCE9FDFFDC}" name="Column11392" dataDxfId="10426" totalsRowDxfId="10425"/>
    <tableColumn id="11407" xr3:uid="{045D661E-AA37-48AD-A7D6-1D4804BA746B}" name="Column11393" dataDxfId="10424" totalsRowDxfId="10423"/>
    <tableColumn id="11408" xr3:uid="{F20D8DC9-04EC-46FA-980F-9102EAD20BD6}" name="Column11394" dataDxfId="10422" totalsRowDxfId="10421"/>
    <tableColumn id="11409" xr3:uid="{F0F0858C-24CE-435B-81AC-38697BFF9A34}" name="Column11395" dataDxfId="10420" totalsRowDxfId="10419"/>
    <tableColumn id="11410" xr3:uid="{AAD33CE2-F9DD-4AE7-9E79-3687B398B7DA}" name="Column11396" dataDxfId="10418" totalsRowDxfId="10417"/>
    <tableColumn id="11411" xr3:uid="{5BEFA9DB-E9A8-4517-A02A-5E7358930CAF}" name="Column11397" dataDxfId="10416" totalsRowDxfId="10415"/>
    <tableColumn id="11412" xr3:uid="{6F8D5C56-2216-4F05-9EAB-21FC5B6EEDB0}" name="Column11398" dataDxfId="10414" totalsRowDxfId="10413"/>
    <tableColumn id="11413" xr3:uid="{EC2B80A7-92D3-4D2A-BDCD-20432A89DA2E}" name="Column11399" dataDxfId="10412" totalsRowDxfId="10411"/>
    <tableColumn id="11414" xr3:uid="{CB5CDC22-146A-42C9-8E7C-AAA89C904EC0}" name="Column11400" dataDxfId="10410" totalsRowDxfId="10409"/>
    <tableColumn id="11415" xr3:uid="{DB3DBA8B-370E-4C8A-BA3B-35806AAA72AE}" name="Column11401" dataDxfId="10408" totalsRowDxfId="10407"/>
    <tableColumn id="11416" xr3:uid="{8C8BE9BF-4991-452B-B35C-EAB9DAE31EBF}" name="Column11402" dataDxfId="10406" totalsRowDxfId="10405"/>
    <tableColumn id="11417" xr3:uid="{4E934DE2-9D3A-467F-865A-DE52A7C02EAA}" name="Column11403" dataDxfId="10404" totalsRowDxfId="10403"/>
    <tableColumn id="11418" xr3:uid="{9FBC1381-6833-426E-BE9E-E4E531ED97DD}" name="Column11404" dataDxfId="10402" totalsRowDxfId="10401"/>
    <tableColumn id="11419" xr3:uid="{358282AC-1891-44E5-B564-982887070005}" name="Column11405" dataDxfId="10400" totalsRowDxfId="10399"/>
    <tableColumn id="11420" xr3:uid="{88443ACB-0BAC-4ABC-9F5A-FEF03DB96ECF}" name="Column11406" dataDxfId="10398" totalsRowDxfId="10397"/>
    <tableColumn id="11421" xr3:uid="{E98AD774-8016-425E-8500-FDD7AD3AFD80}" name="Column11407" dataDxfId="10396" totalsRowDxfId="10395"/>
    <tableColumn id="11422" xr3:uid="{CB826EDD-FEC9-411C-B885-0B7926A172E7}" name="Column11408" dataDxfId="10394" totalsRowDxfId="10393"/>
    <tableColumn id="11423" xr3:uid="{8E898038-62BE-4D78-8F97-876AC402E827}" name="Column11409" dataDxfId="10392" totalsRowDxfId="10391"/>
    <tableColumn id="11424" xr3:uid="{211E6266-2447-4166-8321-621202E5A1A7}" name="Column11410" dataDxfId="10390" totalsRowDxfId="10389"/>
    <tableColumn id="11425" xr3:uid="{5886DD0C-3099-4878-95CF-E89637A57091}" name="Column11411" dataDxfId="10388" totalsRowDxfId="10387"/>
    <tableColumn id="11426" xr3:uid="{5037F646-BC21-4679-AAC9-E2BD780866A5}" name="Column11412" dataDxfId="10386" totalsRowDxfId="10385"/>
    <tableColumn id="11427" xr3:uid="{99B4962F-9735-47FB-94B6-B62248DB026E}" name="Column11413" dataDxfId="10384" totalsRowDxfId="10383"/>
    <tableColumn id="11428" xr3:uid="{B706AD5C-7CFC-4BA4-9184-9F14A82B1029}" name="Column11414" dataDxfId="10382" totalsRowDxfId="10381"/>
    <tableColumn id="11429" xr3:uid="{0D6B4C7A-B93E-49C5-9686-ABB4115B1498}" name="Column11415" dataDxfId="10380" totalsRowDxfId="10379"/>
    <tableColumn id="11430" xr3:uid="{8CC6E2E3-49B6-4EDD-A8F6-20AA5D9ABCE6}" name="Column11416" dataDxfId="10378" totalsRowDxfId="10377"/>
    <tableColumn id="11431" xr3:uid="{BF204C02-38B1-46C0-BB7A-F8B29E06F388}" name="Column11417" dataDxfId="10376" totalsRowDxfId="10375"/>
    <tableColumn id="11432" xr3:uid="{DD5DDB7F-B4C4-4ADE-A935-91AB3DE3C5C6}" name="Column11418" dataDxfId="10374" totalsRowDxfId="10373"/>
    <tableColumn id="11433" xr3:uid="{9A81C338-5383-410C-BC07-75E8D8F45CD3}" name="Column11419" dataDxfId="10372" totalsRowDxfId="10371"/>
    <tableColumn id="11434" xr3:uid="{251A6319-ABD3-44A4-A37D-8B56F7DE1D4A}" name="Column11420" dataDxfId="10370" totalsRowDxfId="10369"/>
    <tableColumn id="11435" xr3:uid="{B0077822-CDC1-49D9-833C-BCDC515180F0}" name="Column11421" dataDxfId="10368" totalsRowDxfId="10367"/>
    <tableColumn id="11436" xr3:uid="{363BCD79-0133-4B8E-BB43-22E12B286299}" name="Column11422" dataDxfId="10366" totalsRowDxfId="10365"/>
    <tableColumn id="11437" xr3:uid="{5E1C1CA9-BDC6-486E-8798-2183598832D8}" name="Column11423" dataDxfId="10364" totalsRowDxfId="10363"/>
    <tableColumn id="11438" xr3:uid="{545E47DD-42F4-4188-B75D-6B8654FCE302}" name="Column11424" dataDxfId="10362" totalsRowDxfId="10361"/>
    <tableColumn id="11439" xr3:uid="{053C2993-CE00-4D82-B991-1AB2B055C20D}" name="Column11425" dataDxfId="10360" totalsRowDxfId="10359"/>
    <tableColumn id="11440" xr3:uid="{A8630B5B-C12D-4E5C-B235-87D6AEC47637}" name="Column11426" dataDxfId="10358" totalsRowDxfId="10357"/>
    <tableColumn id="11441" xr3:uid="{58AA8DD0-5162-4611-A58E-E01332A91173}" name="Column11427" dataDxfId="10356" totalsRowDxfId="10355"/>
    <tableColumn id="11442" xr3:uid="{39F5C385-5013-44C8-A13B-CBB06EB67105}" name="Column11428" dataDxfId="10354" totalsRowDxfId="10353"/>
    <tableColumn id="11443" xr3:uid="{92672650-A158-4606-90A7-0C37552CC933}" name="Column11429" dataDxfId="10352" totalsRowDxfId="10351"/>
    <tableColumn id="11444" xr3:uid="{4E400B42-33F0-4F4F-93D2-252AF511F016}" name="Column11430" dataDxfId="10350" totalsRowDxfId="10349"/>
    <tableColumn id="11445" xr3:uid="{7332BA1F-4466-4EEB-BB35-8213D502180E}" name="Column11431" dataDxfId="10348" totalsRowDxfId="10347"/>
    <tableColumn id="11446" xr3:uid="{5B9BA249-EFE0-4F5A-A5CA-FB9B3C6629E7}" name="Column11432" dataDxfId="10346" totalsRowDxfId="10345"/>
    <tableColumn id="11447" xr3:uid="{F2EEE625-C73E-4E1D-BFC5-DF28A7F23D93}" name="Column11433" dataDxfId="10344" totalsRowDxfId="10343"/>
    <tableColumn id="11448" xr3:uid="{0413ACF5-B108-4F67-8340-D72E94B0A39F}" name="Column11434" dataDxfId="10342" totalsRowDxfId="10341"/>
    <tableColumn id="11449" xr3:uid="{588E5523-F94D-47B7-9980-FAD280007215}" name="Column11435" dataDxfId="10340" totalsRowDxfId="10339"/>
    <tableColumn id="11450" xr3:uid="{93677757-9297-42BE-A27D-EC7014A81E17}" name="Column11436" dataDxfId="10338" totalsRowDxfId="10337"/>
    <tableColumn id="11451" xr3:uid="{19749B14-8C9A-4700-B316-E179E652B5EE}" name="Column11437" dataDxfId="10336" totalsRowDxfId="10335"/>
    <tableColumn id="11452" xr3:uid="{34639D4F-CE4B-43A8-B46C-1DB0FF631257}" name="Column11438" dataDxfId="10334" totalsRowDxfId="10333"/>
    <tableColumn id="11453" xr3:uid="{4FAA7D4D-3856-4ED4-89E7-DB5ED758F86A}" name="Column11439" dataDxfId="10332" totalsRowDxfId="10331"/>
    <tableColumn id="11454" xr3:uid="{6F54B22A-AAD8-45CF-AF0E-ED6F36475426}" name="Column11440" dataDxfId="10330" totalsRowDxfId="10329"/>
    <tableColumn id="11455" xr3:uid="{284E7F35-6CB2-4533-89DD-EB9A998826E4}" name="Column11441" dataDxfId="10328" totalsRowDxfId="10327"/>
    <tableColumn id="11456" xr3:uid="{65347113-A86B-48FD-A886-4FD5D3182C60}" name="Column11442" dataDxfId="10326" totalsRowDxfId="10325"/>
    <tableColumn id="11457" xr3:uid="{CEF6F13A-EB53-489E-9B55-69FBE2903110}" name="Column11443" dataDxfId="10324" totalsRowDxfId="10323"/>
    <tableColumn id="11458" xr3:uid="{AA3D2A5A-F661-4814-A457-BD43B3AFB2E0}" name="Column11444" dataDxfId="10322" totalsRowDxfId="10321"/>
    <tableColumn id="11459" xr3:uid="{242B6DA0-1E0F-45E3-8CCA-68BD613E393B}" name="Column11445" dataDxfId="10320" totalsRowDxfId="10319"/>
    <tableColumn id="11460" xr3:uid="{9475AA8D-6EDF-4E06-86E7-A468A1F0973D}" name="Column11446" dataDxfId="10318" totalsRowDxfId="10317"/>
    <tableColumn id="11461" xr3:uid="{D425B833-3276-49A7-9261-449DBB24A4A2}" name="Column11447" dataDxfId="10316" totalsRowDxfId="10315"/>
    <tableColumn id="11462" xr3:uid="{2DBFB633-5451-4712-8119-B59391AEDBB3}" name="Column11448" dataDxfId="10314" totalsRowDxfId="10313"/>
    <tableColumn id="11463" xr3:uid="{7792FB94-BE60-4F40-9175-996FE81D295D}" name="Column11449" dataDxfId="10312" totalsRowDxfId="10311"/>
    <tableColumn id="11464" xr3:uid="{B713710C-36CF-446E-8579-1B33FA2DD971}" name="Column11450" dataDxfId="10310" totalsRowDxfId="10309"/>
    <tableColumn id="11465" xr3:uid="{A9777745-4979-4121-BD1D-3A5613C842F7}" name="Column11451" dataDxfId="10308" totalsRowDxfId="10307"/>
    <tableColumn id="11466" xr3:uid="{6F6C25B9-7DAD-4CB1-B0BB-116E41606202}" name="Column11452" dataDxfId="10306" totalsRowDxfId="10305"/>
    <tableColumn id="11467" xr3:uid="{B68296BB-A34C-4D66-9C8C-1DDB543F6C75}" name="Column11453" dataDxfId="10304" totalsRowDxfId="10303"/>
    <tableColumn id="11468" xr3:uid="{9CA046E7-57F1-4DE0-B159-B021F8F27DEE}" name="Column11454" dataDxfId="10302" totalsRowDxfId="10301"/>
    <tableColumn id="11469" xr3:uid="{075DFFDE-2C61-4AD7-8E25-548605ADE255}" name="Column11455" dataDxfId="10300" totalsRowDxfId="10299"/>
    <tableColumn id="11470" xr3:uid="{C99A68DB-C31D-4F06-888D-0135C739E476}" name="Column11456" dataDxfId="10298" totalsRowDxfId="10297"/>
    <tableColumn id="11471" xr3:uid="{6AD5E431-5AFD-452D-8487-8DA55349385E}" name="Column11457" dataDxfId="10296" totalsRowDxfId="10295"/>
    <tableColumn id="11472" xr3:uid="{0D87A253-F24B-49F1-B17C-DAC5F2231CD8}" name="Column11458" dataDxfId="10294" totalsRowDxfId="10293"/>
    <tableColumn id="11473" xr3:uid="{C138FF70-1E46-4117-8BBB-4E4926A987E3}" name="Column11459" dataDxfId="10292" totalsRowDxfId="10291"/>
    <tableColumn id="11474" xr3:uid="{62B137C9-637D-40F6-BB0C-A2F42B5914FB}" name="Column11460" dataDxfId="10290" totalsRowDxfId="10289"/>
    <tableColumn id="11475" xr3:uid="{9E750A1E-32AC-49C4-9CAD-F44FED7C6A87}" name="Column11461" dataDxfId="10288" totalsRowDxfId="10287"/>
    <tableColumn id="11476" xr3:uid="{B59CDA3B-8B05-4D2E-BB64-2C9D488ACF7A}" name="Column11462" dataDxfId="10286" totalsRowDxfId="10285"/>
    <tableColumn id="11477" xr3:uid="{F8295088-A979-458D-A29A-B72E3FE9453E}" name="Column11463" dataDxfId="10284" totalsRowDxfId="10283"/>
    <tableColumn id="11478" xr3:uid="{0C9BD8DC-E497-48D0-9CE2-3365A01AF66E}" name="Column11464" dataDxfId="10282" totalsRowDxfId="10281"/>
    <tableColumn id="11479" xr3:uid="{90ED28C1-5C19-4DB2-BEBE-57E0C4068D80}" name="Column11465" dataDxfId="10280" totalsRowDxfId="10279"/>
    <tableColumn id="11480" xr3:uid="{E76E831C-3BA0-4223-8F85-A411E5FEBF8A}" name="Column11466" dataDxfId="10278" totalsRowDxfId="10277"/>
    <tableColumn id="11481" xr3:uid="{5E1CA949-D4C6-4037-B0BB-F531FDD6C62F}" name="Column11467" dataDxfId="10276" totalsRowDxfId="10275"/>
    <tableColumn id="11482" xr3:uid="{14E65E73-462F-4AB0-99E1-B0FF1589D8F6}" name="Column11468" dataDxfId="10274" totalsRowDxfId="10273"/>
    <tableColumn id="11483" xr3:uid="{011447B4-29A9-4F28-BD60-4CDCB317B2EE}" name="Column11469" dataDxfId="10272" totalsRowDxfId="10271"/>
    <tableColumn id="11484" xr3:uid="{21A4E125-4FE9-4B02-8308-BBDF5A6F040F}" name="Column11470" dataDxfId="10270" totalsRowDxfId="10269"/>
    <tableColumn id="11485" xr3:uid="{FB3EDA7E-D59E-49FC-8B3C-35FCE5297425}" name="Column11471" dataDxfId="10268" totalsRowDxfId="10267"/>
    <tableColumn id="11486" xr3:uid="{70DE9766-193D-40D4-9B1E-AE7E63DD6FF7}" name="Column11472" dataDxfId="10266" totalsRowDxfId="10265"/>
    <tableColumn id="11487" xr3:uid="{BF5E44A0-6E02-4663-82C4-14FFCE3C97A0}" name="Column11473" dataDxfId="10264" totalsRowDxfId="10263"/>
    <tableColumn id="11488" xr3:uid="{D6D41DD5-9CED-4584-81AD-00C0B4DFBC91}" name="Column11474" dataDxfId="10262" totalsRowDxfId="10261"/>
    <tableColumn id="11489" xr3:uid="{D0A5C8D9-A6A6-4AFB-83CA-31AF0C814DD3}" name="Column11475" dataDxfId="10260" totalsRowDxfId="10259"/>
    <tableColumn id="11490" xr3:uid="{3E3F583F-EB1F-48D9-9E57-2C5F8D5B86B7}" name="Column11476" dataDxfId="10258" totalsRowDxfId="10257"/>
    <tableColumn id="11491" xr3:uid="{0AD4E6CF-ECAF-436D-A421-D37AAD4302ED}" name="Column11477" dataDxfId="10256" totalsRowDxfId="10255"/>
    <tableColumn id="11492" xr3:uid="{9BC1C951-CBB8-49B6-9A27-CE2F082DC5EF}" name="Column11478" dataDxfId="10254" totalsRowDxfId="10253"/>
    <tableColumn id="11493" xr3:uid="{4ABC5D19-53F5-440D-ADBD-DB22EE6EAB5D}" name="Column11479" dataDxfId="10252" totalsRowDxfId="10251"/>
    <tableColumn id="11494" xr3:uid="{46EE4D1C-4B18-44A8-9850-208CD4D0EFB7}" name="Column11480" dataDxfId="10250" totalsRowDxfId="10249"/>
    <tableColumn id="11495" xr3:uid="{8BA7DE2E-1F0A-42D9-9136-359B9B54688E}" name="Column11481" dataDxfId="10248" totalsRowDxfId="10247"/>
    <tableColumn id="11496" xr3:uid="{D95F139E-4F53-431A-88DB-0BBD18E875B9}" name="Column11482" dataDxfId="10246" totalsRowDxfId="10245"/>
    <tableColumn id="11497" xr3:uid="{C4D18F0E-6EB2-4E13-860E-EA2A08A3EDCD}" name="Column11483" dataDxfId="10244" totalsRowDxfId="10243"/>
    <tableColumn id="11498" xr3:uid="{16E6A5A5-86F4-4533-82C5-EC6D9A96CB92}" name="Column11484" dataDxfId="10242" totalsRowDxfId="10241"/>
    <tableColumn id="11499" xr3:uid="{C8635D6C-145F-48EC-93B7-69EDDA02D3CB}" name="Column11485" dataDxfId="10240" totalsRowDxfId="10239"/>
    <tableColumn id="11500" xr3:uid="{9497F995-339A-4566-AD3F-DAFDB1F7B669}" name="Column11486" dataDxfId="10238" totalsRowDxfId="10237"/>
    <tableColumn id="11501" xr3:uid="{ED965F93-A7DB-4B6D-B941-3A80C3CCB39E}" name="Column11487" dataDxfId="10236" totalsRowDxfId="10235"/>
    <tableColumn id="11502" xr3:uid="{77CECB81-9A7C-4037-ADDD-F63A87206711}" name="Column11488" dataDxfId="10234" totalsRowDxfId="10233"/>
    <tableColumn id="11503" xr3:uid="{34C0CFE5-B902-4617-9DE7-0B738912FF44}" name="Column11489" dataDxfId="10232" totalsRowDxfId="10231"/>
    <tableColumn id="11504" xr3:uid="{08580350-0206-4A65-B6A9-5B2D95F31FCD}" name="Column11490" dataDxfId="10230" totalsRowDxfId="10229"/>
    <tableColumn id="11505" xr3:uid="{7E9DB349-57FB-4621-8E20-5A38322428A1}" name="Column11491" dataDxfId="10228" totalsRowDxfId="10227"/>
    <tableColumn id="11506" xr3:uid="{C6B7913B-2990-445A-B5B0-8DA7ED4D5E88}" name="Column11492" dataDxfId="10226" totalsRowDxfId="10225"/>
    <tableColumn id="11507" xr3:uid="{129B015C-D379-4041-B002-28F5C0A0A64D}" name="Column11493" dataDxfId="10224" totalsRowDxfId="10223"/>
    <tableColumn id="11508" xr3:uid="{BCC7DFC1-4182-4DF8-979C-27556CEBF13F}" name="Column11494" dataDxfId="10222" totalsRowDxfId="10221"/>
    <tableColumn id="11509" xr3:uid="{1D839CA6-F8FA-4A71-8744-1382F7D474B9}" name="Column11495" dataDxfId="10220" totalsRowDxfId="10219"/>
    <tableColumn id="11510" xr3:uid="{170AC65E-4F27-4C85-A9C7-4254A963E95E}" name="Column11496" dataDxfId="10218" totalsRowDxfId="10217"/>
    <tableColumn id="11511" xr3:uid="{7562F139-6A10-4F9C-9B76-2C19BD40BD44}" name="Column11497" dataDxfId="10216" totalsRowDxfId="10215"/>
    <tableColumn id="11512" xr3:uid="{DFA14D73-62B2-4363-9602-486A71737A80}" name="Column11498" dataDxfId="10214" totalsRowDxfId="10213"/>
    <tableColumn id="11513" xr3:uid="{4CA0E1A7-D18C-4688-AE7C-2A806D42ABED}" name="Column11499" dataDxfId="10212" totalsRowDxfId="10211"/>
    <tableColumn id="11514" xr3:uid="{111EE97D-8172-4E1E-8800-58BE25EAA207}" name="Column11500" dataDxfId="10210" totalsRowDxfId="10209"/>
    <tableColumn id="11515" xr3:uid="{A45359D2-ABBC-433B-AFFF-1ED004EBB156}" name="Column11501" dataDxfId="10208" totalsRowDxfId="10207"/>
    <tableColumn id="11516" xr3:uid="{B869C3CD-CFE7-43ED-A677-AE7AD1102E09}" name="Column11502" dataDxfId="10206" totalsRowDxfId="10205"/>
    <tableColumn id="11517" xr3:uid="{A0069824-889A-4798-8AF8-5A815BCF35F4}" name="Column11503" dataDxfId="10204" totalsRowDxfId="10203"/>
    <tableColumn id="11518" xr3:uid="{049716AC-25FB-491E-A1F6-556B34383236}" name="Column11504" dataDxfId="10202" totalsRowDxfId="10201"/>
    <tableColumn id="11519" xr3:uid="{FF611301-A91E-4BF7-8D41-C035C973FA61}" name="Column11505" dataDxfId="10200" totalsRowDxfId="10199"/>
    <tableColumn id="11520" xr3:uid="{4E29431B-0BC9-4CB5-B677-AC3C91A1E4CD}" name="Column11506" dataDxfId="10198" totalsRowDxfId="10197"/>
    <tableColumn id="11521" xr3:uid="{8E104A07-7C03-44E7-B084-E429333EFDC2}" name="Column11507" dataDxfId="10196" totalsRowDxfId="10195"/>
    <tableColumn id="11522" xr3:uid="{460686A5-7771-4AE0-832F-EC4C33CC87A1}" name="Column11508" dataDxfId="10194" totalsRowDxfId="10193"/>
    <tableColumn id="11523" xr3:uid="{C19D393E-2B97-4999-A3FA-1B18B8F9A665}" name="Column11509" dataDxfId="10192" totalsRowDxfId="10191"/>
    <tableColumn id="11524" xr3:uid="{9F12DAC9-DDF0-4BC5-8539-C8BF685D979C}" name="Column11510" dataDxfId="10190" totalsRowDxfId="10189"/>
    <tableColumn id="11525" xr3:uid="{F5398DF8-15A7-484F-8748-D08697916583}" name="Column11511" dataDxfId="10188" totalsRowDxfId="10187"/>
    <tableColumn id="11526" xr3:uid="{348EA16D-DC3C-4C1C-88DC-C80ABB75B0B0}" name="Column11512" dataDxfId="10186" totalsRowDxfId="10185"/>
    <tableColumn id="11527" xr3:uid="{B7C8BE27-D79D-46BC-9E5C-7401B9AE2ADE}" name="Column11513" dataDxfId="10184" totalsRowDxfId="10183"/>
    <tableColumn id="11528" xr3:uid="{B612C448-2D41-4891-B682-FFD05FEA07CE}" name="Column11514" dataDxfId="10182" totalsRowDxfId="10181"/>
    <tableColumn id="11529" xr3:uid="{4A7F7273-E4F4-4E2F-A48E-8A6A9C67F77D}" name="Column11515" dataDxfId="10180" totalsRowDxfId="10179"/>
    <tableColumn id="11530" xr3:uid="{894BA608-2F94-41F0-B648-3F3CEF8F6D3C}" name="Column11516" dataDxfId="10178" totalsRowDxfId="10177"/>
    <tableColumn id="11531" xr3:uid="{37CF76E6-76D5-4E51-AB6C-1CBE0E3B9A99}" name="Column11517" dataDxfId="10176" totalsRowDxfId="10175"/>
    <tableColumn id="11532" xr3:uid="{A3493819-BF54-40A9-B4F5-F83D4E669B41}" name="Column11518" dataDxfId="10174" totalsRowDxfId="10173"/>
    <tableColumn id="11533" xr3:uid="{E8316C57-CB19-4CF1-A2F7-318CB5DC10F5}" name="Column11519" dataDxfId="10172" totalsRowDxfId="10171"/>
    <tableColumn id="11534" xr3:uid="{32907C48-4500-4A62-A425-54CFB147FE2A}" name="Column11520" dataDxfId="10170" totalsRowDxfId="10169"/>
    <tableColumn id="11535" xr3:uid="{B61BB4A1-B72F-4755-A755-6AA7227DED90}" name="Column11521" dataDxfId="10168" totalsRowDxfId="10167"/>
    <tableColumn id="11536" xr3:uid="{AE0CFF8E-733C-45F2-8FA8-ACA3057B466F}" name="Column11522" dataDxfId="10166" totalsRowDxfId="10165"/>
    <tableColumn id="11537" xr3:uid="{7871437C-FBCB-4A8A-8F22-9490A0305346}" name="Column11523" dataDxfId="10164" totalsRowDxfId="10163"/>
    <tableColumn id="11538" xr3:uid="{A2B5481A-549C-4C4C-8FE6-EC52218EA247}" name="Column11524" dataDxfId="10162" totalsRowDxfId="10161"/>
    <tableColumn id="11539" xr3:uid="{8BDFB360-D686-412B-8BF9-C5E94F673E8D}" name="Column11525" dataDxfId="10160" totalsRowDxfId="10159"/>
    <tableColumn id="11540" xr3:uid="{6FFECAF6-67C7-46BB-AB7B-46F9B185586D}" name="Column11526" dataDxfId="10158" totalsRowDxfId="10157"/>
    <tableColumn id="11541" xr3:uid="{94DDCC08-2288-49DE-817F-78276C879471}" name="Column11527" dataDxfId="10156" totalsRowDxfId="10155"/>
    <tableColumn id="11542" xr3:uid="{B536B580-534D-4AF1-92D1-96D823A5B449}" name="Column11528" dataDxfId="10154" totalsRowDxfId="10153"/>
    <tableColumn id="11543" xr3:uid="{80946179-CCDA-498F-ACC9-F1DE91BB4DDE}" name="Column11529" dataDxfId="10152" totalsRowDxfId="10151"/>
    <tableColumn id="11544" xr3:uid="{53B8CFF3-CF05-42C0-9F4F-24128FE0A9CC}" name="Column11530" dataDxfId="10150" totalsRowDxfId="10149"/>
    <tableColumn id="11545" xr3:uid="{EDD7AA67-E904-49E9-B513-DEBB34BB2726}" name="Column11531" dataDxfId="10148" totalsRowDxfId="10147"/>
    <tableColumn id="11546" xr3:uid="{05E2C04D-6145-4C13-995D-F6CA5095188C}" name="Column11532" dataDxfId="10146" totalsRowDxfId="10145"/>
    <tableColumn id="11547" xr3:uid="{C909B991-48ED-49DB-AE05-EA0214FAB7CD}" name="Column11533" dataDxfId="10144" totalsRowDxfId="10143"/>
    <tableColumn id="11548" xr3:uid="{5FAB982C-ABC2-4AD7-B9D2-9332FD86E5ED}" name="Column11534" dataDxfId="10142" totalsRowDxfId="10141"/>
    <tableColumn id="11549" xr3:uid="{44778332-DBF6-45B8-BB04-6AB2775E553C}" name="Column11535" dataDxfId="10140" totalsRowDxfId="10139"/>
    <tableColumn id="11550" xr3:uid="{23BF29B5-87E7-4A60-8575-4F33A79A4984}" name="Column11536" dataDxfId="10138" totalsRowDxfId="10137"/>
    <tableColumn id="11551" xr3:uid="{5C4526B6-888C-466B-90F3-B493035D7447}" name="Column11537" dataDxfId="10136" totalsRowDxfId="10135"/>
    <tableColumn id="11552" xr3:uid="{314106D5-828E-44B9-AB70-4C620C1F851E}" name="Column11538" dataDxfId="10134" totalsRowDxfId="10133"/>
    <tableColumn id="11553" xr3:uid="{0A8CA4B6-8C43-4744-B5FC-AD4B27F5B532}" name="Column11539" dataDxfId="10132" totalsRowDxfId="10131"/>
    <tableColumn id="11554" xr3:uid="{D0436277-376D-454F-80C1-20A6C3FDAF0E}" name="Column11540" dataDxfId="10130" totalsRowDxfId="10129"/>
    <tableColumn id="11555" xr3:uid="{96024717-9C8F-49F6-A835-C3A70BA4C9AF}" name="Column11541" dataDxfId="10128" totalsRowDxfId="10127"/>
    <tableColumn id="11556" xr3:uid="{A8A69F6B-4A69-48BE-B7E3-8D5E175F6604}" name="Column11542" dataDxfId="10126" totalsRowDxfId="10125"/>
    <tableColumn id="11557" xr3:uid="{F83DDF41-D7EA-4590-B417-AC8AE3B3DE0F}" name="Column11543" dataDxfId="10124" totalsRowDxfId="10123"/>
    <tableColumn id="11558" xr3:uid="{88880AA7-2407-4B63-9143-F3389D818888}" name="Column11544" dataDxfId="10122" totalsRowDxfId="10121"/>
    <tableColumn id="11559" xr3:uid="{CBAD624C-A011-40E0-98B1-A3B4D50D0398}" name="Column11545" dataDxfId="10120" totalsRowDxfId="10119"/>
    <tableColumn id="11560" xr3:uid="{E46ACF48-9294-49D3-8312-7019662CE4A3}" name="Column11546" dataDxfId="10118" totalsRowDxfId="10117"/>
    <tableColumn id="11561" xr3:uid="{24571D40-C48C-412F-9106-D171AA10FCF9}" name="Column11547" dataDxfId="10116" totalsRowDxfId="10115"/>
    <tableColumn id="11562" xr3:uid="{FD09487B-7BA6-4AC4-BA27-9D237EE2FD4C}" name="Column11548" dataDxfId="10114" totalsRowDxfId="10113"/>
    <tableColumn id="11563" xr3:uid="{EEC1808D-4214-4B78-BC0D-0BFA19F1AE63}" name="Column11549" dataDxfId="10112" totalsRowDxfId="10111"/>
    <tableColumn id="11564" xr3:uid="{694FE1FC-D6CF-4504-85FB-A6EF78F06D25}" name="Column11550" dataDxfId="10110" totalsRowDxfId="10109"/>
    <tableColumn id="11565" xr3:uid="{4AA55DC8-2BD6-4F52-9090-AB32FFD0168C}" name="Column11551" dataDxfId="10108" totalsRowDxfId="10107"/>
    <tableColumn id="11566" xr3:uid="{A7BF4C0E-2506-4CEC-A1A8-ABAA110A76A6}" name="Column11552" dataDxfId="10106" totalsRowDxfId="10105"/>
    <tableColumn id="11567" xr3:uid="{58F776D0-949F-4E6D-A9A9-64DCF0E56C9A}" name="Column11553" dataDxfId="10104" totalsRowDxfId="10103"/>
    <tableColumn id="11568" xr3:uid="{81EC51A4-D293-4FDC-B75F-03B50762A1FE}" name="Column11554" dataDxfId="10102" totalsRowDxfId="10101"/>
    <tableColumn id="11569" xr3:uid="{6F4FA64F-9031-4969-864D-D3EE1208288A}" name="Column11555" dataDxfId="10100" totalsRowDxfId="10099"/>
    <tableColumn id="11570" xr3:uid="{FC1F89C8-D1B0-4192-A4F1-746F83A26659}" name="Column11556" dataDxfId="10098" totalsRowDxfId="10097"/>
    <tableColumn id="11571" xr3:uid="{CF12D78A-5280-4942-A1AC-47C2ACC491FF}" name="Column11557" dataDxfId="10096" totalsRowDxfId="10095"/>
    <tableColumn id="11572" xr3:uid="{3163FB0A-D1E0-49E7-A0B4-8BDBA638CE96}" name="Column11558" dataDxfId="10094" totalsRowDxfId="10093"/>
    <tableColumn id="11573" xr3:uid="{B48A52ED-063C-4764-BD99-9EE6357E34C5}" name="Column11559" dataDxfId="10092" totalsRowDxfId="10091"/>
    <tableColumn id="11574" xr3:uid="{82F049BA-A608-426E-86EF-5F8B9E059A3A}" name="Column11560" dataDxfId="10090" totalsRowDxfId="10089"/>
    <tableColumn id="11575" xr3:uid="{F3F1C732-6B53-460A-AFC4-AADA7E90631A}" name="Column11561" dataDxfId="10088" totalsRowDxfId="10087"/>
    <tableColumn id="11576" xr3:uid="{4B66B8DF-7CFC-4618-8CB0-7768B0DDCF94}" name="Column11562" dataDxfId="10086" totalsRowDxfId="10085"/>
    <tableColumn id="11577" xr3:uid="{42E5E66C-B48D-4D83-BB45-54EE5C3F0BE2}" name="Column11563" dataDxfId="10084" totalsRowDxfId="10083"/>
    <tableColumn id="11578" xr3:uid="{58AD2ED9-8D2B-4CA5-B026-7CD0CC15E2EA}" name="Column11564" dataDxfId="10082" totalsRowDxfId="10081"/>
    <tableColumn id="11579" xr3:uid="{259FD559-6A96-428C-8410-8D463E813544}" name="Column11565" dataDxfId="10080" totalsRowDxfId="10079"/>
    <tableColumn id="11580" xr3:uid="{22C4831B-6676-4F0B-BE6B-AABC35B40BF9}" name="Column11566" dataDxfId="10078" totalsRowDxfId="10077"/>
    <tableColumn id="11581" xr3:uid="{B5A02A17-5732-4784-9064-A82C32139D93}" name="Column11567" dataDxfId="10076" totalsRowDxfId="10075"/>
    <tableColumn id="11582" xr3:uid="{0620EC56-ABDB-4B46-BE51-ACD6AF2C47E1}" name="Column11568" dataDxfId="10074" totalsRowDxfId="10073"/>
    <tableColumn id="11583" xr3:uid="{378DEC04-0B00-4751-9C78-93C93816649C}" name="Column11569" dataDxfId="10072" totalsRowDxfId="10071"/>
    <tableColumn id="11584" xr3:uid="{D8AE5C4C-940A-4732-BFAF-CC11AB9F8958}" name="Column11570" dataDxfId="10070" totalsRowDxfId="10069"/>
    <tableColumn id="11585" xr3:uid="{631B3E36-04E0-4B10-82B9-FBBAD443B208}" name="Column11571" dataDxfId="10068" totalsRowDxfId="10067"/>
    <tableColumn id="11586" xr3:uid="{8BF831A0-BD68-4B86-ACD9-F0F7A8215066}" name="Column11572" dataDxfId="10066" totalsRowDxfId="10065"/>
    <tableColumn id="11587" xr3:uid="{774DB2CA-CE89-40D5-9DCF-050160DB48CE}" name="Column11573" dataDxfId="10064" totalsRowDxfId="10063"/>
    <tableColumn id="11588" xr3:uid="{487526E6-009A-439F-935D-DF65628F3689}" name="Column11574" dataDxfId="10062" totalsRowDxfId="10061"/>
    <tableColumn id="11589" xr3:uid="{FF653915-8379-40F9-B080-899FC780447A}" name="Column11575" dataDxfId="10060" totalsRowDxfId="10059"/>
    <tableColumn id="11590" xr3:uid="{B9626856-9102-4719-A9AC-973652D969E8}" name="Column11576" dataDxfId="10058" totalsRowDxfId="10057"/>
    <tableColumn id="11591" xr3:uid="{4E82D918-2B09-4D33-BF38-E82488795B2D}" name="Column11577" dataDxfId="10056" totalsRowDxfId="10055"/>
    <tableColumn id="11592" xr3:uid="{581D4061-4AF9-48F3-AB43-78150C10FF6C}" name="Column11578" dataDxfId="10054" totalsRowDxfId="10053"/>
    <tableColumn id="11593" xr3:uid="{D4BECBF0-1DA0-4771-BEA9-334E8752A896}" name="Column11579" dataDxfId="10052" totalsRowDxfId="10051"/>
    <tableColumn id="11594" xr3:uid="{68C51468-035B-48C1-AFFD-67DCB0E7545B}" name="Column11580" dataDxfId="10050" totalsRowDxfId="10049"/>
    <tableColumn id="11595" xr3:uid="{C6D114CC-42E6-40D4-BE95-8789A5012C3D}" name="Column11581" dataDxfId="10048" totalsRowDxfId="10047"/>
    <tableColumn id="11596" xr3:uid="{46ED0022-2664-4897-9FB9-DA3BD4AF9848}" name="Column11582" dataDxfId="10046" totalsRowDxfId="10045"/>
    <tableColumn id="11597" xr3:uid="{D02E9D44-D61B-45BD-83D5-BC3C99D7C83A}" name="Column11583" dataDxfId="10044" totalsRowDxfId="10043"/>
    <tableColumn id="11598" xr3:uid="{38CCF00C-4A70-4686-8C3F-910B8890E855}" name="Column11584" dataDxfId="10042" totalsRowDxfId="10041"/>
    <tableColumn id="11599" xr3:uid="{1990926D-6C1C-4D7D-B23E-0B233A69A8D0}" name="Column11585" dataDxfId="10040" totalsRowDxfId="10039"/>
    <tableColumn id="11600" xr3:uid="{36D700B3-6722-4281-AACE-AF09BBA98675}" name="Column11586" dataDxfId="10038" totalsRowDxfId="10037"/>
    <tableColumn id="11601" xr3:uid="{5EF6ACDA-1A09-4F76-A461-DCC16D618804}" name="Column11587" dataDxfId="10036" totalsRowDxfId="10035"/>
    <tableColumn id="11602" xr3:uid="{CB8F629D-E911-4DB3-8DF1-44FAC908A5E0}" name="Column11588" dataDxfId="10034" totalsRowDxfId="10033"/>
    <tableColumn id="11603" xr3:uid="{40EAE5E9-FCA6-49BD-8702-BBF110082CE2}" name="Column11589" dataDxfId="10032" totalsRowDxfId="10031"/>
    <tableColumn id="11604" xr3:uid="{9C65D22C-FBBF-4D18-8E04-EC0268C8011F}" name="Column11590" dataDxfId="10030" totalsRowDxfId="10029"/>
    <tableColumn id="11605" xr3:uid="{E1D44724-F332-45CA-A8C2-92374A595553}" name="Column11591" dataDxfId="10028" totalsRowDxfId="10027"/>
    <tableColumn id="11606" xr3:uid="{9BC36521-9A4A-4217-AF0D-E5E5B69A2439}" name="Column11592" dataDxfId="10026" totalsRowDxfId="10025"/>
    <tableColumn id="11607" xr3:uid="{D42E9D89-52C4-465E-BFE1-98E015819E4A}" name="Column11593" dataDxfId="10024" totalsRowDxfId="10023"/>
    <tableColumn id="11608" xr3:uid="{2978D4C0-DFDF-4EE3-8499-46CD0936A147}" name="Column11594" dataDxfId="10022" totalsRowDxfId="10021"/>
    <tableColumn id="11609" xr3:uid="{54FDC2F9-1857-4CE2-B271-24641800C7B1}" name="Column11595" dataDxfId="10020" totalsRowDxfId="10019"/>
    <tableColumn id="11610" xr3:uid="{91C3F914-33CC-4D6B-8ABC-50896A0744A8}" name="Column11596" dataDxfId="10018" totalsRowDxfId="10017"/>
    <tableColumn id="11611" xr3:uid="{605E7260-A270-4508-A081-ECA7C6FBBF6E}" name="Column11597" dataDxfId="10016" totalsRowDxfId="10015"/>
    <tableColumn id="11612" xr3:uid="{B8660710-851C-4E8E-A20E-93037D051B2D}" name="Column11598" dataDxfId="10014" totalsRowDxfId="10013"/>
    <tableColumn id="11613" xr3:uid="{7DE09723-40D5-4C2D-AF1E-BBD62B8A2F99}" name="Column11599" dataDxfId="10012" totalsRowDxfId="10011"/>
    <tableColumn id="11614" xr3:uid="{D8B6E2AA-30B2-4B7D-B67B-9EF14DC0DC2B}" name="Column11600" dataDxfId="10010" totalsRowDxfId="10009"/>
    <tableColumn id="11615" xr3:uid="{C2897D35-E27A-4155-8BA9-1A140E432E69}" name="Column11601" dataDxfId="10008" totalsRowDxfId="10007"/>
    <tableColumn id="11616" xr3:uid="{382D55B0-CAF9-435B-9C6E-322AEFC9ADFD}" name="Column11602" dataDxfId="10006" totalsRowDxfId="10005"/>
    <tableColumn id="11617" xr3:uid="{045091B7-17DC-482D-BC7D-27E827B2B42B}" name="Column11603" dataDxfId="10004" totalsRowDxfId="10003"/>
    <tableColumn id="11618" xr3:uid="{0EA43A4F-75AF-47B7-9D71-DDD3C50853C5}" name="Column11604" dataDxfId="10002" totalsRowDxfId="10001"/>
    <tableColumn id="11619" xr3:uid="{C14ED983-8CEF-4D86-8925-6E95981C988D}" name="Column11605" dataDxfId="10000" totalsRowDxfId="9999"/>
    <tableColumn id="11620" xr3:uid="{742DDE71-1012-4EA8-84F6-9298E0285D57}" name="Column11606" dataDxfId="9998" totalsRowDxfId="9997"/>
    <tableColumn id="11621" xr3:uid="{478AD1B4-5C25-4AEA-9A5E-5581C8A3734B}" name="Column11607" dataDxfId="9996" totalsRowDxfId="9995"/>
    <tableColumn id="11622" xr3:uid="{EFEE6405-59C0-4E1F-BBDF-4894E2C34C73}" name="Column11608" dataDxfId="9994" totalsRowDxfId="9993"/>
    <tableColumn id="11623" xr3:uid="{B046B613-2571-44EF-A3D7-F30DFE17BFA4}" name="Column11609" dataDxfId="9992" totalsRowDxfId="9991"/>
    <tableColumn id="11624" xr3:uid="{188CCB07-444D-4A96-9A6A-B6FEB853384A}" name="Column11610" dataDxfId="9990" totalsRowDxfId="9989"/>
    <tableColumn id="11625" xr3:uid="{ABD68555-AAC4-4B68-9A27-35B717C44208}" name="Column11611" dataDxfId="9988" totalsRowDxfId="9987"/>
    <tableColumn id="11626" xr3:uid="{51F8AC08-5D6B-472D-9423-87BADC40F667}" name="Column11612" dataDxfId="9986" totalsRowDxfId="9985"/>
    <tableColumn id="11627" xr3:uid="{86FC6FC6-2448-43A2-8C45-B19302425594}" name="Column11613" dataDxfId="9984" totalsRowDxfId="9983"/>
    <tableColumn id="11628" xr3:uid="{D4DB8C19-1927-4ABF-BD58-A9D25721D4B1}" name="Column11614" dataDxfId="9982" totalsRowDxfId="9981"/>
    <tableColumn id="11629" xr3:uid="{69613110-5F8B-45F2-BA26-8AAE44FA5CF4}" name="Column11615" dataDxfId="9980" totalsRowDxfId="9979"/>
    <tableColumn id="11630" xr3:uid="{2674CB85-88E7-4C88-BE10-96E5670AF72A}" name="Column11616" dataDxfId="9978" totalsRowDxfId="9977"/>
    <tableColumn id="11631" xr3:uid="{A3C7132A-7E5B-4360-B545-1B8DA769B108}" name="Column11617" dataDxfId="9976" totalsRowDxfId="9975"/>
    <tableColumn id="11632" xr3:uid="{D938F8A7-1ED7-411D-910E-B7FA425160EA}" name="Column11618" dataDxfId="9974" totalsRowDxfId="9973"/>
    <tableColumn id="11633" xr3:uid="{68D6DD82-D4AF-4ED7-8115-4BBE4FEA926B}" name="Column11619" dataDxfId="9972" totalsRowDxfId="9971"/>
    <tableColumn id="11634" xr3:uid="{3A3AFF93-71AB-4743-A0FD-B563A8BE63CA}" name="Column11620" dataDxfId="9970" totalsRowDxfId="9969"/>
    <tableColumn id="11635" xr3:uid="{E2864A92-9D5E-4A11-921E-2EE8E3B8A8FB}" name="Column11621" dataDxfId="9968" totalsRowDxfId="9967"/>
    <tableColumn id="11636" xr3:uid="{A453C50A-B4AD-4190-B16D-E59C3285864F}" name="Column11622" dataDxfId="9966" totalsRowDxfId="9965"/>
    <tableColumn id="11637" xr3:uid="{4571141E-C55C-4CF0-96CD-572BBBA80238}" name="Column11623" dataDxfId="9964" totalsRowDxfId="9963"/>
    <tableColumn id="11638" xr3:uid="{055D6C08-DCDE-4E8B-9D7F-A084D97C85B7}" name="Column11624" dataDxfId="9962" totalsRowDxfId="9961"/>
    <tableColumn id="11639" xr3:uid="{884B70A5-E617-49D4-8A3E-285CFC667FBE}" name="Column11625" dataDxfId="9960" totalsRowDxfId="9959"/>
    <tableColumn id="11640" xr3:uid="{3848A14A-D432-4597-9A48-8391CEE42FFD}" name="Column11626" dataDxfId="9958" totalsRowDxfId="9957"/>
    <tableColumn id="11641" xr3:uid="{967EAA3E-3E45-4EFD-A98B-7CEBEF4AFB89}" name="Column11627" dataDxfId="9956" totalsRowDxfId="9955"/>
    <tableColumn id="11642" xr3:uid="{F8494AC2-45E4-44A5-8478-7729B79B6993}" name="Column11628" dataDxfId="9954" totalsRowDxfId="9953"/>
    <tableColumn id="11643" xr3:uid="{139C2F20-D995-4255-A6F3-89E2A689B752}" name="Column11629" dataDxfId="9952" totalsRowDxfId="9951"/>
    <tableColumn id="11644" xr3:uid="{CC22FF71-4048-4863-82DF-5C16C0CE46DA}" name="Column11630" dataDxfId="9950" totalsRowDxfId="9949"/>
    <tableColumn id="11645" xr3:uid="{EABD3B8B-194F-445B-B732-8CE5E2EB35A2}" name="Column11631" dataDxfId="9948" totalsRowDxfId="9947"/>
    <tableColumn id="11646" xr3:uid="{0BF04B6F-5460-4769-BE2A-B55C7EACF2B9}" name="Column11632" dataDxfId="9946" totalsRowDxfId="9945"/>
    <tableColumn id="11647" xr3:uid="{AEB5F5D4-BB81-4D81-99D6-46780F51C7EF}" name="Column11633" dataDxfId="9944" totalsRowDxfId="9943"/>
    <tableColumn id="11648" xr3:uid="{D4147D75-C66C-48B4-B14F-54B78D8026A6}" name="Column11634" dataDxfId="9942" totalsRowDxfId="9941"/>
    <tableColumn id="11649" xr3:uid="{9E417E49-8B53-44C5-9C1D-D394C689A4ED}" name="Column11635" dataDxfId="9940" totalsRowDxfId="9939"/>
    <tableColumn id="11650" xr3:uid="{C5424BA1-08BC-41CC-A019-EEF2CFA173C0}" name="Column11636" dataDxfId="9938" totalsRowDxfId="9937"/>
    <tableColumn id="11651" xr3:uid="{850A83EA-DA39-4E0F-A30B-03B2D200FD49}" name="Column11637" dataDxfId="9936" totalsRowDxfId="9935"/>
    <tableColumn id="11652" xr3:uid="{48A6E733-5116-4A4C-B5A2-6F34ACC4AB72}" name="Column11638" dataDxfId="9934" totalsRowDxfId="9933"/>
    <tableColumn id="11653" xr3:uid="{546E3E9D-B6F7-4205-90C6-5C514806CBE1}" name="Column11639" dataDxfId="9932" totalsRowDxfId="9931"/>
    <tableColumn id="11654" xr3:uid="{787A86D0-E5B3-49EA-9B46-1F85B06B99FD}" name="Column11640" dataDxfId="9930" totalsRowDxfId="9929"/>
    <tableColumn id="11655" xr3:uid="{74A7BE4A-7E04-41C6-A1E6-21622CA03728}" name="Column11641" dataDxfId="9928" totalsRowDxfId="9927"/>
    <tableColumn id="11656" xr3:uid="{7E24617A-1A2A-473F-B332-9EDDD23B6B71}" name="Column11642" dataDxfId="9926" totalsRowDxfId="9925"/>
    <tableColumn id="11657" xr3:uid="{F1ADE469-A087-4AA4-9030-E7BD5E739777}" name="Column11643" dataDxfId="9924" totalsRowDxfId="9923"/>
    <tableColumn id="11658" xr3:uid="{C08CB34D-CB51-4147-ABCB-A8D519FDCADB}" name="Column11644" dataDxfId="9922" totalsRowDxfId="9921"/>
    <tableColumn id="11659" xr3:uid="{A336F812-05EA-4828-A9B6-C22C0F3DD318}" name="Column11645" dataDxfId="9920" totalsRowDxfId="9919"/>
    <tableColumn id="11660" xr3:uid="{C97086A8-479D-445B-8E30-BDE3E9ADD19D}" name="Column11646" dataDxfId="9918" totalsRowDxfId="9917"/>
    <tableColumn id="11661" xr3:uid="{1D42FB40-CEDA-4179-BE32-AEEE05F1D4C0}" name="Column11647" dataDxfId="9916" totalsRowDxfId="9915"/>
    <tableColumn id="11662" xr3:uid="{F57EDEA5-C4A5-4972-BE9A-868E04B6B9A4}" name="Column11648" dataDxfId="9914" totalsRowDxfId="9913"/>
    <tableColumn id="11663" xr3:uid="{42BEA7FB-A5EB-42F0-B47A-8BAC895043B5}" name="Column11649" dataDxfId="9912" totalsRowDxfId="9911"/>
    <tableColumn id="11664" xr3:uid="{87CA4CE1-8881-4615-BAB2-FE50073E738A}" name="Column11650" dataDxfId="9910" totalsRowDxfId="9909"/>
    <tableColumn id="11665" xr3:uid="{E8F34AB7-B10A-430D-8716-50D162B681CF}" name="Column11651" dataDxfId="9908" totalsRowDxfId="9907"/>
    <tableColumn id="11666" xr3:uid="{028D54BD-CC9F-4BBB-8C1A-224FF1D4F69F}" name="Column11652" dataDxfId="9906" totalsRowDxfId="9905"/>
    <tableColumn id="11667" xr3:uid="{8A1A1A3D-8B19-4D10-99BD-E6776E928740}" name="Column11653" dataDxfId="9904" totalsRowDxfId="9903"/>
    <tableColumn id="11668" xr3:uid="{2F67CE4D-FBE8-4B46-9C12-C53294B57F07}" name="Column11654" dataDxfId="9902" totalsRowDxfId="9901"/>
    <tableColumn id="11669" xr3:uid="{9EC9C085-734B-4696-9844-83A1B23C423C}" name="Column11655" dataDxfId="9900" totalsRowDxfId="9899"/>
    <tableColumn id="11670" xr3:uid="{7D8BE18A-606B-44C9-8C92-E956A89AAA1A}" name="Column11656" dataDxfId="9898" totalsRowDxfId="9897"/>
    <tableColumn id="11671" xr3:uid="{DD7C8082-E96E-472F-ACF4-82DB363E1505}" name="Column11657" dataDxfId="9896" totalsRowDxfId="9895"/>
    <tableColumn id="11672" xr3:uid="{2CEC53CE-C4A9-4C46-A2AF-C099B7D32986}" name="Column11658" dataDxfId="9894" totalsRowDxfId="9893"/>
    <tableColumn id="11673" xr3:uid="{8ECA74A9-B029-4372-9D52-F8150DFB4E78}" name="Column11659" dataDxfId="9892" totalsRowDxfId="9891"/>
    <tableColumn id="11674" xr3:uid="{8E73254E-AA0A-4026-80CA-2B2010F52AE9}" name="Column11660" dataDxfId="9890" totalsRowDxfId="9889"/>
    <tableColumn id="11675" xr3:uid="{576BB107-899C-4388-BE65-D2A23223214D}" name="Column11661" dataDxfId="9888" totalsRowDxfId="9887"/>
    <tableColumn id="11676" xr3:uid="{F4549CEB-8E22-45A0-9111-216E91326047}" name="Column11662" dataDxfId="9886" totalsRowDxfId="9885"/>
    <tableColumn id="11677" xr3:uid="{168E1694-194D-498B-94FE-FD88AA0231D3}" name="Column11663" dataDxfId="9884" totalsRowDxfId="9883"/>
    <tableColumn id="11678" xr3:uid="{7E851A3F-F6B6-4A0E-9826-9D46BC7FA90D}" name="Column11664" dataDxfId="9882" totalsRowDxfId="9881"/>
    <tableColumn id="11679" xr3:uid="{2A54065A-474C-4116-9EF1-854390FCEAC2}" name="Column11665" dataDxfId="9880" totalsRowDxfId="9879"/>
    <tableColumn id="11680" xr3:uid="{54E3EC32-4244-41CF-86E2-5434C110BE57}" name="Column11666" dataDxfId="9878" totalsRowDxfId="9877"/>
    <tableColumn id="11681" xr3:uid="{85A4D392-6193-4F81-8589-087E0D39F778}" name="Column11667" dataDxfId="9876" totalsRowDxfId="9875"/>
    <tableColumn id="11682" xr3:uid="{D337AD71-4891-4AB0-9496-CB6F9B58329D}" name="Column11668" dataDxfId="9874" totalsRowDxfId="9873"/>
    <tableColumn id="11683" xr3:uid="{0AE173D0-5AD9-45EA-9942-5EEDDA38ADB4}" name="Column11669" dataDxfId="9872" totalsRowDxfId="9871"/>
    <tableColumn id="11684" xr3:uid="{F76FC1D8-44EA-4666-9C5F-4C42873D05C8}" name="Column11670" dataDxfId="9870" totalsRowDxfId="9869"/>
    <tableColumn id="11685" xr3:uid="{E49BCB63-ED40-4540-99B1-BE498076803E}" name="Column11671" dataDxfId="9868" totalsRowDxfId="9867"/>
    <tableColumn id="11686" xr3:uid="{BF4A9014-FFCB-4520-9711-E596B56F378D}" name="Column11672" dataDxfId="9866" totalsRowDxfId="9865"/>
    <tableColumn id="11687" xr3:uid="{34E4EB65-40C5-481F-9477-C2CBFD3297C0}" name="Column11673" dataDxfId="9864" totalsRowDxfId="9863"/>
    <tableColumn id="11688" xr3:uid="{F0D15E5D-44A6-444E-9C17-D1BA3731E5F3}" name="Column11674" dataDxfId="9862" totalsRowDxfId="9861"/>
    <tableColumn id="11689" xr3:uid="{F312974A-748A-41AC-9271-8DFEF3047DD8}" name="Column11675" dataDxfId="9860" totalsRowDxfId="9859"/>
    <tableColumn id="11690" xr3:uid="{1C961CC9-01B2-41FD-9D4F-4111009A800B}" name="Column11676" dataDxfId="9858" totalsRowDxfId="9857"/>
    <tableColumn id="11691" xr3:uid="{E6A05529-39D2-495F-9093-8B4D61A34457}" name="Column11677" dataDxfId="9856" totalsRowDxfId="9855"/>
    <tableColumn id="11692" xr3:uid="{56B84579-C806-4B80-A46B-5AFDBC68419E}" name="Column11678" dataDxfId="9854" totalsRowDxfId="9853"/>
    <tableColumn id="11693" xr3:uid="{E89D82D0-4824-4E2F-9485-EAD59D3A1891}" name="Column11679" dataDxfId="9852" totalsRowDxfId="9851"/>
    <tableColumn id="11694" xr3:uid="{6DFF17FA-450F-4147-B817-6E00C8C944F1}" name="Column11680" dataDxfId="9850" totalsRowDxfId="9849"/>
    <tableColumn id="11695" xr3:uid="{53D826A0-208C-4600-A0BF-C30D77C2EDD4}" name="Column11681" dataDxfId="9848" totalsRowDxfId="9847"/>
    <tableColumn id="11696" xr3:uid="{AF4AFAD2-B99D-43D0-A466-DC1A774C2F52}" name="Column11682" dataDxfId="9846" totalsRowDxfId="9845"/>
    <tableColumn id="11697" xr3:uid="{C9351EB0-AE0A-4793-86AE-383409E63D16}" name="Column11683" dataDxfId="9844" totalsRowDxfId="9843"/>
    <tableColumn id="11698" xr3:uid="{3C95F20B-0FD3-4E5F-8C7B-9A50C3D5BF97}" name="Column11684" dataDxfId="9842" totalsRowDxfId="9841"/>
    <tableColumn id="11699" xr3:uid="{1C627763-1903-42B3-A5A4-9B3B849F873C}" name="Column11685" dataDxfId="9840" totalsRowDxfId="9839"/>
    <tableColumn id="11700" xr3:uid="{9F0E4545-C8EE-474C-8062-C28309DAD762}" name="Column11686" dataDxfId="9838" totalsRowDxfId="9837"/>
    <tableColumn id="11701" xr3:uid="{F9B8B67F-623D-45B0-AF32-F54344236EE8}" name="Column11687" dataDxfId="9836" totalsRowDxfId="9835"/>
    <tableColumn id="11702" xr3:uid="{AD40B648-9699-4353-A4FD-2D4DCE520AB7}" name="Column11688" dataDxfId="9834" totalsRowDxfId="9833"/>
    <tableColumn id="11703" xr3:uid="{D416D7FB-7041-4E95-A139-08E1E56C1D7B}" name="Column11689" dataDxfId="9832" totalsRowDxfId="9831"/>
    <tableColumn id="11704" xr3:uid="{0741535C-9DD9-478F-98A0-2526DC714CFF}" name="Column11690" dataDxfId="9830" totalsRowDxfId="9829"/>
    <tableColumn id="11705" xr3:uid="{5A608434-B4D4-4235-B869-86698A39B486}" name="Column11691" dataDxfId="9828" totalsRowDxfId="9827"/>
    <tableColumn id="11706" xr3:uid="{88442640-7CEB-4026-BF56-C17602784760}" name="Column11692" dataDxfId="9826" totalsRowDxfId="9825"/>
    <tableColumn id="11707" xr3:uid="{7313C2EC-552B-4952-8149-C95A71610181}" name="Column11693" dataDxfId="9824" totalsRowDxfId="9823"/>
    <tableColumn id="11708" xr3:uid="{B1D90935-212A-442D-A5A7-3B6CEA96096E}" name="Column11694" dataDxfId="9822" totalsRowDxfId="9821"/>
    <tableColumn id="11709" xr3:uid="{1A28DFBE-07EE-4459-8B12-AEC8B1561DC8}" name="Column11695" dataDxfId="9820" totalsRowDxfId="9819"/>
    <tableColumn id="11710" xr3:uid="{53B40E32-8205-4D27-9EBB-AE76D205A31C}" name="Column11696" dataDxfId="9818" totalsRowDxfId="9817"/>
    <tableColumn id="11711" xr3:uid="{1C924F0B-E5F0-4ACC-A96C-029BB3138F67}" name="Column11697" dataDxfId="9816" totalsRowDxfId="9815"/>
    <tableColumn id="11712" xr3:uid="{8C4F709C-C31B-4FC8-8F39-4C05A0EB28D3}" name="Column11698" dataDxfId="9814" totalsRowDxfId="9813"/>
    <tableColumn id="11713" xr3:uid="{6DEEA493-9A6D-429D-B009-59FE9D94902A}" name="Column11699" dataDxfId="9812" totalsRowDxfId="9811"/>
    <tableColumn id="11714" xr3:uid="{547889CF-3AB2-4DBA-965D-68EA3138F853}" name="Column11700" dataDxfId="9810" totalsRowDxfId="9809"/>
    <tableColumn id="11715" xr3:uid="{D9F6FF66-4A35-43BC-96B2-0FA685D31FDF}" name="Column11701" dataDxfId="9808" totalsRowDxfId="9807"/>
    <tableColumn id="11716" xr3:uid="{81DFFBC2-4814-4445-B188-98C7739BB017}" name="Column11702" dataDxfId="9806" totalsRowDxfId="9805"/>
    <tableColumn id="11717" xr3:uid="{70573B3B-7CB4-4CBE-A26A-1A80BEC29704}" name="Column11703" dataDxfId="9804" totalsRowDxfId="9803"/>
    <tableColumn id="11718" xr3:uid="{47F2B4EB-C1CA-472D-8E60-6628573E5DD9}" name="Column11704" dataDxfId="9802" totalsRowDxfId="9801"/>
    <tableColumn id="11719" xr3:uid="{682F276E-C091-4B79-AD7D-5DE93B0B2EC4}" name="Column11705" dataDxfId="9800" totalsRowDxfId="9799"/>
    <tableColumn id="11720" xr3:uid="{3A6EFC5A-5B3B-4FA1-8B8F-A6A51DE9E14B}" name="Column11706" dataDxfId="9798" totalsRowDxfId="9797"/>
    <tableColumn id="11721" xr3:uid="{0379D637-1CC3-4A60-88D0-BB82207D9899}" name="Column11707" dataDxfId="9796" totalsRowDxfId="9795"/>
    <tableColumn id="11722" xr3:uid="{7D701632-CB53-467D-A378-E2DF044DEB76}" name="Column11708" dataDxfId="9794" totalsRowDxfId="9793"/>
    <tableColumn id="11723" xr3:uid="{584CAE8A-8B73-4716-A7DB-24D0D64D7FC4}" name="Column11709" dataDxfId="9792" totalsRowDxfId="9791"/>
    <tableColumn id="11724" xr3:uid="{5E83EE24-19B5-445F-8282-24ADACC146CD}" name="Column11710" dataDxfId="9790" totalsRowDxfId="9789"/>
    <tableColumn id="11725" xr3:uid="{4933663C-0776-4349-9137-9A5613F427CB}" name="Column11711" dataDxfId="9788" totalsRowDxfId="9787"/>
    <tableColumn id="11726" xr3:uid="{D633FB9F-0DA2-4E2E-ACDE-F6005E746658}" name="Column11712" dataDxfId="9786" totalsRowDxfId="9785"/>
    <tableColumn id="11727" xr3:uid="{DEF80A74-39EC-493F-9ECB-6C0D7657F084}" name="Column11713" dataDxfId="9784" totalsRowDxfId="9783"/>
    <tableColumn id="11728" xr3:uid="{1A06EF7A-266D-416C-9483-C75BB2F5EA33}" name="Column11714" dataDxfId="9782" totalsRowDxfId="9781"/>
    <tableColumn id="11729" xr3:uid="{BFE2FE0A-174A-4EB6-9529-AABD4DCC2DB9}" name="Column11715" dataDxfId="9780" totalsRowDxfId="9779"/>
    <tableColumn id="11730" xr3:uid="{6632E345-CEDD-4B00-9D0E-8164930F3DB2}" name="Column11716" dataDxfId="9778" totalsRowDxfId="9777"/>
    <tableColumn id="11731" xr3:uid="{A362B921-946E-4329-94AF-DD45C35A8C62}" name="Column11717" dataDxfId="9776" totalsRowDxfId="9775"/>
    <tableColumn id="11732" xr3:uid="{022A035B-ADA9-4889-8B8C-A377926EF9B2}" name="Column11718" dataDxfId="9774" totalsRowDxfId="9773"/>
    <tableColumn id="11733" xr3:uid="{E3DE67F8-92A7-420D-8ADB-36CFB2EA5886}" name="Column11719" dataDxfId="9772" totalsRowDxfId="9771"/>
    <tableColumn id="11734" xr3:uid="{0280E06E-60C1-459D-9D6D-91A6132F3BB3}" name="Column11720" dataDxfId="9770" totalsRowDxfId="9769"/>
    <tableColumn id="11735" xr3:uid="{09CBC17F-A2C6-497D-9392-3C9D73BE3F51}" name="Column11721" dataDxfId="9768" totalsRowDxfId="9767"/>
    <tableColumn id="11736" xr3:uid="{DB08AD53-DDD2-4963-A138-C1CC8D5039BA}" name="Column11722" dataDxfId="9766" totalsRowDxfId="9765"/>
    <tableColumn id="11737" xr3:uid="{39B39664-E4FC-405A-B4A5-3E9A3E7F8054}" name="Column11723" dataDxfId="9764" totalsRowDxfId="9763"/>
    <tableColumn id="11738" xr3:uid="{BE9CC885-A399-48CB-B47D-C9A463A97555}" name="Column11724" dataDxfId="9762" totalsRowDxfId="9761"/>
    <tableColumn id="11739" xr3:uid="{82606FEF-417F-4AC9-AA8E-5E79FAF0AF73}" name="Column11725" dataDxfId="9760" totalsRowDxfId="9759"/>
    <tableColumn id="11740" xr3:uid="{02E29EC2-84B3-4716-A993-FD097D5060E4}" name="Column11726" dataDxfId="9758" totalsRowDxfId="9757"/>
    <tableColumn id="11741" xr3:uid="{12618896-A8AD-4987-B084-14F5F15013C3}" name="Column11727" dataDxfId="9756" totalsRowDxfId="9755"/>
    <tableColumn id="11742" xr3:uid="{D8E9011C-63D0-4F4B-9307-919901021186}" name="Column11728" dataDxfId="9754" totalsRowDxfId="9753"/>
    <tableColumn id="11743" xr3:uid="{7E1A5DBA-CE02-43AD-A588-C65CE9E0B612}" name="Column11729" dataDxfId="9752" totalsRowDxfId="9751"/>
    <tableColumn id="11744" xr3:uid="{DD36EAC6-0F1C-42BD-9249-A32E89980C34}" name="Column11730" dataDxfId="9750" totalsRowDxfId="9749"/>
    <tableColumn id="11745" xr3:uid="{78499824-F9B9-4008-A5B1-CDDB8C44962B}" name="Column11731" dataDxfId="9748" totalsRowDxfId="9747"/>
    <tableColumn id="11746" xr3:uid="{121A323F-A1F4-42A3-833D-6B89280923E3}" name="Column11732" dataDxfId="9746" totalsRowDxfId="9745"/>
    <tableColumn id="11747" xr3:uid="{B090290C-B1C9-4E0E-9F97-AD6DED28DD30}" name="Column11733" dataDxfId="9744" totalsRowDxfId="9743"/>
    <tableColumn id="11748" xr3:uid="{B15662C0-010B-4FE0-91ED-8D971B76F417}" name="Column11734" dataDxfId="9742" totalsRowDxfId="9741"/>
    <tableColumn id="11749" xr3:uid="{AFD96F75-79C5-4372-8063-C73F23AC8C55}" name="Column11735" dataDxfId="9740" totalsRowDxfId="9739"/>
    <tableColumn id="11750" xr3:uid="{4982B72A-4D51-440D-83E6-29089FBDF8D7}" name="Column11736" dataDxfId="9738" totalsRowDxfId="9737"/>
    <tableColumn id="11751" xr3:uid="{76FB0B12-BE9A-40D7-B4D8-C7A720C2A020}" name="Column11737" dataDxfId="9736" totalsRowDxfId="9735"/>
    <tableColumn id="11752" xr3:uid="{31E7C827-9153-4130-8638-43649DB75126}" name="Column11738" dataDxfId="9734" totalsRowDxfId="9733"/>
    <tableColumn id="11753" xr3:uid="{7550353A-0B54-48EF-9EE1-CA7D932F9A17}" name="Column11739" dataDxfId="9732" totalsRowDxfId="9731"/>
    <tableColumn id="11754" xr3:uid="{436238D1-1F0F-4857-8806-68C8E4B1F8CA}" name="Column11740" dataDxfId="9730" totalsRowDxfId="9729"/>
    <tableColumn id="11755" xr3:uid="{75D0607B-80DE-4CB4-92EC-245B87DB7D42}" name="Column11741" dataDxfId="9728" totalsRowDxfId="9727"/>
    <tableColumn id="11756" xr3:uid="{10687C5F-BD6D-4C2C-8E30-6241C6795C86}" name="Column11742" dataDxfId="9726" totalsRowDxfId="9725"/>
    <tableColumn id="11757" xr3:uid="{4EA08F44-8D51-493C-B0DD-2CFF5DB575B5}" name="Column11743" dataDxfId="9724" totalsRowDxfId="9723"/>
    <tableColumn id="11758" xr3:uid="{2217ABF5-8F04-4BC9-B068-5ED6EC83FB43}" name="Column11744" dataDxfId="9722" totalsRowDxfId="9721"/>
    <tableColumn id="11759" xr3:uid="{0AB67E50-62DF-4E1E-810C-CA6F942AB450}" name="Column11745" dataDxfId="9720" totalsRowDxfId="9719"/>
    <tableColumn id="11760" xr3:uid="{EFB9F0B3-5444-43B2-BFB8-FC5511492274}" name="Column11746" dataDxfId="9718" totalsRowDxfId="9717"/>
    <tableColumn id="11761" xr3:uid="{8295BC45-6F32-4666-9D7D-3B0A7C62FD62}" name="Column11747" dataDxfId="9716" totalsRowDxfId="9715"/>
    <tableColumn id="11762" xr3:uid="{90F99513-1BBA-4529-9007-CBE0FA1FD366}" name="Column11748" dataDxfId="9714" totalsRowDxfId="9713"/>
    <tableColumn id="11763" xr3:uid="{F566F5C7-C0F1-4DC8-9FB6-707F6CC18BA6}" name="Column11749" dataDxfId="9712" totalsRowDxfId="9711"/>
    <tableColumn id="11764" xr3:uid="{7841BBEA-7873-4D01-A97A-5F1EFCDB4192}" name="Column11750" dataDxfId="9710" totalsRowDxfId="9709"/>
    <tableColumn id="11765" xr3:uid="{0DC22233-655C-41D1-BDDA-EE278148CD7C}" name="Column11751" dataDxfId="9708" totalsRowDxfId="9707"/>
    <tableColumn id="11766" xr3:uid="{6215F2BF-D98C-496D-8B95-5C4619FECB90}" name="Column11752" dataDxfId="9706" totalsRowDxfId="9705"/>
    <tableColumn id="11767" xr3:uid="{5EC1341F-7F4C-4776-8EDC-4676B39405DF}" name="Column11753" dataDxfId="9704" totalsRowDxfId="9703"/>
    <tableColumn id="11768" xr3:uid="{7F905387-B7D3-47FF-B508-D8E6D30384A1}" name="Column11754" dataDxfId="9702" totalsRowDxfId="9701"/>
    <tableColumn id="11769" xr3:uid="{D373BA22-975C-45CD-9BC1-7605D95AF0B4}" name="Column11755" dataDxfId="9700" totalsRowDxfId="9699"/>
    <tableColumn id="11770" xr3:uid="{9E38298F-8FA8-4598-8D25-F7F6E2CF7AC4}" name="Column11756" dataDxfId="9698" totalsRowDxfId="9697"/>
    <tableColumn id="11771" xr3:uid="{80CAD205-2F6D-4386-84A1-C4D5673BDB6D}" name="Column11757" dataDxfId="9696" totalsRowDxfId="9695"/>
    <tableColumn id="11772" xr3:uid="{B129556B-22F8-4F51-9606-5EB970F2CF04}" name="Column11758" dataDxfId="9694" totalsRowDxfId="9693"/>
    <tableColumn id="11773" xr3:uid="{B27BB8A2-01A0-4E64-A831-4284D82905EC}" name="Column11759" dataDxfId="9692" totalsRowDxfId="9691"/>
    <tableColumn id="11774" xr3:uid="{013A017A-714D-46D2-A6DD-F474A0F40A55}" name="Column11760" dataDxfId="9690" totalsRowDxfId="9689"/>
    <tableColumn id="11775" xr3:uid="{3D2F31A2-685C-41BC-92AA-6C44633DEFAC}" name="Column11761" dataDxfId="9688" totalsRowDxfId="9687"/>
    <tableColumn id="11776" xr3:uid="{99BD3384-28B1-48F7-8A52-B533CF7FC474}" name="Column11762" dataDxfId="9686" totalsRowDxfId="9685"/>
    <tableColumn id="11777" xr3:uid="{67CA2326-998D-49AD-92FF-8CF3B0385B16}" name="Column11763" dataDxfId="9684" totalsRowDxfId="9683"/>
    <tableColumn id="11778" xr3:uid="{0450DDBB-1667-463B-A061-DF3A03D360F5}" name="Column11764" dataDxfId="9682" totalsRowDxfId="9681"/>
    <tableColumn id="11779" xr3:uid="{FD0C7C90-BD8B-4790-AEDA-85961E0B1FEA}" name="Column11765" dataDxfId="9680" totalsRowDxfId="9679"/>
    <tableColumn id="11780" xr3:uid="{2CF80973-46D8-44E1-AB62-0F0DF4B76B6A}" name="Column11766" dataDxfId="9678" totalsRowDxfId="9677"/>
    <tableColumn id="11781" xr3:uid="{DBCAB069-2006-44E9-A532-9725A4188178}" name="Column11767" dataDxfId="9676" totalsRowDxfId="9675"/>
    <tableColumn id="11782" xr3:uid="{DDB96CF8-7628-40A8-BE61-3F4DC369EBAF}" name="Column11768" dataDxfId="9674" totalsRowDxfId="9673"/>
    <tableColumn id="11783" xr3:uid="{617090F2-B47E-453A-B2F3-F32937EB550E}" name="Column11769" dataDxfId="9672" totalsRowDxfId="9671"/>
    <tableColumn id="11784" xr3:uid="{B28217B8-CC4A-4164-BF8D-037498E9557F}" name="Column11770" dataDxfId="9670" totalsRowDxfId="9669"/>
    <tableColumn id="11785" xr3:uid="{25C06362-E850-42E4-967C-0E5BC6E5FF71}" name="Column11771" dataDxfId="9668" totalsRowDxfId="9667"/>
    <tableColumn id="11786" xr3:uid="{8701705C-36E4-4762-BFDE-C06E1B712F70}" name="Column11772" dataDxfId="9666" totalsRowDxfId="9665"/>
    <tableColumn id="11787" xr3:uid="{F205E82A-7604-42D9-81C6-822181B4BB63}" name="Column11773" dataDxfId="9664" totalsRowDxfId="9663"/>
    <tableColumn id="11788" xr3:uid="{46A71B53-C5A1-418D-B1B0-4A517677BF72}" name="Column11774" dataDxfId="9662" totalsRowDxfId="9661"/>
    <tableColumn id="11789" xr3:uid="{B34942A0-D810-4A24-80F1-FAA62EAB1CC8}" name="Column11775" dataDxfId="9660" totalsRowDxfId="9659"/>
    <tableColumn id="11790" xr3:uid="{664864B3-5A02-410C-949F-1A20228477B6}" name="Column11776" dataDxfId="9658" totalsRowDxfId="9657"/>
    <tableColumn id="11791" xr3:uid="{9C58E3C6-AF89-4C84-AD13-C7093947C009}" name="Column11777" dataDxfId="9656" totalsRowDxfId="9655"/>
    <tableColumn id="11792" xr3:uid="{346DA5E7-9ACE-43F2-97FF-D3331158BBB5}" name="Column11778" dataDxfId="9654" totalsRowDxfId="9653"/>
    <tableColumn id="11793" xr3:uid="{55F23777-CCB4-4E8D-AC08-C040204DB602}" name="Column11779" dataDxfId="9652" totalsRowDxfId="9651"/>
    <tableColumn id="11794" xr3:uid="{05E2B237-1A51-4071-A650-7E7098D6C8BC}" name="Column11780" dataDxfId="9650" totalsRowDxfId="9649"/>
    <tableColumn id="11795" xr3:uid="{DE087DCB-485C-4CD0-9E29-52C282137302}" name="Column11781" dataDxfId="9648" totalsRowDxfId="9647"/>
    <tableColumn id="11796" xr3:uid="{33C96650-D15F-4187-9F01-CFAB89924C71}" name="Column11782" dataDxfId="9646" totalsRowDxfId="9645"/>
    <tableColumn id="11797" xr3:uid="{D9631C71-54F8-4841-846B-23D26AC1A10D}" name="Column11783" dataDxfId="9644" totalsRowDxfId="9643"/>
    <tableColumn id="11798" xr3:uid="{C986A959-5838-4C8A-B50B-911D152B4691}" name="Column11784" dataDxfId="9642" totalsRowDxfId="9641"/>
    <tableColumn id="11799" xr3:uid="{3563586A-A702-4906-915D-DB1D7E9C406B}" name="Column11785" dataDxfId="9640" totalsRowDxfId="9639"/>
    <tableColumn id="11800" xr3:uid="{E43A1063-A097-445B-A017-5C7BC0F6BB3E}" name="Column11786" dataDxfId="9638" totalsRowDxfId="9637"/>
    <tableColumn id="11801" xr3:uid="{A6D16C4E-5596-4379-ADC5-41195365E486}" name="Column11787" dataDxfId="9636" totalsRowDxfId="9635"/>
    <tableColumn id="11802" xr3:uid="{2413EFD3-606E-4163-AEF4-065ABDBBEA7E}" name="Column11788" dataDxfId="9634" totalsRowDxfId="9633"/>
    <tableColumn id="11803" xr3:uid="{489A6E1F-2D56-4382-9700-1B6A20EDC334}" name="Column11789" dataDxfId="9632" totalsRowDxfId="9631"/>
    <tableColumn id="11804" xr3:uid="{83DCB037-0E69-4FAC-97FE-02884EDCB06E}" name="Column11790" dataDxfId="9630" totalsRowDxfId="9629"/>
    <tableColumn id="11805" xr3:uid="{205CDBEA-4170-4A46-973A-39BB052BF3FC}" name="Column11791" dataDxfId="9628" totalsRowDxfId="9627"/>
    <tableColumn id="11806" xr3:uid="{057A6CA7-36B8-437A-AFAE-D435800A0AB2}" name="Column11792" dataDxfId="9626" totalsRowDxfId="9625"/>
    <tableColumn id="11807" xr3:uid="{19F451A1-2B8F-4720-B537-772C8AA198F0}" name="Column11793" dataDxfId="9624" totalsRowDxfId="9623"/>
    <tableColumn id="11808" xr3:uid="{0C2BFF84-D313-4E4A-B9FD-DAE5B853E7C4}" name="Column11794" dataDxfId="9622" totalsRowDxfId="9621"/>
    <tableColumn id="11809" xr3:uid="{5193B8B9-0324-4C5F-8526-442F081F0E32}" name="Column11795" dataDxfId="9620" totalsRowDxfId="9619"/>
    <tableColumn id="11810" xr3:uid="{8A5BD090-B64F-4D2B-B3CF-2C2C3B2D3728}" name="Column11796" dataDxfId="9618" totalsRowDxfId="9617"/>
    <tableColumn id="11811" xr3:uid="{6CC1FE64-51DE-4DD4-B204-47D8A3EF813C}" name="Column11797" dataDxfId="9616" totalsRowDxfId="9615"/>
    <tableColumn id="11812" xr3:uid="{D47FFA41-176C-44F0-8CBC-6E837F3873C5}" name="Column11798" dataDxfId="9614" totalsRowDxfId="9613"/>
    <tableColumn id="11813" xr3:uid="{EDB25C54-D7F5-4854-9EAD-E421C3F5CD79}" name="Column11799" dataDxfId="9612" totalsRowDxfId="9611"/>
    <tableColumn id="11814" xr3:uid="{4A8ED18F-0534-4D2D-B23A-6301CF0D7C4E}" name="Column11800" dataDxfId="9610" totalsRowDxfId="9609"/>
    <tableColumn id="11815" xr3:uid="{FB7356E4-5FE3-4BC4-B18D-CEBDF762FDEA}" name="Column11801" dataDxfId="9608" totalsRowDxfId="9607"/>
    <tableColumn id="11816" xr3:uid="{217C3702-877E-421B-98EF-83B6D0C750AC}" name="Column11802" dataDxfId="9606" totalsRowDxfId="9605"/>
    <tableColumn id="11817" xr3:uid="{5E2D33B8-7647-4D22-9285-C12629EBDE5C}" name="Column11803" dataDxfId="9604" totalsRowDxfId="9603"/>
    <tableColumn id="11818" xr3:uid="{B9C420BB-8CC5-45F9-8240-7D14ECC1ACF4}" name="Column11804" dataDxfId="9602" totalsRowDxfId="9601"/>
    <tableColumn id="11819" xr3:uid="{0D0FE341-E534-4285-B57E-E82A2E300C46}" name="Column11805" dataDxfId="9600" totalsRowDxfId="9599"/>
    <tableColumn id="11820" xr3:uid="{6219D1D9-A75C-4707-9333-B0C7BF757A9D}" name="Column11806" dataDxfId="9598" totalsRowDxfId="9597"/>
    <tableColumn id="11821" xr3:uid="{4BF4B52D-1106-4F96-89F9-F28E2D3D876D}" name="Column11807" dataDxfId="9596" totalsRowDxfId="9595"/>
    <tableColumn id="11822" xr3:uid="{B22993D0-DC8D-45E7-887C-6DFDBE77CD51}" name="Column11808" dataDxfId="9594" totalsRowDxfId="9593"/>
    <tableColumn id="11823" xr3:uid="{A3E1FAE1-47AC-47A4-8764-05BE270F6C9A}" name="Column11809" dataDxfId="9592" totalsRowDxfId="9591"/>
    <tableColumn id="11824" xr3:uid="{98F27E84-DF41-4D89-9589-33FB0B7DD944}" name="Column11810" dataDxfId="9590" totalsRowDxfId="9589"/>
    <tableColumn id="11825" xr3:uid="{694C2B68-31CF-459C-AB7C-61044BF92C0B}" name="Column11811" dataDxfId="9588" totalsRowDxfId="9587"/>
    <tableColumn id="11826" xr3:uid="{51158277-A83E-4D99-96E6-D733BE5CCBFC}" name="Column11812" dataDxfId="9586" totalsRowDxfId="9585"/>
    <tableColumn id="11827" xr3:uid="{14BD3713-81F6-4CD0-B2B9-03C5DAFC8C57}" name="Column11813" dataDxfId="9584" totalsRowDxfId="9583"/>
    <tableColumn id="11828" xr3:uid="{0AC9258F-FF62-45A4-80E4-64844E1C5E4E}" name="Column11814" dataDxfId="9582" totalsRowDxfId="9581"/>
    <tableColumn id="11829" xr3:uid="{45AA43D6-D68E-4881-A242-B1F74DE7657D}" name="Column11815" dataDxfId="9580" totalsRowDxfId="9579"/>
    <tableColumn id="11830" xr3:uid="{251F3B62-86CC-4943-A4B9-E2E027FC1B00}" name="Column11816" dataDxfId="9578" totalsRowDxfId="9577"/>
    <tableColumn id="11831" xr3:uid="{C162147B-480A-4F9A-93A3-7F77467F3EF6}" name="Column11817" dataDxfId="9576" totalsRowDxfId="9575"/>
    <tableColumn id="11832" xr3:uid="{ECC3F47E-D107-4218-84DC-183E0E1076C9}" name="Column11818" dataDxfId="9574" totalsRowDxfId="9573"/>
    <tableColumn id="11833" xr3:uid="{2601D0ED-52C9-41AF-8543-16C66172A783}" name="Column11819" dataDxfId="9572" totalsRowDxfId="9571"/>
    <tableColumn id="11834" xr3:uid="{A8E6ECA8-35D3-48B2-8FB2-93D0CAA9D65D}" name="Column11820" dataDxfId="9570" totalsRowDxfId="9569"/>
    <tableColumn id="11835" xr3:uid="{1B68C209-6543-4CF5-9751-5BB8F8C9CAD5}" name="Column11821" dataDxfId="9568" totalsRowDxfId="9567"/>
    <tableColumn id="11836" xr3:uid="{B2137731-326F-4174-BF8F-A500F1CD1393}" name="Column11822" dataDxfId="9566" totalsRowDxfId="9565"/>
    <tableColumn id="11837" xr3:uid="{3063484A-BFC9-4E42-BA43-30256C7F40B5}" name="Column11823" dataDxfId="9564" totalsRowDxfId="9563"/>
    <tableColumn id="11838" xr3:uid="{AF6055C7-81F3-4441-B369-D42006F2C639}" name="Column11824" dataDxfId="9562" totalsRowDxfId="9561"/>
    <tableColumn id="11839" xr3:uid="{18FBE82F-3273-4F2D-91FC-D87E73AD8EEE}" name="Column11825" dataDxfId="9560" totalsRowDxfId="9559"/>
    <tableColumn id="11840" xr3:uid="{4CAD4551-B362-4E47-A04A-7107B8F9B9D5}" name="Column11826" dataDxfId="9558" totalsRowDxfId="9557"/>
    <tableColumn id="11841" xr3:uid="{C9F567EC-C0F9-4EE3-AE8D-CBC5845D9D09}" name="Column11827" dataDxfId="9556" totalsRowDxfId="9555"/>
    <tableColumn id="11842" xr3:uid="{1FBC4930-2118-495E-A3E5-4C478F22F364}" name="Column11828" dataDxfId="9554" totalsRowDxfId="9553"/>
    <tableColumn id="11843" xr3:uid="{EBFE9E12-8C7F-427C-A1C1-EE7F847D488A}" name="Column11829" dataDxfId="9552" totalsRowDxfId="9551"/>
    <tableColumn id="11844" xr3:uid="{54F63B07-8388-4F20-82B4-CF4C164D2C91}" name="Column11830" dataDxfId="9550" totalsRowDxfId="9549"/>
    <tableColumn id="11845" xr3:uid="{7CC9F6CD-DA31-477A-B4EB-4481A7DB1824}" name="Column11831" dataDxfId="9548" totalsRowDxfId="9547"/>
    <tableColumn id="11846" xr3:uid="{F906B629-9625-4A51-83BD-C356950065BC}" name="Column11832" dataDxfId="9546" totalsRowDxfId="9545"/>
    <tableColumn id="11847" xr3:uid="{30918085-4ADA-47CD-970A-269846AF264E}" name="Column11833" dataDxfId="9544" totalsRowDxfId="9543"/>
    <tableColumn id="11848" xr3:uid="{612FD902-096B-4C7C-A883-8DEAFAA23EF8}" name="Column11834" dataDxfId="9542" totalsRowDxfId="9541"/>
    <tableColumn id="11849" xr3:uid="{A8BCE96A-CCB9-49D9-B27B-2664A8017B3B}" name="Column11835" dataDxfId="9540" totalsRowDxfId="9539"/>
    <tableColumn id="11850" xr3:uid="{9CC1212B-EF57-4B0C-8AE7-587AC4AC5EA3}" name="Column11836" dataDxfId="9538" totalsRowDxfId="9537"/>
    <tableColumn id="11851" xr3:uid="{D7EC2763-BFD6-4FEB-BF9E-2CF7BBB982E8}" name="Column11837" dataDxfId="9536" totalsRowDxfId="9535"/>
    <tableColumn id="11852" xr3:uid="{A3ADDA35-6FE5-40CB-9995-A1352ECD077A}" name="Column11838" dataDxfId="9534" totalsRowDxfId="9533"/>
    <tableColumn id="11853" xr3:uid="{07B9620A-DB07-4566-BC38-36C5CA4EAEF9}" name="Column11839" dataDxfId="9532" totalsRowDxfId="9531"/>
    <tableColumn id="11854" xr3:uid="{BBD59F1B-C89E-4ABC-97BE-7C1D93B423FC}" name="Column11840" dataDxfId="9530" totalsRowDxfId="9529"/>
    <tableColumn id="11855" xr3:uid="{673E1459-9C48-4280-B1AC-E6C5EC531512}" name="Column11841" dataDxfId="9528" totalsRowDxfId="9527"/>
    <tableColumn id="11856" xr3:uid="{DC48B008-D864-4D97-AB54-7BB73F1120E6}" name="Column11842" dataDxfId="9526" totalsRowDxfId="9525"/>
    <tableColumn id="11857" xr3:uid="{799F1EFC-6881-4CC9-B09F-DCAB15AD9BCE}" name="Column11843" dataDxfId="9524" totalsRowDxfId="9523"/>
    <tableColumn id="11858" xr3:uid="{3A3252B8-8FA5-40FF-9FC1-56E60476405B}" name="Column11844" dataDxfId="9522" totalsRowDxfId="9521"/>
    <tableColumn id="11859" xr3:uid="{8700E9BB-6DE7-4C26-9A2A-64B7B392F4FE}" name="Column11845" dataDxfId="9520" totalsRowDxfId="9519"/>
    <tableColumn id="11860" xr3:uid="{36816A10-6CAC-4630-A483-24DF5D0E5649}" name="Column11846" dataDxfId="9518" totalsRowDxfId="9517"/>
    <tableColumn id="11861" xr3:uid="{52D141F0-E3CC-434F-A29A-EEFF182062DB}" name="Column11847" dataDxfId="9516" totalsRowDxfId="9515"/>
    <tableColumn id="11862" xr3:uid="{1B9EE96B-2037-40D3-8F01-593576E5C7C3}" name="Column11848" dataDxfId="9514" totalsRowDxfId="9513"/>
    <tableColumn id="11863" xr3:uid="{9FC76792-09DD-412A-9DB1-B718A636FC7D}" name="Column11849" dataDxfId="9512" totalsRowDxfId="9511"/>
    <tableColumn id="11864" xr3:uid="{8A96DBE5-019B-42CD-B28F-59DF691EF965}" name="Column11850" dataDxfId="9510" totalsRowDxfId="9509"/>
    <tableColumn id="11865" xr3:uid="{A8A7AF67-4FBC-4D85-B769-C751ED8E6F4A}" name="Column11851" dataDxfId="9508" totalsRowDxfId="9507"/>
    <tableColumn id="11866" xr3:uid="{2E8488BA-19CC-4167-875F-DC7F294A455C}" name="Column11852" dataDxfId="9506" totalsRowDxfId="9505"/>
    <tableColumn id="11867" xr3:uid="{CA51F21F-8850-4DD5-90F1-808308CD28B1}" name="Column11853" dataDxfId="9504" totalsRowDxfId="9503"/>
    <tableColumn id="11868" xr3:uid="{83E982E7-B75A-4FEF-8A13-5A3C36366D32}" name="Column11854" dataDxfId="9502" totalsRowDxfId="9501"/>
    <tableColumn id="11869" xr3:uid="{0E50A969-52A0-43C2-B4FC-DE5641F40CC8}" name="Column11855" dataDxfId="9500" totalsRowDxfId="9499"/>
    <tableColumn id="11870" xr3:uid="{5301197F-B1C2-4605-B064-70FC91F2AC83}" name="Column11856" dataDxfId="9498" totalsRowDxfId="9497"/>
    <tableColumn id="11871" xr3:uid="{8151C420-F737-4860-B0BC-FDCC42AD02B4}" name="Column11857" dataDxfId="9496" totalsRowDxfId="9495"/>
    <tableColumn id="11872" xr3:uid="{7FBD0CCF-6F3C-471E-BDFA-AE70C71341E9}" name="Column11858" dataDxfId="9494" totalsRowDxfId="9493"/>
    <tableColumn id="11873" xr3:uid="{89B788FD-6747-4086-B3A6-5FC8AA5053B3}" name="Column11859" dataDxfId="9492" totalsRowDxfId="9491"/>
    <tableColumn id="11874" xr3:uid="{69EC4F30-3DCF-44BF-8D3E-E3C12D1956EA}" name="Column11860" dataDxfId="9490" totalsRowDxfId="9489"/>
    <tableColumn id="11875" xr3:uid="{A42D0480-8809-4680-89E4-524DEF4543D1}" name="Column11861" dataDxfId="9488" totalsRowDxfId="9487"/>
    <tableColumn id="11876" xr3:uid="{B04E760C-A8F5-409C-9C93-C1FB9F24159A}" name="Column11862" dataDxfId="9486" totalsRowDxfId="9485"/>
    <tableColumn id="11877" xr3:uid="{94E6499E-21B7-496E-82E3-12CA913ECD5A}" name="Column11863" dataDxfId="9484" totalsRowDxfId="9483"/>
    <tableColumn id="11878" xr3:uid="{3A596F44-A4B1-4EC1-BAD4-737F7C1D72CB}" name="Column11864" dataDxfId="9482" totalsRowDxfId="9481"/>
    <tableColumn id="11879" xr3:uid="{9D0447B4-02E5-495F-9D13-A40F4B042FF1}" name="Column11865" dataDxfId="9480" totalsRowDxfId="9479"/>
    <tableColumn id="11880" xr3:uid="{0DD1A027-FAE2-4317-AC1C-5A457A0DEAD2}" name="Column11866" dataDxfId="9478" totalsRowDxfId="9477"/>
    <tableColumn id="11881" xr3:uid="{BEC5FD47-F229-43E4-B234-E60717F1BE10}" name="Column11867" dataDxfId="9476" totalsRowDxfId="9475"/>
    <tableColumn id="11882" xr3:uid="{A70A276C-CC0A-4C7F-A555-DD66E684F4B7}" name="Column11868" dataDxfId="9474" totalsRowDxfId="9473"/>
    <tableColumn id="11883" xr3:uid="{66A31811-0F24-46E3-853D-D0F00DD1284B}" name="Column11869" dataDxfId="9472" totalsRowDxfId="9471"/>
    <tableColumn id="11884" xr3:uid="{E7E4539B-6EC8-4467-A4C3-1C33584A19C6}" name="Column11870" dataDxfId="9470" totalsRowDxfId="9469"/>
    <tableColumn id="11885" xr3:uid="{378F4DD0-3C5F-436F-80A5-754FB6D04DAE}" name="Column11871" dataDxfId="9468" totalsRowDxfId="9467"/>
    <tableColumn id="11886" xr3:uid="{C7738655-A62D-4BC7-B852-D93E9695349A}" name="Column11872" dataDxfId="9466" totalsRowDxfId="9465"/>
    <tableColumn id="11887" xr3:uid="{2EC3ECA3-21F8-4AF4-961D-CBC00681362E}" name="Column11873" dataDxfId="9464" totalsRowDxfId="9463"/>
    <tableColumn id="11888" xr3:uid="{1BBD48BB-F466-4D2F-AFE0-AAF4C73E17F7}" name="Column11874" dataDxfId="9462" totalsRowDxfId="9461"/>
    <tableColumn id="11889" xr3:uid="{7FFC66AE-ECA9-43DF-81CA-87A99191BBC5}" name="Column11875" dataDxfId="9460" totalsRowDxfId="9459"/>
    <tableColumn id="11890" xr3:uid="{0E77A14C-78BD-44D6-AF40-4C8F13738787}" name="Column11876" dataDxfId="9458" totalsRowDxfId="9457"/>
    <tableColumn id="11891" xr3:uid="{0B9B558F-0E96-4FBD-8FD5-4B8AEE11C336}" name="Column11877" dataDxfId="9456" totalsRowDxfId="9455"/>
    <tableColumn id="11892" xr3:uid="{022FA47A-03B8-4D1F-92D9-2C3ED01DB0F8}" name="Column11878" dataDxfId="9454" totalsRowDxfId="9453"/>
    <tableColumn id="11893" xr3:uid="{D921E1D1-CEC1-4D07-AA36-DA74454E34DA}" name="Column11879" dataDxfId="9452" totalsRowDxfId="9451"/>
    <tableColumn id="11894" xr3:uid="{BDE60D51-68AC-4726-BE1D-C28412540A6A}" name="Column11880" dataDxfId="9450" totalsRowDxfId="9449"/>
    <tableColumn id="11895" xr3:uid="{C81C132A-EA59-439F-85EC-70069AB13ED2}" name="Column11881" dataDxfId="9448" totalsRowDxfId="9447"/>
    <tableColumn id="11896" xr3:uid="{92BEF23D-67B1-4854-9027-25731B0CDDFA}" name="Column11882" dataDxfId="9446" totalsRowDxfId="9445"/>
    <tableColumn id="11897" xr3:uid="{B977EE15-9257-4D16-A466-5B7ABFEFA211}" name="Column11883" dataDxfId="9444" totalsRowDxfId="9443"/>
    <tableColumn id="11898" xr3:uid="{D0CF6332-4A86-4DE1-B64E-D9958D6E2156}" name="Column11884" dataDxfId="9442" totalsRowDxfId="9441"/>
    <tableColumn id="11899" xr3:uid="{D129C97F-B117-4D09-9AAC-D139E6474896}" name="Column11885" dataDxfId="9440" totalsRowDxfId="9439"/>
    <tableColumn id="11900" xr3:uid="{1A0730E5-2E55-4B1A-A075-C63F1F2C3F56}" name="Column11886" dataDxfId="9438" totalsRowDxfId="9437"/>
    <tableColumn id="11901" xr3:uid="{456B88E2-3437-4770-B57F-0C90F3D73387}" name="Column11887" dataDxfId="9436" totalsRowDxfId="9435"/>
    <tableColumn id="11902" xr3:uid="{F130D945-6A00-496A-9DEE-9C2AD9D16D40}" name="Column11888" dataDxfId="9434" totalsRowDxfId="9433"/>
    <tableColumn id="11903" xr3:uid="{93D0F6CD-1142-4732-BE51-A5BF35DA32EF}" name="Column11889" dataDxfId="9432" totalsRowDxfId="9431"/>
    <tableColumn id="11904" xr3:uid="{F354A1CB-D864-44D0-BEEE-F28059BF0F62}" name="Column11890" dataDxfId="9430" totalsRowDxfId="9429"/>
    <tableColumn id="11905" xr3:uid="{FC20C107-D261-4D22-AAF4-B6ADB2C80976}" name="Column11891" dataDxfId="9428" totalsRowDxfId="9427"/>
    <tableColumn id="11906" xr3:uid="{D13403F1-FCBF-47A1-A252-80D3924D46A6}" name="Column11892" dataDxfId="9426" totalsRowDxfId="9425"/>
    <tableColumn id="11907" xr3:uid="{0FC12AE6-14FF-43A0-A684-4F8CC4383F04}" name="Column11893" dataDxfId="9424" totalsRowDxfId="9423"/>
    <tableColumn id="11908" xr3:uid="{A742C15C-86D5-4637-8D7D-C3CB36E7DAE6}" name="Column11894" dataDxfId="9422" totalsRowDxfId="9421"/>
    <tableColumn id="11909" xr3:uid="{F9B881A1-EEAE-445A-8D20-CAC722376DA0}" name="Column11895" dataDxfId="9420" totalsRowDxfId="9419"/>
    <tableColumn id="11910" xr3:uid="{715331CB-6E36-46F1-9B70-2DC576E385D7}" name="Column11896" dataDxfId="9418" totalsRowDxfId="9417"/>
    <tableColumn id="11911" xr3:uid="{B04B0DE0-4399-48C5-BBD4-7F3F37BC3B8A}" name="Column11897" dataDxfId="9416" totalsRowDxfId="9415"/>
    <tableColumn id="11912" xr3:uid="{BB9F2B82-23C1-487E-B930-702A3CC42DC7}" name="Column11898" dataDxfId="9414" totalsRowDxfId="9413"/>
    <tableColumn id="11913" xr3:uid="{87EA69B3-CAD9-4357-8E6B-0AD4AD77314D}" name="Column11899" dataDxfId="9412" totalsRowDxfId="9411"/>
    <tableColumn id="11914" xr3:uid="{3F6B572D-63A8-4BE5-9BA8-4DD5CA9540E5}" name="Column11900" dataDxfId="9410" totalsRowDxfId="9409"/>
    <tableColumn id="11915" xr3:uid="{ED736EF6-86A9-4979-9CD9-D73BE814652F}" name="Column11901" dataDxfId="9408" totalsRowDxfId="9407"/>
    <tableColumn id="11916" xr3:uid="{182F48F7-B4FD-4618-82B1-184D9F9A7519}" name="Column11902" dataDxfId="9406" totalsRowDxfId="9405"/>
    <tableColumn id="11917" xr3:uid="{88088F6C-4FEF-4A9B-AA8C-5C986FF6D65A}" name="Column11903" dataDxfId="9404" totalsRowDxfId="9403"/>
    <tableColumn id="11918" xr3:uid="{5C8F6EFE-D29A-4BA8-A38F-F9B844A3CC7C}" name="Column11904" dataDxfId="9402" totalsRowDxfId="9401"/>
    <tableColumn id="11919" xr3:uid="{09C634A9-6CAD-41ED-A059-EF26B6F87DBA}" name="Column11905" dataDxfId="9400" totalsRowDxfId="9399"/>
    <tableColumn id="11920" xr3:uid="{F46CD34D-0269-4700-8D18-F92EA974CB82}" name="Column11906" dataDxfId="9398" totalsRowDxfId="9397"/>
    <tableColumn id="11921" xr3:uid="{D8839E44-80ED-4201-8A80-818046DCAA76}" name="Column11907" dataDxfId="9396" totalsRowDxfId="9395"/>
    <tableColumn id="11922" xr3:uid="{A6D135F7-9C42-4444-B2D7-219B88B147BF}" name="Column11908" dataDxfId="9394" totalsRowDxfId="9393"/>
    <tableColumn id="11923" xr3:uid="{B7125311-1690-4B02-B867-3073D78A99CF}" name="Column11909" dataDxfId="9392" totalsRowDxfId="9391"/>
    <tableColumn id="11924" xr3:uid="{14CC7DD9-A389-40A9-A1B3-B72C4677B49E}" name="Column11910" dataDxfId="9390" totalsRowDxfId="9389"/>
    <tableColumn id="11925" xr3:uid="{3859F341-0ED1-41D1-9B62-8C2F104ADAE9}" name="Column11911" dataDxfId="9388" totalsRowDxfId="9387"/>
    <tableColumn id="11926" xr3:uid="{06BA65F6-B982-45D7-B4FD-C703123D961B}" name="Column11912" dataDxfId="9386" totalsRowDxfId="9385"/>
    <tableColumn id="11927" xr3:uid="{3D93A866-CB15-42C3-910A-AEF47850A368}" name="Column11913" dataDxfId="9384" totalsRowDxfId="9383"/>
    <tableColumn id="11928" xr3:uid="{0D2B91D6-2896-478C-8BEC-5DF27810F670}" name="Column11914" dataDxfId="9382" totalsRowDxfId="9381"/>
    <tableColumn id="11929" xr3:uid="{F3693478-DFF8-4C62-AF8B-9E3535589A9A}" name="Column11915" dataDxfId="9380" totalsRowDxfId="9379"/>
    <tableColumn id="11930" xr3:uid="{47FFE544-B3D2-4927-B3BC-D34F8E008E71}" name="Column11916" dataDxfId="9378" totalsRowDxfId="9377"/>
    <tableColumn id="11931" xr3:uid="{2C9954DA-9D82-4896-B89A-3F489E585BD6}" name="Column11917" dataDxfId="9376" totalsRowDxfId="9375"/>
    <tableColumn id="11932" xr3:uid="{9B685DF9-AF08-4761-969F-DFC78C8D94E2}" name="Column11918" dataDxfId="9374" totalsRowDxfId="9373"/>
    <tableColumn id="11933" xr3:uid="{A43404BF-DB1B-48FE-ACEE-30A1CCD02354}" name="Column11919" dataDxfId="9372" totalsRowDxfId="9371"/>
    <tableColumn id="11934" xr3:uid="{D303ADD1-109B-45DA-A9FB-E5B703D5ED46}" name="Column11920" dataDxfId="9370" totalsRowDxfId="9369"/>
    <tableColumn id="11935" xr3:uid="{9558B643-1FB3-4F17-9AEF-A085CF576900}" name="Column11921" dataDxfId="9368" totalsRowDxfId="9367"/>
    <tableColumn id="11936" xr3:uid="{5A108731-2702-4F45-BFD2-DD855114F627}" name="Column11922" dataDxfId="9366" totalsRowDxfId="9365"/>
    <tableColumn id="11937" xr3:uid="{DEDEEC23-BABA-49E5-A1EE-029F12600F98}" name="Column11923" dataDxfId="9364" totalsRowDxfId="9363"/>
    <tableColumn id="11938" xr3:uid="{B25A0098-E08E-486B-839E-4C41E32F15AA}" name="Column11924" dataDxfId="9362" totalsRowDxfId="9361"/>
    <tableColumn id="11939" xr3:uid="{136069A8-1271-4A70-B534-B9DE3BA61F4C}" name="Column11925" dataDxfId="9360" totalsRowDxfId="9359"/>
    <tableColumn id="11940" xr3:uid="{82128249-0EC4-43A7-B5B8-A643DE775208}" name="Column11926" dataDxfId="9358" totalsRowDxfId="9357"/>
    <tableColumn id="11941" xr3:uid="{B52FAB2C-CC08-49CC-ADF7-9E8F22CB25F6}" name="Column11927" dataDxfId="9356" totalsRowDxfId="9355"/>
    <tableColumn id="11942" xr3:uid="{4E9A42C2-6F1A-41B5-AC41-B5242A080349}" name="Column11928" dataDxfId="9354" totalsRowDxfId="9353"/>
    <tableColumn id="11943" xr3:uid="{9E92B366-A106-4EE6-8B84-158E361C3E79}" name="Column11929" dataDxfId="9352" totalsRowDxfId="9351"/>
    <tableColumn id="11944" xr3:uid="{1917B6C6-337C-4C43-9553-5BFC6E2C28B3}" name="Column11930" dataDxfId="9350" totalsRowDxfId="9349"/>
    <tableColumn id="11945" xr3:uid="{AE1577D6-AEB7-40F0-94C5-96C6F639E719}" name="Column11931" dataDxfId="9348" totalsRowDxfId="9347"/>
    <tableColumn id="11946" xr3:uid="{99DF3D5C-A694-4310-8E41-DE008BD74E46}" name="Column11932" dataDxfId="9346" totalsRowDxfId="9345"/>
    <tableColumn id="11947" xr3:uid="{BE11C3AD-DFBD-4427-8836-2069424CCB54}" name="Column11933" dataDxfId="9344" totalsRowDxfId="9343"/>
    <tableColumn id="11948" xr3:uid="{FFFD9047-F53B-40BD-8118-3FB2564A97FF}" name="Column11934" dataDxfId="9342" totalsRowDxfId="9341"/>
    <tableColumn id="11949" xr3:uid="{702659D0-5797-43F0-B921-F30E8560E74F}" name="Column11935" dataDxfId="9340" totalsRowDxfId="9339"/>
    <tableColumn id="11950" xr3:uid="{0FD9CDB4-7C68-4DE7-BDBE-16702A79EC90}" name="Column11936" dataDxfId="9338" totalsRowDxfId="9337"/>
    <tableColumn id="11951" xr3:uid="{2C4FD8C0-38EC-4E90-A369-4A3C6B377FFC}" name="Column11937" dataDxfId="9336" totalsRowDxfId="9335"/>
    <tableColumn id="11952" xr3:uid="{BA2E94B8-16B8-4BF2-844F-F3F709F619DF}" name="Column11938" dataDxfId="9334" totalsRowDxfId="9333"/>
    <tableColumn id="11953" xr3:uid="{13D5C5B7-7C3E-4288-ACD2-AF377298988F}" name="Column11939" dataDxfId="9332" totalsRowDxfId="9331"/>
    <tableColumn id="11954" xr3:uid="{59E5A032-834C-4E88-A2BD-8701B03A3429}" name="Column11940" dataDxfId="9330" totalsRowDxfId="9329"/>
    <tableColumn id="11955" xr3:uid="{9BC6A6A1-9C6C-4877-A2AC-C7FB3FF7B3F9}" name="Column11941" dataDxfId="9328" totalsRowDxfId="9327"/>
    <tableColumn id="11956" xr3:uid="{B3623CE1-7195-425E-B8CC-29E07CA497F0}" name="Column11942" dataDxfId="9326" totalsRowDxfId="9325"/>
    <tableColumn id="11957" xr3:uid="{88AA3FC2-DF76-44C8-B6BC-6806650ABEAF}" name="Column11943" dataDxfId="9324" totalsRowDxfId="9323"/>
    <tableColumn id="11958" xr3:uid="{EFA87AF8-4E57-4DC5-A644-D391435727B7}" name="Column11944" dataDxfId="9322" totalsRowDxfId="9321"/>
    <tableColumn id="11959" xr3:uid="{51FB72CD-9BB4-42A6-B346-A1EEFBD54FAF}" name="Column11945" dataDxfId="9320" totalsRowDxfId="9319"/>
    <tableColumn id="11960" xr3:uid="{5F555A78-880A-45DA-A1F1-D1E1E721E8DA}" name="Column11946" dataDxfId="9318" totalsRowDxfId="9317"/>
    <tableColumn id="11961" xr3:uid="{8CA1619A-48DF-44B9-9889-A00EB00E3AC8}" name="Column11947" dataDxfId="9316" totalsRowDxfId="9315"/>
    <tableColumn id="11962" xr3:uid="{FF73CED5-AA26-4644-93CA-761D941674EF}" name="Column11948" dataDxfId="9314" totalsRowDxfId="9313"/>
    <tableColumn id="11963" xr3:uid="{E3029F48-7448-4562-B40C-F3788A77343E}" name="Column11949" dataDxfId="9312" totalsRowDxfId="9311"/>
    <tableColumn id="11964" xr3:uid="{2D7D587F-3B19-4BEB-85C7-F03DAD311C4C}" name="Column11950" dataDxfId="9310" totalsRowDxfId="9309"/>
    <tableColumn id="11965" xr3:uid="{4AA510A7-28C2-470D-A437-19CCD0DEB2F6}" name="Column11951" dataDxfId="9308" totalsRowDxfId="9307"/>
    <tableColumn id="11966" xr3:uid="{4DC226FE-1295-4B3D-9503-F1434E745C2D}" name="Column11952" dataDxfId="9306" totalsRowDxfId="9305"/>
    <tableColumn id="11967" xr3:uid="{1C3F07FE-7D7B-43DE-BA4E-3EFF939B9E08}" name="Column11953" dataDxfId="9304" totalsRowDxfId="9303"/>
    <tableColumn id="11968" xr3:uid="{0E12A1EC-5620-4A76-B9BB-02B30D296832}" name="Column11954" dataDxfId="9302" totalsRowDxfId="9301"/>
    <tableColumn id="11969" xr3:uid="{6B5B902E-C177-479D-99E0-4A8E6CFE037E}" name="Column11955" dataDxfId="9300" totalsRowDxfId="9299"/>
    <tableColumn id="11970" xr3:uid="{CC964807-A80A-463D-92C5-7A3696CA7187}" name="Column11956" dataDxfId="9298" totalsRowDxfId="9297"/>
    <tableColumn id="11971" xr3:uid="{EB17B217-F7EE-48CB-A387-60AC66945DF6}" name="Column11957" dataDxfId="9296" totalsRowDxfId="9295"/>
    <tableColumn id="11972" xr3:uid="{9C5088D1-EBCC-42B4-862F-D06CC5DF561C}" name="Column11958" dataDxfId="9294" totalsRowDxfId="9293"/>
    <tableColumn id="11973" xr3:uid="{B4747959-ACDE-407E-833A-E757EBF9351D}" name="Column11959" dataDxfId="9292" totalsRowDxfId="9291"/>
    <tableColumn id="11974" xr3:uid="{EF7DE76D-875B-44A0-986D-269B0448C6A0}" name="Column11960" dataDxfId="9290" totalsRowDxfId="9289"/>
    <tableColumn id="11975" xr3:uid="{C72D5BD6-8C23-4E4A-9489-B167E2405AB7}" name="Column11961" dataDxfId="9288" totalsRowDxfId="9287"/>
    <tableColumn id="11976" xr3:uid="{E19500E3-D353-4225-86A2-2C875E0F9CB7}" name="Column11962" dataDxfId="9286" totalsRowDxfId="9285"/>
    <tableColumn id="11977" xr3:uid="{9444AF8F-368F-433C-B3FE-3AE619A72E6A}" name="Column11963" dataDxfId="9284" totalsRowDxfId="9283"/>
    <tableColumn id="11978" xr3:uid="{E74DA672-23A0-47CB-9E83-439E940E0BE4}" name="Column11964" dataDxfId="9282" totalsRowDxfId="9281"/>
    <tableColumn id="11979" xr3:uid="{DD4599EE-62CA-4FDC-B901-0171507093E4}" name="Column11965" dataDxfId="9280" totalsRowDxfId="9279"/>
    <tableColumn id="11980" xr3:uid="{A4185D72-69CE-4B97-8F5B-5494F1A069C2}" name="Column11966" dataDxfId="9278" totalsRowDxfId="9277"/>
    <tableColumn id="11981" xr3:uid="{8220F1B0-1989-436E-BA0A-512B876D1FEB}" name="Column11967" dataDxfId="9276" totalsRowDxfId="9275"/>
    <tableColumn id="11982" xr3:uid="{BAE9F052-DC84-4413-8ED5-F26A3E4D0C50}" name="Column11968" dataDxfId="9274" totalsRowDxfId="9273"/>
    <tableColumn id="11983" xr3:uid="{AFC80F97-97B8-4B67-89F0-08AF991E0605}" name="Column11969" dataDxfId="9272" totalsRowDxfId="9271"/>
    <tableColumn id="11984" xr3:uid="{BC832929-CF48-43CA-9CE0-0B7EE3CB8CE8}" name="Column11970" dataDxfId="9270" totalsRowDxfId="9269"/>
    <tableColumn id="11985" xr3:uid="{B9421A5E-2E83-4958-B94B-C5F2A57668B0}" name="Column11971" dataDxfId="9268" totalsRowDxfId="9267"/>
    <tableColumn id="11986" xr3:uid="{AE43FE13-9C22-405D-9C6B-4EBC63931A56}" name="Column11972" dataDxfId="9266" totalsRowDxfId="9265"/>
    <tableColumn id="11987" xr3:uid="{197119BF-CB4B-4334-9ED8-70E0F8CC44C6}" name="Column11973" dataDxfId="9264" totalsRowDxfId="9263"/>
    <tableColumn id="11988" xr3:uid="{6414036E-62AC-463F-8D31-2318190BE7DC}" name="Column11974" dataDxfId="9262" totalsRowDxfId="9261"/>
    <tableColumn id="11989" xr3:uid="{92238BE0-5684-451A-AF1F-67BED4811981}" name="Column11975" dataDxfId="9260" totalsRowDxfId="9259"/>
    <tableColumn id="11990" xr3:uid="{190E79EA-0C9F-498A-85D8-D810CBA32B04}" name="Column11976" dataDxfId="9258" totalsRowDxfId="9257"/>
    <tableColumn id="11991" xr3:uid="{D8A2DA73-6DBA-49C0-83BC-79C9559B3D61}" name="Column11977" dataDxfId="9256" totalsRowDxfId="9255"/>
    <tableColumn id="11992" xr3:uid="{D269BED8-9D3A-4DD7-B6F2-C65DDA227421}" name="Column11978" dataDxfId="9254" totalsRowDxfId="9253"/>
    <tableColumn id="11993" xr3:uid="{2F11A595-D860-48DA-B183-6108E781089C}" name="Column11979" dataDxfId="9252" totalsRowDxfId="9251"/>
    <tableColumn id="11994" xr3:uid="{F19A8D91-1EBC-429B-894D-81FD0DEBAEE4}" name="Column11980" dataDxfId="9250" totalsRowDxfId="9249"/>
    <tableColumn id="11995" xr3:uid="{25B26196-27E8-49A2-8CC1-334640B9DB98}" name="Column11981" dataDxfId="9248" totalsRowDxfId="9247"/>
    <tableColumn id="11996" xr3:uid="{73070E9A-8C80-4C66-AACD-B0637E1E9CEC}" name="Column11982" dataDxfId="9246" totalsRowDxfId="9245"/>
    <tableColumn id="11997" xr3:uid="{CCB8FD26-549E-4F14-8C60-2CD7153BF059}" name="Column11983" dataDxfId="9244" totalsRowDxfId="9243"/>
    <tableColumn id="11998" xr3:uid="{FC677307-0B86-44BE-AD6C-F27ADE978704}" name="Column11984" dataDxfId="9242" totalsRowDxfId="9241"/>
    <tableColumn id="11999" xr3:uid="{5285F861-3235-494D-8CAC-2FBD71746833}" name="Column11985" dataDxfId="9240" totalsRowDxfId="9239"/>
    <tableColumn id="12000" xr3:uid="{E807E3B0-35A4-4BFD-A72E-24CC867A695E}" name="Column11986" dataDxfId="9238" totalsRowDxfId="9237"/>
    <tableColumn id="12001" xr3:uid="{ED5327D8-9B16-4D51-89D6-3285763DA253}" name="Column11987" dataDxfId="9236" totalsRowDxfId="9235"/>
    <tableColumn id="12002" xr3:uid="{9FEFA1EF-9D6A-4AC0-9DCD-B06347585DD3}" name="Column11988" dataDxfId="9234" totalsRowDxfId="9233"/>
    <tableColumn id="12003" xr3:uid="{6B2E099B-AA37-42E6-9DAD-AA775A82EFD0}" name="Column11989" dataDxfId="9232" totalsRowDxfId="9231"/>
    <tableColumn id="12004" xr3:uid="{B1BC5472-4DC5-4703-83A9-56F6FD5695B1}" name="Column11990" dataDxfId="9230" totalsRowDxfId="9229"/>
    <tableColumn id="12005" xr3:uid="{F260F0B3-79AC-4CFC-8CA0-3C61C3CF9512}" name="Column11991" dataDxfId="9228" totalsRowDxfId="9227"/>
    <tableColumn id="12006" xr3:uid="{59CE26CD-8F8C-4593-BCEB-9F62CCB6C6F2}" name="Column11992" dataDxfId="9226" totalsRowDxfId="9225"/>
    <tableColumn id="12007" xr3:uid="{9FCBBB4C-8B62-45FC-A899-B91BC9FC6C7F}" name="Column11993" dataDxfId="9224" totalsRowDxfId="9223"/>
    <tableColumn id="12008" xr3:uid="{5201B824-3A29-449F-B709-E5F6A96E7C6B}" name="Column11994" dataDxfId="9222" totalsRowDxfId="9221"/>
    <tableColumn id="12009" xr3:uid="{E6F80CA9-8350-40B6-A573-19002273F7A7}" name="Column11995" dataDxfId="9220" totalsRowDxfId="9219"/>
    <tableColumn id="12010" xr3:uid="{9761B44E-FCD1-48A0-BB8E-5557948F2C23}" name="Column11996" dataDxfId="9218" totalsRowDxfId="9217"/>
    <tableColumn id="12011" xr3:uid="{A1C3363F-094C-4723-A785-BDC8C33B90F7}" name="Column11997" dataDxfId="9216" totalsRowDxfId="9215"/>
    <tableColumn id="12012" xr3:uid="{A47160D6-2A51-4116-8350-01547AB50161}" name="Column11998" dataDxfId="9214" totalsRowDxfId="9213"/>
    <tableColumn id="12013" xr3:uid="{37E72025-E292-42D3-BAC0-91EC0D30A32B}" name="Column11999" dataDxfId="9212" totalsRowDxfId="9211"/>
    <tableColumn id="12014" xr3:uid="{6DF87C62-A7E7-424E-A721-287752F2B2DE}" name="Column12000" dataDxfId="9210" totalsRowDxfId="9209"/>
    <tableColumn id="12015" xr3:uid="{6676659D-5A4E-4C63-990E-0175979BD2AF}" name="Column12001" dataDxfId="9208" totalsRowDxfId="9207"/>
    <tableColumn id="12016" xr3:uid="{5E7284F5-948F-4F8D-AB73-D1664E6E4DEF}" name="Column12002" dataDxfId="9206" totalsRowDxfId="9205"/>
    <tableColumn id="12017" xr3:uid="{89CEB94E-6FFE-4536-97DA-5030699D5952}" name="Column12003" dataDxfId="9204" totalsRowDxfId="9203"/>
    <tableColumn id="12018" xr3:uid="{326ECA24-E878-498D-909A-5303677C2FB0}" name="Column12004" dataDxfId="9202" totalsRowDxfId="9201"/>
    <tableColumn id="12019" xr3:uid="{05553DAA-6645-4513-A6ED-81D5C6D6773F}" name="Column12005" dataDxfId="9200" totalsRowDxfId="9199"/>
    <tableColumn id="12020" xr3:uid="{E525F57F-B338-467E-9587-5CC173D3224F}" name="Column12006" dataDxfId="9198" totalsRowDxfId="9197"/>
    <tableColumn id="12021" xr3:uid="{66FA0BA4-56D9-4512-89FF-AD18BCE171CE}" name="Column12007" dataDxfId="9196" totalsRowDxfId="9195"/>
    <tableColumn id="12022" xr3:uid="{C1411011-CCE7-4493-A541-5B28A59AD7AF}" name="Column12008" dataDxfId="9194" totalsRowDxfId="9193"/>
    <tableColumn id="12023" xr3:uid="{640E431D-7285-4778-AFD0-A02ECCFD3DE7}" name="Column12009" dataDxfId="9192" totalsRowDxfId="9191"/>
    <tableColumn id="12024" xr3:uid="{9EFCF501-A73C-4620-9357-B66B57E0E82D}" name="Column12010" dataDxfId="9190" totalsRowDxfId="9189"/>
    <tableColumn id="12025" xr3:uid="{21D6644A-927C-4F4A-8F83-088C6B43632E}" name="Column12011" dataDxfId="9188" totalsRowDxfId="9187"/>
    <tableColumn id="12026" xr3:uid="{83EAF2F6-D37D-4C18-B8A7-435297D54ACB}" name="Column12012" dataDxfId="9186" totalsRowDxfId="9185"/>
    <tableColumn id="12027" xr3:uid="{2999793A-4176-42B1-9CD7-7BCB01970CC9}" name="Column12013" dataDxfId="9184" totalsRowDxfId="9183"/>
    <tableColumn id="12028" xr3:uid="{70DF8203-EC08-4F30-BE9F-7A694C1C1521}" name="Column12014" dataDxfId="9182" totalsRowDxfId="9181"/>
    <tableColumn id="12029" xr3:uid="{2D36495A-8655-4700-A78C-53B6037C8D57}" name="Column12015" dataDxfId="9180" totalsRowDxfId="9179"/>
    <tableColumn id="12030" xr3:uid="{D11796E3-2669-4F42-8B74-16795838C937}" name="Column12016" dataDxfId="9178" totalsRowDxfId="9177"/>
    <tableColumn id="12031" xr3:uid="{CE006848-34D2-4139-A14D-CE13D9D11C2B}" name="Column12017" dataDxfId="9176" totalsRowDxfId="9175"/>
    <tableColumn id="12032" xr3:uid="{6FB15CB1-1CD8-4DCE-827D-612B14EA9E9F}" name="Column12018" dataDxfId="9174" totalsRowDxfId="9173"/>
    <tableColumn id="12033" xr3:uid="{B9FD1196-706D-47CD-9CD7-C8D91C1EBA6A}" name="Column12019" dataDxfId="9172" totalsRowDxfId="9171"/>
    <tableColumn id="12034" xr3:uid="{EB597B0F-5E1C-425F-B0FC-AD0B909ADFDF}" name="Column12020" dataDxfId="9170" totalsRowDxfId="9169"/>
    <tableColumn id="12035" xr3:uid="{30CC08C8-3B51-4C00-84E0-EC61A323188E}" name="Column12021" dataDxfId="9168" totalsRowDxfId="9167"/>
    <tableColumn id="12036" xr3:uid="{000DA685-AF1F-4045-A605-E26915EB3D2E}" name="Column12022" dataDxfId="9166" totalsRowDxfId="9165"/>
    <tableColumn id="12037" xr3:uid="{95305D14-C2A7-41D9-A603-6B474C16D48F}" name="Column12023" dataDxfId="9164" totalsRowDxfId="9163"/>
    <tableColumn id="12038" xr3:uid="{9C83CE17-DA35-4E7E-A945-6FE87C061B9F}" name="Column12024" dataDxfId="9162" totalsRowDxfId="9161"/>
    <tableColumn id="12039" xr3:uid="{C043F5A2-95CA-4B36-81F3-EC8E8289E45C}" name="Column12025" dataDxfId="9160" totalsRowDxfId="9159"/>
    <tableColumn id="12040" xr3:uid="{D032A2A7-FB12-409E-881D-6A29E21563D3}" name="Column12026" dataDxfId="9158" totalsRowDxfId="9157"/>
    <tableColumn id="12041" xr3:uid="{2B3F2C98-BF37-4666-91F1-3B78F46A1880}" name="Column12027" dataDxfId="9156" totalsRowDxfId="9155"/>
    <tableColumn id="12042" xr3:uid="{5583A0E9-0683-4F28-B16B-BDEFA15B5BCB}" name="Column12028" dataDxfId="9154" totalsRowDxfId="9153"/>
    <tableColumn id="12043" xr3:uid="{1290A972-F454-4226-9830-573F1D52EDD9}" name="Column12029" dataDxfId="9152" totalsRowDxfId="9151"/>
    <tableColumn id="12044" xr3:uid="{344EFA4B-A5DC-417E-B1FC-EE9710C995C6}" name="Column12030" dataDxfId="9150" totalsRowDxfId="9149"/>
    <tableColumn id="12045" xr3:uid="{D43FE339-4ABD-4679-B92A-A348D57FBE2B}" name="Column12031" dataDxfId="9148" totalsRowDxfId="9147"/>
    <tableColumn id="12046" xr3:uid="{E68FBE1C-4C9A-47EC-BFE6-BF625B2A5AA0}" name="Column12032" dataDxfId="9146" totalsRowDxfId="9145"/>
    <tableColumn id="12047" xr3:uid="{540422F3-3B6B-4BB4-A34B-77E17DD61D75}" name="Column12033" dataDxfId="9144" totalsRowDxfId="9143"/>
    <tableColumn id="12048" xr3:uid="{92545556-50EF-4FDF-9794-15CBBECE716A}" name="Column12034" dataDxfId="9142" totalsRowDxfId="9141"/>
    <tableColumn id="12049" xr3:uid="{0526E7DF-A92E-4036-A66D-99340795DCAF}" name="Column12035" dataDxfId="9140" totalsRowDxfId="9139"/>
    <tableColumn id="12050" xr3:uid="{7E6B79B3-687D-4173-88E8-74699FCC8BB8}" name="Column12036" dataDxfId="9138" totalsRowDxfId="9137"/>
    <tableColumn id="12051" xr3:uid="{F46DB37D-67CD-43AA-928B-4EB9004918E1}" name="Column12037" dataDxfId="9136" totalsRowDxfId="9135"/>
    <tableColumn id="12052" xr3:uid="{FC1E77AC-2CC1-4EF5-AAC6-785C36E5B432}" name="Column12038" dataDxfId="9134" totalsRowDxfId="9133"/>
    <tableColumn id="12053" xr3:uid="{B619FE29-7BFE-496E-B445-F8263069A59A}" name="Column12039" dataDxfId="9132" totalsRowDxfId="9131"/>
    <tableColumn id="12054" xr3:uid="{CA58352F-59C4-4958-ADEE-3C6B57DDAE24}" name="Column12040" dataDxfId="9130" totalsRowDxfId="9129"/>
    <tableColumn id="12055" xr3:uid="{57962D03-C278-4570-8855-0BE4610B994C}" name="Column12041" dataDxfId="9128" totalsRowDxfId="9127"/>
    <tableColumn id="12056" xr3:uid="{1BE139A9-3333-4F38-9887-4CD2F0D1AB99}" name="Column12042" dataDxfId="9126" totalsRowDxfId="9125"/>
    <tableColumn id="12057" xr3:uid="{B837F5B4-B202-4699-BCB5-2E4FA3EC62A7}" name="Column12043" dataDxfId="9124" totalsRowDxfId="9123"/>
    <tableColumn id="12058" xr3:uid="{C9757E10-AB57-497E-B0EB-4B0FC51E2837}" name="Column12044" dataDxfId="9122" totalsRowDxfId="9121"/>
    <tableColumn id="12059" xr3:uid="{04B23999-2DD5-4E34-B8E2-99C1C21DA9DB}" name="Column12045" dataDxfId="9120" totalsRowDxfId="9119"/>
    <tableColumn id="12060" xr3:uid="{C16F37FC-1EBE-4AEF-B07B-E19750CBC392}" name="Column12046" dataDxfId="9118" totalsRowDxfId="9117"/>
    <tableColumn id="12061" xr3:uid="{F3215CD1-BF18-45F5-B2E1-D8EC419A896F}" name="Column12047" dataDxfId="9116" totalsRowDxfId="9115"/>
    <tableColumn id="12062" xr3:uid="{1F7EB251-A3DF-4492-8A42-9B0A57883560}" name="Column12048" dataDxfId="9114" totalsRowDxfId="9113"/>
    <tableColumn id="12063" xr3:uid="{C18FAE2A-34DD-45D9-842E-BC6080B7FA18}" name="Column12049" dataDxfId="9112" totalsRowDxfId="9111"/>
    <tableColumn id="12064" xr3:uid="{4E5C7866-E117-46F9-B0C0-A651C5628CDA}" name="Column12050" dataDxfId="9110" totalsRowDxfId="9109"/>
    <tableColumn id="12065" xr3:uid="{18021EB8-3DA6-43DD-9029-4C77F014F75E}" name="Column12051" dataDxfId="9108" totalsRowDxfId="9107"/>
    <tableColumn id="12066" xr3:uid="{50FF3CE0-0540-4ECE-9F88-6138E0C3E680}" name="Column12052" dataDxfId="9106" totalsRowDxfId="9105"/>
    <tableColumn id="12067" xr3:uid="{59B95619-D5C3-4285-9150-688E08AE455F}" name="Column12053" dataDxfId="9104" totalsRowDxfId="9103"/>
    <tableColumn id="12068" xr3:uid="{81CBC4E1-C91E-4237-897C-CACE33234606}" name="Column12054" dataDxfId="9102" totalsRowDxfId="9101"/>
    <tableColumn id="12069" xr3:uid="{3EA16980-1D6C-448A-88FD-7E9EF0CD70A0}" name="Column12055" dataDxfId="9100" totalsRowDxfId="9099"/>
    <tableColumn id="12070" xr3:uid="{16B49EB2-328C-4530-90E3-4BC06606FD9F}" name="Column12056" dataDxfId="9098" totalsRowDxfId="9097"/>
    <tableColumn id="12071" xr3:uid="{F2D3EB4A-5856-47F9-89B4-F958D516CFB7}" name="Column12057" dataDxfId="9096" totalsRowDxfId="9095"/>
    <tableColumn id="12072" xr3:uid="{1B1DB555-9F8E-488F-87B6-669242E78A93}" name="Column12058" dataDxfId="9094" totalsRowDxfId="9093"/>
    <tableColumn id="12073" xr3:uid="{1613A3A3-F8B2-4F80-8BE1-592112B673BF}" name="Column12059" dataDxfId="9092" totalsRowDxfId="9091"/>
    <tableColumn id="12074" xr3:uid="{E6B360C2-8A6D-4E7F-BD61-33CE4D846374}" name="Column12060" dataDxfId="9090" totalsRowDxfId="9089"/>
    <tableColumn id="12075" xr3:uid="{65234171-B0CB-42DB-8CE0-528319D6D476}" name="Column12061" dataDxfId="9088" totalsRowDxfId="9087"/>
    <tableColumn id="12076" xr3:uid="{D5BE5222-FEDA-419E-A04B-B7B9BC44F91C}" name="Column12062" dataDxfId="9086" totalsRowDxfId="9085"/>
    <tableColumn id="12077" xr3:uid="{05F45883-34F2-4794-8466-A44C7871E068}" name="Column12063" dataDxfId="9084" totalsRowDxfId="9083"/>
    <tableColumn id="12078" xr3:uid="{0E6FF5EB-CDD7-4A27-A9E5-9375E78ADE67}" name="Column12064" dataDxfId="9082" totalsRowDxfId="9081"/>
    <tableColumn id="12079" xr3:uid="{3693D025-7218-46C9-B537-76FDE5C7BEC9}" name="Column12065" dataDxfId="9080" totalsRowDxfId="9079"/>
    <tableColumn id="12080" xr3:uid="{6DA9F7C3-F58F-4190-9FB9-9523C502DABD}" name="Column12066" dataDxfId="9078" totalsRowDxfId="9077"/>
    <tableColumn id="12081" xr3:uid="{560A1FC2-3471-483D-B351-7EED20BE846A}" name="Column12067" dataDxfId="9076" totalsRowDxfId="9075"/>
    <tableColumn id="12082" xr3:uid="{96334E9D-D807-4B8F-938F-0B0F98F48B4A}" name="Column12068" dataDxfId="9074" totalsRowDxfId="9073"/>
    <tableColumn id="12083" xr3:uid="{11F16E57-D675-4F6F-A4D4-AC47B92EC3B4}" name="Column12069" dataDxfId="9072" totalsRowDxfId="9071"/>
    <tableColumn id="12084" xr3:uid="{97E65C36-8B02-443F-AFA3-1C8803CDE5B5}" name="Column12070" dataDxfId="9070" totalsRowDxfId="9069"/>
    <tableColumn id="12085" xr3:uid="{2B2F52AE-63A8-4683-82E8-647B95A79EBB}" name="Column12071" dataDxfId="9068" totalsRowDxfId="9067"/>
    <tableColumn id="12086" xr3:uid="{C90143D8-3990-45D0-9891-BECBBD765CE2}" name="Column12072" dataDxfId="9066" totalsRowDxfId="9065"/>
    <tableColumn id="12087" xr3:uid="{8046EA95-B74D-44F5-A404-6C0812E9348F}" name="Column12073" dataDxfId="9064" totalsRowDxfId="9063"/>
    <tableColumn id="12088" xr3:uid="{87904D6E-AF5B-4CFA-BCF8-F4FD47FCFB6B}" name="Column12074" dataDxfId="9062" totalsRowDxfId="9061"/>
    <tableColumn id="12089" xr3:uid="{05D3BC2A-97C8-481D-89EA-74084261E9FA}" name="Column12075" dataDxfId="9060" totalsRowDxfId="9059"/>
    <tableColumn id="12090" xr3:uid="{0CD2C2E0-4AF7-4C57-BDB1-AB0BE4E6765B}" name="Column12076" dataDxfId="9058" totalsRowDxfId="9057"/>
    <tableColumn id="12091" xr3:uid="{A6838B7D-270A-4A82-A601-76D8C5F4674E}" name="Column12077" dataDxfId="9056" totalsRowDxfId="9055"/>
    <tableColumn id="12092" xr3:uid="{60A8BE21-1980-44E3-A487-1673DB5AD5C7}" name="Column12078" dataDxfId="9054" totalsRowDxfId="9053"/>
    <tableColumn id="12093" xr3:uid="{774131AD-BDEA-4F79-BF95-2F169A05451D}" name="Column12079" dataDxfId="9052" totalsRowDxfId="9051"/>
    <tableColumn id="12094" xr3:uid="{9446FB4D-2F60-4C7E-8F47-7F7CE70B762A}" name="Column12080" dataDxfId="9050" totalsRowDxfId="9049"/>
    <tableColumn id="12095" xr3:uid="{277C3A40-8CE4-4CBE-B36A-0FFA76C0C50F}" name="Column12081" dataDxfId="9048" totalsRowDxfId="9047"/>
    <tableColumn id="12096" xr3:uid="{DD495D57-8BD3-4E85-BDC3-07E711A94683}" name="Column12082" dataDxfId="9046" totalsRowDxfId="9045"/>
    <tableColumn id="12097" xr3:uid="{B87D9351-3429-434E-BB3F-F205ACB5587F}" name="Column12083" dataDxfId="9044" totalsRowDxfId="9043"/>
    <tableColumn id="12098" xr3:uid="{7DD27EBF-89A0-4883-9600-E1E74620E2A6}" name="Column12084" dataDxfId="9042" totalsRowDxfId="9041"/>
    <tableColumn id="12099" xr3:uid="{348DE1CE-775B-4BAF-AD26-A83080B9B282}" name="Column12085" dataDxfId="9040" totalsRowDxfId="9039"/>
    <tableColumn id="12100" xr3:uid="{E16BBE4D-E9D8-434B-A9E8-D51BB78B7587}" name="Column12086" dataDxfId="9038" totalsRowDxfId="9037"/>
    <tableColumn id="12101" xr3:uid="{EE5327ED-3F18-4568-90D9-61420A7EAA47}" name="Column12087" dataDxfId="9036" totalsRowDxfId="9035"/>
    <tableColumn id="12102" xr3:uid="{1C4F4DF7-8792-4DE6-9A11-9FDD9BFE8C79}" name="Column12088" dataDxfId="9034" totalsRowDxfId="9033"/>
    <tableColumn id="12103" xr3:uid="{0443B146-DCF2-4D94-8C34-CD96C499FB88}" name="Column12089" dataDxfId="9032" totalsRowDxfId="9031"/>
    <tableColumn id="12104" xr3:uid="{5C2B0641-F09F-4100-8C9C-1C80BB575001}" name="Column12090" dataDxfId="9030" totalsRowDxfId="9029"/>
    <tableColumn id="12105" xr3:uid="{668175C6-573C-4F9A-8FB5-9B7A7E8900D5}" name="Column12091" dataDxfId="9028" totalsRowDxfId="9027"/>
    <tableColumn id="12106" xr3:uid="{8599DBB5-E9C4-4931-BAFB-057779140E00}" name="Column12092" dataDxfId="9026" totalsRowDxfId="9025"/>
    <tableColumn id="12107" xr3:uid="{CCBE0A81-569E-4940-B9A4-6AEB9FDF621D}" name="Column12093" dataDxfId="9024" totalsRowDxfId="9023"/>
    <tableColumn id="12108" xr3:uid="{FBC30130-BE34-4B13-828D-5E87F2CB82BF}" name="Column12094" dataDxfId="9022" totalsRowDxfId="9021"/>
    <tableColumn id="12109" xr3:uid="{9F2144AD-1833-4F42-9B0C-83A3AAEF9C6B}" name="Column12095" dataDxfId="9020" totalsRowDxfId="9019"/>
    <tableColumn id="12110" xr3:uid="{7D6032E3-BD29-43BF-8892-E5C6B1462AD8}" name="Column12096" dataDxfId="9018" totalsRowDxfId="9017"/>
    <tableColumn id="12111" xr3:uid="{180B4AF0-407D-4DDC-99A4-D4A747477870}" name="Column12097" dataDxfId="9016" totalsRowDxfId="9015"/>
    <tableColumn id="12112" xr3:uid="{DCF777E2-38C7-477D-A95B-87FFD47E789A}" name="Column12098" dataDxfId="9014" totalsRowDxfId="9013"/>
    <tableColumn id="12113" xr3:uid="{BBC44CFB-5AE9-4917-8DF4-819A4DE828AD}" name="Column12099" dataDxfId="9012" totalsRowDxfId="9011"/>
    <tableColumn id="12114" xr3:uid="{8227B92B-E62C-4B5D-AEC4-2D230526D4F3}" name="Column12100" dataDxfId="9010" totalsRowDxfId="9009"/>
    <tableColumn id="12115" xr3:uid="{0B19E1E9-B216-49E4-84F4-D267028B72A0}" name="Column12101" dataDxfId="9008" totalsRowDxfId="9007"/>
    <tableColumn id="12116" xr3:uid="{4D0A9E71-2E20-4EA2-93C6-84217D4C8112}" name="Column12102" dataDxfId="9006" totalsRowDxfId="9005"/>
    <tableColumn id="12117" xr3:uid="{5C547FBD-5E6C-489C-9AD0-5F3636FD0F7B}" name="Column12103" dataDxfId="9004" totalsRowDxfId="9003"/>
    <tableColumn id="12118" xr3:uid="{705C1547-22D5-4EB3-B5B0-76CA2BCBB5B4}" name="Column12104" dataDxfId="9002" totalsRowDxfId="9001"/>
    <tableColumn id="12119" xr3:uid="{C3039211-70C6-49FA-B6C3-8C6C22CB53D0}" name="Column12105" dataDxfId="9000" totalsRowDxfId="8999"/>
    <tableColumn id="12120" xr3:uid="{5AB88179-CE72-4C78-9338-0A06614BA894}" name="Column12106" dataDxfId="8998" totalsRowDxfId="8997"/>
    <tableColumn id="12121" xr3:uid="{5733DCF6-E51B-4152-84C9-8D784E709CEB}" name="Column12107" dataDxfId="8996" totalsRowDxfId="8995"/>
    <tableColumn id="12122" xr3:uid="{FE2CB168-8E9B-4BA6-B9BE-D402B26D7DDE}" name="Column12108" dataDxfId="8994" totalsRowDxfId="8993"/>
    <tableColumn id="12123" xr3:uid="{3BDF0A27-350E-40C7-B8DA-B919593C8A88}" name="Column12109" dataDxfId="8992" totalsRowDxfId="8991"/>
    <tableColumn id="12124" xr3:uid="{3B42119B-DDDE-48A2-8D8C-ADF46BEFBB43}" name="Column12110" dataDxfId="8990" totalsRowDxfId="8989"/>
    <tableColumn id="12125" xr3:uid="{0C90BB00-D83A-4680-87AC-54B6CF379D7D}" name="Column12111" dataDxfId="8988" totalsRowDxfId="8987"/>
    <tableColumn id="12126" xr3:uid="{13A06ADF-EAB3-46EB-89B1-B51855A7D1C0}" name="Column12112" dataDxfId="8986" totalsRowDxfId="8985"/>
    <tableColumn id="12127" xr3:uid="{8AE9CFDC-C841-4E3F-B7EE-BCD18216D6AC}" name="Column12113" dataDxfId="8984" totalsRowDxfId="8983"/>
    <tableColumn id="12128" xr3:uid="{D91B9EFC-2AEE-42E8-B052-7D66CCC48329}" name="Column12114" dataDxfId="8982" totalsRowDxfId="8981"/>
    <tableColumn id="12129" xr3:uid="{37BDA926-CCFD-4545-BD7E-87BC64117CAC}" name="Column12115" dataDxfId="8980" totalsRowDxfId="8979"/>
    <tableColumn id="12130" xr3:uid="{6400D60F-437F-4ECF-8EAC-02201C5203A6}" name="Column12116" dataDxfId="8978" totalsRowDxfId="8977"/>
    <tableColumn id="12131" xr3:uid="{3F4F95D2-6BE0-45EE-9462-90BFA2A86257}" name="Column12117" dataDxfId="8976" totalsRowDxfId="8975"/>
    <tableColumn id="12132" xr3:uid="{CCE161FB-34B4-4B1D-9C74-54A9CD8B3FCB}" name="Column12118" dataDxfId="8974" totalsRowDxfId="8973"/>
    <tableColumn id="12133" xr3:uid="{7CDA0C0F-D0D1-4A80-B21F-4C454A7A2A42}" name="Column12119" dataDxfId="8972" totalsRowDxfId="8971"/>
    <tableColumn id="12134" xr3:uid="{1C75186F-266E-48C4-B60F-7824242E99DF}" name="Column12120" dataDxfId="8970" totalsRowDxfId="8969"/>
    <tableColumn id="12135" xr3:uid="{17DF1B5A-A60E-4094-95C5-1299FD6DC076}" name="Column12121" dataDxfId="8968" totalsRowDxfId="8967"/>
    <tableColumn id="12136" xr3:uid="{1E76DFD1-AF29-4939-9C59-CF4400476BD2}" name="Column12122" dataDxfId="8966" totalsRowDxfId="8965"/>
    <tableColumn id="12137" xr3:uid="{B166BEF3-24AA-4F42-9D61-70939A89E58B}" name="Column12123" dataDxfId="8964" totalsRowDxfId="8963"/>
    <tableColumn id="12138" xr3:uid="{A79487AB-7052-4DAB-B69E-1A6D3D938F9D}" name="Column12124" dataDxfId="8962" totalsRowDxfId="8961"/>
    <tableColumn id="12139" xr3:uid="{7403DE7D-9FA1-4FFF-A2C1-C8FA268B07ED}" name="Column12125" dataDxfId="8960" totalsRowDxfId="8959"/>
    <tableColumn id="12140" xr3:uid="{1C3033A9-0520-4347-A5CD-F735B76DC15F}" name="Column12126" dataDxfId="8958" totalsRowDxfId="8957"/>
    <tableColumn id="12141" xr3:uid="{21876534-017B-496C-A341-E28FD1121DA9}" name="Column12127" dataDxfId="8956" totalsRowDxfId="8955"/>
    <tableColumn id="12142" xr3:uid="{BA3C9361-27E8-4A8C-8267-0DA4E1D867F7}" name="Column12128" dataDxfId="8954" totalsRowDxfId="8953"/>
    <tableColumn id="12143" xr3:uid="{9AE6F81E-962F-4892-A0CC-1381EE082530}" name="Column12129" dataDxfId="8952" totalsRowDxfId="8951"/>
    <tableColumn id="12144" xr3:uid="{6F3A7BF9-E85A-448A-A02C-5F447F987DE9}" name="Column12130" dataDxfId="8950" totalsRowDxfId="8949"/>
    <tableColumn id="12145" xr3:uid="{28615D72-38D6-4C32-8772-635CAA2A438C}" name="Column12131" dataDxfId="8948" totalsRowDxfId="8947"/>
    <tableColumn id="12146" xr3:uid="{8962933A-96D9-4C81-BD0B-A5CB1DB5ABDF}" name="Column12132" dataDxfId="8946" totalsRowDxfId="8945"/>
    <tableColumn id="12147" xr3:uid="{FBE2820C-74D8-4919-A555-35FD7A226DC2}" name="Column12133" dataDxfId="8944" totalsRowDxfId="8943"/>
    <tableColumn id="12148" xr3:uid="{D4A2B09F-7F9A-496D-B106-67026464D64D}" name="Column12134" dataDxfId="8942" totalsRowDxfId="8941"/>
    <tableColumn id="12149" xr3:uid="{4968EFD7-90E0-45A5-A222-FD1C8BC198DC}" name="Column12135" dataDxfId="8940" totalsRowDxfId="8939"/>
    <tableColumn id="12150" xr3:uid="{C070DC27-8558-48D4-8EA1-3A1EC4691D6B}" name="Column12136" dataDxfId="8938" totalsRowDxfId="8937"/>
    <tableColumn id="12151" xr3:uid="{FCFE0B90-EBBB-4842-B902-F54EE34DA4BD}" name="Column12137" dataDxfId="8936" totalsRowDxfId="8935"/>
    <tableColumn id="12152" xr3:uid="{EE9764BD-8179-482D-AD6E-EDB1B750B3DB}" name="Column12138" dataDxfId="8934" totalsRowDxfId="8933"/>
    <tableColumn id="12153" xr3:uid="{CAE1712D-699A-41AC-B77D-42D785A25FC3}" name="Column12139" dataDxfId="8932" totalsRowDxfId="8931"/>
    <tableColumn id="12154" xr3:uid="{189E9086-C346-47AE-9B50-ACA338561465}" name="Column12140" dataDxfId="8930" totalsRowDxfId="8929"/>
    <tableColumn id="12155" xr3:uid="{BC7098CC-84E2-4160-AF53-3BA7F85A28C3}" name="Column12141" dataDxfId="8928" totalsRowDxfId="8927"/>
    <tableColumn id="12156" xr3:uid="{03A36676-9E12-419E-BB9E-5E46AEF668F3}" name="Column12142" dataDxfId="8926" totalsRowDxfId="8925"/>
    <tableColumn id="12157" xr3:uid="{89721713-6F9A-4B0B-A820-F030ABF6907E}" name="Column12143" dataDxfId="8924" totalsRowDxfId="8923"/>
    <tableColumn id="12158" xr3:uid="{86B2FFEE-6708-43A6-9A5D-888468FE4D3D}" name="Column12144" dataDxfId="8922" totalsRowDxfId="8921"/>
    <tableColumn id="12159" xr3:uid="{03B96A8F-43D4-4214-98B5-C0073CF55987}" name="Column12145" dataDxfId="8920" totalsRowDxfId="8919"/>
    <tableColumn id="12160" xr3:uid="{8C504435-6E41-4739-9822-5711E260FC58}" name="Column12146" dataDxfId="8918" totalsRowDxfId="8917"/>
    <tableColumn id="12161" xr3:uid="{CC43BF03-1F8F-4586-942C-8CE53582D55B}" name="Column12147" dataDxfId="8916" totalsRowDxfId="8915"/>
    <tableColumn id="12162" xr3:uid="{948019BC-3CEE-4935-ACA5-FBA06A274FBF}" name="Column12148" dataDxfId="8914" totalsRowDxfId="8913"/>
    <tableColumn id="12163" xr3:uid="{70F1764B-FC42-4E09-8EE2-85CCA66852FF}" name="Column12149" dataDxfId="8912" totalsRowDxfId="8911"/>
    <tableColumn id="12164" xr3:uid="{65CA78BC-3115-4D2B-B7BE-F320533C6893}" name="Column12150" dataDxfId="8910" totalsRowDxfId="8909"/>
    <tableColumn id="12165" xr3:uid="{357EDD37-6D36-41FD-BCC4-F54A2591AD9B}" name="Column12151" dataDxfId="8908" totalsRowDxfId="8907"/>
    <tableColumn id="12166" xr3:uid="{A1C94FD5-B3E2-497B-8B14-A135E47E5BE0}" name="Column12152" dataDxfId="8906" totalsRowDxfId="8905"/>
    <tableColumn id="12167" xr3:uid="{551DA3ED-228F-4CFA-A698-F5BE487E683E}" name="Column12153" dataDxfId="8904" totalsRowDxfId="8903"/>
    <tableColumn id="12168" xr3:uid="{C7E747B0-A09F-4256-B27E-7976741E2DA9}" name="Column12154" dataDxfId="8902" totalsRowDxfId="8901"/>
    <tableColumn id="12169" xr3:uid="{F21677F2-B40E-480C-93F4-84FC9DB16680}" name="Column12155" dataDxfId="8900" totalsRowDxfId="8899"/>
    <tableColumn id="12170" xr3:uid="{75C96E4C-0956-4962-8DB2-65F74D25873C}" name="Column12156" dataDxfId="8898" totalsRowDxfId="8897"/>
    <tableColumn id="12171" xr3:uid="{8096B58F-D993-48B5-BD44-8217A0A59CE0}" name="Column12157" dataDxfId="8896" totalsRowDxfId="8895"/>
    <tableColumn id="12172" xr3:uid="{E2813589-A484-45A1-A5E5-7238ECEE5A95}" name="Column12158" dataDxfId="8894" totalsRowDxfId="8893"/>
    <tableColumn id="12173" xr3:uid="{87A03931-CAFC-477A-83F9-E3714BE9D412}" name="Column12159" dataDxfId="8892" totalsRowDxfId="8891"/>
    <tableColumn id="12174" xr3:uid="{716CCCE4-B7E0-4706-97CA-64A07B1CA017}" name="Column12160" dataDxfId="8890" totalsRowDxfId="8889"/>
    <tableColumn id="12175" xr3:uid="{08B5CFE1-313E-4F71-9B1F-1E92E46270A8}" name="Column12161" dataDxfId="8888" totalsRowDxfId="8887"/>
    <tableColumn id="12176" xr3:uid="{07D7E178-4AAF-4A16-AA7F-93464E5338F2}" name="Column12162" dataDxfId="8886" totalsRowDxfId="8885"/>
    <tableColumn id="12177" xr3:uid="{5D4CC9C0-DF4B-4FE5-8C21-79E18FFB7645}" name="Column12163" dataDxfId="8884" totalsRowDxfId="8883"/>
    <tableColumn id="12178" xr3:uid="{2A21D312-D484-47C3-BB6C-20B60935ED5E}" name="Column12164" dataDxfId="8882" totalsRowDxfId="8881"/>
    <tableColumn id="12179" xr3:uid="{93AAB6B9-800B-4D13-8633-B0CD616F8FAA}" name="Column12165" dataDxfId="8880" totalsRowDxfId="8879"/>
    <tableColumn id="12180" xr3:uid="{154F7ABE-60C2-4002-858F-172E8FB7949D}" name="Column12166" dataDxfId="8878" totalsRowDxfId="8877"/>
    <tableColumn id="12181" xr3:uid="{3C8768F5-4B17-4BE4-8C1B-AA4D222EF612}" name="Column12167" dataDxfId="8876" totalsRowDxfId="8875"/>
    <tableColumn id="12182" xr3:uid="{4A1CD68B-2697-485F-8405-9FBDB34C1E01}" name="Column12168" dataDxfId="8874" totalsRowDxfId="8873"/>
    <tableColumn id="12183" xr3:uid="{C47BF76A-5D6D-44D8-AD27-7F0457BF9D0A}" name="Column12169" dataDxfId="8872" totalsRowDxfId="8871"/>
    <tableColumn id="12184" xr3:uid="{5C6C0890-0595-4638-88EB-3F05ED9CD406}" name="Column12170" dataDxfId="8870" totalsRowDxfId="8869"/>
    <tableColumn id="12185" xr3:uid="{CB22580A-28C7-4102-BB7E-007E49332C6F}" name="Column12171" dataDxfId="8868" totalsRowDxfId="8867"/>
    <tableColumn id="12186" xr3:uid="{99C6DC65-4FD9-419F-8FDF-F8D62F46DC10}" name="Column12172" dataDxfId="8866" totalsRowDxfId="8865"/>
    <tableColumn id="12187" xr3:uid="{2D059ACB-4544-4822-9E8E-F4FACED5E8E2}" name="Column12173" dataDxfId="8864" totalsRowDxfId="8863"/>
    <tableColumn id="12188" xr3:uid="{A379C256-AB43-4FEB-B873-1D3C4AFFD32F}" name="Column12174" dataDxfId="8862" totalsRowDxfId="8861"/>
    <tableColumn id="12189" xr3:uid="{04C5B3A7-B493-427B-BE20-4BDEE0AA3E2C}" name="Column12175" dataDxfId="8860" totalsRowDxfId="8859"/>
    <tableColumn id="12190" xr3:uid="{496D471D-107A-477F-AA9B-D79491B1EE7A}" name="Column12176" dataDxfId="8858" totalsRowDxfId="8857"/>
    <tableColumn id="12191" xr3:uid="{FB8AF471-09D8-4312-AFED-A25B03B16F6B}" name="Column12177" dataDxfId="8856" totalsRowDxfId="8855"/>
    <tableColumn id="12192" xr3:uid="{5C2C2858-80A1-4C9D-9DFF-4DA321FCEEAB}" name="Column12178" dataDxfId="8854" totalsRowDxfId="8853"/>
    <tableColumn id="12193" xr3:uid="{04A6CC21-2075-4532-B3A9-CFA4D2BF6091}" name="Column12179" dataDxfId="8852" totalsRowDxfId="8851"/>
    <tableColumn id="12194" xr3:uid="{C483A146-F76C-4872-A2C1-03A31390EFC0}" name="Column12180" dataDxfId="8850" totalsRowDxfId="8849"/>
    <tableColumn id="12195" xr3:uid="{C29B2C9F-2425-477E-A306-BEEF5991ADDE}" name="Column12181" dataDxfId="8848" totalsRowDxfId="8847"/>
    <tableColumn id="12196" xr3:uid="{0CFC4630-9389-4405-A703-D3485658DF6A}" name="Column12182" dataDxfId="8846" totalsRowDxfId="8845"/>
    <tableColumn id="12197" xr3:uid="{7544660D-F585-4DB4-918D-5CBDD98375D9}" name="Column12183" dataDxfId="8844" totalsRowDxfId="8843"/>
    <tableColumn id="12198" xr3:uid="{C923FB3C-4B23-4EF6-93D4-965820847EB2}" name="Column12184" dataDxfId="8842" totalsRowDxfId="8841"/>
    <tableColumn id="12199" xr3:uid="{3CFC5E4D-BC27-458D-A52D-E5D5D87C4451}" name="Column12185" dataDxfId="8840" totalsRowDxfId="8839"/>
    <tableColumn id="12200" xr3:uid="{5528721E-D66C-4F1A-9475-B21A29A1AA78}" name="Column12186" dataDxfId="8838" totalsRowDxfId="8837"/>
    <tableColumn id="12201" xr3:uid="{830E36D7-AFC7-4156-A832-A9426DE4F89A}" name="Column12187" dataDxfId="8836" totalsRowDxfId="8835"/>
    <tableColumn id="12202" xr3:uid="{37E98BDA-2749-42BE-A5C4-CBC8AA7F3651}" name="Column12188" dataDxfId="8834" totalsRowDxfId="8833"/>
    <tableColumn id="12203" xr3:uid="{CD43F8CE-3D3B-492B-8A26-F46DB4B4B10C}" name="Column12189" dataDxfId="8832" totalsRowDxfId="8831"/>
    <tableColumn id="12204" xr3:uid="{254F81F8-C3A2-462D-A0D4-D9C28C4CA243}" name="Column12190" dataDxfId="8830" totalsRowDxfId="8829"/>
    <tableColumn id="12205" xr3:uid="{178F9C00-C83A-47F9-9A15-A59F38D05512}" name="Column12191" dataDxfId="8828" totalsRowDxfId="8827"/>
    <tableColumn id="12206" xr3:uid="{2CE2072D-C46D-4571-9DBB-55D779EF1B46}" name="Column12192" dataDxfId="8826" totalsRowDxfId="8825"/>
    <tableColumn id="12207" xr3:uid="{899B8D01-43DD-45B1-9CA0-9C040BBCD150}" name="Column12193" dataDxfId="8824" totalsRowDxfId="8823"/>
    <tableColumn id="12208" xr3:uid="{AA9AD014-AEE1-44EC-B1AD-1B1CD33B7B51}" name="Column12194" dataDxfId="8822" totalsRowDxfId="8821"/>
    <tableColumn id="12209" xr3:uid="{7E97445B-8985-4DFC-99B2-961817FAEF6F}" name="Column12195" dataDxfId="8820" totalsRowDxfId="8819"/>
    <tableColumn id="12210" xr3:uid="{51008FCB-1BB3-4B24-9AE9-0306486E8D00}" name="Column12196" dataDxfId="8818" totalsRowDxfId="8817"/>
    <tableColumn id="12211" xr3:uid="{E73B5C60-9F77-4E05-B74D-F65E9E59EC36}" name="Column12197" dataDxfId="8816" totalsRowDxfId="8815"/>
    <tableColumn id="12212" xr3:uid="{B3D767D7-1515-429D-8FB2-912F8385C321}" name="Column12198" dataDxfId="8814" totalsRowDxfId="8813"/>
    <tableColumn id="12213" xr3:uid="{31644A1E-F9A8-47EB-9732-B88FDFCD1883}" name="Column12199" dataDxfId="8812" totalsRowDxfId="8811"/>
    <tableColumn id="12214" xr3:uid="{3EE45F40-E0E6-4A31-A918-0DD9483071A6}" name="Column12200" dataDxfId="8810" totalsRowDxfId="8809"/>
    <tableColumn id="12215" xr3:uid="{63DC1B15-24C0-4665-B5D7-EC51BF19BBF1}" name="Column12201" dataDxfId="8808" totalsRowDxfId="8807"/>
    <tableColumn id="12216" xr3:uid="{EE8DFC0A-158C-4C34-81D9-A4B15A63AF1F}" name="Column12202" dataDxfId="8806" totalsRowDxfId="8805"/>
    <tableColumn id="12217" xr3:uid="{13E2AF9A-D51A-4B92-8CAD-3C774DEB0532}" name="Column12203" dataDxfId="8804" totalsRowDxfId="8803"/>
    <tableColumn id="12218" xr3:uid="{0B9B56A8-9D8F-4E8D-BD25-B4E0F56E3790}" name="Column12204" dataDxfId="8802" totalsRowDxfId="8801"/>
    <tableColumn id="12219" xr3:uid="{DDA1088D-B1AF-44F7-A3F6-A43B1B43C10D}" name="Column12205" dataDxfId="8800" totalsRowDxfId="8799"/>
    <tableColumn id="12220" xr3:uid="{018FF630-0443-45DD-939B-CBA06EFEF538}" name="Column12206" dataDxfId="8798" totalsRowDxfId="8797"/>
    <tableColumn id="12221" xr3:uid="{5EE4E641-122D-46DA-A82A-A29D5D3D5D29}" name="Column12207" dataDxfId="8796" totalsRowDxfId="8795"/>
    <tableColumn id="12222" xr3:uid="{11289DC8-358E-4FD7-8C1C-BAA0C4A39809}" name="Column12208" dataDxfId="8794" totalsRowDxfId="8793"/>
    <tableColumn id="12223" xr3:uid="{A03A14A9-BD2F-40F6-B1A1-C0D9C9C8BF25}" name="Column12209" dataDxfId="8792" totalsRowDxfId="8791"/>
    <tableColumn id="12224" xr3:uid="{EFEDBEB6-5596-4DB5-9540-EBC837D1984B}" name="Column12210" dataDxfId="8790" totalsRowDxfId="8789"/>
    <tableColumn id="12225" xr3:uid="{062B6849-9705-4C66-8FB6-C70FDC392396}" name="Column12211" dataDxfId="8788" totalsRowDxfId="8787"/>
    <tableColumn id="12226" xr3:uid="{7FEA5880-1C39-4F8C-AD96-F83F43ED24FC}" name="Column12212" dataDxfId="8786" totalsRowDxfId="8785"/>
    <tableColumn id="12227" xr3:uid="{9C5D5B5F-F78F-4F37-AD9E-7A97D7242F9E}" name="Column12213" dataDxfId="8784" totalsRowDxfId="8783"/>
    <tableColumn id="12228" xr3:uid="{777834AA-75B6-4A8C-9394-19611E1AAFC4}" name="Column12214" dataDxfId="8782" totalsRowDxfId="8781"/>
    <tableColumn id="12229" xr3:uid="{11F730CA-4424-420F-8C6A-ACA36137A0C0}" name="Column12215" dataDxfId="8780" totalsRowDxfId="8779"/>
    <tableColumn id="12230" xr3:uid="{CBEFC148-21A2-47F0-ACAF-55E11997F84E}" name="Column12216" dataDxfId="8778" totalsRowDxfId="8777"/>
    <tableColumn id="12231" xr3:uid="{DC07BB4F-3DB7-4E58-82B9-F4811F00BB25}" name="Column12217" dataDxfId="8776" totalsRowDxfId="8775"/>
    <tableColumn id="12232" xr3:uid="{611E55FA-7F08-4E8E-95EF-065DEB7FEB3A}" name="Column12218" dataDxfId="8774" totalsRowDxfId="8773"/>
    <tableColumn id="12233" xr3:uid="{4B447E70-467F-48F7-9EB5-17AB1CB4F30B}" name="Column12219" dataDxfId="8772" totalsRowDxfId="8771"/>
    <tableColumn id="12234" xr3:uid="{06785081-3C99-4495-8C09-3BBE24FBB251}" name="Column12220" dataDxfId="8770" totalsRowDxfId="8769"/>
    <tableColumn id="12235" xr3:uid="{3AEC0844-C01C-4F8F-BF77-D49EC8CA5113}" name="Column12221" dataDxfId="8768" totalsRowDxfId="8767"/>
    <tableColumn id="12236" xr3:uid="{BEFF44B5-2CE8-4E0B-943E-BFC6E32F8B95}" name="Column12222" dataDxfId="8766" totalsRowDxfId="8765"/>
    <tableColumn id="12237" xr3:uid="{22DF9DE2-47F3-4CE9-86BA-3A0B780B5363}" name="Column12223" dataDxfId="8764" totalsRowDxfId="8763"/>
    <tableColumn id="12238" xr3:uid="{51049FE1-27DE-4DD5-87E9-5EF14A1D8242}" name="Column12224" dataDxfId="8762" totalsRowDxfId="8761"/>
    <tableColumn id="12239" xr3:uid="{787B145E-F5E9-49E9-B22D-F5DC15ED61D1}" name="Column12225" dataDxfId="8760" totalsRowDxfId="8759"/>
    <tableColumn id="12240" xr3:uid="{FE0356D1-8A17-4E49-9D7D-4FD697D5D4B2}" name="Column12226" dataDxfId="8758" totalsRowDxfId="8757"/>
    <tableColumn id="12241" xr3:uid="{471A146A-3F40-47BC-9338-520583181260}" name="Column12227" dataDxfId="8756" totalsRowDxfId="8755"/>
    <tableColumn id="12242" xr3:uid="{28EEB93F-1D40-4254-B62E-4CFD2A57A76E}" name="Column12228" dataDxfId="8754" totalsRowDxfId="8753"/>
    <tableColumn id="12243" xr3:uid="{261F0156-FFCC-43A9-BF23-47D9915B0D12}" name="Column12229" dataDxfId="8752" totalsRowDxfId="8751"/>
    <tableColumn id="12244" xr3:uid="{22503E03-9747-410E-B84B-3F2CB20DB2A4}" name="Column12230" dataDxfId="8750" totalsRowDxfId="8749"/>
    <tableColumn id="12245" xr3:uid="{147D1A86-ABCD-4EBC-A53D-D1C1D9AEB02E}" name="Column12231" dataDxfId="8748" totalsRowDxfId="8747"/>
    <tableColumn id="12246" xr3:uid="{9DA76C0F-DBE2-4261-9225-32527C0E9C52}" name="Column12232" dataDxfId="8746" totalsRowDxfId="8745"/>
    <tableColumn id="12247" xr3:uid="{F3ECAE9B-961C-46F7-A79F-5D0EF57B32A8}" name="Column12233" dataDxfId="8744" totalsRowDxfId="8743"/>
    <tableColumn id="12248" xr3:uid="{7D82A293-005D-475D-9889-6BDDE230AE08}" name="Column12234" dataDxfId="8742" totalsRowDxfId="8741"/>
    <tableColumn id="12249" xr3:uid="{38094585-7E39-4FB0-AA9D-2A0BE3188463}" name="Column12235" dataDxfId="8740" totalsRowDxfId="8739"/>
    <tableColumn id="12250" xr3:uid="{D57B3AAC-EDAD-4C14-BF2F-918EAF592283}" name="Column12236" dataDxfId="8738" totalsRowDxfId="8737"/>
    <tableColumn id="12251" xr3:uid="{2D412AFD-8382-41B3-9EC6-E4AA5F202008}" name="Column12237" dataDxfId="8736" totalsRowDxfId="8735"/>
    <tableColumn id="12252" xr3:uid="{8540B833-88DB-4A9E-8668-5D3B527C8141}" name="Column12238" dataDxfId="8734" totalsRowDxfId="8733"/>
    <tableColumn id="12253" xr3:uid="{88B4A246-989E-4806-976C-C9A4F0696DEA}" name="Column12239" dataDxfId="8732" totalsRowDxfId="8731"/>
    <tableColumn id="12254" xr3:uid="{499AB874-6C47-4D64-B456-800C25367E82}" name="Column12240" dataDxfId="8730" totalsRowDxfId="8729"/>
    <tableColumn id="12255" xr3:uid="{6317B5EC-E72D-41CD-BAA0-ED9D8E11BB93}" name="Column12241" dataDxfId="8728" totalsRowDxfId="8727"/>
    <tableColumn id="12256" xr3:uid="{0D3723DF-0F3A-4031-8AB6-26C818BD69B5}" name="Column12242" dataDxfId="8726" totalsRowDxfId="8725"/>
    <tableColumn id="12257" xr3:uid="{48D8B16D-BD28-4A37-B4B4-A0A158FE20F8}" name="Column12243" dataDxfId="8724" totalsRowDxfId="8723"/>
    <tableColumn id="12258" xr3:uid="{399936C2-E41D-4498-BBD4-F663DEE315E6}" name="Column12244" dataDxfId="8722" totalsRowDxfId="8721"/>
    <tableColumn id="12259" xr3:uid="{954194F2-1D20-4C0A-A2B0-71E4F7888C69}" name="Column12245" dataDxfId="8720" totalsRowDxfId="8719"/>
    <tableColumn id="12260" xr3:uid="{A9462E76-47E8-4706-A37B-14FF74A15339}" name="Column12246" dataDxfId="8718" totalsRowDxfId="8717"/>
    <tableColumn id="12261" xr3:uid="{C29D5527-AC3F-4671-9EFD-D14E335AC85D}" name="Column12247" dataDxfId="8716" totalsRowDxfId="8715"/>
    <tableColumn id="12262" xr3:uid="{070D057A-0806-4FE2-8DF5-F122A1B46334}" name="Column12248" dataDxfId="8714" totalsRowDxfId="8713"/>
    <tableColumn id="12263" xr3:uid="{CCC4A23C-77CE-4043-AF4D-08F812119080}" name="Column12249" dataDxfId="8712" totalsRowDxfId="8711"/>
    <tableColumn id="12264" xr3:uid="{47E96FCA-E404-4006-BEBB-3A4393D10091}" name="Column12250" dataDxfId="8710" totalsRowDxfId="8709"/>
    <tableColumn id="12265" xr3:uid="{27170FC2-8EDF-4B5D-BCDD-5F103448E5CA}" name="Column12251" dataDxfId="8708" totalsRowDxfId="8707"/>
    <tableColumn id="12266" xr3:uid="{2AC3764D-B105-4B1F-8F27-1F7968AFD376}" name="Column12252" dataDxfId="8706" totalsRowDxfId="8705"/>
    <tableColumn id="12267" xr3:uid="{FFAD85D2-8BFC-41BF-8C86-7692FFE96856}" name="Column12253" dataDxfId="8704" totalsRowDxfId="8703"/>
    <tableColumn id="12268" xr3:uid="{09563BA2-3995-402A-9C8F-9C844B42FB86}" name="Column12254" dataDxfId="8702" totalsRowDxfId="8701"/>
    <tableColumn id="12269" xr3:uid="{9C349EA3-AF1F-4B51-BF01-62DF22163DDF}" name="Column12255" dataDxfId="8700" totalsRowDxfId="8699"/>
    <tableColumn id="12270" xr3:uid="{140FC2B3-8832-4B3C-8119-29813ACF97E1}" name="Column12256" dataDxfId="8698" totalsRowDxfId="8697"/>
    <tableColumn id="12271" xr3:uid="{BCBD8365-5B2D-4F35-B1E4-63F1BAE18BC0}" name="Column12257" dataDxfId="8696" totalsRowDxfId="8695"/>
    <tableColumn id="12272" xr3:uid="{DEE5682A-7983-4401-92C2-27C6A8B76E9D}" name="Column12258" dataDxfId="8694" totalsRowDxfId="8693"/>
    <tableColumn id="12273" xr3:uid="{72807403-07C2-4657-86C0-53A73A26CED8}" name="Column12259" dataDxfId="8692" totalsRowDxfId="8691"/>
    <tableColumn id="12274" xr3:uid="{F2255B5B-33D7-4E48-A924-CBCB5F97031C}" name="Column12260" dataDxfId="8690" totalsRowDxfId="8689"/>
    <tableColumn id="12275" xr3:uid="{72508A4C-CAA4-43F6-8CD6-6971FCCE5019}" name="Column12261" dataDxfId="8688" totalsRowDxfId="8687"/>
    <tableColumn id="12276" xr3:uid="{4755430C-390E-44DB-B05C-15B25AC8CBD1}" name="Column12262" dataDxfId="8686" totalsRowDxfId="8685"/>
    <tableColumn id="12277" xr3:uid="{8E1D9845-7A10-4A4B-941A-091A613489FE}" name="Column12263" dataDxfId="8684" totalsRowDxfId="8683"/>
    <tableColumn id="12278" xr3:uid="{0EC4A56C-6B3E-4C84-B1B4-84C0F00163E0}" name="Column12264" dataDxfId="8682" totalsRowDxfId="8681"/>
    <tableColumn id="12279" xr3:uid="{A8C9011C-AB5F-4FA4-BBFA-AFF16F18162E}" name="Column12265" dataDxfId="8680" totalsRowDxfId="8679"/>
    <tableColumn id="12280" xr3:uid="{8EC786E2-EACA-469C-B045-E44F0410BD70}" name="Column12266" dataDxfId="8678" totalsRowDxfId="8677"/>
    <tableColumn id="12281" xr3:uid="{E12AF898-2333-4235-9315-964E31B58AE9}" name="Column12267" dataDxfId="8676" totalsRowDxfId="8675"/>
    <tableColumn id="12282" xr3:uid="{F4C5274D-2C34-41A2-9BF3-03B3BF1D8188}" name="Column12268" dataDxfId="8674" totalsRowDxfId="8673"/>
    <tableColumn id="12283" xr3:uid="{83284113-F765-48F3-AEAB-0161040F6A77}" name="Column12269" dataDxfId="8672" totalsRowDxfId="8671"/>
    <tableColumn id="12284" xr3:uid="{FFF965A5-6C46-4928-8BCD-CEC8D9B16FD4}" name="Column12270" dataDxfId="8670" totalsRowDxfId="8669"/>
    <tableColumn id="12285" xr3:uid="{FB12EBF2-F2A0-4CB5-B931-D2889F0D69D3}" name="Column12271" dataDxfId="8668" totalsRowDxfId="8667"/>
    <tableColumn id="12286" xr3:uid="{4C9419EE-A04B-4ECB-9308-0B67486AFDA3}" name="Column12272" dataDxfId="8666" totalsRowDxfId="8665"/>
    <tableColumn id="12287" xr3:uid="{4D4EA56F-B820-408C-8618-3A08F3132371}" name="Column12273" dataDxfId="8664" totalsRowDxfId="8663"/>
    <tableColumn id="12288" xr3:uid="{59B4C088-2A2A-485C-96A8-68BFFDC3EB12}" name="Column12274" dataDxfId="8662" totalsRowDxfId="8661"/>
    <tableColumn id="12289" xr3:uid="{3471BAF6-2090-4E13-958A-C7A60BAC1A9A}" name="Column12275" dataDxfId="8660" totalsRowDxfId="8659"/>
    <tableColumn id="12290" xr3:uid="{41AD804F-3765-490C-BED9-E7DA7C3ECA2D}" name="Column12276" dataDxfId="8658" totalsRowDxfId="8657"/>
    <tableColumn id="12291" xr3:uid="{44ADD5B0-7C24-42E4-A1B1-43F76AA535AF}" name="Column12277" dataDxfId="8656" totalsRowDxfId="8655"/>
    <tableColumn id="12292" xr3:uid="{CE614D47-51F8-4545-A3E1-300691EDA59A}" name="Column12278" dataDxfId="8654" totalsRowDxfId="8653"/>
    <tableColumn id="12293" xr3:uid="{C8EB2435-4C5C-4621-A661-5C67C079A107}" name="Column12279" dataDxfId="8652" totalsRowDxfId="8651"/>
    <tableColumn id="12294" xr3:uid="{4B8D3335-7F39-49A1-9DF1-61BDB50DF8A0}" name="Column12280" dataDxfId="8650" totalsRowDxfId="8649"/>
    <tableColumn id="12295" xr3:uid="{26A51251-A8F1-4ED3-A902-9A524B1DA72F}" name="Column12281" dataDxfId="8648" totalsRowDxfId="8647"/>
    <tableColumn id="12296" xr3:uid="{9F300CF3-2F96-4E9D-B25F-8D375C89DC2B}" name="Column12282" dataDxfId="8646" totalsRowDxfId="8645"/>
    <tableColumn id="12297" xr3:uid="{4A749DD6-F340-486C-9C34-C0098CECE452}" name="Column12283" dataDxfId="8644" totalsRowDxfId="8643"/>
    <tableColumn id="12298" xr3:uid="{04BB888A-05CA-47A5-88A4-DC38CD7090E8}" name="Column12284" dataDxfId="8642" totalsRowDxfId="8641"/>
    <tableColumn id="12299" xr3:uid="{52AB840C-B7BF-4F0E-B92B-DF46395888F0}" name="Column12285" dataDxfId="8640" totalsRowDxfId="8639"/>
    <tableColumn id="12300" xr3:uid="{2183AD38-6971-4770-80D2-6B68F4204044}" name="Column12286" dataDxfId="8638" totalsRowDxfId="8637"/>
    <tableColumn id="12301" xr3:uid="{11C0F6AA-12A7-4DF1-B32B-C500B0C056C4}" name="Column12287" dataDxfId="8636" totalsRowDxfId="8635"/>
    <tableColumn id="12302" xr3:uid="{918BE192-5CFD-4E67-BCBB-CEC625FCDE06}" name="Column12288" dataDxfId="8634" totalsRowDxfId="8633"/>
    <tableColumn id="12303" xr3:uid="{56B7EDF2-ACE3-433A-BC51-FADB37E2B998}" name="Column12289" dataDxfId="8632" totalsRowDxfId="8631"/>
    <tableColumn id="12304" xr3:uid="{5E3787CD-FF72-442F-AC84-6C8BB3E3F2BB}" name="Column12290" dataDxfId="8630" totalsRowDxfId="8629"/>
    <tableColumn id="12305" xr3:uid="{C2CDFD8A-210A-4511-AD81-9F286C3C1B20}" name="Column12291" dataDxfId="8628" totalsRowDxfId="8627"/>
    <tableColumn id="12306" xr3:uid="{2DFA0856-2FA9-44AB-9349-0AD75B3F59D3}" name="Column12292" dataDxfId="8626" totalsRowDxfId="8625"/>
    <tableColumn id="12307" xr3:uid="{EA0F31C1-1189-467C-A11E-ADD57AE980D7}" name="Column12293" dataDxfId="8624" totalsRowDxfId="8623"/>
    <tableColumn id="12308" xr3:uid="{3C3F40D0-48BB-4545-952F-873086E3A2E6}" name="Column12294" dataDxfId="8622" totalsRowDxfId="8621"/>
    <tableColumn id="12309" xr3:uid="{AA0AF1C6-D74A-475D-AA86-1B9232D0F5F6}" name="Column12295" dataDxfId="8620" totalsRowDxfId="8619"/>
    <tableColumn id="12310" xr3:uid="{ED12CEF1-FF7D-4D41-A9E5-0253CEE8EC67}" name="Column12296" dataDxfId="8618" totalsRowDxfId="8617"/>
    <tableColumn id="12311" xr3:uid="{80838CEA-4D45-4C5D-AE43-326D3D86D1C8}" name="Column12297" dataDxfId="8616" totalsRowDxfId="8615"/>
    <tableColumn id="12312" xr3:uid="{8D6B9BEE-3670-4FDC-847A-CECAD457DCEF}" name="Column12298" dataDxfId="8614" totalsRowDxfId="8613"/>
    <tableColumn id="12313" xr3:uid="{F91895D2-5DF7-4ECF-9964-A31B556A9B71}" name="Column12299" dataDxfId="8612" totalsRowDxfId="8611"/>
    <tableColumn id="12314" xr3:uid="{86E2A73F-4081-4B94-A457-DDED75368FC8}" name="Column12300" dataDxfId="8610" totalsRowDxfId="8609"/>
    <tableColumn id="12315" xr3:uid="{549A12CC-842A-4495-9F93-DD538C949E22}" name="Column12301" dataDxfId="8608" totalsRowDxfId="8607"/>
    <tableColumn id="12316" xr3:uid="{07D820B2-B6B1-484D-91AA-66902D558AD0}" name="Column12302" dataDxfId="8606" totalsRowDxfId="8605"/>
    <tableColumn id="12317" xr3:uid="{7DF2BDCC-EA62-4E95-B7B1-08CA9DBD07C6}" name="Column12303" dataDxfId="8604" totalsRowDxfId="8603"/>
    <tableColumn id="12318" xr3:uid="{1C48E76F-541C-4756-844B-411A83965D0A}" name="Column12304" dataDxfId="8602" totalsRowDxfId="8601"/>
    <tableColumn id="12319" xr3:uid="{B7920311-6D11-4306-8F0F-4D37A83E53C8}" name="Column12305" dataDxfId="8600" totalsRowDxfId="8599"/>
    <tableColumn id="12320" xr3:uid="{BF4E98C4-90DE-4E4C-AF25-FE16BD574B07}" name="Column12306" dataDxfId="8598" totalsRowDxfId="8597"/>
    <tableColumn id="12321" xr3:uid="{B57DEE52-01F2-4DE8-9F1E-17C6387F67D2}" name="Column12307" dataDxfId="8596" totalsRowDxfId="8595"/>
    <tableColumn id="12322" xr3:uid="{E977214A-821F-4587-AB49-0D3D0B2317E0}" name="Column12308" dataDxfId="8594" totalsRowDxfId="8593"/>
    <tableColumn id="12323" xr3:uid="{D8C238C4-1FD7-43FA-A9DF-DB8217D55B6F}" name="Column12309" dataDxfId="8592" totalsRowDxfId="8591"/>
    <tableColumn id="12324" xr3:uid="{D1E5BD71-8217-4060-B083-ADBF1F285D40}" name="Column12310" dataDxfId="8590" totalsRowDxfId="8589"/>
    <tableColumn id="12325" xr3:uid="{D8DF0290-FCFD-4264-92D7-A33625FDE56A}" name="Column12311" dataDxfId="8588" totalsRowDxfId="8587"/>
    <tableColumn id="12326" xr3:uid="{BF441F89-A8D3-4308-8B37-97C9339AAA04}" name="Column12312" dataDxfId="8586" totalsRowDxfId="8585"/>
    <tableColumn id="12327" xr3:uid="{A4FAE2EF-20B5-4FC1-B6D6-A065DB9DDE17}" name="Column12313" dataDxfId="8584" totalsRowDxfId="8583"/>
    <tableColumn id="12328" xr3:uid="{11E9BC56-ED68-4CF8-B485-D3DEE5F68F7C}" name="Column12314" dataDxfId="8582" totalsRowDxfId="8581"/>
    <tableColumn id="12329" xr3:uid="{70F30B12-9DA0-49AB-939D-7D530B78D4A6}" name="Column12315" dataDxfId="8580" totalsRowDxfId="8579"/>
    <tableColumn id="12330" xr3:uid="{5F95AD6D-922D-45D6-99F3-D9ABD3B3D9DF}" name="Column12316" dataDxfId="8578" totalsRowDxfId="8577"/>
    <tableColumn id="12331" xr3:uid="{3D5C2084-C1AB-4ACA-965E-499A32177DB4}" name="Column12317" dataDxfId="8576" totalsRowDxfId="8575"/>
    <tableColumn id="12332" xr3:uid="{8A588EED-D742-45E7-8149-627816FE0E37}" name="Column12318" dataDxfId="8574" totalsRowDxfId="8573"/>
    <tableColumn id="12333" xr3:uid="{3D1FD94A-1159-4752-B07E-B8CCD31A6922}" name="Column12319" dataDxfId="8572" totalsRowDxfId="8571"/>
    <tableColumn id="12334" xr3:uid="{B2ABAD9E-CFA7-4642-94F3-0ED127574BE0}" name="Column12320" dataDxfId="8570" totalsRowDxfId="8569"/>
    <tableColumn id="12335" xr3:uid="{D3BB3A0A-BB83-4DEE-94A9-0889952B608C}" name="Column12321" dataDxfId="8568" totalsRowDxfId="8567"/>
    <tableColumn id="12336" xr3:uid="{39EE2AE9-AD86-4816-B328-0622CA24DCA5}" name="Column12322" dataDxfId="8566" totalsRowDxfId="8565"/>
    <tableColumn id="12337" xr3:uid="{99867DE3-DEDD-479B-928D-437E9BB3116A}" name="Column12323" dataDxfId="8564" totalsRowDxfId="8563"/>
    <tableColumn id="12338" xr3:uid="{F0230C93-E753-446E-B287-04AAF1D8DE34}" name="Column12324" dataDxfId="8562" totalsRowDxfId="8561"/>
    <tableColumn id="12339" xr3:uid="{9D04E31C-C0C7-4874-BBB8-E12CAFEBDD27}" name="Column12325" dataDxfId="8560" totalsRowDxfId="8559"/>
    <tableColumn id="12340" xr3:uid="{30A04B81-0399-47C6-8A12-CEAB871D769A}" name="Column12326" dataDxfId="8558" totalsRowDxfId="8557"/>
    <tableColumn id="12341" xr3:uid="{24965B4D-B22A-4F5A-8E02-CDE198E86044}" name="Column12327" dataDxfId="8556" totalsRowDxfId="8555"/>
    <tableColumn id="12342" xr3:uid="{60AFAC72-9EDD-4FFC-B2DA-EF12D6A38DF1}" name="Column12328" dataDxfId="8554" totalsRowDxfId="8553"/>
    <tableColumn id="12343" xr3:uid="{E5E51DED-D696-4335-8938-CF8CABD257D4}" name="Column12329" dataDxfId="8552" totalsRowDxfId="8551"/>
    <tableColumn id="12344" xr3:uid="{842E9BD2-7E14-4A67-948D-2384016D38AC}" name="Column12330" dataDxfId="8550" totalsRowDxfId="8549"/>
    <tableColumn id="12345" xr3:uid="{8F012538-B9F3-40DC-BF94-52BBD4885AD4}" name="Column12331" dataDxfId="8548" totalsRowDxfId="8547"/>
    <tableColumn id="12346" xr3:uid="{5B36384A-226E-4DC5-A502-4509F553E702}" name="Column12332" dataDxfId="8546" totalsRowDxfId="8545"/>
    <tableColumn id="12347" xr3:uid="{A4C13F61-2064-443B-86DD-759795E99401}" name="Column12333" dataDxfId="8544" totalsRowDxfId="8543"/>
    <tableColumn id="12348" xr3:uid="{79B90BD1-EC5A-48F4-9331-71574903EB2D}" name="Column12334" dataDxfId="8542" totalsRowDxfId="8541"/>
    <tableColumn id="12349" xr3:uid="{7A2E45D2-8C2A-47B8-9481-8A11A7F6E363}" name="Column12335" dataDxfId="8540" totalsRowDxfId="8539"/>
    <tableColumn id="12350" xr3:uid="{C1DBA8E4-144C-4E1D-9170-6FBB46E41500}" name="Column12336" dataDxfId="8538" totalsRowDxfId="8537"/>
    <tableColumn id="12351" xr3:uid="{9370236E-2681-408F-A120-D040A4475BC8}" name="Column12337" dataDxfId="8536" totalsRowDxfId="8535"/>
    <tableColumn id="12352" xr3:uid="{502FA027-EC20-41D5-91D8-8EE2EDB532DC}" name="Column12338" dataDxfId="8534" totalsRowDxfId="8533"/>
    <tableColumn id="12353" xr3:uid="{F0C975D9-7F67-4B73-9E51-05F61D01A7F7}" name="Column12339" dataDxfId="8532" totalsRowDxfId="8531"/>
    <tableColumn id="12354" xr3:uid="{D9A0F860-A81C-4DDC-B8D5-BC43ECA357E5}" name="Column12340" dataDxfId="8530" totalsRowDxfId="8529"/>
    <tableColumn id="12355" xr3:uid="{3A4BE2AD-6C6E-4038-8E18-5DF0731025F1}" name="Column12341" dataDxfId="8528" totalsRowDxfId="8527"/>
    <tableColumn id="12356" xr3:uid="{B24A2D12-4C87-442F-AC6D-0FD500C620C3}" name="Column12342" dataDxfId="8526" totalsRowDxfId="8525"/>
    <tableColumn id="12357" xr3:uid="{A8A41106-A3A5-4083-8EB0-399EEA691701}" name="Column12343" dataDxfId="8524" totalsRowDxfId="8523"/>
    <tableColumn id="12358" xr3:uid="{A8585FBA-C5C6-4B56-A691-93E3AFC70E6C}" name="Column12344" dataDxfId="8522" totalsRowDxfId="8521"/>
    <tableColumn id="12359" xr3:uid="{45751CB1-A5E4-45BA-97C1-E4BD02BF166D}" name="Column12345" dataDxfId="8520" totalsRowDxfId="8519"/>
    <tableColumn id="12360" xr3:uid="{1A981DA1-D432-411B-853A-2036FB9B898B}" name="Column12346" dataDxfId="8518" totalsRowDxfId="8517"/>
    <tableColumn id="12361" xr3:uid="{167DD0C4-0314-4F21-8294-0FDA8F1E0CAC}" name="Column12347" dataDxfId="8516" totalsRowDxfId="8515"/>
    <tableColumn id="12362" xr3:uid="{3500B497-4408-49F0-89F4-70B6270A20CC}" name="Column12348" dataDxfId="8514" totalsRowDxfId="8513"/>
    <tableColumn id="12363" xr3:uid="{B35712B2-6CF8-467A-B591-57304E4062AF}" name="Column12349" dataDxfId="8512" totalsRowDxfId="8511"/>
    <tableColumn id="12364" xr3:uid="{1CD3583C-C1FA-4CF8-BF5E-02EE79E5DF4F}" name="Column12350" dataDxfId="8510" totalsRowDxfId="8509"/>
    <tableColumn id="12365" xr3:uid="{6905D4C4-2A50-46FE-9ADE-30EE9BF2FBC7}" name="Column12351" dataDxfId="8508" totalsRowDxfId="8507"/>
    <tableColumn id="12366" xr3:uid="{EF0EEBD0-8EFB-477E-8415-ED92856DC073}" name="Column12352" dataDxfId="8506" totalsRowDxfId="8505"/>
    <tableColumn id="12367" xr3:uid="{25352FA4-0647-4E21-8B1F-C2BBFE64933A}" name="Column12353" dataDxfId="8504" totalsRowDxfId="8503"/>
    <tableColumn id="12368" xr3:uid="{F8B8E7F1-CD23-44BE-8AFB-70C2B0054DB4}" name="Column12354" dataDxfId="8502" totalsRowDxfId="8501"/>
    <tableColumn id="12369" xr3:uid="{539CD65D-23C8-44F1-9284-8BE963496C08}" name="Column12355" dataDxfId="8500" totalsRowDxfId="8499"/>
    <tableColumn id="12370" xr3:uid="{D8B9464B-0539-4315-A5B9-93BCEA76D470}" name="Column12356" dataDxfId="8498" totalsRowDxfId="8497"/>
    <tableColumn id="12371" xr3:uid="{79F5D8CA-3968-4923-AE3F-5DE81AE7C310}" name="Column12357" dataDxfId="8496" totalsRowDxfId="8495"/>
    <tableColumn id="12372" xr3:uid="{373242E5-980D-4127-8588-FF09AC53E100}" name="Column12358" dataDxfId="8494" totalsRowDxfId="8493"/>
    <tableColumn id="12373" xr3:uid="{AFD1D004-15A0-4E20-8EF9-CA1E86758B4E}" name="Column12359" dataDxfId="8492" totalsRowDxfId="8491"/>
    <tableColumn id="12374" xr3:uid="{632C3B4F-44FC-4162-A493-59C7387F858D}" name="Column12360" dataDxfId="8490" totalsRowDxfId="8489"/>
    <tableColumn id="12375" xr3:uid="{1A8282BF-35BC-427C-AAEA-67A796A51699}" name="Column12361" dataDxfId="8488" totalsRowDxfId="8487"/>
    <tableColumn id="12376" xr3:uid="{C67E55B9-B53F-49E7-84C9-668D205EBB53}" name="Column12362" dataDxfId="8486" totalsRowDxfId="8485"/>
    <tableColumn id="12377" xr3:uid="{26662EB8-AE7F-496A-8638-FD3F7195D799}" name="Column12363" dataDxfId="8484" totalsRowDxfId="8483"/>
    <tableColumn id="12378" xr3:uid="{1F6AA7B8-D417-4029-8085-A60D9B9C2026}" name="Column12364" dataDxfId="8482" totalsRowDxfId="8481"/>
    <tableColumn id="12379" xr3:uid="{53CD9A02-A5BF-48CC-BF16-6284742A6C1C}" name="Column12365" dataDxfId="8480" totalsRowDxfId="8479"/>
    <tableColumn id="12380" xr3:uid="{BFF6896F-07E3-4E47-BCD4-C66E3C8B03CD}" name="Column12366" dataDxfId="8478" totalsRowDxfId="8477"/>
    <tableColumn id="12381" xr3:uid="{37F82E93-46AA-4C34-80C2-79B214B212CA}" name="Column12367" dataDxfId="8476" totalsRowDxfId="8475"/>
    <tableColumn id="12382" xr3:uid="{85EF57D2-83C1-4AAE-BE6E-1562EF0B0768}" name="Column12368" dataDxfId="8474" totalsRowDxfId="8473"/>
    <tableColumn id="12383" xr3:uid="{766E1ED3-A968-41FA-B791-9DD6583F4E29}" name="Column12369" dataDxfId="8472" totalsRowDxfId="8471"/>
    <tableColumn id="12384" xr3:uid="{2DFFA6DB-7CB7-48EC-9668-363653C7D346}" name="Column12370" dataDxfId="8470" totalsRowDxfId="8469"/>
    <tableColumn id="12385" xr3:uid="{B305BF6D-2597-461A-A6E3-86180BA020FE}" name="Column12371" dataDxfId="8468" totalsRowDxfId="8467"/>
    <tableColumn id="12386" xr3:uid="{30C1AAF0-41A3-4403-A296-BEE1418B7BB7}" name="Column12372" dataDxfId="8466" totalsRowDxfId="8465"/>
    <tableColumn id="12387" xr3:uid="{B376DD8D-56D0-4F0E-958B-FC77DE0F6EE2}" name="Column12373" dataDxfId="8464" totalsRowDxfId="8463"/>
    <tableColumn id="12388" xr3:uid="{E73137B5-202C-4A5F-9DFD-2B329B429F66}" name="Column12374" dataDxfId="8462" totalsRowDxfId="8461"/>
    <tableColumn id="12389" xr3:uid="{D68524A8-0FB7-4EE4-BB20-581DE19B78D0}" name="Column12375" dataDxfId="8460" totalsRowDxfId="8459"/>
    <tableColumn id="12390" xr3:uid="{B767F144-9080-416E-9DDF-CAFA22B6AB34}" name="Column12376" dataDxfId="8458" totalsRowDxfId="8457"/>
    <tableColumn id="12391" xr3:uid="{44051DBA-33D0-4706-A75E-759C046B7564}" name="Column12377" dataDxfId="8456" totalsRowDxfId="8455"/>
    <tableColumn id="12392" xr3:uid="{AC49E380-FA38-4305-BC02-786C578C213F}" name="Column12378" dataDxfId="8454" totalsRowDxfId="8453"/>
    <tableColumn id="12393" xr3:uid="{26BBF493-266D-48A0-8322-77BE181D8609}" name="Column12379" dataDxfId="8452" totalsRowDxfId="8451"/>
    <tableColumn id="12394" xr3:uid="{AE12355E-ED45-42BB-85C9-10B93037889B}" name="Column12380" dataDxfId="8450" totalsRowDxfId="8449"/>
    <tableColumn id="12395" xr3:uid="{42E19B1B-9F66-458D-8C46-87276F5E0724}" name="Column12381" dataDxfId="8448" totalsRowDxfId="8447"/>
    <tableColumn id="12396" xr3:uid="{D574F18A-CF65-40F9-8DA1-9DE3CDCCE616}" name="Column12382" dataDxfId="8446" totalsRowDxfId="8445"/>
    <tableColumn id="12397" xr3:uid="{B0617E4E-A96E-4DC6-A15B-65AC91EE1F0C}" name="Column12383" dataDxfId="8444" totalsRowDxfId="8443"/>
    <tableColumn id="12398" xr3:uid="{19B9EDBE-56FE-42B4-9DFF-E5D63CD7C20E}" name="Column12384" dataDxfId="8442" totalsRowDxfId="8441"/>
    <tableColumn id="12399" xr3:uid="{0E13EF6A-1953-497F-BC55-36999A69ED2D}" name="Column12385" dataDxfId="8440" totalsRowDxfId="8439"/>
    <tableColumn id="12400" xr3:uid="{091B9DA2-547F-47EB-AFA7-DAD212983140}" name="Column12386" dataDxfId="8438" totalsRowDxfId="8437"/>
    <tableColumn id="12401" xr3:uid="{F140A387-15D1-4821-A44A-8F500368D23A}" name="Column12387" dataDxfId="8436" totalsRowDxfId="8435"/>
    <tableColumn id="12402" xr3:uid="{2FE90C1C-7887-4263-A196-C73DF134ED70}" name="Column12388" dataDxfId="8434" totalsRowDxfId="8433"/>
    <tableColumn id="12403" xr3:uid="{E372B9DE-0309-423E-B275-3F1A79B6C768}" name="Column12389" dataDxfId="8432" totalsRowDxfId="8431"/>
    <tableColumn id="12404" xr3:uid="{1D534C0D-5AC0-4C45-9CF7-A77FFFF2763B}" name="Column12390" dataDxfId="8430" totalsRowDxfId="8429"/>
    <tableColumn id="12405" xr3:uid="{A829835E-6196-4E4F-B9F3-E0AC62024324}" name="Column12391" dataDxfId="8428" totalsRowDxfId="8427"/>
    <tableColumn id="12406" xr3:uid="{4026860E-5F7D-43AA-9E1B-D74D20D66FFE}" name="Column12392" dataDxfId="8426" totalsRowDxfId="8425"/>
    <tableColumn id="12407" xr3:uid="{DB628A34-AEAE-4A60-A695-E3D09F84D43D}" name="Column12393" dataDxfId="8424" totalsRowDxfId="8423"/>
    <tableColumn id="12408" xr3:uid="{B6DFCC1C-6814-4BD8-BB41-F43E962CD7B9}" name="Column12394" dataDxfId="8422" totalsRowDxfId="8421"/>
    <tableColumn id="12409" xr3:uid="{DFEF21A1-B335-4FAD-AB81-C5AE453D863C}" name="Column12395" dataDxfId="8420" totalsRowDxfId="8419"/>
    <tableColumn id="12410" xr3:uid="{66450167-3DD6-4357-B3D9-13CB9C1F245D}" name="Column12396" dataDxfId="8418" totalsRowDxfId="8417"/>
    <tableColumn id="12411" xr3:uid="{C52B52B9-F8F1-423D-994C-4C9D49AE84A9}" name="Column12397" dataDxfId="8416" totalsRowDxfId="8415"/>
    <tableColumn id="12412" xr3:uid="{2881A9A6-1AC1-428E-B9BF-62E3F07199B5}" name="Column12398" dataDxfId="8414" totalsRowDxfId="8413"/>
    <tableColumn id="12413" xr3:uid="{070CBDCC-82E8-4F21-8A75-F8F2C85625CD}" name="Column12399" dataDxfId="8412" totalsRowDxfId="8411"/>
    <tableColumn id="12414" xr3:uid="{C1F9DAAA-46B3-48E9-B0A9-44CBDCE33B14}" name="Column12400" dataDxfId="8410" totalsRowDxfId="8409"/>
    <tableColumn id="12415" xr3:uid="{D4C2744D-A0C8-473A-9671-84DAC5216764}" name="Column12401" dataDxfId="8408" totalsRowDxfId="8407"/>
    <tableColumn id="12416" xr3:uid="{896C9464-A283-4798-B157-758C6FEBDDA4}" name="Column12402" dataDxfId="8406" totalsRowDxfId="8405"/>
    <tableColumn id="12417" xr3:uid="{ABF83E9B-C0F5-4D70-AD2A-63C9654A4FEF}" name="Column12403" dataDxfId="8404" totalsRowDxfId="8403"/>
    <tableColumn id="12418" xr3:uid="{7DB0FB5C-0B34-4E9D-9096-10D9ABD4868A}" name="Column12404" dataDxfId="8402" totalsRowDxfId="8401"/>
    <tableColumn id="12419" xr3:uid="{0615E62F-AB66-40B8-8999-5D6C7A2A2A15}" name="Column12405" dataDxfId="8400" totalsRowDxfId="8399"/>
    <tableColumn id="12420" xr3:uid="{F055AABF-570A-41C8-82DB-C7E538796BF3}" name="Column12406" dataDxfId="8398" totalsRowDxfId="8397"/>
    <tableColumn id="12421" xr3:uid="{E887FC93-E73E-4AC6-97A3-EB8FE2F6DA88}" name="Column12407" dataDxfId="8396" totalsRowDxfId="8395"/>
    <tableColumn id="12422" xr3:uid="{E703F258-36F6-4259-8096-49FEF14AEC86}" name="Column12408" dataDxfId="8394" totalsRowDxfId="8393"/>
    <tableColumn id="12423" xr3:uid="{05D891DC-594A-40CA-9FE7-AA564D8C0EEE}" name="Column12409" dataDxfId="8392" totalsRowDxfId="8391"/>
    <tableColumn id="12424" xr3:uid="{E0AE4218-F23C-4CFD-A746-3BE1F0679F8A}" name="Column12410" dataDxfId="8390" totalsRowDxfId="8389"/>
    <tableColumn id="12425" xr3:uid="{9CAF094E-6110-4E50-AFB0-C0B86DC68501}" name="Column12411" dataDxfId="8388" totalsRowDxfId="8387"/>
    <tableColumn id="12426" xr3:uid="{07979DE8-E748-482A-BD22-397749500AC2}" name="Column12412" dataDxfId="8386" totalsRowDxfId="8385"/>
    <tableColumn id="12427" xr3:uid="{BCAD8D6F-E6DE-490E-B005-F8295A67D9E8}" name="Column12413" dataDxfId="8384" totalsRowDxfId="8383"/>
    <tableColumn id="12428" xr3:uid="{4AF19D96-555F-44F9-9972-75C0CCFB9BD0}" name="Column12414" dataDxfId="8382" totalsRowDxfId="8381"/>
    <tableColumn id="12429" xr3:uid="{80FC67D9-7DEC-47B2-ADA7-F26C672DB290}" name="Column12415" dataDxfId="8380" totalsRowDxfId="8379"/>
    <tableColumn id="12430" xr3:uid="{BEC8DB81-4421-495E-B0C7-07E1C0FAF75B}" name="Column12416" dataDxfId="8378" totalsRowDxfId="8377"/>
    <tableColumn id="12431" xr3:uid="{E0F9D42F-A574-4678-93E0-70C595D7EF74}" name="Column12417" dataDxfId="8376" totalsRowDxfId="8375"/>
    <tableColumn id="12432" xr3:uid="{C9D5B72C-E6E4-404C-8E62-5577891DEA9F}" name="Column12418" dataDxfId="8374" totalsRowDxfId="8373"/>
    <tableColumn id="12433" xr3:uid="{4D30EE68-1924-44F1-9EFE-0308C2853390}" name="Column12419" dataDxfId="8372" totalsRowDxfId="8371"/>
    <tableColumn id="12434" xr3:uid="{BC6A002F-1DD5-4CF1-A4FD-508FDE568272}" name="Column12420" dataDxfId="8370" totalsRowDxfId="8369"/>
    <tableColumn id="12435" xr3:uid="{A3990814-1A9B-4576-95D8-6FE385DC9796}" name="Column12421" dataDxfId="8368" totalsRowDxfId="8367"/>
    <tableColumn id="12436" xr3:uid="{C2B52CE0-4D15-46F0-A8E2-781D6E9016CA}" name="Column12422" dataDxfId="8366" totalsRowDxfId="8365"/>
    <tableColumn id="12437" xr3:uid="{8944FA25-E2A0-4339-A113-FF030E0868AB}" name="Column12423" dataDxfId="8364" totalsRowDxfId="8363"/>
    <tableColumn id="12438" xr3:uid="{4DCD9935-2554-4207-8EF6-A088D10E0BD5}" name="Column12424" dataDxfId="8362" totalsRowDxfId="8361"/>
    <tableColumn id="12439" xr3:uid="{0B6117A1-A2A8-4814-8B60-D09607DB4FEF}" name="Column12425" dataDxfId="8360" totalsRowDxfId="8359"/>
    <tableColumn id="12440" xr3:uid="{81E278F7-8EF8-412B-AF55-531CD44064D6}" name="Column12426" dataDxfId="8358" totalsRowDxfId="8357"/>
    <tableColumn id="12441" xr3:uid="{DB1BBA31-2DF9-48B2-B8E2-8CFFC9532FAC}" name="Column12427" dataDxfId="8356" totalsRowDxfId="8355"/>
    <tableColumn id="12442" xr3:uid="{7FF12003-6370-4D84-85C3-B583FE93D113}" name="Column12428" dataDxfId="8354" totalsRowDxfId="8353"/>
    <tableColumn id="12443" xr3:uid="{EBF22EA8-8525-4FF4-9CAF-CD5B4AC8CD24}" name="Column12429" dataDxfId="8352" totalsRowDxfId="8351"/>
    <tableColumn id="12444" xr3:uid="{89A9D127-01FD-4B0C-82D8-8CCB863E8EA9}" name="Column12430" dataDxfId="8350" totalsRowDxfId="8349"/>
    <tableColumn id="12445" xr3:uid="{F65D1777-4D24-44AD-BBF1-D0F2225FBDDC}" name="Column12431" dataDxfId="8348" totalsRowDxfId="8347"/>
    <tableColumn id="12446" xr3:uid="{468F653F-94F1-4875-8182-536D4DC9DA33}" name="Column12432" dataDxfId="8346" totalsRowDxfId="8345"/>
    <tableColumn id="12447" xr3:uid="{0CF129A4-44DA-4860-A47F-0FB6F5D28718}" name="Column12433" dataDxfId="8344" totalsRowDxfId="8343"/>
    <tableColumn id="12448" xr3:uid="{9AEF7AFF-0087-4BCD-8FD6-041954C0429E}" name="Column12434" dataDxfId="8342" totalsRowDxfId="8341"/>
    <tableColumn id="12449" xr3:uid="{1C975C7A-21D1-4899-8A51-64179D419FEF}" name="Column12435" dataDxfId="8340" totalsRowDxfId="8339"/>
    <tableColumn id="12450" xr3:uid="{224507C9-6DB3-47CB-8562-3193D7271397}" name="Column12436" dataDxfId="8338" totalsRowDxfId="8337"/>
    <tableColumn id="12451" xr3:uid="{F6BC9BA9-AD13-4623-9F13-0398C797B33B}" name="Column12437" dataDxfId="8336" totalsRowDxfId="8335"/>
    <tableColumn id="12452" xr3:uid="{A0AA9F9D-6992-4C97-B80F-9C591217A6A9}" name="Column12438" dataDxfId="8334" totalsRowDxfId="8333"/>
    <tableColumn id="12453" xr3:uid="{C236910E-52C0-4826-B209-12FFB04DC58A}" name="Column12439" dataDxfId="8332" totalsRowDxfId="8331"/>
    <tableColumn id="12454" xr3:uid="{D31BC4FC-F87B-404F-8118-5355982C5D4F}" name="Column12440" dataDxfId="8330" totalsRowDxfId="8329"/>
    <tableColumn id="12455" xr3:uid="{2B4ACEB7-357D-47B6-A766-AFA796C92E38}" name="Column12441" dataDxfId="8328" totalsRowDxfId="8327"/>
    <tableColumn id="12456" xr3:uid="{0D8A7712-4F89-4FC6-88D5-E098529D56C8}" name="Column12442" dataDxfId="8326" totalsRowDxfId="8325"/>
    <tableColumn id="12457" xr3:uid="{8CBB8241-C137-4E56-9A37-2AA342BBFC01}" name="Column12443" dataDxfId="8324" totalsRowDxfId="8323"/>
    <tableColumn id="12458" xr3:uid="{935E7564-696D-4DF4-A218-386AEB036E49}" name="Column12444" dataDxfId="8322" totalsRowDxfId="8321"/>
    <tableColumn id="12459" xr3:uid="{70B5B5A8-D923-4FCF-AC36-30E1C2477C89}" name="Column12445" dataDxfId="8320" totalsRowDxfId="8319"/>
    <tableColumn id="12460" xr3:uid="{88DC8CFF-F4D2-49BC-9ECB-FDC7FA6D2A8D}" name="Column12446" dataDxfId="8318" totalsRowDxfId="8317"/>
    <tableColumn id="12461" xr3:uid="{9C6CE918-F8D9-47EB-A60E-831108E33DAC}" name="Column12447" dataDxfId="8316" totalsRowDxfId="8315"/>
    <tableColumn id="12462" xr3:uid="{448376BD-6350-4B70-8414-59DF99093D6C}" name="Column12448" dataDxfId="8314" totalsRowDxfId="8313"/>
    <tableColumn id="12463" xr3:uid="{DD8C85B9-DC69-47A5-A926-F0717E4822E2}" name="Column12449" dataDxfId="8312" totalsRowDxfId="8311"/>
    <tableColumn id="12464" xr3:uid="{93000CCA-7BC7-4916-8887-74BA54DBCA7F}" name="Column12450" dataDxfId="8310" totalsRowDxfId="8309"/>
    <tableColumn id="12465" xr3:uid="{742B3955-6740-4B92-AA03-489FBDE13168}" name="Column12451" dataDxfId="8308" totalsRowDxfId="8307"/>
    <tableColumn id="12466" xr3:uid="{F6854301-7BA6-4AF8-BE07-141DB5D41B18}" name="Column12452" dataDxfId="8306" totalsRowDxfId="8305"/>
    <tableColumn id="12467" xr3:uid="{13D950BB-8574-434C-AEBB-E2695E609CEE}" name="Column12453" dataDxfId="8304" totalsRowDxfId="8303"/>
    <tableColumn id="12468" xr3:uid="{D9A974AD-4928-4212-B534-3DA71D5DB6BA}" name="Column12454" dataDxfId="8302" totalsRowDxfId="8301"/>
    <tableColumn id="12469" xr3:uid="{824881E6-7838-4020-8555-63CA96983856}" name="Column12455" dataDxfId="8300" totalsRowDxfId="8299"/>
    <tableColumn id="12470" xr3:uid="{49B81CEA-7641-4CCB-94DC-5E69BCCD08FD}" name="Column12456" dataDxfId="8298" totalsRowDxfId="8297"/>
    <tableColumn id="12471" xr3:uid="{7931CC6F-A697-4D6F-B02F-8929F60F2647}" name="Column12457" dataDxfId="8296" totalsRowDxfId="8295"/>
    <tableColumn id="12472" xr3:uid="{6BBF0B81-1CBF-4D8F-885C-C6EE553EEA81}" name="Column12458" dataDxfId="8294" totalsRowDxfId="8293"/>
    <tableColumn id="12473" xr3:uid="{76014895-14A7-400D-958B-E1F980425B48}" name="Column12459" dataDxfId="8292" totalsRowDxfId="8291"/>
    <tableColumn id="12474" xr3:uid="{BAA78267-D6FB-420B-ACFD-F4FA19C31629}" name="Column12460" dataDxfId="8290" totalsRowDxfId="8289"/>
    <tableColumn id="12475" xr3:uid="{BB65A2DC-6BA3-4B3E-8971-66845279426A}" name="Column12461" dataDxfId="8288" totalsRowDxfId="8287"/>
    <tableColumn id="12476" xr3:uid="{B0D76345-5270-43F5-89E9-DD9F81E6926D}" name="Column12462" dataDxfId="8286" totalsRowDxfId="8285"/>
    <tableColumn id="12477" xr3:uid="{1C6D865C-BB5C-4869-B1F5-CFDEBE23B2AB}" name="Column12463" dataDxfId="8284" totalsRowDxfId="8283"/>
    <tableColumn id="12478" xr3:uid="{6C72793D-5977-410C-BE15-76489ED9B630}" name="Column12464" dataDxfId="8282" totalsRowDxfId="8281"/>
    <tableColumn id="12479" xr3:uid="{8995CE44-B822-460F-A021-057CA4C59B0D}" name="Column12465" dataDxfId="8280" totalsRowDxfId="8279"/>
    <tableColumn id="12480" xr3:uid="{0D011DE1-F29B-4FA8-8182-A0D8543398F5}" name="Column12466" dataDxfId="8278" totalsRowDxfId="8277"/>
    <tableColumn id="12481" xr3:uid="{231723DA-78EA-4441-975E-3983F2757013}" name="Column12467" dataDxfId="8276" totalsRowDxfId="8275"/>
    <tableColumn id="12482" xr3:uid="{F04D166C-F2BE-433C-948D-547F5885A524}" name="Column12468" dataDxfId="8274" totalsRowDxfId="8273"/>
    <tableColumn id="12483" xr3:uid="{B5A3B67F-79CD-42C1-BC47-82CC4217669C}" name="Column12469" dataDxfId="8272" totalsRowDxfId="8271"/>
    <tableColumn id="12484" xr3:uid="{4ECAFF47-87A9-41C3-98CB-60546E67EAF5}" name="Column12470" dataDxfId="8270" totalsRowDxfId="8269"/>
    <tableColumn id="12485" xr3:uid="{6923FF51-3C69-4BCE-A3B8-D2E0A859BE7F}" name="Column12471" dataDxfId="8268" totalsRowDxfId="8267"/>
    <tableColumn id="12486" xr3:uid="{A6D4C5D5-5215-46AF-926A-2313DC9A6C74}" name="Column12472" dataDxfId="8266" totalsRowDxfId="8265"/>
    <tableColumn id="12487" xr3:uid="{FD5EAC40-C773-4298-BE0D-E691D8ED8A2A}" name="Column12473" dataDxfId="8264" totalsRowDxfId="8263"/>
    <tableColumn id="12488" xr3:uid="{2986A701-A7F5-40FB-91C2-9D34EB9F8CD1}" name="Column12474" dataDxfId="8262" totalsRowDxfId="8261"/>
    <tableColumn id="12489" xr3:uid="{0D1389DB-2A33-4B34-A31F-3C8A99E69A1A}" name="Column12475" dataDxfId="8260" totalsRowDxfId="8259"/>
    <tableColumn id="12490" xr3:uid="{1920C0A0-235C-4456-A781-2FBBF6E78BEC}" name="Column12476" dataDxfId="8258" totalsRowDxfId="8257"/>
    <tableColumn id="12491" xr3:uid="{B94F9447-76BB-4539-B585-1FA18E44304C}" name="Column12477" dataDxfId="8256" totalsRowDxfId="8255"/>
    <tableColumn id="12492" xr3:uid="{E7FC6A93-3261-4816-90BB-B0E82585C39C}" name="Column12478" dataDxfId="8254" totalsRowDxfId="8253"/>
    <tableColumn id="12493" xr3:uid="{4986C956-9F91-4664-A5D3-44AB53F7EF34}" name="Column12479" dataDxfId="8252" totalsRowDxfId="8251"/>
    <tableColumn id="12494" xr3:uid="{8DDCF33A-532F-4623-91A2-7C0BC3EDE3B2}" name="Column12480" dataDxfId="8250" totalsRowDxfId="8249"/>
    <tableColumn id="12495" xr3:uid="{6DED3EF4-776D-4F57-8849-E1E6FD61200E}" name="Column12481" dataDxfId="8248" totalsRowDxfId="8247"/>
    <tableColumn id="12496" xr3:uid="{638DBFB1-34B5-48F2-A042-5A09E26072BA}" name="Column12482" dataDxfId="8246" totalsRowDxfId="8245"/>
    <tableColumn id="12497" xr3:uid="{48417FFE-BAF0-48D4-AAA7-F1682EDBE681}" name="Column12483" dataDxfId="8244" totalsRowDxfId="8243"/>
    <tableColumn id="12498" xr3:uid="{06E310C1-D556-4633-8EFD-85C6EFB17747}" name="Column12484" dataDxfId="8242" totalsRowDxfId="8241"/>
    <tableColumn id="12499" xr3:uid="{E6EBEE13-554B-4399-A907-E108FDBD3133}" name="Column12485" dataDxfId="8240" totalsRowDxfId="8239"/>
    <tableColumn id="12500" xr3:uid="{E38B9600-B9CD-44FB-BE60-FE1CEA9687D7}" name="Column12486" dataDxfId="8238" totalsRowDxfId="8237"/>
    <tableColumn id="12501" xr3:uid="{1930BE48-9ABB-4576-8DA9-DDF2478A3281}" name="Column12487" dataDxfId="8236" totalsRowDxfId="8235"/>
    <tableColumn id="12502" xr3:uid="{2C3B7383-8792-40AC-AE11-02571FE14098}" name="Column12488" dataDxfId="8234" totalsRowDxfId="8233"/>
    <tableColumn id="12503" xr3:uid="{F89E7ADE-6282-445B-A796-D3086379CBA9}" name="Column12489" dataDxfId="8232" totalsRowDxfId="8231"/>
    <tableColumn id="12504" xr3:uid="{7446F3E3-5CAF-4D93-A336-F32580FA5EAB}" name="Column12490" dataDxfId="8230" totalsRowDxfId="8229"/>
    <tableColumn id="12505" xr3:uid="{1D791513-4F91-4109-8D3E-D1B049EBAEE3}" name="Column12491" dataDxfId="8228" totalsRowDxfId="8227"/>
    <tableColumn id="12506" xr3:uid="{64CAB093-F4E1-471C-BB24-AA915A4444F5}" name="Column12492" dataDxfId="8226" totalsRowDxfId="8225"/>
    <tableColumn id="12507" xr3:uid="{4ABC7C20-19F8-4EE8-B299-5724CAD84E2C}" name="Column12493" dataDxfId="8224" totalsRowDxfId="8223"/>
    <tableColumn id="12508" xr3:uid="{0385A169-11B3-499B-9508-21C0A0B51373}" name="Column12494" dataDxfId="8222" totalsRowDxfId="8221"/>
    <tableColumn id="12509" xr3:uid="{E522D7F0-E0AE-4262-AC2A-03A306F72BA6}" name="Column12495" dataDxfId="8220" totalsRowDxfId="8219"/>
    <tableColumn id="12510" xr3:uid="{902747D0-61D8-4037-91AF-16E68164531A}" name="Column12496" dataDxfId="8218" totalsRowDxfId="8217"/>
    <tableColumn id="12511" xr3:uid="{47932E2D-E3AD-42D4-8688-D3D0E2AB853E}" name="Column12497" dataDxfId="8216" totalsRowDxfId="8215"/>
    <tableColumn id="12512" xr3:uid="{E4C553AF-87E9-40A9-B4E1-02B8751D8B67}" name="Column12498" dataDxfId="8214" totalsRowDxfId="8213"/>
    <tableColumn id="12513" xr3:uid="{86E64A86-9F54-4CD4-AB92-A78C423F8FC8}" name="Column12499" dataDxfId="8212" totalsRowDxfId="8211"/>
    <tableColumn id="12514" xr3:uid="{BCAF523E-C9DC-4B6B-9857-D0299446683B}" name="Column12500" dataDxfId="8210" totalsRowDxfId="8209"/>
    <tableColumn id="12515" xr3:uid="{42FD16C7-1E40-4B5F-AFF9-E1EF3604F4F3}" name="Column12501" dataDxfId="8208" totalsRowDxfId="8207"/>
    <tableColumn id="12516" xr3:uid="{2F005BBE-07F0-42F8-9E20-E07AC020B638}" name="Column12502" dataDxfId="8206" totalsRowDxfId="8205"/>
    <tableColumn id="12517" xr3:uid="{1B7FDB15-B5CA-4A50-A751-3347DACBD091}" name="Column12503" dataDxfId="8204" totalsRowDxfId="8203"/>
    <tableColumn id="12518" xr3:uid="{144896D2-8E01-412A-87BF-604B9603A31F}" name="Column12504" dataDxfId="8202" totalsRowDxfId="8201"/>
    <tableColumn id="12519" xr3:uid="{0BA503A7-AF66-49DA-A457-6F49E892B920}" name="Column12505" dataDxfId="8200" totalsRowDxfId="8199"/>
    <tableColumn id="12520" xr3:uid="{590790FB-BCC3-460C-81EC-D48A33612C65}" name="Column12506" dataDxfId="8198" totalsRowDxfId="8197"/>
    <tableColumn id="12521" xr3:uid="{39FCA023-A91C-4BFE-AF2A-1E4D4B0245FA}" name="Column12507" dataDxfId="8196" totalsRowDxfId="8195"/>
    <tableColumn id="12522" xr3:uid="{B17E0F56-1A92-4BFD-9385-0BA745F96569}" name="Column12508" dataDxfId="8194" totalsRowDxfId="8193"/>
    <tableColumn id="12523" xr3:uid="{6D8524E4-5091-4F77-8FE9-1524241B1828}" name="Column12509" dataDxfId="8192" totalsRowDxfId="8191"/>
    <tableColumn id="12524" xr3:uid="{69D0B4AB-3867-48AC-AF12-7995E4E0C23F}" name="Column12510" dataDxfId="8190" totalsRowDxfId="8189"/>
    <tableColumn id="12525" xr3:uid="{2B54A1E1-C89F-40C8-83E9-385E7B0FBDD0}" name="Column12511" dataDxfId="8188" totalsRowDxfId="8187"/>
    <tableColumn id="12526" xr3:uid="{2CA26619-2B0B-46B0-858D-B5A2422C843D}" name="Column12512" dataDxfId="8186" totalsRowDxfId="8185"/>
    <tableColumn id="12527" xr3:uid="{8300C509-B0E8-41D7-A8B3-4E3EF0EFA201}" name="Column12513" dataDxfId="8184" totalsRowDxfId="8183"/>
    <tableColumn id="12528" xr3:uid="{BC4656CB-1613-484B-878F-C74A4BC6F796}" name="Column12514" dataDxfId="8182" totalsRowDxfId="8181"/>
    <tableColumn id="12529" xr3:uid="{F5885702-928C-4683-9E61-CA23EBA55C43}" name="Column12515" dataDxfId="8180" totalsRowDxfId="8179"/>
    <tableColumn id="12530" xr3:uid="{6BA1423F-E0E2-4BAE-820B-1029DBC41AAA}" name="Column12516" dataDxfId="8178" totalsRowDxfId="8177"/>
    <tableColumn id="12531" xr3:uid="{00D937D3-763E-4A00-A862-05E47890DD93}" name="Column12517" dataDxfId="8176" totalsRowDxfId="8175"/>
    <tableColumn id="12532" xr3:uid="{43E0ECBA-43D3-40F1-8C71-54966F463F10}" name="Column12518" dataDxfId="8174" totalsRowDxfId="8173"/>
    <tableColumn id="12533" xr3:uid="{DECB5DD5-1F19-46CF-83BA-000D6C9A4F12}" name="Column12519" dataDxfId="8172" totalsRowDxfId="8171"/>
    <tableColumn id="12534" xr3:uid="{2E8A2BCD-4CA8-440B-B4E7-7A3B4ACEB308}" name="Column12520" dataDxfId="8170" totalsRowDxfId="8169"/>
    <tableColumn id="12535" xr3:uid="{5C72AD5E-04F4-4769-85C5-966B2ADED3F0}" name="Column12521" dataDxfId="8168" totalsRowDxfId="8167"/>
    <tableColumn id="12536" xr3:uid="{1B9C5213-7CCB-438D-B69F-06A2C87B51D3}" name="Column12522" dataDxfId="8166" totalsRowDxfId="8165"/>
    <tableColumn id="12537" xr3:uid="{5DB563B9-9073-4A67-950A-A9BA1BB6820F}" name="Column12523" dataDxfId="8164" totalsRowDxfId="8163"/>
    <tableColumn id="12538" xr3:uid="{799DA849-CF3A-4A55-A7A9-9A8D2D8A0E8B}" name="Column12524" dataDxfId="8162" totalsRowDxfId="8161"/>
    <tableColumn id="12539" xr3:uid="{9A278C04-B55C-432E-B136-81E09820BB6B}" name="Column12525" dataDxfId="8160" totalsRowDxfId="8159"/>
    <tableColumn id="12540" xr3:uid="{CB757438-657D-412A-ABB3-717EDC8D523A}" name="Column12526" dataDxfId="8158" totalsRowDxfId="8157"/>
    <tableColumn id="12541" xr3:uid="{A675DB36-650E-4AED-88A4-06A8C86B358C}" name="Column12527" dataDxfId="8156" totalsRowDxfId="8155"/>
    <tableColumn id="12542" xr3:uid="{1F8E07F1-0F0C-42C4-A559-7456F9620F22}" name="Column12528" dataDxfId="8154" totalsRowDxfId="8153"/>
    <tableColumn id="12543" xr3:uid="{2ECDD896-2A4C-4990-B61D-3E1C6E53AD8E}" name="Column12529" dataDxfId="8152" totalsRowDxfId="8151"/>
    <tableColumn id="12544" xr3:uid="{75ADB6C0-1151-4D22-836E-E133ACF847A8}" name="Column12530" dataDxfId="8150" totalsRowDxfId="8149"/>
    <tableColumn id="12545" xr3:uid="{45D45EE1-895C-40C5-8481-9F91BD2D8E66}" name="Column12531" dataDxfId="8148" totalsRowDxfId="8147"/>
    <tableColumn id="12546" xr3:uid="{AF7CCAF3-0A8E-4038-9545-A7B0A6F8B443}" name="Column12532" dataDxfId="8146" totalsRowDxfId="8145"/>
    <tableColumn id="12547" xr3:uid="{814C6C09-B2C7-4692-8EFD-8CED0EE435B6}" name="Column12533" dataDxfId="8144" totalsRowDxfId="8143"/>
    <tableColumn id="12548" xr3:uid="{620F639A-5F37-4DB5-923B-76C32F8D812E}" name="Column12534" dataDxfId="8142" totalsRowDxfId="8141"/>
    <tableColumn id="12549" xr3:uid="{A358F2C9-63AC-4D08-B3F3-ED5B207F827C}" name="Column12535" dataDxfId="8140" totalsRowDxfId="8139"/>
    <tableColumn id="12550" xr3:uid="{D1AC87CC-0DF3-4EDA-BF07-49805702FA7D}" name="Column12536" dataDxfId="8138" totalsRowDxfId="8137"/>
    <tableColumn id="12551" xr3:uid="{D3320C43-CC03-4B1A-879D-69EC94A498E4}" name="Column12537" dataDxfId="8136" totalsRowDxfId="8135"/>
    <tableColumn id="12552" xr3:uid="{E276E621-0517-4F15-90C8-0207191BB660}" name="Column12538" dataDxfId="8134" totalsRowDxfId="8133"/>
    <tableColumn id="12553" xr3:uid="{639154D8-CA21-4836-8114-FD54F94C5378}" name="Column12539" dataDxfId="8132" totalsRowDxfId="8131"/>
    <tableColumn id="12554" xr3:uid="{B3F6883E-2DC3-4227-BC85-F6C576F6A7D8}" name="Column12540" dataDxfId="8130" totalsRowDxfId="8129"/>
    <tableColumn id="12555" xr3:uid="{6605A81D-E395-4D81-9BCF-524A660664A2}" name="Column12541" dataDxfId="8128" totalsRowDxfId="8127"/>
    <tableColumn id="12556" xr3:uid="{9EC77618-FE94-4871-9ABF-D45F25A855DD}" name="Column12542" dataDxfId="8126" totalsRowDxfId="8125"/>
    <tableColumn id="12557" xr3:uid="{7F5EF7E8-8FF3-49FB-BA2A-89D6089FDD30}" name="Column12543" dataDxfId="8124" totalsRowDxfId="8123"/>
    <tableColumn id="12558" xr3:uid="{E40A1ED9-AC0A-4004-A4C3-42A6829A2488}" name="Column12544" dataDxfId="8122" totalsRowDxfId="8121"/>
    <tableColumn id="12559" xr3:uid="{6BDB4FB6-C760-46E0-A50B-12CE9C8B5FF4}" name="Column12545" dataDxfId="8120" totalsRowDxfId="8119"/>
    <tableColumn id="12560" xr3:uid="{58E6E276-D810-4F8E-9E60-BFD0BC65B064}" name="Column12546" dataDxfId="8118" totalsRowDxfId="8117"/>
    <tableColumn id="12561" xr3:uid="{9F53F44C-A053-4306-B8A7-FEC14BFB73A5}" name="Column12547" dataDxfId="8116" totalsRowDxfId="8115"/>
    <tableColumn id="12562" xr3:uid="{AA034362-8726-481A-8FE2-533750AAB69E}" name="Column12548" dataDxfId="8114" totalsRowDxfId="8113"/>
    <tableColumn id="12563" xr3:uid="{A7668254-DF6D-4EC0-8CEF-9E0A6B5EBFE6}" name="Column12549" dataDxfId="8112" totalsRowDxfId="8111"/>
    <tableColumn id="12564" xr3:uid="{92E84C5E-DA0B-4FD2-9D13-04796DE2D565}" name="Column12550" dataDxfId="8110" totalsRowDxfId="8109"/>
    <tableColumn id="12565" xr3:uid="{0F7F5F53-751A-417B-9E5F-E4A18D834882}" name="Column12551" dataDxfId="8108" totalsRowDxfId="8107"/>
    <tableColumn id="12566" xr3:uid="{7C72ABA4-A09C-4AB7-9C1E-16B79691FF37}" name="Column12552" dataDxfId="8106" totalsRowDxfId="8105"/>
    <tableColumn id="12567" xr3:uid="{2C7EDF33-8306-4791-B724-45B71F3A2A14}" name="Column12553" dataDxfId="8104" totalsRowDxfId="8103"/>
    <tableColumn id="12568" xr3:uid="{33EF114C-5772-474D-88DE-72881B24E495}" name="Column12554" dataDxfId="8102" totalsRowDxfId="8101"/>
    <tableColumn id="12569" xr3:uid="{17354D24-326C-4DF6-953B-2CDE8175BA25}" name="Column12555" dataDxfId="8100" totalsRowDxfId="8099"/>
    <tableColumn id="12570" xr3:uid="{DC88ED12-4EA8-476B-9DD9-8DD100EC7822}" name="Column12556" dataDxfId="8098" totalsRowDxfId="8097"/>
    <tableColumn id="12571" xr3:uid="{1F19BBDF-EBBD-4723-937B-DD02DA2C8635}" name="Column12557" dataDxfId="8096" totalsRowDxfId="8095"/>
    <tableColumn id="12572" xr3:uid="{4686456C-CDC3-40F7-8C0E-2B88CA36280A}" name="Column12558" dataDxfId="8094" totalsRowDxfId="8093"/>
    <tableColumn id="12573" xr3:uid="{759744F6-EE93-4524-B65E-25C838068212}" name="Column12559" dataDxfId="8092" totalsRowDxfId="8091"/>
    <tableColumn id="12574" xr3:uid="{4E636D11-5B3F-41A6-9C48-2B95AD1C6083}" name="Column12560" dataDxfId="8090" totalsRowDxfId="8089"/>
    <tableColumn id="12575" xr3:uid="{F1FB0CD4-41D4-44B6-A56B-D9772E8A76F0}" name="Column12561" dataDxfId="8088" totalsRowDxfId="8087"/>
    <tableColumn id="12576" xr3:uid="{7AE1AABB-0F60-4F7A-85B0-215DDAB77BE2}" name="Column12562" dataDxfId="8086" totalsRowDxfId="8085"/>
    <tableColumn id="12577" xr3:uid="{3BECD213-11ED-4D10-B457-A5A4E642A1D5}" name="Column12563" dataDxfId="8084" totalsRowDxfId="8083"/>
    <tableColumn id="12578" xr3:uid="{221DC855-8E12-405A-BF66-F68531DB4B17}" name="Column12564" dataDxfId="8082" totalsRowDxfId="8081"/>
    <tableColumn id="12579" xr3:uid="{0BBD045B-31C2-4D34-9F94-9CA17A7B29D7}" name="Column12565" dataDxfId="8080" totalsRowDxfId="8079"/>
    <tableColumn id="12580" xr3:uid="{7F1C14CE-8A72-4B7F-BA62-CD65DB8EC2D8}" name="Column12566" dataDxfId="8078" totalsRowDxfId="8077"/>
    <tableColumn id="12581" xr3:uid="{0623312D-56A2-43E5-96BC-D1A1984BECE2}" name="Column12567" dataDxfId="8076" totalsRowDxfId="8075"/>
    <tableColumn id="12582" xr3:uid="{7CDE325F-EE9A-4BA5-929A-4C3E004B0BB7}" name="Column12568" dataDxfId="8074" totalsRowDxfId="8073"/>
    <tableColumn id="12583" xr3:uid="{1EA275D3-1FB9-4796-80A4-8014450F7F64}" name="Column12569" dataDxfId="8072" totalsRowDxfId="8071"/>
    <tableColumn id="12584" xr3:uid="{E21F3E8E-2BD6-431D-89CF-3AAE3B33712B}" name="Column12570" dataDxfId="8070" totalsRowDxfId="8069"/>
    <tableColumn id="12585" xr3:uid="{488D05B7-77A1-4CBB-86CB-ED96640AF775}" name="Column12571" dataDxfId="8068" totalsRowDxfId="8067"/>
    <tableColumn id="12586" xr3:uid="{27C839D0-D445-4FB2-9023-7961F1F75588}" name="Column12572" dataDxfId="8066" totalsRowDxfId="8065"/>
    <tableColumn id="12587" xr3:uid="{08EA77EB-C4B3-4774-99FA-97850D5C625D}" name="Column12573" dataDxfId="8064" totalsRowDxfId="8063"/>
    <tableColumn id="12588" xr3:uid="{F6957CA1-586B-43C5-9F2B-D03A5BDA2DFC}" name="Column12574" dataDxfId="8062" totalsRowDxfId="8061"/>
    <tableColumn id="12589" xr3:uid="{52AA11A5-BA18-4C1B-9AC2-8E0CADBBC4B0}" name="Column12575" dataDxfId="8060" totalsRowDxfId="8059"/>
    <tableColumn id="12590" xr3:uid="{4032B253-4CE3-4BF6-8F53-4130065451F5}" name="Column12576" dataDxfId="8058" totalsRowDxfId="8057"/>
    <tableColumn id="12591" xr3:uid="{C834551D-0D82-4666-956A-AE035AFEEBD8}" name="Column12577" dataDxfId="8056" totalsRowDxfId="8055"/>
    <tableColumn id="12592" xr3:uid="{F30392D6-D604-42E2-9499-58BCC9B6E538}" name="Column12578" dataDxfId="8054" totalsRowDxfId="8053"/>
    <tableColumn id="12593" xr3:uid="{41A3FA06-3E42-405B-A79B-0817304BF4D2}" name="Column12579" dataDxfId="8052" totalsRowDxfId="8051"/>
    <tableColumn id="12594" xr3:uid="{AB6D7AD5-54EA-488C-9E78-2E754CDD59D5}" name="Column12580" dataDxfId="8050" totalsRowDxfId="8049"/>
    <tableColumn id="12595" xr3:uid="{2CFF6110-3F6D-49F8-A1B6-C8BB869ECB94}" name="Column12581" dataDxfId="8048" totalsRowDxfId="8047"/>
    <tableColumn id="12596" xr3:uid="{C66801D5-0ACC-44F4-819C-908801406179}" name="Column12582" dataDxfId="8046" totalsRowDxfId="8045"/>
    <tableColumn id="12597" xr3:uid="{1E19E349-C150-4C87-B4D2-9AC506C966F6}" name="Column12583" dataDxfId="8044" totalsRowDxfId="8043"/>
    <tableColumn id="12598" xr3:uid="{A082BD48-12F7-40A8-9620-49B3B05D0644}" name="Column12584" dataDxfId="8042" totalsRowDxfId="8041"/>
    <tableColumn id="12599" xr3:uid="{288F9CB0-336D-4023-9F57-28D0226A2466}" name="Column12585" dataDxfId="8040" totalsRowDxfId="8039"/>
    <tableColumn id="12600" xr3:uid="{FFC5CAE6-F199-4BE1-A75A-E4CB0C5278E0}" name="Column12586" dataDxfId="8038" totalsRowDxfId="8037"/>
    <tableColumn id="12601" xr3:uid="{FDDE0AA9-1612-40B5-B6DE-C4B1B355CF1E}" name="Column12587" dataDxfId="8036" totalsRowDxfId="8035"/>
    <tableColumn id="12602" xr3:uid="{E93B64D4-8886-4D7D-8F29-AA2AE3E61FD1}" name="Column12588" dataDxfId="8034" totalsRowDxfId="8033"/>
    <tableColumn id="12603" xr3:uid="{699332F6-938B-4748-97AC-5C5C0DF5CFBB}" name="Column12589" dataDxfId="8032" totalsRowDxfId="8031"/>
    <tableColumn id="12604" xr3:uid="{C6DA724B-2661-4252-B8F3-F1B2B6EFC365}" name="Column12590" dataDxfId="8030" totalsRowDxfId="8029"/>
    <tableColumn id="12605" xr3:uid="{15982676-CDBC-485F-AB18-8E5AA935A020}" name="Column12591" dataDxfId="8028" totalsRowDxfId="8027"/>
    <tableColumn id="12606" xr3:uid="{00F02739-0A4B-424D-987A-1A8BB1CA813B}" name="Column12592" dataDxfId="8026" totalsRowDxfId="8025"/>
    <tableColumn id="12607" xr3:uid="{1D1B0928-23E1-4E32-B024-C52C202CABCE}" name="Column12593" dataDxfId="8024" totalsRowDxfId="8023"/>
    <tableColumn id="12608" xr3:uid="{420A3657-0016-4C7D-A6B7-0E9937BF6D77}" name="Column12594" dataDxfId="8022" totalsRowDxfId="8021"/>
    <tableColumn id="12609" xr3:uid="{1A28416E-B394-44CA-AA97-5996B56B69C6}" name="Column12595" dataDxfId="8020" totalsRowDxfId="8019"/>
    <tableColumn id="12610" xr3:uid="{87B1AD27-3CA4-4BDB-825B-E0C7639E392B}" name="Column12596" dataDxfId="8018" totalsRowDxfId="8017"/>
    <tableColumn id="12611" xr3:uid="{143F8A41-CD55-47C5-BF69-961E5F1C766A}" name="Column12597" dataDxfId="8016" totalsRowDxfId="8015"/>
    <tableColumn id="12612" xr3:uid="{A3B4D967-C4CC-48AF-B344-DBE3A49A5F78}" name="Column12598" dataDxfId="8014" totalsRowDxfId="8013"/>
    <tableColumn id="12613" xr3:uid="{31D0DFD1-5695-4F05-B6F1-821B8D531D0B}" name="Column12599" dataDxfId="8012" totalsRowDxfId="8011"/>
    <tableColumn id="12614" xr3:uid="{38941824-1234-4846-846E-5FD1EC520B2F}" name="Column12600" dataDxfId="8010" totalsRowDxfId="8009"/>
    <tableColumn id="12615" xr3:uid="{AB675A24-ECF2-4754-956A-2E20BD1A4EEF}" name="Column12601" dataDxfId="8008" totalsRowDxfId="8007"/>
    <tableColumn id="12616" xr3:uid="{C3939D07-A66F-45B0-9073-A195AC57C869}" name="Column12602" dataDxfId="8006" totalsRowDxfId="8005"/>
    <tableColumn id="12617" xr3:uid="{44B27565-7A54-4267-98C1-F539CFC94FAB}" name="Column12603" dataDxfId="8004" totalsRowDxfId="8003"/>
    <tableColumn id="12618" xr3:uid="{53231BAF-60F7-4ED0-9448-E7A6666547DF}" name="Column12604" dataDxfId="8002" totalsRowDxfId="8001"/>
    <tableColumn id="12619" xr3:uid="{8B540998-8FEA-40E1-B776-95D30FA24CBF}" name="Column12605" dataDxfId="8000" totalsRowDxfId="7999"/>
    <tableColumn id="12620" xr3:uid="{9184FC2F-3468-46BC-934A-0B3675A5F353}" name="Column12606" dataDxfId="7998" totalsRowDxfId="7997"/>
    <tableColumn id="12621" xr3:uid="{F62421B4-42CA-4C10-8DB3-D01813F11B41}" name="Column12607" dataDxfId="7996" totalsRowDxfId="7995"/>
    <tableColumn id="12622" xr3:uid="{A97959A2-66AD-49B1-8BB5-0E7FFC7E5BFD}" name="Column12608" dataDxfId="7994" totalsRowDxfId="7993"/>
    <tableColumn id="12623" xr3:uid="{30542782-B4CA-4D72-9993-F06702B3B5E7}" name="Column12609" dataDxfId="7992" totalsRowDxfId="7991"/>
    <tableColumn id="12624" xr3:uid="{DFA0FB35-862F-4920-AA4E-6043DAC24499}" name="Column12610" dataDxfId="7990" totalsRowDxfId="7989"/>
    <tableColumn id="12625" xr3:uid="{0BD423DD-37F8-4685-82D3-5967309E5773}" name="Column12611" dataDxfId="7988" totalsRowDxfId="7987"/>
    <tableColumn id="12626" xr3:uid="{54B937FC-0483-4469-9E9C-E758012B09B9}" name="Column12612" dataDxfId="7986" totalsRowDxfId="7985"/>
    <tableColumn id="12627" xr3:uid="{0F603CC4-B92A-495C-8EA6-88D27E6BE4F9}" name="Column12613" dataDxfId="7984" totalsRowDxfId="7983"/>
    <tableColumn id="12628" xr3:uid="{D59B4B82-5ACB-431C-AE2A-13123D2FAF0E}" name="Column12614" dataDxfId="7982" totalsRowDxfId="7981"/>
    <tableColumn id="12629" xr3:uid="{3574340C-FF5A-4185-A5FE-E28AE7BF35DC}" name="Column12615" dataDxfId="7980" totalsRowDxfId="7979"/>
    <tableColumn id="12630" xr3:uid="{44A183D1-3692-41A2-AC25-0CCC18B9812A}" name="Column12616" dataDxfId="7978" totalsRowDxfId="7977"/>
    <tableColumn id="12631" xr3:uid="{90CD368F-3D35-4E9D-9532-9F855A428A5F}" name="Column12617" dataDxfId="7976" totalsRowDxfId="7975"/>
    <tableColumn id="12632" xr3:uid="{69988E90-9C9F-41B2-B2BC-5865DE6DB375}" name="Column12618" dataDxfId="7974" totalsRowDxfId="7973"/>
    <tableColumn id="12633" xr3:uid="{99098989-7DB2-4F65-823C-403D0A281C25}" name="Column12619" dataDxfId="7972" totalsRowDxfId="7971"/>
    <tableColumn id="12634" xr3:uid="{0111AB20-9AC9-425A-BAD8-E595B9962A2B}" name="Column12620" dataDxfId="7970" totalsRowDxfId="7969"/>
    <tableColumn id="12635" xr3:uid="{7630F535-0D83-4BC9-AF36-66E68520590C}" name="Column12621" dataDxfId="7968" totalsRowDxfId="7967"/>
    <tableColumn id="12636" xr3:uid="{AB8D2EBD-ACAB-4092-BEE4-7B9580D8FD9D}" name="Column12622" dataDxfId="7966" totalsRowDxfId="7965"/>
    <tableColumn id="12637" xr3:uid="{EFD5E9CF-9F5D-47BB-8A6F-A33975B439D5}" name="Column12623" dataDxfId="7964" totalsRowDxfId="7963"/>
    <tableColumn id="12638" xr3:uid="{B7C2716C-7CF6-4F51-AE19-859056A041CA}" name="Column12624" dataDxfId="7962" totalsRowDxfId="7961"/>
    <tableColumn id="12639" xr3:uid="{A4A2395A-9683-4F1A-A1D4-91446C85F1C4}" name="Column12625" dataDxfId="7960" totalsRowDxfId="7959"/>
    <tableColumn id="12640" xr3:uid="{566342F8-48D7-487E-9819-EBC970FAFE18}" name="Column12626" dataDxfId="7958" totalsRowDxfId="7957"/>
    <tableColumn id="12641" xr3:uid="{136AA088-A1D1-48A3-9899-056015C04A5F}" name="Column12627" dataDxfId="7956" totalsRowDxfId="7955"/>
    <tableColumn id="12642" xr3:uid="{A3D84FEC-D144-473F-8AE4-5353B0878768}" name="Column12628" dataDxfId="7954" totalsRowDxfId="7953"/>
    <tableColumn id="12643" xr3:uid="{5103E49E-F151-43DB-AB54-A8A9C3A951C9}" name="Column12629" dataDxfId="7952" totalsRowDxfId="7951"/>
    <tableColumn id="12644" xr3:uid="{94A4BCE4-DB19-4588-8ACB-BD0D02E37B92}" name="Column12630" dataDxfId="7950" totalsRowDxfId="7949"/>
    <tableColumn id="12645" xr3:uid="{44903B40-217D-41C5-892A-9AE9391A7562}" name="Column12631" dataDxfId="7948" totalsRowDxfId="7947"/>
    <tableColumn id="12646" xr3:uid="{43026F4D-D43D-4AC2-A783-BF5269ACEA0E}" name="Column12632" dataDxfId="7946" totalsRowDxfId="7945"/>
    <tableColumn id="12647" xr3:uid="{9E0E9F92-9C6B-40C0-9F13-3F3A5BD79BD0}" name="Column12633" dataDxfId="7944" totalsRowDxfId="7943"/>
    <tableColumn id="12648" xr3:uid="{45749E3C-0931-4897-83F1-18F56202BE1A}" name="Column12634" dataDxfId="7942" totalsRowDxfId="7941"/>
    <tableColumn id="12649" xr3:uid="{CB29C4E3-5D61-411D-AD12-ADCB32847E29}" name="Column12635" dataDxfId="7940" totalsRowDxfId="7939"/>
    <tableColumn id="12650" xr3:uid="{831EC6BA-7D48-4C07-AA8B-3E65C5987B39}" name="Column12636" dataDxfId="7938" totalsRowDxfId="7937"/>
    <tableColumn id="12651" xr3:uid="{7F97E18E-B6C3-45A4-8F52-AA7726BFBF99}" name="Column12637" dataDxfId="7936" totalsRowDxfId="7935"/>
    <tableColumn id="12652" xr3:uid="{AD417749-1CF3-4E22-8053-F5D21824BA48}" name="Column12638" dataDxfId="7934" totalsRowDxfId="7933"/>
    <tableColumn id="12653" xr3:uid="{B46AC35E-D1AD-49DA-9A4F-0B23D23E13C9}" name="Column12639" dataDxfId="7932" totalsRowDxfId="7931"/>
    <tableColumn id="12654" xr3:uid="{A04D985B-FB0A-4E73-B894-457EB3B2DC7B}" name="Column12640" dataDxfId="7930" totalsRowDxfId="7929"/>
    <tableColumn id="12655" xr3:uid="{DE58E25C-FD38-4F9C-96AE-96BFFF49977C}" name="Column12641" dataDxfId="7928" totalsRowDxfId="7927"/>
    <tableColumn id="12656" xr3:uid="{4D9F08E9-8E10-4EDC-A369-DF5DC839AFF9}" name="Column12642" dataDxfId="7926" totalsRowDxfId="7925"/>
    <tableColumn id="12657" xr3:uid="{C3F763C5-5B1A-489B-86BC-CD89A815425A}" name="Column12643" dataDxfId="7924" totalsRowDxfId="7923"/>
    <tableColumn id="12658" xr3:uid="{4D18C38F-F677-416F-9E49-7685EEBFE05B}" name="Column12644" dataDxfId="7922" totalsRowDxfId="7921"/>
    <tableColumn id="12659" xr3:uid="{632776AD-6070-4767-AE55-26DBE7E4392E}" name="Column12645" dataDxfId="7920" totalsRowDxfId="7919"/>
    <tableColumn id="12660" xr3:uid="{9F6608EA-58A9-4792-AF1A-10B6BAD5B919}" name="Column12646" dataDxfId="7918" totalsRowDxfId="7917"/>
    <tableColumn id="12661" xr3:uid="{C9AB8A06-B170-4D27-B39B-F5C53465FAA5}" name="Column12647" dataDxfId="7916" totalsRowDxfId="7915"/>
    <tableColumn id="12662" xr3:uid="{E3E5FA32-E4C7-4E11-BD6A-1086E4529513}" name="Column12648" dataDxfId="7914" totalsRowDxfId="7913"/>
    <tableColumn id="12663" xr3:uid="{47EB1876-D22F-4212-93D6-4F92B22FEED5}" name="Column12649" dataDxfId="7912" totalsRowDxfId="7911"/>
    <tableColumn id="12664" xr3:uid="{3FD7F87F-6376-41C8-A8E3-9923FA4ED409}" name="Column12650" dataDxfId="7910" totalsRowDxfId="7909"/>
    <tableColumn id="12665" xr3:uid="{B8C34B1C-251C-467B-A8F9-79F367208B6E}" name="Column12651" dataDxfId="7908" totalsRowDxfId="7907"/>
    <tableColumn id="12666" xr3:uid="{F1F70AD4-2F1E-4187-B6D7-EB3BBAEFBCD1}" name="Column12652" dataDxfId="7906" totalsRowDxfId="7905"/>
    <tableColumn id="12667" xr3:uid="{81792552-DAE7-4125-912F-A6D4F27A6227}" name="Column12653" dataDxfId="7904" totalsRowDxfId="7903"/>
    <tableColumn id="12668" xr3:uid="{CA7D414E-8B7D-4BCF-B088-F5DD0EC522AF}" name="Column12654" dataDxfId="7902" totalsRowDxfId="7901"/>
    <tableColumn id="12669" xr3:uid="{2D826E15-3DF4-48EA-A7B3-E3594BD7ACF1}" name="Column12655" dataDxfId="7900" totalsRowDxfId="7899"/>
    <tableColumn id="12670" xr3:uid="{C2E4B78D-12C4-468A-8F4E-E95447528E29}" name="Column12656" dataDxfId="7898" totalsRowDxfId="7897"/>
    <tableColumn id="12671" xr3:uid="{E17B2BC8-6AA8-459D-AE8E-200CA2C7C6F7}" name="Column12657" dataDxfId="7896" totalsRowDxfId="7895"/>
    <tableColumn id="12672" xr3:uid="{F47D0118-48D7-4297-A000-EB0E1A892822}" name="Column12658" dataDxfId="7894" totalsRowDxfId="7893"/>
    <tableColumn id="12673" xr3:uid="{7C9E32A0-60AD-446E-875B-8C3AD621C5C1}" name="Column12659" dataDxfId="7892" totalsRowDxfId="7891"/>
    <tableColumn id="12674" xr3:uid="{91AA6625-C387-431E-B505-7911219DC27F}" name="Column12660" dataDxfId="7890" totalsRowDxfId="7889"/>
    <tableColumn id="12675" xr3:uid="{3F0D0CE6-1535-4328-A43D-6787DEAFD474}" name="Column12661" dataDxfId="7888" totalsRowDxfId="7887"/>
    <tableColumn id="12676" xr3:uid="{6C87DB70-888F-40CE-8D7C-F5FCDA2EACA3}" name="Column12662" dataDxfId="7886" totalsRowDxfId="7885"/>
    <tableColumn id="12677" xr3:uid="{4023995A-614A-40B9-8416-CA2B4185EFA6}" name="Column12663" dataDxfId="7884" totalsRowDxfId="7883"/>
    <tableColumn id="12678" xr3:uid="{74A6A194-27ED-42A1-ACF0-9CE87BC37EB5}" name="Column12664" dataDxfId="7882" totalsRowDxfId="7881"/>
    <tableColumn id="12679" xr3:uid="{77602BFA-766C-409D-8DCF-F3B6DCADECF6}" name="Column12665" dataDxfId="7880" totalsRowDxfId="7879"/>
    <tableColumn id="12680" xr3:uid="{BA9271F3-2713-40CF-B35E-F31BD6122B6D}" name="Column12666" dataDxfId="7878" totalsRowDxfId="7877"/>
    <tableColumn id="12681" xr3:uid="{960711ED-0E2F-4D4C-8AB7-5314D3D2A691}" name="Column12667" dataDxfId="7876" totalsRowDxfId="7875"/>
    <tableColumn id="12682" xr3:uid="{28FFEE2F-8FAA-4EEE-8A94-6196C40A817E}" name="Column12668" dataDxfId="7874" totalsRowDxfId="7873"/>
    <tableColumn id="12683" xr3:uid="{2E4A4D3E-D0DF-48CC-85C3-120B92CB22D4}" name="Column12669" dataDxfId="7872" totalsRowDxfId="7871"/>
    <tableColumn id="12684" xr3:uid="{1DEF2286-6A29-4871-98AD-6D6595779DE0}" name="Column12670" dataDxfId="7870" totalsRowDxfId="7869"/>
    <tableColumn id="12685" xr3:uid="{8E8DD689-4619-4E43-8AC9-A6BB806D891B}" name="Column12671" dataDxfId="7868" totalsRowDxfId="7867"/>
    <tableColumn id="12686" xr3:uid="{08AED481-34B2-4DCA-BDBA-31A270BC159F}" name="Column12672" dataDxfId="7866" totalsRowDxfId="7865"/>
    <tableColumn id="12687" xr3:uid="{8ED15E92-5A71-49C6-A1F2-23F2BE96D110}" name="Column12673" dataDxfId="7864" totalsRowDxfId="7863"/>
    <tableColumn id="12688" xr3:uid="{F80D9DA3-F6AD-475B-85E5-0F948ADD852E}" name="Column12674" dataDxfId="7862" totalsRowDxfId="7861"/>
    <tableColumn id="12689" xr3:uid="{144B84A7-3194-49C9-A6FD-07C16FDA859D}" name="Column12675" dataDxfId="7860" totalsRowDxfId="7859"/>
    <tableColumn id="12690" xr3:uid="{05477601-A46C-47CB-80F4-22D631BC62DD}" name="Column12676" dataDxfId="7858" totalsRowDxfId="7857"/>
    <tableColumn id="12691" xr3:uid="{13A66158-B0DA-4C5B-B7CF-DFB73C09305B}" name="Column12677" dataDxfId="7856" totalsRowDxfId="7855"/>
    <tableColumn id="12692" xr3:uid="{F3CF95AC-AAB5-478B-B9CF-93C53C94B9D0}" name="Column12678" dataDxfId="7854" totalsRowDxfId="7853"/>
    <tableColumn id="12693" xr3:uid="{4D90439B-74AB-4015-98B2-303BE7E5B809}" name="Column12679" dataDxfId="7852" totalsRowDxfId="7851"/>
    <tableColumn id="12694" xr3:uid="{ACCC000A-F048-49E2-BD1F-800A2EEDEBCD}" name="Column12680" dataDxfId="7850" totalsRowDxfId="7849"/>
    <tableColumn id="12695" xr3:uid="{C6395725-B1F6-4DE1-8DEC-8E1445F160F1}" name="Column12681" dataDxfId="7848" totalsRowDxfId="7847"/>
    <tableColumn id="12696" xr3:uid="{D9D3365A-CCC1-483A-89EF-35765760892F}" name="Column12682" dataDxfId="7846" totalsRowDxfId="7845"/>
    <tableColumn id="12697" xr3:uid="{6D1D7928-BA53-48C5-ABE0-1F01E725EB1D}" name="Column12683" dataDxfId="7844" totalsRowDxfId="7843"/>
    <tableColumn id="12698" xr3:uid="{46772AA6-B61E-455F-B4B7-8C1EE2DF9635}" name="Column12684" dataDxfId="7842" totalsRowDxfId="7841"/>
    <tableColumn id="12699" xr3:uid="{B8DA9821-80CF-4245-B7B7-6F5738C436C9}" name="Column12685" dataDxfId="7840" totalsRowDxfId="7839"/>
    <tableColumn id="12700" xr3:uid="{FF9121E0-2179-4E5D-B61D-F069C6FBA90B}" name="Column12686" dataDxfId="7838" totalsRowDxfId="7837"/>
    <tableColumn id="12701" xr3:uid="{40867FF1-A57B-47B5-8F4F-7133E3E615CC}" name="Column12687" dataDxfId="7836" totalsRowDxfId="7835"/>
    <tableColumn id="12702" xr3:uid="{F9679229-DDDF-4124-AC15-01AE1A79DD64}" name="Column12688" dataDxfId="7834" totalsRowDxfId="7833"/>
    <tableColumn id="12703" xr3:uid="{E99C4079-D742-4B6A-A2E9-B5D23F412C9F}" name="Column12689" dataDxfId="7832" totalsRowDxfId="7831"/>
    <tableColumn id="12704" xr3:uid="{9D488420-61CF-464E-8EA9-8ED261E57839}" name="Column12690" dataDxfId="7830" totalsRowDxfId="7829"/>
    <tableColumn id="12705" xr3:uid="{C14FFC6C-91DC-455B-A5D6-7EFC0189001C}" name="Column12691" dataDxfId="7828" totalsRowDxfId="7827"/>
    <tableColumn id="12706" xr3:uid="{CDD762FF-F4CA-4A9C-AC8F-854FFFF805D1}" name="Column12692" dataDxfId="7826" totalsRowDxfId="7825"/>
    <tableColumn id="12707" xr3:uid="{5C0A5373-DE57-4F69-A088-F5932ACBDB0B}" name="Column12693" dataDxfId="7824" totalsRowDxfId="7823"/>
    <tableColumn id="12708" xr3:uid="{6E790285-F4E0-473A-85E0-E3062F25831D}" name="Column12694" dataDxfId="7822" totalsRowDxfId="7821"/>
    <tableColumn id="12709" xr3:uid="{D83E6DAB-37CD-4843-97AE-29FA679FABBF}" name="Column12695" dataDxfId="7820" totalsRowDxfId="7819"/>
    <tableColumn id="12710" xr3:uid="{4ABB15DD-CE13-4CF4-838F-C0B6FAE48D92}" name="Column12696" dataDxfId="7818" totalsRowDxfId="7817"/>
    <tableColumn id="12711" xr3:uid="{AD65FD6F-1DB2-4DC0-9D1B-02A9C3187348}" name="Column12697" dataDxfId="7816" totalsRowDxfId="7815"/>
    <tableColumn id="12712" xr3:uid="{59ECAD43-B4F3-4E3F-A74C-368B23F38AB5}" name="Column12698" dataDxfId="7814" totalsRowDxfId="7813"/>
    <tableColumn id="12713" xr3:uid="{89704944-C680-4B20-B1EB-1933D0C5730C}" name="Column12699" dataDxfId="7812" totalsRowDxfId="7811"/>
    <tableColumn id="12714" xr3:uid="{85F28CC4-C7CC-498A-893E-9E9F83271420}" name="Column12700" dataDxfId="7810" totalsRowDxfId="7809"/>
    <tableColumn id="12715" xr3:uid="{9012DCA8-480D-4EFD-9B06-12B707902F84}" name="Column12701" dataDxfId="7808" totalsRowDxfId="7807"/>
    <tableColumn id="12716" xr3:uid="{285A9A70-E508-4441-83D3-F7E1CEBC5EE6}" name="Column12702" dataDxfId="7806" totalsRowDxfId="7805"/>
    <tableColumn id="12717" xr3:uid="{EAA644BE-14B7-453B-B691-F4FF3C500665}" name="Column12703" dataDxfId="7804" totalsRowDxfId="7803"/>
    <tableColumn id="12718" xr3:uid="{71A54464-DEE6-4009-ABF6-19F6644547ED}" name="Column12704" dataDxfId="7802" totalsRowDxfId="7801"/>
    <tableColumn id="12719" xr3:uid="{2C5EA5F5-0C7D-44FC-988D-1E7155F21392}" name="Column12705" dataDxfId="7800" totalsRowDxfId="7799"/>
    <tableColumn id="12720" xr3:uid="{2D85E13D-973F-41F7-A6DD-5B2C178A1E7C}" name="Column12706" dataDxfId="7798" totalsRowDxfId="7797"/>
    <tableColumn id="12721" xr3:uid="{771DB385-5ACF-4804-A014-3935A22A860E}" name="Column12707" dataDxfId="7796" totalsRowDxfId="7795"/>
    <tableColumn id="12722" xr3:uid="{1FE46BED-B119-40CB-A45F-3BDFE93BE4FD}" name="Column12708" dataDxfId="7794" totalsRowDxfId="7793"/>
    <tableColumn id="12723" xr3:uid="{96FB5785-DAB6-497D-933D-87D487020F62}" name="Column12709" dataDxfId="7792" totalsRowDxfId="7791"/>
    <tableColumn id="12724" xr3:uid="{833A8F96-275F-4A68-9B93-513A6EDBF040}" name="Column12710" dataDxfId="7790" totalsRowDxfId="7789"/>
    <tableColumn id="12725" xr3:uid="{234D3A83-7B3C-4049-A5E3-612CEF7D8A7C}" name="Column12711" dataDxfId="7788" totalsRowDxfId="7787"/>
    <tableColumn id="12726" xr3:uid="{DA86DE99-1F49-44F3-ADDE-1DEE4BEC2B01}" name="Column12712" dataDxfId="7786" totalsRowDxfId="7785"/>
    <tableColumn id="12727" xr3:uid="{9FE57E96-C788-4996-A00C-A321B2BB2184}" name="Column12713" dataDxfId="7784" totalsRowDxfId="7783"/>
    <tableColumn id="12728" xr3:uid="{D91D644D-C600-4101-A9A2-5D9B4A7E3AF3}" name="Column12714" dataDxfId="7782" totalsRowDxfId="7781"/>
    <tableColumn id="12729" xr3:uid="{D50CFE81-273E-408C-8147-146162A762CE}" name="Column12715" dataDxfId="7780" totalsRowDxfId="7779"/>
    <tableColumn id="12730" xr3:uid="{310337DC-8904-48CB-8E04-42B6EA6FD2BC}" name="Column12716" dataDxfId="7778" totalsRowDxfId="7777"/>
    <tableColumn id="12731" xr3:uid="{50625D46-D4F3-4960-9EC8-D08CB67FB8F6}" name="Column12717" dataDxfId="7776" totalsRowDxfId="7775"/>
    <tableColumn id="12732" xr3:uid="{CDC6BA88-33D1-40EA-95A2-1D5F00B58B3D}" name="Column12718" dataDxfId="7774" totalsRowDxfId="7773"/>
    <tableColumn id="12733" xr3:uid="{565FCCDA-8720-45AC-A8E0-1A4128E752D6}" name="Column12719" dataDxfId="7772" totalsRowDxfId="7771"/>
    <tableColumn id="12734" xr3:uid="{E1236C6E-3696-4743-9141-0BE35413DD63}" name="Column12720" dataDxfId="7770" totalsRowDxfId="7769"/>
    <tableColumn id="12735" xr3:uid="{DFC7CF76-422D-4B15-9BF1-263A2D07454C}" name="Column12721" dataDxfId="7768" totalsRowDxfId="7767"/>
    <tableColumn id="12736" xr3:uid="{5DD3D687-9DE5-48D5-859E-7A975D27567A}" name="Column12722" dataDxfId="7766" totalsRowDxfId="7765"/>
    <tableColumn id="12737" xr3:uid="{633F9FC0-62E6-4D14-A8F1-32A770D7015B}" name="Column12723" dataDxfId="7764" totalsRowDxfId="7763"/>
    <tableColumn id="12738" xr3:uid="{01D2BA3C-5361-47A5-B797-5B0759F0A7B6}" name="Column12724" dataDxfId="7762" totalsRowDxfId="7761"/>
    <tableColumn id="12739" xr3:uid="{EFD60A78-60DF-4309-A5FB-0087D997E736}" name="Column12725" dataDxfId="7760" totalsRowDxfId="7759"/>
    <tableColumn id="12740" xr3:uid="{DB74B37A-D0ED-47F1-AD22-6F45F58CDF0F}" name="Column12726" dataDxfId="7758" totalsRowDxfId="7757"/>
    <tableColumn id="12741" xr3:uid="{AD2AC9E5-AB5D-4917-B1F6-87B0C1CC7080}" name="Column12727" dataDxfId="7756" totalsRowDxfId="7755"/>
    <tableColumn id="12742" xr3:uid="{AD26EAA5-8922-4B85-8EB4-4FE2725FBAFE}" name="Column12728" dataDxfId="7754" totalsRowDxfId="7753"/>
    <tableColumn id="12743" xr3:uid="{4BA36EE4-7B8E-4768-9271-0A521D8C59B3}" name="Column12729" dataDxfId="7752" totalsRowDxfId="7751"/>
    <tableColumn id="12744" xr3:uid="{C3396B72-D7A8-464F-8108-60EA50D9D355}" name="Column12730" dataDxfId="7750" totalsRowDxfId="7749"/>
    <tableColumn id="12745" xr3:uid="{0E56CB66-A75F-4289-9338-0E2E82D53FBE}" name="Column12731" dataDxfId="7748" totalsRowDxfId="7747"/>
    <tableColumn id="12746" xr3:uid="{9152D828-A84F-46C2-8CE0-A0DB1AD970FB}" name="Column12732" dataDxfId="7746" totalsRowDxfId="7745"/>
    <tableColumn id="12747" xr3:uid="{10ACE815-358F-4079-9A98-A71583E7631F}" name="Column12733" dataDxfId="7744" totalsRowDxfId="7743"/>
    <tableColumn id="12748" xr3:uid="{F0DE998A-106B-4F89-9B20-A7067013650E}" name="Column12734" dataDxfId="7742" totalsRowDxfId="7741"/>
    <tableColumn id="12749" xr3:uid="{8F63BB61-0408-4BF0-8460-C73BDB8CD90C}" name="Column12735" dataDxfId="7740" totalsRowDxfId="7739"/>
    <tableColumn id="12750" xr3:uid="{AD38FD84-9B02-45D6-831C-FCDC3B734D10}" name="Column12736" dataDxfId="7738" totalsRowDxfId="7737"/>
    <tableColumn id="12751" xr3:uid="{E86A2114-CB75-4D86-9121-BBE6042FF6BB}" name="Column12737" dataDxfId="7736" totalsRowDxfId="7735"/>
    <tableColumn id="12752" xr3:uid="{A8FA8730-9746-4CA9-B2DE-D7442245CD7C}" name="Column12738" dataDxfId="7734" totalsRowDxfId="7733"/>
    <tableColumn id="12753" xr3:uid="{2BA15FE1-1431-4F11-B8FB-42A5D51A9BA1}" name="Column12739" dataDxfId="7732" totalsRowDxfId="7731"/>
    <tableColumn id="12754" xr3:uid="{183F4932-B830-407E-97C3-EF381D51728F}" name="Column12740" dataDxfId="7730" totalsRowDxfId="7729"/>
    <tableColumn id="12755" xr3:uid="{6C1B6A2F-F10B-469F-9765-F749BEA41048}" name="Column12741" dataDxfId="7728" totalsRowDxfId="7727"/>
    <tableColumn id="12756" xr3:uid="{BE2574C6-34D3-4716-8D59-1C01E3E69CC0}" name="Column12742" dataDxfId="7726" totalsRowDxfId="7725"/>
    <tableColumn id="12757" xr3:uid="{FF338E9C-CE41-44B0-81AA-26C3C34CC87A}" name="Column12743" dataDxfId="7724" totalsRowDxfId="7723"/>
    <tableColumn id="12758" xr3:uid="{FBF6B039-2F36-447D-85A8-F623C1F076C6}" name="Column12744" dataDxfId="7722" totalsRowDxfId="7721"/>
    <tableColumn id="12759" xr3:uid="{3268D7C1-1E08-4C92-9CCC-2C04FF4ABA0D}" name="Column12745" dataDxfId="7720" totalsRowDxfId="7719"/>
    <tableColumn id="12760" xr3:uid="{1A854381-598B-463E-8C5A-5147495415B0}" name="Column12746" dataDxfId="7718" totalsRowDxfId="7717"/>
    <tableColumn id="12761" xr3:uid="{6D249CB8-2177-4E22-83AA-BE83C3724F31}" name="Column12747" dataDxfId="7716" totalsRowDxfId="7715"/>
    <tableColumn id="12762" xr3:uid="{ADB25101-C8C5-4F6D-96D1-012016EF103B}" name="Column12748" dataDxfId="7714" totalsRowDxfId="7713"/>
    <tableColumn id="12763" xr3:uid="{CD2D6DEC-3F5C-41AB-9F42-2CECA036B1DF}" name="Column12749" dataDxfId="7712" totalsRowDxfId="7711"/>
    <tableColumn id="12764" xr3:uid="{EA2AD1D3-FE62-4E6C-A18E-9C20B4DCADCB}" name="Column12750" dataDxfId="7710" totalsRowDxfId="7709"/>
    <tableColumn id="12765" xr3:uid="{081A890D-498F-40B9-A5FB-0DF0293A39AC}" name="Column12751" dataDxfId="7708" totalsRowDxfId="7707"/>
    <tableColumn id="12766" xr3:uid="{4452EE61-6393-462E-B627-FF12104537C6}" name="Column12752" dataDxfId="7706" totalsRowDxfId="7705"/>
    <tableColumn id="12767" xr3:uid="{CEE6149A-38A5-45E2-85C6-2BC7EBE6CC3F}" name="Column12753" dataDxfId="7704" totalsRowDxfId="7703"/>
    <tableColumn id="12768" xr3:uid="{F3047CEC-E7B0-436A-884A-B7DB872A925E}" name="Column12754" dataDxfId="7702" totalsRowDxfId="7701"/>
    <tableColumn id="12769" xr3:uid="{3968244C-AE9F-47EB-A0AB-134A38B8916C}" name="Column12755" dataDxfId="7700" totalsRowDxfId="7699"/>
    <tableColumn id="12770" xr3:uid="{F1DA910E-55E0-49B5-B92A-2489F2DAD40E}" name="Column12756" dataDxfId="7698" totalsRowDxfId="7697"/>
    <tableColumn id="12771" xr3:uid="{E1ED3AB7-F773-46C2-8668-E76FFCC52EDA}" name="Column12757" dataDxfId="7696" totalsRowDxfId="7695"/>
    <tableColumn id="12772" xr3:uid="{68026A9F-B36B-4CB6-9173-34D3643594D5}" name="Column12758" dataDxfId="7694" totalsRowDxfId="7693"/>
    <tableColumn id="12773" xr3:uid="{8C587ED9-F6FF-42BE-A005-2576F6801B6C}" name="Column12759" dataDxfId="7692" totalsRowDxfId="7691"/>
    <tableColumn id="12774" xr3:uid="{0F5FE0EE-9EEC-4DB7-A138-59BC1B51D7A7}" name="Column12760" dataDxfId="7690" totalsRowDxfId="7689"/>
    <tableColumn id="12775" xr3:uid="{F322322C-5A15-48D3-A0BC-A85B9D447C77}" name="Column12761" dataDxfId="7688" totalsRowDxfId="7687"/>
    <tableColumn id="12776" xr3:uid="{C02B7D00-213E-44CC-AD75-61B5F68542E9}" name="Column12762" dataDxfId="7686" totalsRowDxfId="7685"/>
    <tableColumn id="12777" xr3:uid="{711386FA-5941-4DF9-899F-31BAFF0C893D}" name="Column12763" dataDxfId="7684" totalsRowDxfId="7683"/>
    <tableColumn id="12778" xr3:uid="{B53B7940-0A57-41E6-AAD7-1851C6EBB902}" name="Column12764" dataDxfId="7682" totalsRowDxfId="7681"/>
    <tableColumn id="12779" xr3:uid="{7B7894E9-3196-4E97-A5A2-24FEB6E3B2F3}" name="Column12765" dataDxfId="7680" totalsRowDxfId="7679"/>
    <tableColumn id="12780" xr3:uid="{689192FC-D497-464F-90D7-D5334D229665}" name="Column12766" dataDxfId="7678" totalsRowDxfId="7677"/>
    <tableColumn id="12781" xr3:uid="{CD5B0AF1-EDD4-46FE-8D47-D084392C10CF}" name="Column12767" dataDxfId="7676" totalsRowDxfId="7675"/>
    <tableColumn id="12782" xr3:uid="{4D7BE3B9-C45B-4DE5-B38F-2F25C2EC1030}" name="Column12768" dataDxfId="7674" totalsRowDxfId="7673"/>
    <tableColumn id="12783" xr3:uid="{4351E2B4-1D92-4CB9-8843-1DCC8E43B60E}" name="Column12769" dataDxfId="7672" totalsRowDxfId="7671"/>
    <tableColumn id="12784" xr3:uid="{A9D7673E-0C2B-4D97-8903-4BAF3FF25E5D}" name="Column12770" dataDxfId="7670" totalsRowDxfId="7669"/>
    <tableColumn id="12785" xr3:uid="{1528DA0E-FAF5-425C-9E47-D2E78EB28B37}" name="Column12771" dataDxfId="7668" totalsRowDxfId="7667"/>
    <tableColumn id="12786" xr3:uid="{FC146A80-80F8-4DA9-B087-A1E9E7FE2E7A}" name="Column12772" dataDxfId="7666" totalsRowDxfId="7665"/>
    <tableColumn id="12787" xr3:uid="{E03092E2-3C42-466C-8DE2-9234393D9254}" name="Column12773" dataDxfId="7664" totalsRowDxfId="7663"/>
    <tableColumn id="12788" xr3:uid="{8BF9A39E-4A2D-4908-89D1-1AB7294F55FE}" name="Column12774" dataDxfId="7662" totalsRowDxfId="7661"/>
    <tableColumn id="12789" xr3:uid="{45522219-8D3E-4B34-9086-D94A3AC6FDDC}" name="Column12775" dataDxfId="7660" totalsRowDxfId="7659"/>
    <tableColumn id="12790" xr3:uid="{1DF7E97C-7CA7-4A0D-82DF-F18B4FE93B37}" name="Column12776" dataDxfId="7658" totalsRowDxfId="7657"/>
    <tableColumn id="12791" xr3:uid="{79DE1CD7-4791-49E1-8124-93B7DEA9F0C0}" name="Column12777" dataDxfId="7656" totalsRowDxfId="7655"/>
    <tableColumn id="12792" xr3:uid="{2342781C-85C7-48A7-9675-EF9AEA06979F}" name="Column12778" dataDxfId="7654" totalsRowDxfId="7653"/>
    <tableColumn id="12793" xr3:uid="{D6CA4232-600A-4F63-8A3D-1316D2003302}" name="Column12779" dataDxfId="7652" totalsRowDxfId="7651"/>
    <tableColumn id="12794" xr3:uid="{D18815E0-6A50-4FC3-B60D-1305D1352AAF}" name="Column12780" dataDxfId="7650" totalsRowDxfId="7649"/>
    <tableColumn id="12795" xr3:uid="{4C3C59BB-FB51-4BC5-A82D-1F0D9204ECAE}" name="Column12781" dataDxfId="7648" totalsRowDxfId="7647"/>
    <tableColumn id="12796" xr3:uid="{0530F59F-ADC2-466B-9276-DF9511899138}" name="Column12782" dataDxfId="7646" totalsRowDxfId="7645"/>
    <tableColumn id="12797" xr3:uid="{4290F1E8-4D79-46EA-8D72-B3FA6C237CC5}" name="Column12783" dataDxfId="7644" totalsRowDxfId="7643"/>
    <tableColumn id="12798" xr3:uid="{C8D2AA8D-B1FB-4304-AACB-1831A06D46E5}" name="Column12784" dataDxfId="7642" totalsRowDxfId="7641"/>
    <tableColumn id="12799" xr3:uid="{76C99BA2-1048-4DA8-896A-AA0D055D3FA6}" name="Column12785" dataDxfId="7640" totalsRowDxfId="7639"/>
    <tableColumn id="12800" xr3:uid="{3A11875E-51D3-4C40-8D02-30FEEF462534}" name="Column12786" dataDxfId="7638" totalsRowDxfId="7637"/>
    <tableColumn id="12801" xr3:uid="{14AFD6BE-D52F-4AC6-B190-E3F2FEA24DB7}" name="Column12787" dataDxfId="7636" totalsRowDxfId="7635"/>
    <tableColumn id="12802" xr3:uid="{9B276651-F305-4C2B-A658-ACF7A6C6B351}" name="Column12788" dataDxfId="7634" totalsRowDxfId="7633"/>
    <tableColumn id="12803" xr3:uid="{B663409C-5FA0-42C1-AE29-62B62A6D952B}" name="Column12789" dataDxfId="7632" totalsRowDxfId="7631"/>
    <tableColumn id="12804" xr3:uid="{957BD40E-C1B6-44AE-822B-08508C9340C8}" name="Column12790" dataDxfId="7630" totalsRowDxfId="7629"/>
    <tableColumn id="12805" xr3:uid="{A63524FF-DA7D-47B8-A46A-063B05E294FA}" name="Column12791" dataDxfId="7628" totalsRowDxfId="7627"/>
    <tableColumn id="12806" xr3:uid="{01C16CA2-EE9E-4584-BA65-84773BE77AE0}" name="Column12792" dataDxfId="7626" totalsRowDxfId="7625"/>
    <tableColumn id="12807" xr3:uid="{CB064E59-8381-4AAB-BB09-F76C82946A7E}" name="Column12793" dataDxfId="7624" totalsRowDxfId="7623"/>
    <tableColumn id="12808" xr3:uid="{45F33239-C480-49C4-8AC2-AA47ABDA021C}" name="Column12794" dataDxfId="7622" totalsRowDxfId="7621"/>
    <tableColumn id="12809" xr3:uid="{C6F12E00-EDC0-4B9C-BC32-5681AD240EEF}" name="Column12795" dataDxfId="7620" totalsRowDxfId="7619"/>
    <tableColumn id="12810" xr3:uid="{0FA45BE3-42F5-4DCE-BB2B-D96BC4B34DA5}" name="Column12796" dataDxfId="7618" totalsRowDxfId="7617"/>
    <tableColumn id="12811" xr3:uid="{A34B3360-EC6B-4EA5-A846-AA432EBE2018}" name="Column12797" dataDxfId="7616" totalsRowDxfId="7615"/>
    <tableColumn id="12812" xr3:uid="{40F4EB09-E7CE-4359-94F6-D0A27AF3460E}" name="Column12798" dataDxfId="7614" totalsRowDxfId="7613"/>
    <tableColumn id="12813" xr3:uid="{BDCB20E9-77E2-44F6-B12F-ADE11BACCE4E}" name="Column12799" dataDxfId="7612" totalsRowDxfId="7611"/>
    <tableColumn id="12814" xr3:uid="{8B19C6C6-3FDC-49DF-98B5-4FAED8C7ECBA}" name="Column12800" dataDxfId="7610" totalsRowDxfId="7609"/>
    <tableColumn id="12815" xr3:uid="{859C2D53-9F97-4463-888F-F2FBE101F02B}" name="Column12801" dataDxfId="7608" totalsRowDxfId="7607"/>
    <tableColumn id="12816" xr3:uid="{A53AD290-5E50-451C-A98C-501DB30AEB7A}" name="Column12802" dataDxfId="7606" totalsRowDxfId="7605"/>
    <tableColumn id="12817" xr3:uid="{4646DFA7-A3D2-4F62-A12A-D0F4B75A4CD8}" name="Column12803" dataDxfId="7604" totalsRowDxfId="7603"/>
    <tableColumn id="12818" xr3:uid="{AF4B07E1-52E3-49CF-9934-AEDE1FD1C4D6}" name="Column12804" dataDxfId="7602" totalsRowDxfId="7601"/>
    <tableColumn id="12819" xr3:uid="{73D9BD4B-CD39-4328-B41C-FD11BBA0287B}" name="Column12805" dataDxfId="7600" totalsRowDxfId="7599"/>
    <tableColumn id="12820" xr3:uid="{A74C2423-3CE2-4B8A-9F4D-6B11A04FF2E6}" name="Column12806" dataDxfId="7598" totalsRowDxfId="7597"/>
    <tableColumn id="12821" xr3:uid="{DCF6F7A3-CBDF-41A8-B33B-296FDBA644AD}" name="Column12807" dataDxfId="7596" totalsRowDxfId="7595"/>
    <tableColumn id="12822" xr3:uid="{B77B08EF-F1CA-44EE-9A2C-6EB3D6C7D618}" name="Column12808" dataDxfId="7594" totalsRowDxfId="7593"/>
    <tableColumn id="12823" xr3:uid="{D19AD67B-15A6-4292-A4ED-6A37F07BED85}" name="Column12809" dataDxfId="7592" totalsRowDxfId="7591"/>
    <tableColumn id="12824" xr3:uid="{CFA516AB-61FD-4B84-BA63-412AFC517EC6}" name="Column12810" dataDxfId="7590" totalsRowDxfId="7589"/>
    <tableColumn id="12825" xr3:uid="{8F03B127-5867-4356-A307-F149649BACF0}" name="Column12811" dataDxfId="7588" totalsRowDxfId="7587"/>
    <tableColumn id="12826" xr3:uid="{96F52760-E730-4142-B249-3354BD5DA898}" name="Column12812" dataDxfId="7586" totalsRowDxfId="7585"/>
    <tableColumn id="12827" xr3:uid="{4F4653E3-FBB9-4CE8-A0A7-67A5EC20E0D9}" name="Column12813" dataDxfId="7584" totalsRowDxfId="7583"/>
    <tableColumn id="12828" xr3:uid="{65A7E5B1-5D46-438A-A11D-1E16F41BCD24}" name="Column12814" dataDxfId="7582" totalsRowDxfId="7581"/>
    <tableColumn id="12829" xr3:uid="{BE3BEAE5-8F3B-4418-A6A0-0D747804AFCE}" name="Column12815" dataDxfId="7580" totalsRowDxfId="7579"/>
    <tableColumn id="12830" xr3:uid="{7B3F76C0-994B-43E1-B0CA-A86933942665}" name="Column12816" dataDxfId="7578" totalsRowDxfId="7577"/>
    <tableColumn id="12831" xr3:uid="{27C103A0-F897-4A77-A22E-F53FACC1E807}" name="Column12817" dataDxfId="7576" totalsRowDxfId="7575"/>
    <tableColumn id="12832" xr3:uid="{61AC7048-29FA-479A-9388-2EF0F24FB074}" name="Column12818" dataDxfId="7574" totalsRowDxfId="7573"/>
    <tableColumn id="12833" xr3:uid="{96910524-3807-4653-B9CF-53B3A0EE61DC}" name="Column12819" dataDxfId="7572" totalsRowDxfId="7571"/>
    <tableColumn id="12834" xr3:uid="{DE50C509-5D5A-4B89-BE8A-6090C7CC0F14}" name="Column12820" dataDxfId="7570" totalsRowDxfId="7569"/>
    <tableColumn id="12835" xr3:uid="{99DED7D8-0E13-441F-B999-9658DAD67F6A}" name="Column12821" dataDxfId="7568" totalsRowDxfId="7567"/>
    <tableColumn id="12836" xr3:uid="{42129B5F-6D44-4CF3-9348-0EDA123E91D9}" name="Column12822" dataDxfId="7566" totalsRowDxfId="7565"/>
    <tableColumn id="12837" xr3:uid="{B713C2E9-184A-48ED-8996-91BE916EABBA}" name="Column12823" dataDxfId="7564" totalsRowDxfId="7563"/>
    <tableColumn id="12838" xr3:uid="{5647F2DD-5927-4955-B775-0B433065CF0B}" name="Column12824" dataDxfId="7562" totalsRowDxfId="7561"/>
    <tableColumn id="12839" xr3:uid="{516397F2-EFF7-48C0-9F12-AFBD8FD7D233}" name="Column12825" dataDxfId="7560" totalsRowDxfId="7559"/>
    <tableColumn id="12840" xr3:uid="{C9CA1E5F-6740-49C0-A940-94AE555A2E6E}" name="Column12826" dataDxfId="7558" totalsRowDxfId="7557"/>
    <tableColumn id="12841" xr3:uid="{EB445E56-E11A-4855-943A-70D90DEA6368}" name="Column12827" dataDxfId="7556" totalsRowDxfId="7555"/>
    <tableColumn id="12842" xr3:uid="{EED8BCFC-8F7A-410B-A738-0D39691E7465}" name="Column12828" dataDxfId="7554" totalsRowDxfId="7553"/>
    <tableColumn id="12843" xr3:uid="{04165A52-352D-453E-80CD-0F803ABE26F9}" name="Column12829" dataDxfId="7552" totalsRowDxfId="7551"/>
    <tableColumn id="12844" xr3:uid="{6790566C-AE1F-4A83-A9A0-3A4A7A392F0A}" name="Column12830" dataDxfId="7550" totalsRowDxfId="7549"/>
    <tableColumn id="12845" xr3:uid="{CEA65491-480B-45C0-8638-B5784BECB193}" name="Column12831" dataDxfId="7548" totalsRowDxfId="7547"/>
    <tableColumn id="12846" xr3:uid="{7201CEEE-9D9F-43B7-AF01-0597B85EA5C0}" name="Column12832" dataDxfId="7546" totalsRowDxfId="7545"/>
    <tableColumn id="12847" xr3:uid="{FF7CAD8A-4508-4FAE-9F71-ED77673992A2}" name="Column12833" dataDxfId="7544" totalsRowDxfId="7543"/>
    <tableColumn id="12848" xr3:uid="{71C05691-8EC1-4FFC-AF3D-0C36691F98A2}" name="Column12834" dataDxfId="7542" totalsRowDxfId="7541"/>
    <tableColumn id="12849" xr3:uid="{0ADC610F-9736-4D78-A6DB-5F7F1DB53BE9}" name="Column12835" dataDxfId="7540" totalsRowDxfId="7539"/>
    <tableColumn id="12850" xr3:uid="{91969158-BFCA-4673-9DBA-14E8495D159F}" name="Column12836" dataDxfId="7538" totalsRowDxfId="7537"/>
    <tableColumn id="12851" xr3:uid="{67A76B4E-EC2C-4AFB-AE44-A8056B9EE5BD}" name="Column12837" dataDxfId="7536" totalsRowDxfId="7535"/>
    <tableColumn id="12852" xr3:uid="{4653499C-0C35-4FF1-9934-D551DFFAA902}" name="Column12838" dataDxfId="7534" totalsRowDxfId="7533"/>
    <tableColumn id="12853" xr3:uid="{D84410CB-855B-42A1-AFD4-791F3402B716}" name="Column12839" dataDxfId="7532" totalsRowDxfId="7531"/>
    <tableColumn id="12854" xr3:uid="{4B3B5307-5422-4F1E-8C7B-62A4C80BD6A0}" name="Column12840" dataDxfId="7530" totalsRowDxfId="7529"/>
    <tableColumn id="12855" xr3:uid="{F79B7C76-296C-40E7-AF5B-986369C73640}" name="Column12841" dataDxfId="7528" totalsRowDxfId="7527"/>
    <tableColumn id="12856" xr3:uid="{24166D4D-41CB-419C-81CD-8A9DFE98DB7D}" name="Column12842" dataDxfId="7526" totalsRowDxfId="7525"/>
    <tableColumn id="12857" xr3:uid="{42748F2A-2F2C-4FCE-8ABF-A26590AB444A}" name="Column12843" dataDxfId="7524" totalsRowDxfId="7523"/>
    <tableColumn id="12858" xr3:uid="{4954E363-6F8F-4556-B29D-0FE3E8D376E9}" name="Column12844" dataDxfId="7522" totalsRowDxfId="7521"/>
    <tableColumn id="12859" xr3:uid="{A41DFEE6-0892-4BF1-A854-833A08317461}" name="Column12845" dataDxfId="7520" totalsRowDxfId="7519"/>
    <tableColumn id="12860" xr3:uid="{5AE7D486-FA6F-4D83-8A8E-7368B549E3AF}" name="Column12846" dataDxfId="7518" totalsRowDxfId="7517"/>
    <tableColumn id="12861" xr3:uid="{CA8B09FF-9E78-482B-81EA-D8EE81E3E537}" name="Column12847" dataDxfId="7516" totalsRowDxfId="7515"/>
    <tableColumn id="12862" xr3:uid="{B8330C51-5C96-4208-822E-3F8F1E257442}" name="Column12848" dataDxfId="7514" totalsRowDxfId="7513"/>
    <tableColumn id="12863" xr3:uid="{D3A2860E-EC8C-48E5-9E2D-7D6A8331469F}" name="Column12849" dataDxfId="7512" totalsRowDxfId="7511"/>
    <tableColumn id="12864" xr3:uid="{85305EA9-0C30-46EB-8CDC-110AEAC8431F}" name="Column12850" dataDxfId="7510" totalsRowDxfId="7509"/>
    <tableColumn id="12865" xr3:uid="{04D97117-AECA-41CA-B0BC-9B648FB28ECA}" name="Column12851" dataDxfId="7508" totalsRowDxfId="7507"/>
    <tableColumn id="12866" xr3:uid="{1CCDA3C0-8A50-4FFC-8784-BADF17A5830B}" name="Column12852" dataDxfId="7506" totalsRowDxfId="7505"/>
    <tableColumn id="12867" xr3:uid="{829E504C-0F6E-46B3-AE34-B594D47D98A5}" name="Column12853" dataDxfId="7504" totalsRowDxfId="7503"/>
    <tableColumn id="12868" xr3:uid="{5195C9CC-A184-4130-BDA1-300A25CA4A73}" name="Column12854" dataDxfId="7502" totalsRowDxfId="7501"/>
    <tableColumn id="12869" xr3:uid="{0480819C-66B0-404A-9B4B-5D0E27F75C88}" name="Column12855" dataDxfId="7500" totalsRowDxfId="7499"/>
    <tableColumn id="12870" xr3:uid="{A8D90DE3-41E4-4B11-839B-E3F172CDD922}" name="Column12856" dataDxfId="7498" totalsRowDxfId="7497"/>
    <tableColumn id="12871" xr3:uid="{6A78531B-DCEE-46EC-ABF2-6AF7E5B95132}" name="Column12857" dataDxfId="7496" totalsRowDxfId="7495"/>
    <tableColumn id="12872" xr3:uid="{04D4075F-96B7-4C8B-9AE6-689B531494E2}" name="Column12858" dataDxfId="7494" totalsRowDxfId="7493"/>
    <tableColumn id="12873" xr3:uid="{8A8745AC-A46C-408C-B147-56C0FE383450}" name="Column12859" dataDxfId="7492" totalsRowDxfId="7491"/>
    <tableColumn id="12874" xr3:uid="{BB6A2C9C-880D-4EA3-BC4D-F3206157615D}" name="Column12860" dataDxfId="7490" totalsRowDxfId="7489"/>
    <tableColumn id="12875" xr3:uid="{A967A252-C126-4DEC-AF97-ACFFF2D2F05C}" name="Column12861" dataDxfId="7488" totalsRowDxfId="7487"/>
    <tableColumn id="12876" xr3:uid="{3921602F-951E-4B80-921D-D102D453F83A}" name="Column12862" dataDxfId="7486" totalsRowDxfId="7485"/>
    <tableColumn id="12877" xr3:uid="{A9F1ACF5-2560-44DB-A585-8D5403C8B399}" name="Column12863" dataDxfId="7484" totalsRowDxfId="7483"/>
    <tableColumn id="12878" xr3:uid="{32DD5E07-FE9E-46A0-9523-0056D249822F}" name="Column12864" dataDxfId="7482" totalsRowDxfId="7481"/>
    <tableColumn id="12879" xr3:uid="{409CD283-58DA-4FFC-B998-DCFE83490669}" name="Column12865" dataDxfId="7480" totalsRowDxfId="7479"/>
    <tableColumn id="12880" xr3:uid="{7DA5A772-AB33-43D2-A12E-EF30C89483CA}" name="Column12866" dataDxfId="7478" totalsRowDxfId="7477"/>
    <tableColumn id="12881" xr3:uid="{2F10C8CA-6191-4151-86B6-1BF8E85AFEC0}" name="Column12867" dataDxfId="7476" totalsRowDxfId="7475"/>
    <tableColumn id="12882" xr3:uid="{3311BDF7-89A9-4BC9-A0D0-5E1F6BE6FC19}" name="Column12868" dataDxfId="7474" totalsRowDxfId="7473"/>
    <tableColumn id="12883" xr3:uid="{9E487915-3AA8-42D4-ADF9-D403A75C0824}" name="Column12869" dataDxfId="7472" totalsRowDxfId="7471"/>
    <tableColumn id="12884" xr3:uid="{F66D1DE9-C956-4289-BF8C-A08FD4D91680}" name="Column12870" dataDxfId="7470" totalsRowDxfId="7469"/>
    <tableColumn id="12885" xr3:uid="{23F48746-B6F5-40C2-AE16-7A82A25967B6}" name="Column12871" dataDxfId="7468" totalsRowDxfId="7467"/>
    <tableColumn id="12886" xr3:uid="{C474EACD-59D7-4CAB-A644-44769A28A552}" name="Column12872" dataDxfId="7466" totalsRowDxfId="7465"/>
    <tableColumn id="12887" xr3:uid="{3F6C86FF-D940-42B0-98D8-82E99B7ADFB3}" name="Column12873" dataDxfId="7464" totalsRowDxfId="7463"/>
    <tableColumn id="12888" xr3:uid="{AA51C92C-6810-4C00-A995-2BE4BF6D601B}" name="Column12874" dataDxfId="7462" totalsRowDxfId="7461"/>
    <tableColumn id="12889" xr3:uid="{23328347-3DC9-4272-B366-44273BBFC835}" name="Column12875" dataDxfId="7460" totalsRowDxfId="7459"/>
    <tableColumn id="12890" xr3:uid="{A92A04B3-8492-4ECD-B73D-0B7CC0C2EC20}" name="Column12876" dataDxfId="7458" totalsRowDxfId="7457"/>
    <tableColumn id="12891" xr3:uid="{6A114798-AD49-4611-85B3-9EA14FD5426E}" name="Column12877" dataDxfId="7456" totalsRowDxfId="7455"/>
    <tableColumn id="12892" xr3:uid="{378D2E2D-398D-4DB8-834A-3C582EEDF7B5}" name="Column12878" dataDxfId="7454" totalsRowDxfId="7453"/>
    <tableColumn id="12893" xr3:uid="{A5C3A386-A8C6-40DB-A19F-44DE8C089F95}" name="Column12879" dataDxfId="7452" totalsRowDxfId="7451"/>
    <tableColumn id="12894" xr3:uid="{C9CC642F-D2FB-4927-8DBF-E97CBAA58FB9}" name="Column12880" dataDxfId="7450" totalsRowDxfId="7449"/>
    <tableColumn id="12895" xr3:uid="{479058BE-812F-4350-8C00-522B548EC872}" name="Column12881" dataDxfId="7448" totalsRowDxfId="7447"/>
    <tableColumn id="12896" xr3:uid="{47F98B5D-E19B-487E-B1F1-3874B3A63DAF}" name="Column12882" dataDxfId="7446" totalsRowDxfId="7445"/>
    <tableColumn id="12897" xr3:uid="{EFD098E8-3CD4-4A10-B6B0-F94A81AF8B88}" name="Column12883" dataDxfId="7444" totalsRowDxfId="7443"/>
    <tableColumn id="12898" xr3:uid="{BAAC5EF7-D10F-4D35-89B2-3152A1BA68AD}" name="Column12884" dataDxfId="7442" totalsRowDxfId="7441"/>
    <tableColumn id="12899" xr3:uid="{BA298188-C9E1-4876-A378-C432A0329ECE}" name="Column12885" dataDxfId="7440" totalsRowDxfId="7439"/>
    <tableColumn id="12900" xr3:uid="{1AC8054C-3A0A-4D95-A228-969B6428CF80}" name="Column12886" dataDxfId="7438" totalsRowDxfId="7437"/>
    <tableColumn id="12901" xr3:uid="{972C0ACE-8500-4E2B-9DC4-0BD11DF047EA}" name="Column12887" dataDxfId="7436" totalsRowDxfId="7435"/>
    <tableColumn id="12902" xr3:uid="{853A4E67-44F8-4991-BC1D-EC4FB621BCBE}" name="Column12888" dataDxfId="7434" totalsRowDxfId="7433"/>
    <tableColumn id="12903" xr3:uid="{F41D4224-BF6B-4C6B-BDAF-71CAEEE2543E}" name="Column12889" dataDxfId="7432" totalsRowDxfId="7431"/>
    <tableColumn id="12904" xr3:uid="{254D7777-2C49-42E4-8849-F14070B3CB89}" name="Column12890" dataDxfId="7430" totalsRowDxfId="7429"/>
    <tableColumn id="12905" xr3:uid="{F39E81A2-7AAB-432E-88C8-37DA6D6A90AE}" name="Column12891" dataDxfId="7428" totalsRowDxfId="7427"/>
    <tableColumn id="12906" xr3:uid="{FB176F20-068F-44E7-874A-5EE357F85EAE}" name="Column12892" dataDxfId="7426" totalsRowDxfId="7425"/>
    <tableColumn id="12907" xr3:uid="{D2F87AB6-E432-4A5A-9F42-1EB6532144C2}" name="Column12893" dataDxfId="7424" totalsRowDxfId="7423"/>
    <tableColumn id="12908" xr3:uid="{47081698-867E-496F-BFE7-C3B38770BB9A}" name="Column12894" dataDxfId="7422" totalsRowDxfId="7421"/>
    <tableColumn id="12909" xr3:uid="{CC2646E9-3287-4894-96F2-8ABA6B692E07}" name="Column12895" dataDxfId="7420" totalsRowDxfId="7419"/>
    <tableColumn id="12910" xr3:uid="{C057995F-C990-4BDC-BD4F-1D2BD736D328}" name="Column12896" dataDxfId="7418" totalsRowDxfId="7417"/>
    <tableColumn id="12911" xr3:uid="{C470135B-7486-4F6C-86A0-0EB272590EE7}" name="Column12897" dataDxfId="7416" totalsRowDxfId="7415"/>
    <tableColumn id="12912" xr3:uid="{0B0D0541-6670-4789-A039-6804B713E5C2}" name="Column12898" dataDxfId="7414" totalsRowDxfId="7413"/>
    <tableColumn id="12913" xr3:uid="{7970F457-030A-4ECE-A233-52B89FCF8307}" name="Column12899" dataDxfId="7412" totalsRowDxfId="7411"/>
    <tableColumn id="12914" xr3:uid="{B8E3B55F-D93B-4AF3-822C-26B6254FD4A8}" name="Column12900" dataDxfId="7410" totalsRowDxfId="7409"/>
    <tableColumn id="12915" xr3:uid="{BB65BC8D-440D-4E15-AE7C-6EEE659BD5BA}" name="Column12901" dataDxfId="7408" totalsRowDxfId="7407"/>
    <tableColumn id="12916" xr3:uid="{0EC0C54B-54ED-42F5-9F46-4D86E963E3BF}" name="Column12902" dataDxfId="7406" totalsRowDxfId="7405"/>
    <tableColumn id="12917" xr3:uid="{7C162062-BBED-4E8B-AD46-EBA97F718BB0}" name="Column12903" dataDxfId="7404" totalsRowDxfId="7403"/>
    <tableColumn id="12918" xr3:uid="{66232E2E-0236-4368-84E5-0607A4B00906}" name="Column12904" dataDxfId="7402" totalsRowDxfId="7401"/>
    <tableColumn id="12919" xr3:uid="{4A38695C-38AE-4ED0-86D2-1CABEC6C724A}" name="Column12905" dataDxfId="7400" totalsRowDxfId="7399"/>
    <tableColumn id="12920" xr3:uid="{7F051E54-2EF7-4FD3-8C78-27DD017823BF}" name="Column12906" dataDxfId="7398" totalsRowDxfId="7397"/>
    <tableColumn id="12921" xr3:uid="{F9CAE95F-2BD1-441D-9E5D-275B11B55647}" name="Column12907" dataDxfId="7396" totalsRowDxfId="7395"/>
    <tableColumn id="12922" xr3:uid="{14DCD03B-106F-491B-AF9C-D15EB34C413A}" name="Column12908" dataDxfId="7394" totalsRowDxfId="7393"/>
    <tableColumn id="12923" xr3:uid="{A2CEBF9D-B639-40B5-80F3-7147ACFB44C1}" name="Column12909" dataDxfId="7392" totalsRowDxfId="7391"/>
    <tableColumn id="12924" xr3:uid="{3FDC6DE2-9889-4ED4-8335-DB75E53EAF56}" name="Column12910" dataDxfId="7390" totalsRowDxfId="7389"/>
    <tableColumn id="12925" xr3:uid="{16821278-FA6E-423B-BC1D-361B87486C69}" name="Column12911" dataDxfId="7388" totalsRowDxfId="7387"/>
    <tableColumn id="12926" xr3:uid="{8CB2D9D1-9026-4120-B789-35B40D444B9D}" name="Column12912" dataDxfId="7386" totalsRowDxfId="7385"/>
    <tableColumn id="12927" xr3:uid="{6B39D24D-8010-4A36-A572-10D00A535498}" name="Column12913" dataDxfId="7384" totalsRowDxfId="7383"/>
    <tableColumn id="12928" xr3:uid="{C5F8F468-7130-4285-BD0D-50ECFCF145B7}" name="Column12914" dataDxfId="7382" totalsRowDxfId="7381"/>
    <tableColumn id="12929" xr3:uid="{6CA73F78-1876-484E-8546-588804C83803}" name="Column12915" dataDxfId="7380" totalsRowDxfId="7379"/>
    <tableColumn id="12930" xr3:uid="{E58DE53A-62F0-4064-B31E-B2D2CCD98513}" name="Column12916" dataDxfId="7378" totalsRowDxfId="7377"/>
    <tableColumn id="12931" xr3:uid="{0B73D91D-9A82-4C4E-BEF5-0372DA5F1C31}" name="Column12917" dataDxfId="7376" totalsRowDxfId="7375"/>
    <tableColumn id="12932" xr3:uid="{F2D255B7-6AFA-4783-AA1C-56D0FEAB230A}" name="Column12918" dataDxfId="7374" totalsRowDxfId="7373"/>
    <tableColumn id="12933" xr3:uid="{FB4B8BE9-CF02-4F78-A77E-5363BF4A70C6}" name="Column12919" dataDxfId="7372" totalsRowDxfId="7371"/>
    <tableColumn id="12934" xr3:uid="{3C95C7A6-81A8-4556-A05C-2E2E3A114CA7}" name="Column12920" dataDxfId="7370" totalsRowDxfId="7369"/>
    <tableColumn id="12935" xr3:uid="{5F11DCEF-BC71-4FF4-A2D3-2660822B8385}" name="Column12921" dataDxfId="7368" totalsRowDxfId="7367"/>
    <tableColumn id="12936" xr3:uid="{F56A9FDC-EF81-403A-870A-3B0BE851B2E4}" name="Column12922" dataDxfId="7366" totalsRowDxfId="7365"/>
    <tableColumn id="12937" xr3:uid="{28D7BEDE-415E-466F-A076-35F3FDF694ED}" name="Column12923" dataDxfId="7364" totalsRowDxfId="7363"/>
    <tableColumn id="12938" xr3:uid="{F1754EE8-D876-44E0-ADA7-1F12417B1927}" name="Column12924" dataDxfId="7362" totalsRowDxfId="7361"/>
    <tableColumn id="12939" xr3:uid="{EBEE09FB-E731-47BF-A1E7-65F4F3EBA90F}" name="Column12925" dataDxfId="7360" totalsRowDxfId="7359"/>
    <tableColumn id="12940" xr3:uid="{BE0651EA-155C-4DBB-8C8F-5B92D0DA62AF}" name="Column12926" dataDxfId="7358" totalsRowDxfId="7357"/>
    <tableColumn id="12941" xr3:uid="{1D95C580-CAE9-4A38-8092-8A1F306E88BA}" name="Column12927" dataDxfId="7356" totalsRowDxfId="7355"/>
    <tableColumn id="12942" xr3:uid="{2F43CA4E-AF2E-4941-859B-CB1219789726}" name="Column12928" dataDxfId="7354" totalsRowDxfId="7353"/>
    <tableColumn id="12943" xr3:uid="{9952727A-77D8-4324-9B7B-E577188EF0E3}" name="Column12929" dataDxfId="7352" totalsRowDxfId="7351"/>
    <tableColumn id="12944" xr3:uid="{668E8A43-9985-46A4-ABCD-ACB6D27B9639}" name="Column12930" dataDxfId="7350" totalsRowDxfId="7349"/>
    <tableColumn id="12945" xr3:uid="{3A3D06F2-EACF-43BC-A670-0CE0BBC495F8}" name="Column12931" dataDxfId="7348" totalsRowDxfId="7347"/>
    <tableColumn id="12946" xr3:uid="{1BF052D8-0403-4831-9D35-D02C7BAE4CDD}" name="Column12932" dataDxfId="7346" totalsRowDxfId="7345"/>
    <tableColumn id="12947" xr3:uid="{644F7FDD-A991-469D-8EF6-B27F3CAB247A}" name="Column12933" dataDxfId="7344" totalsRowDxfId="7343"/>
    <tableColumn id="12948" xr3:uid="{9EC208EA-6F55-4A1B-9AEA-D2AEE398CECE}" name="Column12934" dataDxfId="7342" totalsRowDxfId="7341"/>
    <tableColumn id="12949" xr3:uid="{3A868480-B972-4956-9291-DCA566D76DC5}" name="Column12935" dataDxfId="7340" totalsRowDxfId="7339"/>
    <tableColumn id="12950" xr3:uid="{9B742B86-503F-43AB-ACBD-49D23D01DA83}" name="Column12936" dataDxfId="7338" totalsRowDxfId="7337"/>
    <tableColumn id="12951" xr3:uid="{3B7F579A-5097-475F-B7CC-D3ED0CBBFB5B}" name="Column12937" dataDxfId="7336" totalsRowDxfId="7335"/>
    <tableColumn id="12952" xr3:uid="{B4573119-3056-4639-B604-BF0EC3A29F98}" name="Column12938" dataDxfId="7334" totalsRowDxfId="7333"/>
    <tableColumn id="12953" xr3:uid="{1C81B645-55B7-4F70-821C-49582F2B04F5}" name="Column12939" dataDxfId="7332" totalsRowDxfId="7331"/>
    <tableColumn id="12954" xr3:uid="{95089C50-8D5B-42C4-B1E5-88CF504FA772}" name="Column12940" dataDxfId="7330" totalsRowDxfId="7329"/>
    <tableColumn id="12955" xr3:uid="{B2E020F9-E9B3-407A-BD38-CCDAA67135EE}" name="Column12941" dataDxfId="7328" totalsRowDxfId="7327"/>
    <tableColumn id="12956" xr3:uid="{7E812A65-DB59-4187-B6BA-0E3AECD0E480}" name="Column12942" dataDxfId="7326" totalsRowDxfId="7325"/>
    <tableColumn id="12957" xr3:uid="{862046BF-7678-4BE7-9630-9B12753CAB4B}" name="Column12943" dataDxfId="7324" totalsRowDxfId="7323"/>
    <tableColumn id="12958" xr3:uid="{4A9754B9-AFFC-444D-BD3F-DDC0526DEB92}" name="Column12944" dataDxfId="7322" totalsRowDxfId="7321"/>
    <tableColumn id="12959" xr3:uid="{0681E826-B571-4D1E-A8AA-AEAB4B2D079D}" name="Column12945" dataDxfId="7320" totalsRowDxfId="7319"/>
    <tableColumn id="12960" xr3:uid="{6CD9A1B2-D265-4ACD-841C-B4431F610832}" name="Column12946" dataDxfId="7318" totalsRowDxfId="7317"/>
    <tableColumn id="12961" xr3:uid="{1B1A35B3-7332-4D22-8F7F-EC3498F59067}" name="Column12947" dataDxfId="7316" totalsRowDxfId="7315"/>
    <tableColumn id="12962" xr3:uid="{7FC4999F-6086-41EE-89E1-B128C335B710}" name="Column12948" dataDxfId="7314" totalsRowDxfId="7313"/>
    <tableColumn id="12963" xr3:uid="{1AB18D7E-DAD8-43E2-9F86-BDB69C2E644F}" name="Column12949" dataDxfId="7312" totalsRowDxfId="7311"/>
    <tableColumn id="12964" xr3:uid="{358F1BA4-4AFA-4382-9370-8B7800D8E352}" name="Column12950" dataDxfId="7310" totalsRowDxfId="7309"/>
    <tableColumn id="12965" xr3:uid="{7F94FD8B-B4E7-4155-BE40-F067655753BF}" name="Column12951" dataDxfId="7308" totalsRowDxfId="7307"/>
    <tableColumn id="12966" xr3:uid="{1FCB8E8C-BA4A-4EA7-B8E9-AE36FEB1F916}" name="Column12952" dataDxfId="7306" totalsRowDxfId="7305"/>
    <tableColumn id="12967" xr3:uid="{A1269D8C-2269-4E79-8253-682BF8E34DAA}" name="Column12953" dataDxfId="7304" totalsRowDxfId="7303"/>
    <tableColumn id="12968" xr3:uid="{C390E16B-1977-4303-B45A-A82CB601B85D}" name="Column12954" dataDxfId="7302" totalsRowDxfId="7301"/>
    <tableColumn id="12969" xr3:uid="{49BF6E40-DE88-45CE-9DA3-11F4F72B0FE6}" name="Column12955" dataDxfId="7300" totalsRowDxfId="7299"/>
    <tableColumn id="12970" xr3:uid="{513F020E-199B-41BF-9F55-C17151698CE2}" name="Column12956" dataDxfId="7298" totalsRowDxfId="7297"/>
    <tableColumn id="12971" xr3:uid="{FB452DD6-AF83-4E4B-9152-23E1D53E3071}" name="Column12957" dataDxfId="7296" totalsRowDxfId="7295"/>
    <tableColumn id="12972" xr3:uid="{2F58A64D-A66D-4096-817A-C7CFB8C0D90B}" name="Column12958" dataDxfId="7294" totalsRowDxfId="7293"/>
    <tableColumn id="12973" xr3:uid="{0E5B5613-0486-40AB-A77D-8684E6CB7562}" name="Column12959" dataDxfId="7292" totalsRowDxfId="7291"/>
    <tableColumn id="12974" xr3:uid="{E60E662B-AF19-4A17-BF55-BA39F6332EFC}" name="Column12960" dataDxfId="7290" totalsRowDxfId="7289"/>
    <tableColumn id="12975" xr3:uid="{5C1719CB-71CD-47F9-B066-98FF2F601F46}" name="Column12961" dataDxfId="7288" totalsRowDxfId="7287"/>
    <tableColumn id="12976" xr3:uid="{BD57725E-4C54-431C-9676-05F06E38704A}" name="Column12962" dataDxfId="7286" totalsRowDxfId="7285"/>
    <tableColumn id="12977" xr3:uid="{B25C526A-1953-4CF6-BCFA-EA356575FCBF}" name="Column12963" dataDxfId="7284" totalsRowDxfId="7283"/>
    <tableColumn id="12978" xr3:uid="{778081F9-283A-41C5-92C6-6238FFFC25ED}" name="Column12964" dataDxfId="7282" totalsRowDxfId="7281"/>
    <tableColumn id="12979" xr3:uid="{11290BA5-F9A9-4439-AA47-409DCADE5ED8}" name="Column12965" dataDxfId="7280" totalsRowDxfId="7279"/>
    <tableColumn id="12980" xr3:uid="{494D09CD-18CF-4FA4-9327-C11E962F9B82}" name="Column12966" dataDxfId="7278" totalsRowDxfId="7277"/>
    <tableColumn id="12981" xr3:uid="{94CFB75A-267A-4634-9029-E257927A829F}" name="Column12967" dataDxfId="7276" totalsRowDxfId="7275"/>
    <tableColumn id="12982" xr3:uid="{73CF2265-43E3-41F4-93C1-24554320AC98}" name="Column12968" dataDxfId="7274" totalsRowDxfId="7273"/>
    <tableColumn id="12983" xr3:uid="{F47A0DB4-9DEE-4266-A666-BFADE9E9B219}" name="Column12969" dataDxfId="7272" totalsRowDxfId="7271"/>
    <tableColumn id="12984" xr3:uid="{24139702-A915-41DF-8CF4-A398D6439C04}" name="Column12970" dataDxfId="7270" totalsRowDxfId="7269"/>
    <tableColumn id="12985" xr3:uid="{E3D8CCD1-69BC-4158-8EC6-10F26E57F524}" name="Column12971" dataDxfId="7268" totalsRowDxfId="7267"/>
    <tableColumn id="12986" xr3:uid="{2E591677-3B2C-4FC1-BF95-2848D691CA27}" name="Column12972" dataDxfId="7266" totalsRowDxfId="7265"/>
    <tableColumn id="12987" xr3:uid="{D7B43C62-3465-495C-B358-BF9038B84DD7}" name="Column12973" dataDxfId="7264" totalsRowDxfId="7263"/>
    <tableColumn id="12988" xr3:uid="{04953148-5FCA-4BF0-9D58-5ADE03DB5988}" name="Column12974" dataDxfId="7262" totalsRowDxfId="7261"/>
    <tableColumn id="12989" xr3:uid="{63B129EE-791C-49BC-9B8E-BC6EA65A04F7}" name="Column12975" dataDxfId="7260" totalsRowDxfId="7259"/>
    <tableColumn id="12990" xr3:uid="{93FDA4FB-7149-43BC-9E1C-7293DA1A3DA8}" name="Column12976" dataDxfId="7258" totalsRowDxfId="7257"/>
    <tableColumn id="12991" xr3:uid="{4E5E7239-7179-4338-BB67-B647F022D018}" name="Column12977" dataDxfId="7256" totalsRowDxfId="7255"/>
    <tableColumn id="12992" xr3:uid="{603D5CAF-9EEE-41CC-8F76-2CEB933CEC40}" name="Column12978" dataDxfId="7254" totalsRowDxfId="7253"/>
    <tableColumn id="12993" xr3:uid="{59FFA7B2-8E9E-4D0A-A32E-AE9659ED1021}" name="Column12979" dataDxfId="7252" totalsRowDxfId="7251"/>
    <tableColumn id="12994" xr3:uid="{597C89C9-6201-44C3-AFC4-607A5B5C0B0D}" name="Column12980" dataDxfId="7250" totalsRowDxfId="7249"/>
    <tableColumn id="12995" xr3:uid="{9A5D8D93-4748-451E-8A28-C3DD5D253820}" name="Column12981" dataDxfId="7248" totalsRowDxfId="7247"/>
    <tableColumn id="12996" xr3:uid="{B2BB4E27-CD79-44AA-A775-52C40070714C}" name="Column12982" dataDxfId="7246" totalsRowDxfId="7245"/>
    <tableColumn id="12997" xr3:uid="{9EB3F75D-E6D6-49E2-ABEF-2D20BFF23D28}" name="Column12983" dataDxfId="7244" totalsRowDxfId="7243"/>
    <tableColumn id="12998" xr3:uid="{CD0180E3-5FFC-431F-AE98-53035B395411}" name="Column12984" dataDxfId="7242" totalsRowDxfId="7241"/>
    <tableColumn id="12999" xr3:uid="{ACA48804-894C-4CD5-B6D2-A0B7BD12D4AA}" name="Column12985" dataDxfId="7240" totalsRowDxfId="7239"/>
    <tableColumn id="13000" xr3:uid="{C2F6EFE7-04BD-4552-A277-A8A91DB09BAD}" name="Column12986" dataDxfId="7238" totalsRowDxfId="7237"/>
    <tableColumn id="13001" xr3:uid="{229DC501-28FB-44F8-A262-EF1EDD55E05D}" name="Column12987" dataDxfId="7236" totalsRowDxfId="7235"/>
    <tableColumn id="13002" xr3:uid="{7B90493C-1E9F-4C62-B730-A3CEDDB0D8B9}" name="Column12988" dataDxfId="7234" totalsRowDxfId="7233"/>
    <tableColumn id="13003" xr3:uid="{2473F7D7-1832-47E6-8F47-8E2EEA500323}" name="Column12989" dataDxfId="7232" totalsRowDxfId="7231"/>
    <tableColumn id="13004" xr3:uid="{48478064-E845-4A62-A2CE-D20D72F8F46F}" name="Column12990" dataDxfId="7230" totalsRowDxfId="7229"/>
    <tableColumn id="13005" xr3:uid="{1CFA93E9-56B4-4E01-96A9-C537B93B5DD4}" name="Column12991" dataDxfId="7228" totalsRowDxfId="7227"/>
    <tableColumn id="13006" xr3:uid="{2E28326F-52E4-4DA0-AF76-3318CD787687}" name="Column12992" dataDxfId="7226" totalsRowDxfId="7225"/>
    <tableColumn id="13007" xr3:uid="{C408F94F-F367-45C6-A497-D146565974F2}" name="Column12993" dataDxfId="7224" totalsRowDxfId="7223"/>
    <tableColumn id="13008" xr3:uid="{320BA36F-E5DA-4247-93F7-8F954EB45D60}" name="Column12994" dataDxfId="7222" totalsRowDxfId="7221"/>
    <tableColumn id="13009" xr3:uid="{41FF9BAC-117C-4CE9-97B8-A8C995109C9C}" name="Column12995" dataDxfId="7220" totalsRowDxfId="7219"/>
    <tableColumn id="13010" xr3:uid="{C145585C-7383-441D-B7E2-24044E02340E}" name="Column12996" dataDxfId="7218" totalsRowDxfId="7217"/>
    <tableColumn id="13011" xr3:uid="{561EA214-A91B-47C6-A0EF-1A72E7E053FC}" name="Column12997" dataDxfId="7216" totalsRowDxfId="7215"/>
    <tableColumn id="13012" xr3:uid="{8DEFAB35-B447-49D4-BC06-7BED1189CC3F}" name="Column12998" dataDxfId="7214" totalsRowDxfId="7213"/>
    <tableColumn id="13013" xr3:uid="{F0F58C91-736F-43A4-B9C0-96B881BA604E}" name="Column12999" dataDxfId="7212" totalsRowDxfId="7211"/>
    <tableColumn id="13014" xr3:uid="{7DC6D5B6-63CF-4FE9-AFC8-9AFE914C75B3}" name="Column13000" dataDxfId="7210" totalsRowDxfId="7209"/>
    <tableColumn id="13015" xr3:uid="{600FD2A2-8679-4351-A7A8-84311AB178D0}" name="Column13001" dataDxfId="7208" totalsRowDxfId="7207"/>
    <tableColumn id="13016" xr3:uid="{DD6EA92C-990E-4527-8563-F1908242A6F0}" name="Column13002" dataDxfId="7206" totalsRowDxfId="7205"/>
    <tableColumn id="13017" xr3:uid="{AB2489B4-3950-4C11-82BE-19D2AB802C96}" name="Column13003" dataDxfId="7204" totalsRowDxfId="7203"/>
    <tableColumn id="13018" xr3:uid="{B1E6C42D-9AF8-48E1-BD2A-F378562A35B3}" name="Column13004" dataDxfId="7202" totalsRowDxfId="7201"/>
    <tableColumn id="13019" xr3:uid="{3047987C-4397-487D-B840-1A221BB3F472}" name="Column13005" dataDxfId="7200" totalsRowDxfId="7199"/>
    <tableColumn id="13020" xr3:uid="{27D5F23F-0B54-4723-8F5D-73AC62E8B83F}" name="Column13006" dataDxfId="7198" totalsRowDxfId="7197"/>
    <tableColumn id="13021" xr3:uid="{6F550232-858E-4A85-9762-85975CE1CDD9}" name="Column13007" dataDxfId="7196" totalsRowDxfId="7195"/>
    <tableColumn id="13022" xr3:uid="{95A89AC7-3936-4D42-9CD9-4970669A8107}" name="Column13008" dataDxfId="7194" totalsRowDxfId="7193"/>
    <tableColumn id="13023" xr3:uid="{55E77D26-34DA-44A2-BD9C-55F999C143F9}" name="Column13009" dataDxfId="7192" totalsRowDxfId="7191"/>
    <tableColumn id="13024" xr3:uid="{237068FB-C3DF-4B91-82A5-5CF99B42CFAA}" name="Column13010" dataDxfId="7190" totalsRowDxfId="7189"/>
    <tableColumn id="13025" xr3:uid="{0F2B5AD0-11F8-4B31-9B5F-42FCBC7DF961}" name="Column13011" dataDxfId="7188" totalsRowDxfId="7187"/>
    <tableColumn id="13026" xr3:uid="{6E050CC4-7779-457B-AB8A-A3F0BC5ABAC9}" name="Column13012" dataDxfId="7186" totalsRowDxfId="7185"/>
    <tableColumn id="13027" xr3:uid="{0A816B7C-86C7-451B-A969-2F715AD91FA9}" name="Column13013" dataDxfId="7184" totalsRowDxfId="7183"/>
    <tableColumn id="13028" xr3:uid="{A394BEAF-FE6B-4803-84E6-8714402D5436}" name="Column13014" dataDxfId="7182" totalsRowDxfId="7181"/>
    <tableColumn id="13029" xr3:uid="{23262093-2E01-4ECB-A8A1-2BC3297F07EF}" name="Column13015" dataDxfId="7180" totalsRowDxfId="7179"/>
    <tableColumn id="13030" xr3:uid="{883CE3DF-7577-463B-BB20-D3E655829281}" name="Column13016" dataDxfId="7178" totalsRowDxfId="7177"/>
    <tableColumn id="13031" xr3:uid="{7478AB2E-2455-4880-AAE7-CB7E500DC353}" name="Column13017" dataDxfId="7176" totalsRowDxfId="7175"/>
    <tableColumn id="13032" xr3:uid="{3194718E-3240-4CFC-8166-7CD6C9851E3E}" name="Column13018" dataDxfId="7174" totalsRowDxfId="7173"/>
    <tableColumn id="13033" xr3:uid="{D36E599E-33EB-472A-9D12-F41875F7D6F3}" name="Column13019" dataDxfId="7172" totalsRowDxfId="7171"/>
    <tableColumn id="13034" xr3:uid="{C361293B-EF56-48FA-B69F-D62C148F81A0}" name="Column13020" dataDxfId="7170" totalsRowDxfId="7169"/>
    <tableColumn id="13035" xr3:uid="{66826530-70F7-4E1A-8136-66A6B36FDA7C}" name="Column13021" dataDxfId="7168" totalsRowDxfId="7167"/>
    <tableColumn id="13036" xr3:uid="{ED167EA1-9A59-4A39-BA11-ED0C28ED71A4}" name="Column13022" dataDxfId="7166" totalsRowDxfId="7165"/>
    <tableColumn id="13037" xr3:uid="{BCB376C3-86A9-4612-9186-388C7FE996DD}" name="Column13023" dataDxfId="7164" totalsRowDxfId="7163"/>
    <tableColumn id="13038" xr3:uid="{27B60517-D4D3-4E2C-A60B-885B41F9F5CF}" name="Column13024" dataDxfId="7162" totalsRowDxfId="7161"/>
    <tableColumn id="13039" xr3:uid="{8618673D-C4D0-4AF0-8A54-E8BBA58B7A03}" name="Column13025" dataDxfId="7160" totalsRowDxfId="7159"/>
    <tableColumn id="13040" xr3:uid="{B7418B08-4CA1-485F-ADEE-F80EB7F4161A}" name="Column13026" dataDxfId="7158" totalsRowDxfId="7157"/>
    <tableColumn id="13041" xr3:uid="{F7356043-CBCB-4221-8064-B0ECD0A4A3F8}" name="Column13027" dataDxfId="7156" totalsRowDxfId="7155"/>
    <tableColumn id="13042" xr3:uid="{EC89A898-BEE3-458D-BF37-07BB5D1C44D4}" name="Column13028" dataDxfId="7154" totalsRowDxfId="7153"/>
    <tableColumn id="13043" xr3:uid="{6C636E3D-E8C4-4DAD-8CC9-67CDDB5D6AFC}" name="Column13029" dataDxfId="7152" totalsRowDxfId="7151"/>
    <tableColumn id="13044" xr3:uid="{9FC179C0-0EEE-4378-9D8D-02651310ED2B}" name="Column13030" dataDxfId="7150" totalsRowDxfId="7149"/>
    <tableColumn id="13045" xr3:uid="{571C17D9-01C4-4D0F-8731-879B8C7E0C3B}" name="Column13031" dataDxfId="7148" totalsRowDxfId="7147"/>
    <tableColumn id="13046" xr3:uid="{4F7EB114-EC96-4779-94DA-2B3A895E4959}" name="Column13032" dataDxfId="7146" totalsRowDxfId="7145"/>
    <tableColumn id="13047" xr3:uid="{A4C2015F-9600-4955-A894-861342FDAD75}" name="Column13033" dataDxfId="7144" totalsRowDxfId="7143"/>
    <tableColumn id="13048" xr3:uid="{D20495A2-8818-4AD3-9DE5-A69C76FB27AF}" name="Column13034" dataDxfId="7142" totalsRowDxfId="7141"/>
    <tableColumn id="13049" xr3:uid="{219AFD75-F122-40E8-B602-4C9383F61A68}" name="Column13035" dataDxfId="7140" totalsRowDxfId="7139"/>
    <tableColumn id="13050" xr3:uid="{79D48F12-C99A-4E73-B880-0AF12775302E}" name="Column13036" dataDxfId="7138" totalsRowDxfId="7137"/>
    <tableColumn id="13051" xr3:uid="{2F0D93B3-3A72-4976-A173-D0CE0B819CFD}" name="Column13037" dataDxfId="7136" totalsRowDxfId="7135"/>
    <tableColumn id="13052" xr3:uid="{8DAA2BBD-9E13-4903-B623-6CD498E4E003}" name="Column13038" dataDxfId="7134" totalsRowDxfId="7133"/>
    <tableColumn id="13053" xr3:uid="{D425DAE9-DDDE-4A08-9F66-66525873FC43}" name="Column13039" dataDxfId="7132" totalsRowDxfId="7131"/>
    <tableColumn id="13054" xr3:uid="{BFBDA985-C7B5-45B8-928E-F5D5B88EC13B}" name="Column13040" dataDxfId="7130" totalsRowDxfId="7129"/>
    <tableColumn id="13055" xr3:uid="{3B0B675B-ACBC-4391-9B7E-87C19CF83F83}" name="Column13041" dataDxfId="7128" totalsRowDxfId="7127"/>
    <tableColumn id="13056" xr3:uid="{164235A7-8AD7-478E-AE25-4C7E0343A7ED}" name="Column13042" dataDxfId="7126" totalsRowDxfId="7125"/>
    <tableColumn id="13057" xr3:uid="{F681BFE8-EC8F-4810-9974-393B50D92A08}" name="Column13043" dataDxfId="7124" totalsRowDxfId="7123"/>
    <tableColumn id="13058" xr3:uid="{9CD8C4B5-7D14-41A6-B907-0C4DD82D5878}" name="Column13044" dataDxfId="7122" totalsRowDxfId="7121"/>
    <tableColumn id="13059" xr3:uid="{588A1993-EE35-4BCA-9E4F-0CD46E5990CE}" name="Column13045" dataDxfId="7120" totalsRowDxfId="7119"/>
    <tableColumn id="13060" xr3:uid="{BB938C2E-A4F8-44C5-BA4E-A6ECEB395809}" name="Column13046" dataDxfId="7118" totalsRowDxfId="7117"/>
    <tableColumn id="13061" xr3:uid="{C5B6972D-3E57-4152-BFAE-331DE7DCDCF2}" name="Column13047" dataDxfId="7116" totalsRowDxfId="7115"/>
    <tableColumn id="13062" xr3:uid="{A4056348-8A44-45FC-9865-0F656FA72880}" name="Column13048" dataDxfId="7114" totalsRowDxfId="7113"/>
    <tableColumn id="13063" xr3:uid="{914F6397-170B-47C8-A9DD-225F6C402E59}" name="Column13049" dataDxfId="7112" totalsRowDxfId="7111"/>
    <tableColumn id="13064" xr3:uid="{F0FC76F4-8E2E-47B1-ADB7-E0D157BCE999}" name="Column13050" dataDxfId="7110" totalsRowDxfId="7109"/>
    <tableColumn id="13065" xr3:uid="{D83B2932-F008-47F2-A895-22D3C505C710}" name="Column13051" dataDxfId="7108" totalsRowDxfId="7107"/>
    <tableColumn id="13066" xr3:uid="{90100840-BBF7-4177-9F42-F69744C4C55F}" name="Column13052" dataDxfId="7106" totalsRowDxfId="7105"/>
    <tableColumn id="13067" xr3:uid="{128DA650-E0CC-4BDA-8813-C56D02C17AB9}" name="Column13053" dataDxfId="7104" totalsRowDxfId="7103"/>
    <tableColumn id="13068" xr3:uid="{6953D7F0-4A05-4252-86B3-B14C5890189F}" name="Column13054" dataDxfId="7102" totalsRowDxfId="7101"/>
    <tableColumn id="13069" xr3:uid="{FDC18E42-A224-47E5-A4DB-E932C977148B}" name="Column13055" dataDxfId="7100" totalsRowDxfId="7099"/>
    <tableColumn id="13070" xr3:uid="{4D587981-9F4D-4E4D-9CF0-99D832BCA738}" name="Column13056" dataDxfId="7098" totalsRowDxfId="7097"/>
    <tableColumn id="13071" xr3:uid="{0FAC98DA-C2B0-40F2-B409-8FD37061BD34}" name="Column13057" dataDxfId="7096" totalsRowDxfId="7095"/>
    <tableColumn id="13072" xr3:uid="{A98E4F97-73A6-423C-8BD5-A55B1DFD231D}" name="Column13058" dataDxfId="7094" totalsRowDxfId="7093"/>
    <tableColumn id="13073" xr3:uid="{3C832D10-CDF9-40CB-B979-73317AADDD25}" name="Column13059" dataDxfId="7092" totalsRowDxfId="7091"/>
    <tableColumn id="13074" xr3:uid="{C1FB8EC2-50BA-4F57-A20C-87FBD24E8591}" name="Column13060" dataDxfId="7090" totalsRowDxfId="7089"/>
    <tableColumn id="13075" xr3:uid="{560D5058-CC6C-4983-9C7E-48F51BFE59F6}" name="Column13061" dataDxfId="7088" totalsRowDxfId="7087"/>
    <tableColumn id="13076" xr3:uid="{89A3955C-2031-4291-9B6E-80853D1B5DF5}" name="Column13062" dataDxfId="7086" totalsRowDxfId="7085"/>
    <tableColumn id="13077" xr3:uid="{22E0E7DB-F4D1-4AF3-9B7B-EA45F4492223}" name="Column13063" dataDxfId="7084" totalsRowDxfId="7083"/>
    <tableColumn id="13078" xr3:uid="{8541D103-5C67-4D5E-B7AD-E8E97CA1C3E4}" name="Column13064" dataDxfId="7082" totalsRowDxfId="7081"/>
    <tableColumn id="13079" xr3:uid="{02DADBD8-90D9-497B-BDD8-C3D758ABC209}" name="Column13065" dataDxfId="7080" totalsRowDxfId="7079"/>
    <tableColumn id="13080" xr3:uid="{E146256D-1F20-4860-981F-000B5DC1FC4C}" name="Column13066" dataDxfId="7078" totalsRowDxfId="7077"/>
    <tableColumn id="13081" xr3:uid="{4CA26AD7-A050-4FBD-ADB6-9FC7FBAB7537}" name="Column13067" dataDxfId="7076" totalsRowDxfId="7075"/>
    <tableColumn id="13082" xr3:uid="{FD400ADF-4870-46F3-A631-E2C98D9EDED2}" name="Column13068" dataDxfId="7074" totalsRowDxfId="7073"/>
    <tableColumn id="13083" xr3:uid="{96E8F8AA-3025-49DA-925F-AA6A13E5B6AF}" name="Column13069" dataDxfId="7072" totalsRowDxfId="7071"/>
    <tableColumn id="13084" xr3:uid="{0A004D11-9DD1-4DD5-A415-F1225DEA6D58}" name="Column13070" dataDxfId="7070" totalsRowDxfId="7069"/>
    <tableColumn id="13085" xr3:uid="{42657E51-B6A1-4F2E-8034-62F252F85C2C}" name="Column13071" dataDxfId="7068" totalsRowDxfId="7067"/>
    <tableColumn id="13086" xr3:uid="{108C4B35-F9D4-49F9-A696-EE845DEAA223}" name="Column13072" dataDxfId="7066" totalsRowDxfId="7065"/>
    <tableColumn id="13087" xr3:uid="{8F76B570-E3C0-47AC-92C3-822F23BA08B5}" name="Column13073" dataDxfId="7064" totalsRowDxfId="7063"/>
    <tableColumn id="13088" xr3:uid="{1200F772-1EDD-428A-B8D2-0FA17EDA22B0}" name="Column13074" dataDxfId="7062" totalsRowDxfId="7061"/>
    <tableColumn id="13089" xr3:uid="{AEA9528E-E6EE-429B-BFF5-2BBE2F8172BE}" name="Column13075" dataDxfId="7060" totalsRowDxfId="7059"/>
    <tableColumn id="13090" xr3:uid="{D2652B7E-99C4-4194-89C0-03EA315D95C1}" name="Column13076" dataDxfId="7058" totalsRowDxfId="7057"/>
    <tableColumn id="13091" xr3:uid="{6ECDC9DA-8AC1-4044-BBC3-8B0BE0404B0D}" name="Column13077" dataDxfId="7056" totalsRowDxfId="7055"/>
    <tableColumn id="13092" xr3:uid="{B4A91EE2-9FF1-4199-816A-70B9E5088187}" name="Column13078" dataDxfId="7054" totalsRowDxfId="7053"/>
    <tableColumn id="13093" xr3:uid="{EED38ACC-F3A9-4C9A-B4A0-2A958FE18197}" name="Column13079" dataDxfId="7052" totalsRowDxfId="7051"/>
    <tableColumn id="13094" xr3:uid="{3563217E-E6E0-4ED8-8E47-0B216F8CD224}" name="Column13080" dataDxfId="7050" totalsRowDxfId="7049"/>
    <tableColumn id="13095" xr3:uid="{A7BE2162-43A6-483E-BEA4-DFEC1556063D}" name="Column13081" dataDxfId="7048" totalsRowDxfId="7047"/>
    <tableColumn id="13096" xr3:uid="{8BB5732B-2871-4BC0-BDA9-97CAB33ED3C4}" name="Column13082" dataDxfId="7046" totalsRowDxfId="7045"/>
    <tableColumn id="13097" xr3:uid="{E5F3B3E1-8B76-4C1D-9C26-C1D0EE261266}" name="Column13083" dataDxfId="7044" totalsRowDxfId="7043"/>
    <tableColumn id="13098" xr3:uid="{4EF9CD4E-8332-4494-87C0-750D19F4687E}" name="Column13084" dataDxfId="7042" totalsRowDxfId="7041"/>
    <tableColumn id="13099" xr3:uid="{28A53ECB-5195-4841-9A5B-68548C4E7611}" name="Column13085" dataDxfId="7040" totalsRowDxfId="7039"/>
    <tableColumn id="13100" xr3:uid="{D25A53A1-3696-4D14-B778-AD3C0B2B4AC3}" name="Column13086" dataDxfId="7038" totalsRowDxfId="7037"/>
    <tableColumn id="13101" xr3:uid="{C614C31F-C5A6-4A89-84D6-060F67253F12}" name="Column13087" dataDxfId="7036" totalsRowDxfId="7035"/>
    <tableColumn id="13102" xr3:uid="{8ADEC9B2-3435-45BD-8D3B-AF8E9A0BDB45}" name="Column13088" dataDxfId="7034" totalsRowDxfId="7033"/>
    <tableColumn id="13103" xr3:uid="{5CCB7199-243E-4208-8833-7AC1228AD8DD}" name="Column13089" dataDxfId="7032" totalsRowDxfId="7031"/>
    <tableColumn id="13104" xr3:uid="{65968C8A-17EA-4C82-822F-066448274992}" name="Column13090" dataDxfId="7030" totalsRowDxfId="7029"/>
    <tableColumn id="13105" xr3:uid="{E8C7677B-779D-4528-8612-BC3F1CA6FC50}" name="Column13091" dataDxfId="7028" totalsRowDxfId="7027"/>
    <tableColumn id="13106" xr3:uid="{BE72311D-FE59-4B8A-B4CC-A0565506C0E2}" name="Column13092" dataDxfId="7026" totalsRowDxfId="7025"/>
    <tableColumn id="13107" xr3:uid="{76844FF8-770E-45A1-A9D2-AE1DC16CF9EA}" name="Column13093" dataDxfId="7024" totalsRowDxfId="7023"/>
    <tableColumn id="13108" xr3:uid="{2794955C-93B1-4932-8794-2B93A5036645}" name="Column13094" dataDxfId="7022" totalsRowDxfId="7021"/>
    <tableColumn id="13109" xr3:uid="{A0DA41BC-A712-4B10-A28D-1867DE08E17D}" name="Column13095" dataDxfId="7020" totalsRowDxfId="7019"/>
    <tableColumn id="13110" xr3:uid="{20E2C134-61DF-489F-9E99-9A8E1F6362EF}" name="Column13096" dataDxfId="7018" totalsRowDxfId="7017"/>
    <tableColumn id="13111" xr3:uid="{3068B511-B12D-46AE-92F5-675A6BFE86CF}" name="Column13097" dataDxfId="7016" totalsRowDxfId="7015"/>
    <tableColumn id="13112" xr3:uid="{2D8E3E75-8FD5-4A29-903F-15EA4C1360A9}" name="Column13098" dataDxfId="7014" totalsRowDxfId="7013"/>
    <tableColumn id="13113" xr3:uid="{1C62764E-51CB-4FEE-B516-D069E7B11EC0}" name="Column13099" dataDxfId="7012" totalsRowDxfId="7011"/>
    <tableColumn id="13114" xr3:uid="{5BCD606E-3761-4406-980F-31C33179B26C}" name="Column13100" dataDxfId="7010" totalsRowDxfId="7009"/>
    <tableColumn id="13115" xr3:uid="{7ECE4D0F-A9E0-4428-9AEC-9A998D6DEED8}" name="Column13101" dataDxfId="7008" totalsRowDxfId="7007"/>
    <tableColumn id="13116" xr3:uid="{1279916B-01D3-4B02-8644-AC488A818767}" name="Column13102" dataDxfId="7006" totalsRowDxfId="7005"/>
    <tableColumn id="13117" xr3:uid="{A3A73E73-47FF-4D70-A600-898AF122769D}" name="Column13103" dataDxfId="7004" totalsRowDxfId="7003"/>
    <tableColumn id="13118" xr3:uid="{F0331D23-5401-48DA-9A23-BDAED7810ADE}" name="Column13104" dataDxfId="7002" totalsRowDxfId="7001"/>
    <tableColumn id="13119" xr3:uid="{0ABF9859-E41C-4D2B-8A1E-90DC038D6B08}" name="Column13105" dataDxfId="7000" totalsRowDxfId="6999"/>
    <tableColumn id="13120" xr3:uid="{E1115F82-829E-4FF8-89B3-396265ABF189}" name="Column13106" dataDxfId="6998" totalsRowDxfId="6997"/>
    <tableColumn id="13121" xr3:uid="{92629985-AF16-47EC-80A9-528F091734C1}" name="Column13107" dataDxfId="6996" totalsRowDxfId="6995"/>
    <tableColumn id="13122" xr3:uid="{3BDA5961-B199-4D4A-92F0-5A446C688518}" name="Column13108" dataDxfId="6994" totalsRowDxfId="6993"/>
    <tableColumn id="13123" xr3:uid="{6E52BB00-C6EB-4A0B-AD1A-E5D0C5B564AD}" name="Column13109" dataDxfId="6992" totalsRowDxfId="6991"/>
    <tableColumn id="13124" xr3:uid="{007CB21A-C4FE-4DA4-B16F-2AB597F6B5AB}" name="Column13110" dataDxfId="6990" totalsRowDxfId="6989"/>
    <tableColumn id="13125" xr3:uid="{7D808069-1AFD-4D37-A582-D4BC17888FC7}" name="Column13111" dataDxfId="6988" totalsRowDxfId="6987"/>
    <tableColumn id="13126" xr3:uid="{F319E7F6-70B2-4406-B4A0-F6A818965723}" name="Column13112" dataDxfId="6986" totalsRowDxfId="6985"/>
    <tableColumn id="13127" xr3:uid="{D59339B2-6512-43EC-BC84-A007D7F3DC88}" name="Column13113" dataDxfId="6984" totalsRowDxfId="6983"/>
    <tableColumn id="13128" xr3:uid="{D5A09C2C-7E10-4905-BA16-D03F3CB30583}" name="Column13114" dataDxfId="6982" totalsRowDxfId="6981"/>
    <tableColumn id="13129" xr3:uid="{5860F595-9285-411E-8119-2DC349CD66AB}" name="Column13115" dataDxfId="6980" totalsRowDxfId="6979"/>
    <tableColumn id="13130" xr3:uid="{072210DF-AB64-4A7A-8176-E318D61F6928}" name="Column13116" dataDxfId="6978" totalsRowDxfId="6977"/>
    <tableColumn id="13131" xr3:uid="{30C6CA6D-E01B-4057-943B-13C69184D069}" name="Column13117" dataDxfId="6976" totalsRowDxfId="6975"/>
    <tableColumn id="13132" xr3:uid="{B9A6406D-D2BD-4440-AA63-EA8B0F085FCF}" name="Column13118" dataDxfId="6974" totalsRowDxfId="6973"/>
    <tableColumn id="13133" xr3:uid="{A56A02CE-19EA-4C34-B5C3-255F7135146C}" name="Column13119" dataDxfId="6972" totalsRowDxfId="6971"/>
    <tableColumn id="13134" xr3:uid="{E6B6AA73-B3AE-4763-8193-FEDD4FFAA1C4}" name="Column13120" dataDxfId="6970" totalsRowDxfId="6969"/>
    <tableColumn id="13135" xr3:uid="{D4870BB5-CAE9-40EA-96FF-BAAF05E3C8FF}" name="Column13121" dataDxfId="6968" totalsRowDxfId="6967"/>
    <tableColumn id="13136" xr3:uid="{A2A7B75F-6662-4320-BDD8-BD4D0EF78CB2}" name="Column13122" dataDxfId="6966" totalsRowDxfId="6965"/>
    <tableColumn id="13137" xr3:uid="{8AFE9B66-7EF8-42CD-A620-7A32F83D5AEE}" name="Column13123" dataDxfId="6964" totalsRowDxfId="6963"/>
    <tableColumn id="13138" xr3:uid="{25FA3765-69E7-4EFB-958B-FC8FCC257ED7}" name="Column13124" dataDxfId="6962" totalsRowDxfId="6961"/>
    <tableColumn id="13139" xr3:uid="{EDD59D26-4101-4772-B9D2-EB5E3DD1B53B}" name="Column13125" dataDxfId="6960" totalsRowDxfId="6959"/>
    <tableColumn id="13140" xr3:uid="{CC3236A6-CA4C-49B9-B74A-72E5DCC32C25}" name="Column13126" dataDxfId="6958" totalsRowDxfId="6957"/>
    <tableColumn id="13141" xr3:uid="{6D2E90EA-9C8E-4AF7-B1FE-C207B758A7B5}" name="Column13127" dataDxfId="6956" totalsRowDxfId="6955"/>
    <tableColumn id="13142" xr3:uid="{46888912-7CE5-4317-8CA4-8073368D3377}" name="Column13128" dataDxfId="6954" totalsRowDxfId="6953"/>
    <tableColumn id="13143" xr3:uid="{2A04FAE6-B889-4C24-BB08-5B2ADCD252BF}" name="Column13129" dataDxfId="6952" totalsRowDxfId="6951"/>
    <tableColumn id="13144" xr3:uid="{B3812E20-C7BD-447E-9CB1-115B3041E4D1}" name="Column13130" dataDxfId="6950" totalsRowDxfId="6949"/>
    <tableColumn id="13145" xr3:uid="{3D139325-995D-41B5-849C-7E0E1C0D0C7A}" name="Column13131" dataDxfId="6948" totalsRowDxfId="6947"/>
    <tableColumn id="13146" xr3:uid="{04F96CC8-BFDB-4AA5-B778-D8A6C985A813}" name="Column13132" dataDxfId="6946" totalsRowDxfId="6945"/>
    <tableColumn id="13147" xr3:uid="{6BEF823B-2A57-4C0E-8688-844347D277EA}" name="Column13133" dataDxfId="6944" totalsRowDxfId="6943"/>
    <tableColumn id="13148" xr3:uid="{7F03FE57-8140-4AF2-96BB-8680CF05B27C}" name="Column13134" dataDxfId="6942" totalsRowDxfId="6941"/>
    <tableColumn id="13149" xr3:uid="{F79C155D-66A2-47B0-9DF5-E18DD6973F75}" name="Column13135" dataDxfId="6940" totalsRowDxfId="6939"/>
    <tableColumn id="13150" xr3:uid="{EB33CCDA-3CB3-4187-9264-581D53947EF0}" name="Column13136" dataDxfId="6938" totalsRowDxfId="6937"/>
    <tableColumn id="13151" xr3:uid="{46AAD048-E38C-4216-B7E6-79D0DBC588D1}" name="Column13137" dataDxfId="6936" totalsRowDxfId="6935"/>
    <tableColumn id="13152" xr3:uid="{89B88F41-B394-4BE8-84FC-5DFD8592B53B}" name="Column13138" dataDxfId="6934" totalsRowDxfId="6933"/>
    <tableColumn id="13153" xr3:uid="{AB16C5BA-5CD5-4F6C-9A33-B39E30C061C6}" name="Column13139" dataDxfId="6932" totalsRowDxfId="6931"/>
    <tableColumn id="13154" xr3:uid="{D08F6379-8D84-4828-A951-671844789662}" name="Column13140" dataDxfId="6930" totalsRowDxfId="6929"/>
    <tableColumn id="13155" xr3:uid="{5D6AF2B0-2E8B-4EA2-A9FC-4C416349E91E}" name="Column13141" dataDxfId="6928" totalsRowDxfId="6927"/>
    <tableColumn id="13156" xr3:uid="{55F59922-CC68-4C08-A33D-7BD6E16AF693}" name="Column13142" dataDxfId="6926" totalsRowDxfId="6925"/>
    <tableColumn id="13157" xr3:uid="{474C2B97-3401-46CD-8405-1F5D1EA932AD}" name="Column13143" dataDxfId="6924" totalsRowDxfId="6923"/>
    <tableColumn id="13158" xr3:uid="{FB669B85-AC28-4393-992C-9EE44C5A946D}" name="Column13144" dataDxfId="6922" totalsRowDxfId="6921"/>
    <tableColumn id="13159" xr3:uid="{2339C577-DDA8-4540-B698-737B0D22419C}" name="Column13145" dataDxfId="6920" totalsRowDxfId="6919"/>
    <tableColumn id="13160" xr3:uid="{9A78AA42-6DE8-4370-9E6A-14CFF65E93FF}" name="Column13146" dataDxfId="6918" totalsRowDxfId="6917"/>
    <tableColumn id="13161" xr3:uid="{83E0CB69-4A2F-4385-A84A-3898D428B492}" name="Column13147" dataDxfId="6916" totalsRowDxfId="6915"/>
    <tableColumn id="13162" xr3:uid="{EE042009-E407-4E83-8C18-70A541A14701}" name="Column13148" dataDxfId="6914" totalsRowDxfId="6913"/>
    <tableColumn id="13163" xr3:uid="{EA1BE2A4-148B-42B0-8216-71005F922912}" name="Column13149" dataDxfId="6912" totalsRowDxfId="6911"/>
    <tableColumn id="13164" xr3:uid="{154E150D-2512-4D18-AAE2-2D5014365422}" name="Column13150" dataDxfId="6910" totalsRowDxfId="6909"/>
    <tableColumn id="13165" xr3:uid="{40907D1A-648B-458C-8D5A-BBB1BFDD9840}" name="Column13151" dataDxfId="6908" totalsRowDxfId="6907"/>
    <tableColumn id="13166" xr3:uid="{08C966D0-6AB3-4A0E-9335-9816CCEA918B}" name="Column13152" dataDxfId="6906" totalsRowDxfId="6905"/>
    <tableColumn id="13167" xr3:uid="{5EF533EF-68A5-4FAC-BE61-CB84200E9D8D}" name="Column13153" dataDxfId="6904" totalsRowDxfId="6903"/>
    <tableColumn id="13168" xr3:uid="{629C5C1A-7402-45D0-8D71-FCAE252855C2}" name="Column13154" dataDxfId="6902" totalsRowDxfId="6901"/>
    <tableColumn id="13169" xr3:uid="{6772A40B-5539-4E21-A8AC-A5BE9F403577}" name="Column13155" dataDxfId="6900" totalsRowDxfId="6899"/>
    <tableColumn id="13170" xr3:uid="{66B1F421-1513-427A-BBCA-CA6E0F74460F}" name="Column13156" dataDxfId="6898" totalsRowDxfId="6897"/>
    <tableColumn id="13171" xr3:uid="{58CFB6FB-EC02-442B-B7F9-D1BFEBD91D03}" name="Column13157" dataDxfId="6896" totalsRowDxfId="6895"/>
    <tableColumn id="13172" xr3:uid="{D70B100A-91B5-4BA8-94D7-EA3D14F31335}" name="Column13158" dataDxfId="6894" totalsRowDxfId="6893"/>
    <tableColumn id="13173" xr3:uid="{121C6F49-56C4-4C4E-9274-16AE91E80FCD}" name="Column13159" dataDxfId="6892" totalsRowDxfId="6891"/>
    <tableColumn id="13174" xr3:uid="{686A39EF-6056-4E8D-9228-02F5BD34C057}" name="Column13160" dataDxfId="6890" totalsRowDxfId="6889"/>
    <tableColumn id="13175" xr3:uid="{952F8F87-23C1-4989-AD5A-B50242D466B8}" name="Column13161" dataDxfId="6888" totalsRowDxfId="6887"/>
    <tableColumn id="13176" xr3:uid="{6607C744-DDFA-4047-8546-CBBBAD3ACAD8}" name="Column13162" dataDxfId="6886" totalsRowDxfId="6885"/>
    <tableColumn id="13177" xr3:uid="{E027672E-304D-4FEA-82FD-71758E526D0C}" name="Column13163" dataDxfId="6884" totalsRowDxfId="6883"/>
    <tableColumn id="13178" xr3:uid="{C76C66F7-C55F-4E83-8369-C59DE0E23ADC}" name="Column13164" dataDxfId="6882" totalsRowDxfId="6881"/>
    <tableColumn id="13179" xr3:uid="{27691281-CC8D-46A5-A531-E94524A388C6}" name="Column13165" dataDxfId="6880" totalsRowDxfId="6879"/>
    <tableColumn id="13180" xr3:uid="{C8CCF547-810A-4EC3-9968-F5021F33BC5D}" name="Column13166" dataDxfId="6878" totalsRowDxfId="6877"/>
    <tableColumn id="13181" xr3:uid="{0E9A55E8-0A0E-41FD-A0C6-31D8AB7896B5}" name="Column13167" dataDxfId="6876" totalsRowDxfId="6875"/>
    <tableColumn id="13182" xr3:uid="{5801231F-0D17-4EA1-A604-636DD8118C2D}" name="Column13168" dataDxfId="6874" totalsRowDxfId="6873"/>
    <tableColumn id="13183" xr3:uid="{2F03C11D-6785-438A-87DD-D7A3081B397F}" name="Column13169" dataDxfId="6872" totalsRowDxfId="6871"/>
    <tableColumn id="13184" xr3:uid="{946CEC96-AFE8-4C58-9FBA-9CA7CEF576E5}" name="Column13170" dataDxfId="6870" totalsRowDxfId="6869"/>
    <tableColumn id="13185" xr3:uid="{A53499E8-BE7C-4C14-AFE0-A361BF36A4C6}" name="Column13171" dataDxfId="6868" totalsRowDxfId="6867"/>
    <tableColumn id="13186" xr3:uid="{26C13F0D-6891-4414-9F9E-F8A9311399F3}" name="Column13172" dataDxfId="6866" totalsRowDxfId="6865"/>
    <tableColumn id="13187" xr3:uid="{4452FE4E-7BED-4A8E-90F6-A06AD8A98923}" name="Column13173" dataDxfId="6864" totalsRowDxfId="6863"/>
    <tableColumn id="13188" xr3:uid="{A9D36849-0203-4253-8316-8DB51A16BFEF}" name="Column13174" dataDxfId="6862" totalsRowDxfId="6861"/>
    <tableColumn id="13189" xr3:uid="{F030644C-AC2F-4D73-8E43-C0C17AE353AE}" name="Column13175" dataDxfId="6860" totalsRowDxfId="6859"/>
    <tableColumn id="13190" xr3:uid="{C5FD0264-412A-4990-A249-C781B800C506}" name="Column13176" dataDxfId="6858" totalsRowDxfId="6857"/>
    <tableColumn id="13191" xr3:uid="{2C6AFD5D-B342-476A-BA51-8C2D85D8CC3D}" name="Column13177" dataDxfId="6856" totalsRowDxfId="6855"/>
    <tableColumn id="13192" xr3:uid="{3C5E1FAF-5C4A-4C77-8FF6-D0057B64D848}" name="Column13178" dataDxfId="6854" totalsRowDxfId="6853"/>
    <tableColumn id="13193" xr3:uid="{F8FEDA64-AF7E-4A2E-A434-37F15EE96728}" name="Column13179" dataDxfId="6852" totalsRowDxfId="6851"/>
    <tableColumn id="13194" xr3:uid="{B8B7B285-6E06-48E9-A124-1E2738CD1DDB}" name="Column13180" dataDxfId="6850" totalsRowDxfId="6849"/>
    <tableColumn id="13195" xr3:uid="{9D423F98-60E9-4617-BFC5-7943C41D3CFF}" name="Column13181" dataDxfId="6848" totalsRowDxfId="6847"/>
    <tableColumn id="13196" xr3:uid="{7573CA50-4701-4E63-9F28-1EDD9259AAD6}" name="Column13182" dataDxfId="6846" totalsRowDxfId="6845"/>
    <tableColumn id="13197" xr3:uid="{FF48933D-AC6D-4442-80BD-3888258A9565}" name="Column13183" dataDxfId="6844" totalsRowDxfId="6843"/>
    <tableColumn id="13198" xr3:uid="{43C30416-B200-47C6-8C36-27142534DB3B}" name="Column13184" dataDxfId="6842" totalsRowDxfId="6841"/>
    <tableColumn id="13199" xr3:uid="{30F07E7A-A5E1-4E06-B139-CD65687DC22D}" name="Column13185" dataDxfId="6840" totalsRowDxfId="6839"/>
    <tableColumn id="13200" xr3:uid="{B56F10F8-5823-4C8F-AE0B-7C381A042D6D}" name="Column13186" dataDxfId="6838" totalsRowDxfId="6837"/>
    <tableColumn id="13201" xr3:uid="{C97EF86C-650D-49DE-B75D-E78442E3EE28}" name="Column13187" dataDxfId="6836" totalsRowDxfId="6835"/>
    <tableColumn id="13202" xr3:uid="{01BDF5FA-4997-46F3-87D9-56122DAEA48D}" name="Column13188" dataDxfId="6834" totalsRowDxfId="6833"/>
    <tableColumn id="13203" xr3:uid="{5185BE1D-8B1F-4A87-9D2A-B826B018232A}" name="Column13189" dataDxfId="6832" totalsRowDxfId="6831"/>
    <tableColumn id="13204" xr3:uid="{5C81F05A-DFE2-43DF-BD4E-D2EEE471AC9D}" name="Column13190" dataDxfId="6830" totalsRowDxfId="6829"/>
    <tableColumn id="13205" xr3:uid="{BFE39F17-0004-44D7-A249-58678084D6C4}" name="Column13191" dataDxfId="6828" totalsRowDxfId="6827"/>
    <tableColumn id="13206" xr3:uid="{AE292D4F-5C83-47EC-9D6B-1C1C3C6677AC}" name="Column13192" dataDxfId="6826" totalsRowDxfId="6825"/>
    <tableColumn id="13207" xr3:uid="{A3F8487E-3C6E-49A0-9E3C-AF3715576EB0}" name="Column13193" dataDxfId="6824" totalsRowDxfId="6823"/>
    <tableColumn id="13208" xr3:uid="{4E0F6128-4840-4B4E-B592-134814C53D03}" name="Column13194" dataDxfId="6822" totalsRowDxfId="6821"/>
    <tableColumn id="13209" xr3:uid="{C35FA6AA-C693-4126-8C2D-2728BF0606AC}" name="Column13195" dataDxfId="6820" totalsRowDxfId="6819"/>
    <tableColumn id="13210" xr3:uid="{47398D3F-772E-425E-9F41-7F5E42DD62E3}" name="Column13196" dataDxfId="6818" totalsRowDxfId="6817"/>
    <tableColumn id="13211" xr3:uid="{5F48B570-45C1-400B-B31D-705E56A67050}" name="Column13197" dataDxfId="6816" totalsRowDxfId="6815"/>
    <tableColumn id="13212" xr3:uid="{703A3E87-C780-4AC0-9E13-4EF62D8687BA}" name="Column13198" dataDxfId="6814" totalsRowDxfId="6813"/>
    <tableColumn id="13213" xr3:uid="{F0B80DFA-AA59-496C-AC94-B0E0096338AC}" name="Column13199" dataDxfId="6812" totalsRowDxfId="6811"/>
    <tableColumn id="13214" xr3:uid="{2427CF3B-D5D0-4712-B2DD-9BF053B04FF2}" name="Column13200" dataDxfId="6810" totalsRowDxfId="6809"/>
    <tableColumn id="13215" xr3:uid="{F8565AED-A623-4A99-955E-2B414C3DFFE8}" name="Column13201" dataDxfId="6808" totalsRowDxfId="6807"/>
    <tableColumn id="13216" xr3:uid="{9913B93F-8FD8-4036-8C4A-B8A5A874B7D7}" name="Column13202" dataDxfId="6806" totalsRowDxfId="6805"/>
    <tableColumn id="13217" xr3:uid="{8C5CE88A-563E-4589-A359-97BD8944EA5C}" name="Column13203" dataDxfId="6804" totalsRowDxfId="6803"/>
    <tableColumn id="13218" xr3:uid="{AF32DACC-D83E-4B57-8D9E-D1430FB6437E}" name="Column13204" dataDxfId="6802" totalsRowDxfId="6801"/>
    <tableColumn id="13219" xr3:uid="{C1A04C27-8651-422E-8772-99E70A0646EE}" name="Column13205" dataDxfId="6800" totalsRowDxfId="6799"/>
    <tableColumn id="13220" xr3:uid="{60639CD8-76E3-44B6-A1C9-D9988D8378CD}" name="Column13206" dataDxfId="6798" totalsRowDxfId="6797"/>
    <tableColumn id="13221" xr3:uid="{57ACE168-6890-4D5E-B829-1C78A0B2F1CE}" name="Column13207" dataDxfId="6796" totalsRowDxfId="6795"/>
    <tableColumn id="13222" xr3:uid="{FF61E11A-690A-4F9B-ABC2-4BA0E65FB85B}" name="Column13208" dataDxfId="6794" totalsRowDxfId="6793"/>
    <tableColumn id="13223" xr3:uid="{752D9703-C3E5-49AA-A97D-C7FFDB85FB4F}" name="Column13209" dataDxfId="6792" totalsRowDxfId="6791"/>
    <tableColumn id="13224" xr3:uid="{0E9982BC-D553-4864-B044-61B2A2DD20B1}" name="Column13210" dataDxfId="6790" totalsRowDxfId="6789"/>
    <tableColumn id="13225" xr3:uid="{B6EFF868-D344-4197-89A7-80ABC0A6C151}" name="Column13211" dataDxfId="6788" totalsRowDxfId="6787"/>
    <tableColumn id="13226" xr3:uid="{A57F4D54-F273-4BDE-A163-510665A19D88}" name="Column13212" dataDxfId="6786" totalsRowDxfId="6785"/>
    <tableColumn id="13227" xr3:uid="{91F6D7C5-E4A9-47EE-BD82-BA311DA6D0CD}" name="Column13213" dataDxfId="6784" totalsRowDxfId="6783"/>
    <tableColumn id="13228" xr3:uid="{3E3CCDC9-AA84-4AC9-BF41-31F1BCC2F2AC}" name="Column13214" dataDxfId="6782" totalsRowDxfId="6781"/>
    <tableColumn id="13229" xr3:uid="{9C1F43A3-9E33-44E5-B9B0-66FCB8A34111}" name="Column13215" dataDxfId="6780" totalsRowDxfId="6779"/>
    <tableColumn id="13230" xr3:uid="{0B1D90EB-A0BD-460D-B7CB-B55086BDD66E}" name="Column13216" dataDxfId="6778" totalsRowDxfId="6777"/>
    <tableColumn id="13231" xr3:uid="{BE4210B3-2C62-4DE7-B47A-EB8A0A54250D}" name="Column13217" dataDxfId="6776" totalsRowDxfId="6775"/>
    <tableColumn id="13232" xr3:uid="{34289B12-9D77-480A-9538-F431B9D5F1D0}" name="Column13218" dataDxfId="6774" totalsRowDxfId="6773"/>
    <tableColumn id="13233" xr3:uid="{4A1C666F-FFDE-4D38-8F85-6CAFA3A6EEAB}" name="Column13219" dataDxfId="6772" totalsRowDxfId="6771"/>
    <tableColumn id="13234" xr3:uid="{8E6999A6-6E80-4571-86B8-7F27F6784EF2}" name="Column13220" dataDxfId="6770" totalsRowDxfId="6769"/>
    <tableColumn id="13235" xr3:uid="{8074AA75-1FAB-4033-B49A-6362F9BFB3B3}" name="Column13221" dataDxfId="6768" totalsRowDxfId="6767"/>
    <tableColumn id="13236" xr3:uid="{F079AF72-02FF-4A2B-A5DB-4CEA45A1BA84}" name="Column13222" dataDxfId="6766" totalsRowDxfId="6765"/>
    <tableColumn id="13237" xr3:uid="{2373C9A6-C6A2-492F-A941-62CAA92410FF}" name="Column13223" dataDxfId="6764" totalsRowDxfId="6763"/>
    <tableColumn id="13238" xr3:uid="{AB81D1A2-B41B-4B84-A297-C27DBC809888}" name="Column13224" dataDxfId="6762" totalsRowDxfId="6761"/>
    <tableColumn id="13239" xr3:uid="{A617C1F5-CAF3-4D19-B013-E4B1CC415068}" name="Column13225" dataDxfId="6760" totalsRowDxfId="6759"/>
    <tableColumn id="13240" xr3:uid="{7174C48D-F020-486B-8768-FB477CE2F08F}" name="Column13226" dataDxfId="6758" totalsRowDxfId="6757"/>
    <tableColumn id="13241" xr3:uid="{CD7F836E-CA1F-4F49-AC86-88D05A9FC06D}" name="Column13227" dataDxfId="6756" totalsRowDxfId="6755"/>
    <tableColumn id="13242" xr3:uid="{ADB40822-1951-4447-AA07-B4AB6A04F115}" name="Column13228" dataDxfId="6754" totalsRowDxfId="6753"/>
    <tableColumn id="13243" xr3:uid="{0D82B1BC-E018-4487-BDB6-EB19B2F09B4C}" name="Column13229" dataDxfId="6752" totalsRowDxfId="6751"/>
    <tableColumn id="13244" xr3:uid="{8F4F5CC9-C7C0-41F6-9E48-32099334CA33}" name="Column13230" dataDxfId="6750" totalsRowDxfId="6749"/>
    <tableColumn id="13245" xr3:uid="{E4768E2A-5611-4659-BA37-BF5D035AEC82}" name="Column13231" dataDxfId="6748" totalsRowDxfId="6747"/>
    <tableColumn id="13246" xr3:uid="{F638B7B3-1CA0-41DB-9AE4-4DB90F6DEC2C}" name="Column13232" dataDxfId="6746" totalsRowDxfId="6745"/>
    <tableColumn id="13247" xr3:uid="{FFFF3320-C5AC-470A-AA01-3B5A8D5C3858}" name="Column13233" dataDxfId="6744" totalsRowDxfId="6743"/>
    <tableColumn id="13248" xr3:uid="{9900F849-5C46-4276-B667-72B0B0A455CA}" name="Column13234" dataDxfId="6742" totalsRowDxfId="6741"/>
    <tableColumn id="13249" xr3:uid="{414EFBC7-2234-4D31-8103-CFD7DD6F7F98}" name="Column13235" dataDxfId="6740" totalsRowDxfId="6739"/>
    <tableColumn id="13250" xr3:uid="{1C3B90D8-1A9B-4047-B100-6D171DABEF44}" name="Column13236" dataDxfId="6738" totalsRowDxfId="6737"/>
    <tableColumn id="13251" xr3:uid="{E8AE7AB1-BBBB-4C9E-8247-9B0DB8397AC8}" name="Column13237" dataDxfId="6736" totalsRowDxfId="6735"/>
    <tableColumn id="13252" xr3:uid="{5A3A2F31-CFC3-464A-A591-32F585E2E14C}" name="Column13238" dataDxfId="6734" totalsRowDxfId="6733"/>
    <tableColumn id="13253" xr3:uid="{91595F93-3FC5-4253-9783-90467619C9B3}" name="Column13239" dataDxfId="6732" totalsRowDxfId="6731"/>
    <tableColumn id="13254" xr3:uid="{824734C7-9A18-4957-AF0D-145A43744982}" name="Column13240" dataDxfId="6730" totalsRowDxfId="6729"/>
    <tableColumn id="13255" xr3:uid="{B56FAF48-A731-42FC-9D9A-710D34E726F7}" name="Column13241" dataDxfId="6728" totalsRowDxfId="6727"/>
    <tableColumn id="13256" xr3:uid="{678A6B40-9D60-4C64-B780-D32580DB288C}" name="Column13242" dataDxfId="6726" totalsRowDxfId="6725"/>
    <tableColumn id="13257" xr3:uid="{B3D153F2-4AD2-44AB-8E31-01609677F6F2}" name="Column13243" dataDxfId="6724" totalsRowDxfId="6723"/>
    <tableColumn id="13258" xr3:uid="{9B9A0315-53CF-41AC-A039-2FF37002FB6A}" name="Column13244" dataDxfId="6722" totalsRowDxfId="6721"/>
    <tableColumn id="13259" xr3:uid="{2CA468BF-9D3B-4F8C-A4E7-B3979C3C644C}" name="Column13245" dataDxfId="6720" totalsRowDxfId="6719"/>
    <tableColumn id="13260" xr3:uid="{6DC5EB5A-CFE7-45B5-A875-3657D1D7A20A}" name="Column13246" dataDxfId="6718" totalsRowDxfId="6717"/>
    <tableColumn id="13261" xr3:uid="{D4987E43-D95F-4E08-AFD4-BA42A1D08029}" name="Column13247" dataDxfId="6716" totalsRowDxfId="6715"/>
    <tableColumn id="13262" xr3:uid="{D81BB196-BF37-4AE2-AD7D-36FC9D10DAFD}" name="Column13248" dataDxfId="6714" totalsRowDxfId="6713"/>
    <tableColumn id="13263" xr3:uid="{0A455048-1C35-489A-9406-582136E46E7E}" name="Column13249" dataDxfId="6712" totalsRowDxfId="6711"/>
    <tableColumn id="13264" xr3:uid="{E40C445B-58EC-4E7C-AED4-4721417BDA48}" name="Column13250" dataDxfId="6710" totalsRowDxfId="6709"/>
    <tableColumn id="13265" xr3:uid="{667E6E41-BCB2-4CA9-97F8-3F905C54CCF5}" name="Column13251" dataDxfId="6708" totalsRowDxfId="6707"/>
    <tableColumn id="13266" xr3:uid="{5BEC4959-0D7D-49D7-A379-28A5C79017A9}" name="Column13252" dataDxfId="6706" totalsRowDxfId="6705"/>
    <tableColumn id="13267" xr3:uid="{E5029226-D83D-4178-B80A-219D53A1992B}" name="Column13253" dataDxfId="6704" totalsRowDxfId="6703"/>
    <tableColumn id="13268" xr3:uid="{09560B9F-55A5-454B-8B2C-87750076B505}" name="Column13254" dataDxfId="6702" totalsRowDxfId="6701"/>
    <tableColumn id="13269" xr3:uid="{9C117405-385F-4FFE-B9F2-5B213CB2BC2B}" name="Column13255" dataDxfId="6700" totalsRowDxfId="6699"/>
    <tableColumn id="13270" xr3:uid="{43802E2A-EECF-4D6A-90E5-4DCC43AE81B0}" name="Column13256" dataDxfId="6698" totalsRowDxfId="6697"/>
    <tableColumn id="13271" xr3:uid="{3F3080FE-CFED-49C6-8CD8-9364FE46DDA4}" name="Column13257" dataDxfId="6696" totalsRowDxfId="6695"/>
    <tableColumn id="13272" xr3:uid="{A5C3D069-4B96-44DC-AE71-B6E6D1649B36}" name="Column13258" dataDxfId="6694" totalsRowDxfId="6693"/>
    <tableColumn id="13273" xr3:uid="{55F525A6-5D3E-41B1-97BE-118633754671}" name="Column13259" dataDxfId="6692" totalsRowDxfId="6691"/>
    <tableColumn id="13274" xr3:uid="{9F5547EA-B5F8-4C5C-96BD-9F634005BF5E}" name="Column13260" dataDxfId="6690" totalsRowDxfId="6689"/>
    <tableColumn id="13275" xr3:uid="{0A61E329-10E9-47C8-A094-3E5AD9FDE39F}" name="Column13261" dataDxfId="6688" totalsRowDxfId="6687"/>
    <tableColumn id="13276" xr3:uid="{71A487F0-45C5-4C71-B4B0-6E886DD8CECB}" name="Column13262" dataDxfId="6686" totalsRowDxfId="6685"/>
    <tableColumn id="13277" xr3:uid="{402CA33D-24E3-4611-9871-1A5D9389CD61}" name="Column13263" dataDxfId="6684" totalsRowDxfId="6683"/>
    <tableColumn id="13278" xr3:uid="{20B40A9B-9DF1-4BFB-9F98-D78ADCBBC580}" name="Column13264" dataDxfId="6682" totalsRowDxfId="6681"/>
    <tableColumn id="13279" xr3:uid="{66D618A6-F2A1-466C-978E-4E4439C9AC0B}" name="Column13265" dataDxfId="6680" totalsRowDxfId="6679"/>
    <tableColumn id="13280" xr3:uid="{B692BDCF-ED6D-472F-B063-B88127F58CDF}" name="Column13266" dataDxfId="6678" totalsRowDxfId="6677"/>
    <tableColumn id="13281" xr3:uid="{85E44938-3214-4B47-B33A-35169FAD0E31}" name="Column13267" dataDxfId="6676" totalsRowDxfId="6675"/>
    <tableColumn id="13282" xr3:uid="{EADB2F48-870A-415E-8E0C-B6143BC388BE}" name="Column13268" dataDxfId="6674" totalsRowDxfId="6673"/>
    <tableColumn id="13283" xr3:uid="{8BC46B6A-8CD7-4768-ACA8-78986FACB7F2}" name="Column13269" dataDxfId="6672" totalsRowDxfId="6671"/>
    <tableColumn id="13284" xr3:uid="{590DB5F7-87EE-45F0-8707-5CBE21016ADA}" name="Column13270" dataDxfId="6670" totalsRowDxfId="6669"/>
    <tableColumn id="13285" xr3:uid="{D10FBF24-20AC-4A8E-8DEA-3BCC20B042FD}" name="Column13271" dataDxfId="6668" totalsRowDxfId="6667"/>
    <tableColumn id="13286" xr3:uid="{CB7A2420-F2E7-4F5A-92FB-4FD26FCC2635}" name="Column13272" dataDxfId="6666" totalsRowDxfId="6665"/>
    <tableColumn id="13287" xr3:uid="{20F28A7E-4DF8-4B00-BCDB-2BE652F55BFA}" name="Column13273" dataDxfId="6664" totalsRowDxfId="6663"/>
    <tableColumn id="13288" xr3:uid="{2A18CF5A-3BC9-487C-BF0B-EA9D3A6307D6}" name="Column13274" dataDxfId="6662" totalsRowDxfId="6661"/>
    <tableColumn id="13289" xr3:uid="{F4C75AF5-A0EB-4614-9E42-0C5D48821225}" name="Column13275" dataDxfId="6660" totalsRowDxfId="6659"/>
    <tableColumn id="13290" xr3:uid="{3BD5E818-0E68-4D19-8C64-90063B5CA55C}" name="Column13276" dataDxfId="6658" totalsRowDxfId="6657"/>
    <tableColumn id="13291" xr3:uid="{7BFE95A0-827C-45F6-BFA3-1667C810DD40}" name="Column13277" dataDxfId="6656" totalsRowDxfId="6655"/>
    <tableColumn id="13292" xr3:uid="{469FFA89-B8FB-45B4-9C39-97934DFF8BAE}" name="Column13278" dataDxfId="6654" totalsRowDxfId="6653"/>
    <tableColumn id="13293" xr3:uid="{3B3EA569-6BD0-4EC4-A00B-C1F5B0069ADF}" name="Column13279" dataDxfId="6652" totalsRowDxfId="6651"/>
    <tableColumn id="13294" xr3:uid="{2B7F00DB-50FA-4F70-B2E5-C10DC3CDC238}" name="Column13280" dataDxfId="6650" totalsRowDxfId="6649"/>
    <tableColumn id="13295" xr3:uid="{C243FEE0-BF0A-46FB-9B30-367266B99498}" name="Column13281" dataDxfId="6648" totalsRowDxfId="6647"/>
    <tableColumn id="13296" xr3:uid="{4E6CE56A-66C7-4AB8-82E9-4D6DC798CC98}" name="Column13282" dataDxfId="6646" totalsRowDxfId="6645"/>
    <tableColumn id="13297" xr3:uid="{5CA6D4EA-CEAD-4971-9CF7-FE3EE62BA9DC}" name="Column13283" dataDxfId="6644" totalsRowDxfId="6643"/>
    <tableColumn id="13298" xr3:uid="{E77563AE-996D-4431-9EF5-FA4775558D17}" name="Column13284" dataDxfId="6642" totalsRowDxfId="6641"/>
    <tableColumn id="13299" xr3:uid="{07AD0C99-8974-47C8-8C07-DB307E00BCC7}" name="Column13285" dataDxfId="6640" totalsRowDxfId="6639"/>
    <tableColumn id="13300" xr3:uid="{A28679D5-1995-41D4-927A-688875EB7FC1}" name="Column13286" dataDxfId="6638" totalsRowDxfId="6637"/>
    <tableColumn id="13301" xr3:uid="{F3D2ED96-4207-48CF-BE50-51B4952EA8EF}" name="Column13287" dataDxfId="6636" totalsRowDxfId="6635"/>
    <tableColumn id="13302" xr3:uid="{00020563-9F5D-46E8-AC2F-E8178F2B5BCB}" name="Column13288" dataDxfId="6634" totalsRowDxfId="6633"/>
    <tableColumn id="13303" xr3:uid="{1F78EB73-DA7F-47B5-84DB-FD463129FF38}" name="Column13289" dataDxfId="6632" totalsRowDxfId="6631"/>
    <tableColumn id="13304" xr3:uid="{7C2B37ED-0022-4E22-ACE2-772ED24D9359}" name="Column13290" dataDxfId="6630" totalsRowDxfId="6629"/>
    <tableColumn id="13305" xr3:uid="{9A756B73-11D3-451F-8EB0-72558EC2A299}" name="Column13291" dataDxfId="6628" totalsRowDxfId="6627"/>
    <tableColumn id="13306" xr3:uid="{A9AF6B02-AD89-4A07-90ED-67B51EF453CF}" name="Column13292" dataDxfId="6626" totalsRowDxfId="6625"/>
    <tableColumn id="13307" xr3:uid="{F154D5FB-4163-4452-8AF7-15B5CCC6D46D}" name="Column13293" dataDxfId="6624" totalsRowDxfId="6623"/>
    <tableColumn id="13308" xr3:uid="{F5CC3D1B-6019-4906-ADF4-380B55895A18}" name="Column13294" dataDxfId="6622" totalsRowDxfId="6621"/>
    <tableColumn id="13309" xr3:uid="{8E645CAD-7B20-44CB-974A-6888967E984B}" name="Column13295" dataDxfId="6620" totalsRowDxfId="6619"/>
    <tableColumn id="13310" xr3:uid="{D858A20A-8A1F-4887-81EC-92E0C8266F35}" name="Column13296" dataDxfId="6618" totalsRowDxfId="6617"/>
    <tableColumn id="13311" xr3:uid="{16DEFE58-CA02-4186-97A8-B5A3B06DAD00}" name="Column13297" dataDxfId="6616" totalsRowDxfId="6615"/>
    <tableColumn id="13312" xr3:uid="{8B7344B9-D215-44BB-849C-F89DBDC6DA72}" name="Column13298" dataDxfId="6614" totalsRowDxfId="6613"/>
    <tableColumn id="13313" xr3:uid="{3457C80B-A08F-4253-B664-EBB6336D518B}" name="Column13299" dataDxfId="6612" totalsRowDxfId="6611"/>
    <tableColumn id="13314" xr3:uid="{5D270B58-679F-46DD-BE81-7BF51B9FF0B5}" name="Column13300" dataDxfId="6610" totalsRowDxfId="6609"/>
    <tableColumn id="13315" xr3:uid="{1DEB3D14-7D5B-4F81-B35A-3C176BF9E38F}" name="Column13301" dataDxfId="6608" totalsRowDxfId="6607"/>
    <tableColumn id="13316" xr3:uid="{7B45D2F3-31E8-4816-98E7-6CD1A7CC2CD8}" name="Column13302" dataDxfId="6606" totalsRowDxfId="6605"/>
    <tableColumn id="13317" xr3:uid="{DCE47CAA-B938-4487-8D6D-1FA719B63495}" name="Column13303" dataDxfId="6604" totalsRowDxfId="6603"/>
    <tableColumn id="13318" xr3:uid="{5FDAEA1E-3055-4F2B-BB20-14F69474EB7A}" name="Column13304" dataDxfId="6602" totalsRowDxfId="6601"/>
    <tableColumn id="13319" xr3:uid="{3595FF60-55AA-4E97-98C8-A2818E8C3D23}" name="Column13305" dataDxfId="6600" totalsRowDxfId="6599"/>
    <tableColumn id="13320" xr3:uid="{FD77B2F9-9CD7-4A4F-9BF0-86DD2578AF18}" name="Column13306" dataDxfId="6598" totalsRowDxfId="6597"/>
    <tableColumn id="13321" xr3:uid="{9F7FBEE5-DA70-4FB6-BB08-321E58C1F789}" name="Column13307" dataDxfId="6596" totalsRowDxfId="6595"/>
    <tableColumn id="13322" xr3:uid="{257FB8B7-835F-4BEB-B41E-E380660A77EF}" name="Column13308" dataDxfId="6594" totalsRowDxfId="6593"/>
    <tableColumn id="13323" xr3:uid="{3C1348A0-B4A2-4E70-ABBA-21429A4F38F9}" name="Column13309" dataDxfId="6592" totalsRowDxfId="6591"/>
    <tableColumn id="13324" xr3:uid="{369C67FB-B1CB-4215-8612-C638370BF391}" name="Column13310" dataDxfId="6590" totalsRowDxfId="6589"/>
    <tableColumn id="13325" xr3:uid="{4A745827-3B9F-4C68-9D4D-87474EE89208}" name="Column13311" dataDxfId="6588" totalsRowDxfId="6587"/>
    <tableColumn id="13326" xr3:uid="{815A886B-6828-416B-A67B-B76D77271336}" name="Column13312" dataDxfId="6586" totalsRowDxfId="6585"/>
    <tableColumn id="13327" xr3:uid="{BB0E81E1-A4FA-42A2-8DD9-F2F612ACE94C}" name="Column13313" dataDxfId="6584" totalsRowDxfId="6583"/>
    <tableColumn id="13328" xr3:uid="{AC32ACCC-AE23-493B-A3C4-54E95C64F9E0}" name="Column13314" dataDxfId="6582" totalsRowDxfId="6581"/>
    <tableColumn id="13329" xr3:uid="{7B3723FF-19BB-481B-A413-94DA0DAC95F3}" name="Column13315" dataDxfId="6580" totalsRowDxfId="6579"/>
    <tableColumn id="13330" xr3:uid="{91032EA0-EFEE-420A-A03C-9C7768BE0E53}" name="Column13316" dataDxfId="6578" totalsRowDxfId="6577"/>
    <tableColumn id="13331" xr3:uid="{AFC06E0B-BE6A-4D3A-AD9B-C8B8BADEFD55}" name="Column13317" dataDxfId="6576" totalsRowDxfId="6575"/>
    <tableColumn id="13332" xr3:uid="{DF44C560-BC6C-4CC3-AFF9-8372F7531C72}" name="Column13318" dataDxfId="6574" totalsRowDxfId="6573"/>
    <tableColumn id="13333" xr3:uid="{EDB1B3CC-828A-4867-8F55-44D769CB8370}" name="Column13319" dataDxfId="6572" totalsRowDxfId="6571"/>
    <tableColumn id="13334" xr3:uid="{F46E3E43-0625-45DE-8EF2-1D872E803F84}" name="Column13320" dataDxfId="6570" totalsRowDxfId="6569"/>
    <tableColumn id="13335" xr3:uid="{58A7A8F6-76B5-48A8-9CAD-5C16E182FE62}" name="Column13321" dataDxfId="6568" totalsRowDxfId="6567"/>
    <tableColumn id="13336" xr3:uid="{420CC9DA-AD67-4954-BD37-17A0BB096AA4}" name="Column13322" dataDxfId="6566" totalsRowDxfId="6565"/>
    <tableColumn id="13337" xr3:uid="{4F349D17-6D7F-4ECF-900D-98F76F445012}" name="Column13323" dataDxfId="6564" totalsRowDxfId="6563"/>
    <tableColumn id="13338" xr3:uid="{66211E34-8D7E-4A10-96AD-479DCD72DC01}" name="Column13324" dataDxfId="6562" totalsRowDxfId="6561"/>
    <tableColumn id="13339" xr3:uid="{8086D4C7-D45C-4B66-B7F7-D72066834E1A}" name="Column13325" dataDxfId="6560" totalsRowDxfId="6559"/>
    <tableColumn id="13340" xr3:uid="{1F456871-34EF-487D-AC4A-88B78F0E474E}" name="Column13326" dataDxfId="6558" totalsRowDxfId="6557"/>
    <tableColumn id="13341" xr3:uid="{F24D1EDA-DDC0-413A-890F-587827940F64}" name="Column13327" dataDxfId="6556" totalsRowDxfId="6555"/>
    <tableColumn id="13342" xr3:uid="{41275FAC-3E44-410F-9481-CDC362B45B0D}" name="Column13328" dataDxfId="6554" totalsRowDxfId="6553"/>
    <tableColumn id="13343" xr3:uid="{E1014710-989F-4C9F-8984-D1687E5F68C8}" name="Column13329" dataDxfId="6552" totalsRowDxfId="6551"/>
    <tableColumn id="13344" xr3:uid="{3A8FC983-EA65-44CD-A41A-52BADDEC0365}" name="Column13330" dataDxfId="6550" totalsRowDxfId="6549"/>
    <tableColumn id="13345" xr3:uid="{56F05E97-152B-4BDF-9587-30624700477A}" name="Column13331" dataDxfId="6548" totalsRowDxfId="6547"/>
    <tableColumn id="13346" xr3:uid="{6A290920-D964-4F9F-89F5-85CDE90DBB03}" name="Column13332" dataDxfId="6546" totalsRowDxfId="6545"/>
    <tableColumn id="13347" xr3:uid="{3BF56B5D-291B-440B-975B-D0424033DD1C}" name="Column13333" dataDxfId="6544" totalsRowDxfId="6543"/>
    <tableColumn id="13348" xr3:uid="{9F4D0DFA-8AE3-467D-AE7C-67B91E48AD72}" name="Column13334" dataDxfId="6542" totalsRowDxfId="6541"/>
    <tableColumn id="13349" xr3:uid="{D190E623-F790-4B73-8138-4CF7F75FDC51}" name="Column13335" dataDxfId="6540" totalsRowDxfId="6539"/>
    <tableColumn id="13350" xr3:uid="{24A86735-8C6B-4446-9F1E-AC756BA9DBA4}" name="Column13336" dataDxfId="6538" totalsRowDxfId="6537"/>
    <tableColumn id="13351" xr3:uid="{AFCFF5A9-1F86-4E8E-BDEA-3A04B9A975DA}" name="Column13337" dataDxfId="6536" totalsRowDxfId="6535"/>
    <tableColumn id="13352" xr3:uid="{C1616C47-9DD2-4219-82C9-045B607E3802}" name="Column13338" dataDxfId="6534" totalsRowDxfId="6533"/>
    <tableColumn id="13353" xr3:uid="{00DDC9DD-F6D2-4F26-AB87-6827AFFC39FE}" name="Column13339" dataDxfId="6532" totalsRowDxfId="6531"/>
    <tableColumn id="13354" xr3:uid="{7919A6EF-B972-46FA-BB8D-F6DFFCFCF1BB}" name="Column13340" dataDxfId="6530" totalsRowDxfId="6529"/>
    <tableColumn id="13355" xr3:uid="{3FCA03E2-C1F3-4BB6-B263-6F65D1D7ED5A}" name="Column13341" dataDxfId="6528" totalsRowDxfId="6527"/>
    <tableColumn id="13356" xr3:uid="{EF6F0375-BD89-48E4-898E-F286D4763C8A}" name="Column13342" dataDxfId="6526" totalsRowDxfId="6525"/>
    <tableColumn id="13357" xr3:uid="{717815AC-9382-46B3-B395-9151DC7356D3}" name="Column13343" dataDxfId="6524" totalsRowDxfId="6523"/>
    <tableColumn id="13358" xr3:uid="{9ADF429E-0E42-4F4C-B63A-B0A64107742C}" name="Column13344" dataDxfId="6522" totalsRowDxfId="6521"/>
    <tableColumn id="13359" xr3:uid="{D14D2F2A-9A66-46D5-8280-591434444BC2}" name="Column13345" dataDxfId="6520" totalsRowDxfId="6519"/>
    <tableColumn id="13360" xr3:uid="{D4FC92BA-6CB6-45B9-B248-789F9465562C}" name="Column13346" dataDxfId="6518" totalsRowDxfId="6517"/>
    <tableColumn id="13361" xr3:uid="{5C01BFC6-F897-49C2-9EB6-1BF7FA9B7BA0}" name="Column13347" dataDxfId="6516" totalsRowDxfId="6515"/>
    <tableColumn id="13362" xr3:uid="{62F55A62-2CE3-47DC-9C9A-054A3E3AC7E5}" name="Column13348" dataDxfId="6514" totalsRowDxfId="6513"/>
    <tableColumn id="13363" xr3:uid="{5DACBF21-FFBE-4A9C-9295-98D82D63958C}" name="Column13349" dataDxfId="6512" totalsRowDxfId="6511"/>
    <tableColumn id="13364" xr3:uid="{76DC4C8A-7281-4D9B-A861-A37EBEEE9BB2}" name="Column13350" dataDxfId="6510" totalsRowDxfId="6509"/>
    <tableColumn id="13365" xr3:uid="{9F67819D-F6F6-43E0-9510-2DE2A39F4BB8}" name="Column13351" dataDxfId="6508" totalsRowDxfId="6507"/>
    <tableColumn id="13366" xr3:uid="{FC802347-F5EA-46B3-B200-70A6C2F3B253}" name="Column13352" dataDxfId="6506" totalsRowDxfId="6505"/>
    <tableColumn id="13367" xr3:uid="{10DCBA8B-00E4-4AB6-84AC-87DE7A431B7D}" name="Column13353" dataDxfId="6504" totalsRowDxfId="6503"/>
    <tableColumn id="13368" xr3:uid="{D737A2F4-B9B8-413E-9A57-28B27E97DAEB}" name="Column13354" dataDxfId="6502" totalsRowDxfId="6501"/>
    <tableColumn id="13369" xr3:uid="{41EC09F9-C9E0-45AE-B07D-BC800C64CAF0}" name="Column13355" dataDxfId="6500" totalsRowDxfId="6499"/>
    <tableColumn id="13370" xr3:uid="{3F462080-73BF-41BB-9E4D-A8D566F32B40}" name="Column13356" dataDxfId="6498" totalsRowDxfId="6497"/>
    <tableColumn id="13371" xr3:uid="{59CCCA70-A1AE-4A54-AA29-320A7EE3FB0F}" name="Column13357" dataDxfId="6496" totalsRowDxfId="6495"/>
    <tableColumn id="13372" xr3:uid="{8FEEF00A-520B-4266-92F7-21BE9A1A60DC}" name="Column13358" dataDxfId="6494" totalsRowDxfId="6493"/>
    <tableColumn id="13373" xr3:uid="{421993DB-C230-4EAC-BA1B-1B232E05E836}" name="Column13359" dataDxfId="6492" totalsRowDxfId="6491"/>
    <tableColumn id="13374" xr3:uid="{5FE4045D-652C-4D80-8DA3-074402732FA1}" name="Column13360" dataDxfId="6490" totalsRowDxfId="6489"/>
    <tableColumn id="13375" xr3:uid="{18349300-DC6A-45E8-84CD-B9024C7AB1A1}" name="Column13361" dataDxfId="6488" totalsRowDxfId="6487"/>
    <tableColumn id="13376" xr3:uid="{4B110CDA-A809-460B-88A2-F17AD366FC35}" name="Column13362" dataDxfId="6486" totalsRowDxfId="6485"/>
    <tableColumn id="13377" xr3:uid="{F4742B43-BE77-4342-AD7B-715A0645AEA3}" name="Column13363" dataDxfId="6484" totalsRowDxfId="6483"/>
    <tableColumn id="13378" xr3:uid="{23AE369D-8968-4B78-8107-81590E90ACDE}" name="Column13364" dataDxfId="6482" totalsRowDxfId="6481"/>
    <tableColumn id="13379" xr3:uid="{8A1DE5F2-66D5-4453-A14B-9469C68EBD7C}" name="Column13365" dataDxfId="6480" totalsRowDxfId="6479"/>
    <tableColumn id="13380" xr3:uid="{82A47137-04D8-4A11-8F92-E49F7A492B25}" name="Column13366" dataDxfId="6478" totalsRowDxfId="6477"/>
    <tableColumn id="13381" xr3:uid="{F039F567-E777-4673-85C2-995B90567BF7}" name="Column13367" dataDxfId="6476" totalsRowDxfId="6475"/>
    <tableColumn id="13382" xr3:uid="{0D29E94D-0F4D-4937-8671-9E37DECE884B}" name="Column13368" dataDxfId="6474" totalsRowDxfId="6473"/>
    <tableColumn id="13383" xr3:uid="{B93CCBA2-0B6C-49FB-83C8-86699217BA62}" name="Column13369" dataDxfId="6472" totalsRowDxfId="6471"/>
    <tableColumn id="13384" xr3:uid="{32321055-3067-4310-8E42-0F5138AE441B}" name="Column13370" dataDxfId="6470" totalsRowDxfId="6469"/>
    <tableColumn id="13385" xr3:uid="{6C241E0B-4135-479D-8F33-958CAFF0F87C}" name="Column13371" dataDxfId="6468" totalsRowDxfId="6467"/>
    <tableColumn id="13386" xr3:uid="{9E05F4EF-EC5F-4F32-9CAB-6F2B9DEB9B9E}" name="Column13372" dataDxfId="6466" totalsRowDxfId="6465"/>
    <tableColumn id="13387" xr3:uid="{0CB0C79E-BD2A-49FC-A4BA-DFA806AD13F3}" name="Column13373" dataDxfId="6464" totalsRowDxfId="6463"/>
    <tableColumn id="13388" xr3:uid="{562C8B11-9E08-405A-8F19-EF6B418854E3}" name="Column13374" dataDxfId="6462" totalsRowDxfId="6461"/>
    <tableColumn id="13389" xr3:uid="{C08A3254-665F-4BA1-943D-63E091599A92}" name="Column13375" dataDxfId="6460" totalsRowDxfId="6459"/>
    <tableColumn id="13390" xr3:uid="{21CAB22F-E4CA-4A40-9A43-B4A753A96C78}" name="Column13376" dataDxfId="6458" totalsRowDxfId="6457"/>
    <tableColumn id="13391" xr3:uid="{709A0BBE-E2CB-4A52-8BF4-3CD3D6A6E05B}" name="Column13377" dataDxfId="6456" totalsRowDxfId="6455"/>
    <tableColumn id="13392" xr3:uid="{4F1834A5-168B-4483-9385-81884BF99505}" name="Column13378" dataDxfId="6454" totalsRowDxfId="6453"/>
    <tableColumn id="13393" xr3:uid="{4EE3479A-B49D-4500-95C1-79BA6063D709}" name="Column13379" dataDxfId="6452" totalsRowDxfId="6451"/>
    <tableColumn id="13394" xr3:uid="{42ED632B-202B-496C-BFD9-035F72F7DA9B}" name="Column13380" dataDxfId="6450" totalsRowDxfId="6449"/>
    <tableColumn id="13395" xr3:uid="{A2337939-44B0-43E1-BFDC-0408AF2682F3}" name="Column13381" dataDxfId="6448" totalsRowDxfId="6447"/>
    <tableColumn id="13396" xr3:uid="{2DBC4516-12C7-456E-90AB-38418C08CA47}" name="Column13382" dataDxfId="6446" totalsRowDxfId="6445"/>
    <tableColumn id="13397" xr3:uid="{D7A55C27-4619-4DD6-8F04-A920CA3FD0AE}" name="Column13383" dataDxfId="6444" totalsRowDxfId="6443"/>
    <tableColumn id="13398" xr3:uid="{D21825DD-7E96-4B82-8247-60186163AD25}" name="Column13384" dataDxfId="6442" totalsRowDxfId="6441"/>
    <tableColumn id="13399" xr3:uid="{3429F2D4-169C-4591-A375-C39018B3A3AB}" name="Column13385" dataDxfId="6440" totalsRowDxfId="6439"/>
    <tableColumn id="13400" xr3:uid="{41FDF432-BE98-4391-A9F2-6152360D5157}" name="Column13386" dataDxfId="6438" totalsRowDxfId="6437"/>
    <tableColumn id="13401" xr3:uid="{58DB747A-253B-420A-9D30-910BEC5386A6}" name="Column13387" dataDxfId="6436" totalsRowDxfId="6435"/>
    <tableColumn id="13402" xr3:uid="{66BD9A9B-61E6-41B7-93DD-1E88A9DCE10A}" name="Column13388" dataDxfId="6434" totalsRowDxfId="6433"/>
    <tableColumn id="13403" xr3:uid="{3C80AE7B-A91F-491E-BA96-DA92496AEC03}" name="Column13389" dataDxfId="6432" totalsRowDxfId="6431"/>
    <tableColumn id="13404" xr3:uid="{D06DAC14-C1EA-4CEE-913D-0E04E1E6397C}" name="Column13390" dataDxfId="6430" totalsRowDxfId="6429"/>
    <tableColumn id="13405" xr3:uid="{C5B0BF9D-F1D2-48E9-A062-F26FFC98067A}" name="Column13391" dataDxfId="6428" totalsRowDxfId="6427"/>
    <tableColumn id="13406" xr3:uid="{61273141-0992-4868-9644-327AEDF403CF}" name="Column13392" dataDxfId="6426" totalsRowDxfId="6425"/>
    <tableColumn id="13407" xr3:uid="{6A3696A6-18EF-45BF-BAE2-6B01CA12C891}" name="Column13393" dataDxfId="6424" totalsRowDxfId="6423"/>
    <tableColumn id="13408" xr3:uid="{36DA0591-DDA9-47CC-85C4-7AA33C7D376E}" name="Column13394" dataDxfId="6422" totalsRowDxfId="6421"/>
    <tableColumn id="13409" xr3:uid="{FEE81CE5-818D-4912-A82C-036C4FCB13D6}" name="Column13395" dataDxfId="6420" totalsRowDxfId="6419"/>
    <tableColumn id="13410" xr3:uid="{50481FE5-B5DD-476E-8B56-55CEC48CBC64}" name="Column13396" dataDxfId="6418" totalsRowDxfId="6417"/>
    <tableColumn id="13411" xr3:uid="{6BEE36FD-7F1F-4FAD-AEBC-14424EDE0B42}" name="Column13397" dataDxfId="6416" totalsRowDxfId="6415"/>
    <tableColumn id="13412" xr3:uid="{51D81D7C-6577-494A-BB8B-71052908A69C}" name="Column13398" dataDxfId="6414" totalsRowDxfId="6413"/>
    <tableColumn id="13413" xr3:uid="{45D1BEAA-AD3C-458B-8C56-1B6319F0ADBE}" name="Column13399" dataDxfId="6412" totalsRowDxfId="6411"/>
    <tableColumn id="13414" xr3:uid="{B4C00873-FDE7-4188-9704-B229615C3273}" name="Column13400" dataDxfId="6410" totalsRowDxfId="6409"/>
    <tableColumn id="13415" xr3:uid="{07AFAA67-C0F3-423F-B519-B8A71FC378D0}" name="Column13401" dataDxfId="6408" totalsRowDxfId="6407"/>
    <tableColumn id="13416" xr3:uid="{153B5DFB-0115-4705-B4E0-D1BD12EA0234}" name="Column13402" dataDxfId="6406" totalsRowDxfId="6405"/>
    <tableColumn id="13417" xr3:uid="{0A0ED563-43FF-4DCB-9104-8E1D53BF1916}" name="Column13403" dataDxfId="6404" totalsRowDxfId="6403"/>
    <tableColumn id="13418" xr3:uid="{7CE5E89F-36CF-47C0-9542-DC124405A059}" name="Column13404" dataDxfId="6402" totalsRowDxfId="6401"/>
    <tableColumn id="13419" xr3:uid="{AB973795-2292-46AD-8546-85B607648594}" name="Column13405" dataDxfId="6400" totalsRowDxfId="6399"/>
    <tableColumn id="13420" xr3:uid="{D6ABD48F-C3BA-48E7-8960-4F346EBBE01E}" name="Column13406" dataDxfId="6398" totalsRowDxfId="6397"/>
    <tableColumn id="13421" xr3:uid="{EAB131F7-E07F-4D51-A925-75DF4B84F443}" name="Column13407" dataDxfId="6396" totalsRowDxfId="6395"/>
    <tableColumn id="13422" xr3:uid="{4C09C5C9-16A7-43F2-AEFE-9971339AFFB1}" name="Column13408" dataDxfId="6394" totalsRowDxfId="6393"/>
    <tableColumn id="13423" xr3:uid="{20BD5BFA-2F64-4753-ADAD-B83F03005479}" name="Column13409" dataDxfId="6392" totalsRowDxfId="6391"/>
    <tableColumn id="13424" xr3:uid="{7F744B47-0957-459D-9CB7-E1E79B2BEDC3}" name="Column13410" dataDxfId="6390" totalsRowDxfId="6389"/>
    <tableColumn id="13425" xr3:uid="{DFA9A5AD-E660-4B4A-A27A-EF6DEF8C9A53}" name="Column13411" dataDxfId="6388" totalsRowDxfId="6387"/>
    <tableColumn id="13426" xr3:uid="{D390453C-032B-4950-9B7B-3005FAE04412}" name="Column13412" dataDxfId="6386" totalsRowDxfId="6385"/>
    <tableColumn id="13427" xr3:uid="{0C934363-82E4-48D3-87A0-4C88628E130B}" name="Column13413" dataDxfId="6384" totalsRowDxfId="6383"/>
    <tableColumn id="13428" xr3:uid="{08B6BA5D-55FE-4EB7-A149-1B093D44F470}" name="Column13414" dataDxfId="6382" totalsRowDxfId="6381"/>
    <tableColumn id="13429" xr3:uid="{B095FDD3-4CFF-4781-9319-3315DCD34B2E}" name="Column13415" dataDxfId="6380" totalsRowDxfId="6379"/>
    <tableColumn id="13430" xr3:uid="{6EE10AFD-0CCA-44FA-93EA-A03FC156CDF1}" name="Column13416" dataDxfId="6378" totalsRowDxfId="6377"/>
    <tableColumn id="13431" xr3:uid="{08207C23-5F44-4A90-B3F4-F5B41648E608}" name="Column13417" dataDxfId="6376" totalsRowDxfId="6375"/>
    <tableColumn id="13432" xr3:uid="{39A0B934-2656-46FE-9180-F2A6654D24A6}" name="Column13418" dataDxfId="6374" totalsRowDxfId="6373"/>
    <tableColumn id="13433" xr3:uid="{4313B181-9D1E-4ADF-9ADE-8F34E97B9944}" name="Column13419" dataDxfId="6372" totalsRowDxfId="6371"/>
    <tableColumn id="13434" xr3:uid="{CD072666-E2B6-43F5-8E41-064037B91CB9}" name="Column13420" dataDxfId="6370" totalsRowDxfId="6369"/>
    <tableColumn id="13435" xr3:uid="{C98F46E8-B3D6-4229-8093-FFD2E8A31BB3}" name="Column13421" dataDxfId="6368" totalsRowDxfId="6367"/>
    <tableColumn id="13436" xr3:uid="{19F2B578-28D8-40FD-91EE-32284142F64B}" name="Column13422" dataDxfId="6366" totalsRowDxfId="6365"/>
    <tableColumn id="13437" xr3:uid="{1EE79D86-CECB-4E62-8B5B-49D51D899136}" name="Column13423" dataDxfId="6364" totalsRowDxfId="6363"/>
    <tableColumn id="13438" xr3:uid="{8E77AB6A-5932-4B91-9B95-50450D97B0DD}" name="Column13424" dataDxfId="6362" totalsRowDxfId="6361"/>
    <tableColumn id="13439" xr3:uid="{43FCFA43-EA44-4D59-9420-9766C07926C6}" name="Column13425" dataDxfId="6360" totalsRowDxfId="6359"/>
    <tableColumn id="13440" xr3:uid="{2C2D7C6B-B35C-40C7-97B1-D336D179FAF1}" name="Column13426" dataDxfId="6358" totalsRowDxfId="6357"/>
    <tableColumn id="13441" xr3:uid="{0983B7FE-A97A-4752-8DC1-728A6688E600}" name="Column13427" dataDxfId="6356" totalsRowDxfId="6355"/>
    <tableColumn id="13442" xr3:uid="{8940F952-D126-4D30-B352-0CAB317B8383}" name="Column13428" dataDxfId="6354" totalsRowDxfId="6353"/>
    <tableColumn id="13443" xr3:uid="{D84EF6CE-FC08-43E8-88FA-A05B1E062BD3}" name="Column13429" dataDxfId="6352" totalsRowDxfId="6351"/>
    <tableColumn id="13444" xr3:uid="{D3D6128F-E8A4-4C29-BC44-7A08F21690F7}" name="Column13430" dataDxfId="6350" totalsRowDxfId="6349"/>
    <tableColumn id="13445" xr3:uid="{21AB4ED4-81C0-4056-8666-E53C03249946}" name="Column13431" dataDxfId="6348" totalsRowDxfId="6347"/>
    <tableColumn id="13446" xr3:uid="{FA1EF153-E4EC-44CF-A44D-A981355F5939}" name="Column13432" dataDxfId="6346" totalsRowDxfId="6345"/>
    <tableColumn id="13447" xr3:uid="{BDE72A97-ED79-4EAF-864E-F0C521E7F950}" name="Column13433" dataDxfId="6344" totalsRowDxfId="6343"/>
    <tableColumn id="13448" xr3:uid="{E52CF4CD-8AD6-4446-B1D7-A04A81530A06}" name="Column13434" dataDxfId="6342" totalsRowDxfId="6341"/>
    <tableColumn id="13449" xr3:uid="{F729A519-8C2F-4CCD-9022-D88A8BC73616}" name="Column13435" dataDxfId="6340" totalsRowDxfId="6339"/>
    <tableColumn id="13450" xr3:uid="{043C06A0-C9DF-4E66-AF26-07E8150F6976}" name="Column13436" dataDxfId="6338" totalsRowDxfId="6337"/>
    <tableColumn id="13451" xr3:uid="{E83228AE-7D8D-45B9-9261-EFD066BAF6A3}" name="Column13437" dataDxfId="6336" totalsRowDxfId="6335"/>
    <tableColumn id="13452" xr3:uid="{1027F869-B531-4B1C-A998-1EFBF2F87053}" name="Column13438" dataDxfId="6334" totalsRowDxfId="6333"/>
    <tableColumn id="13453" xr3:uid="{DF7DF30A-4825-47D5-8574-559559A8775D}" name="Column13439" dataDxfId="6332" totalsRowDxfId="6331"/>
    <tableColumn id="13454" xr3:uid="{3B52F1DB-F265-415C-9F3E-B515828C2477}" name="Column13440" dataDxfId="6330" totalsRowDxfId="6329"/>
    <tableColumn id="13455" xr3:uid="{1437F554-D7B5-44BD-A779-E85ABB243FD6}" name="Column13441" dataDxfId="6328" totalsRowDxfId="6327"/>
    <tableColumn id="13456" xr3:uid="{56C622A7-C1B4-488B-A128-179A87B74C38}" name="Column13442" dataDxfId="6326" totalsRowDxfId="6325"/>
    <tableColumn id="13457" xr3:uid="{EBCBE283-703E-41F4-9353-5848568C7CEA}" name="Column13443" dataDxfId="6324" totalsRowDxfId="6323"/>
    <tableColumn id="13458" xr3:uid="{503DD383-2D30-465F-8033-EC2252D12DE6}" name="Column13444" dataDxfId="6322" totalsRowDxfId="6321"/>
    <tableColumn id="13459" xr3:uid="{21E3E807-0B0F-43B3-9EF2-0260F249A84D}" name="Column13445" dataDxfId="6320" totalsRowDxfId="6319"/>
    <tableColumn id="13460" xr3:uid="{36317B30-19E6-497A-AE86-C9BAEEF062D8}" name="Column13446" dataDxfId="6318" totalsRowDxfId="6317"/>
    <tableColumn id="13461" xr3:uid="{447C7F80-4078-4916-B0D3-74708D55F9E0}" name="Column13447" dataDxfId="6316" totalsRowDxfId="6315"/>
    <tableColumn id="13462" xr3:uid="{3E044FA3-82C5-47F1-A4FA-1C9EECC0C299}" name="Column13448" dataDxfId="6314" totalsRowDxfId="6313"/>
    <tableColumn id="13463" xr3:uid="{0D7B68F0-A151-4F35-9DD4-92DBCBB5EE7C}" name="Column13449" dataDxfId="6312" totalsRowDxfId="6311"/>
    <tableColumn id="13464" xr3:uid="{3619F96D-A45F-40C4-93EE-35A99B344D03}" name="Column13450" dataDxfId="6310" totalsRowDxfId="6309"/>
    <tableColumn id="13465" xr3:uid="{32B7045B-E065-4B4D-B824-9257798B20E1}" name="Column13451" dataDxfId="6308" totalsRowDxfId="6307"/>
    <tableColumn id="13466" xr3:uid="{1C053121-D8B6-4367-8F81-9E4085DCC506}" name="Column13452" dataDxfId="6306" totalsRowDxfId="6305"/>
    <tableColumn id="13467" xr3:uid="{807E82D4-4156-48D0-9940-58FF7C6A0498}" name="Column13453" dataDxfId="6304" totalsRowDxfId="6303"/>
    <tableColumn id="13468" xr3:uid="{14EE2213-DCC1-4BDD-961C-5F351C6E47B2}" name="Column13454" dataDxfId="6302" totalsRowDxfId="6301"/>
    <tableColumn id="13469" xr3:uid="{D1D858C1-6596-462D-83C1-2D8AB213A9E3}" name="Column13455" dataDxfId="6300" totalsRowDxfId="6299"/>
    <tableColumn id="13470" xr3:uid="{D652712D-3835-4FB7-81C1-C655ACDC741C}" name="Column13456" dataDxfId="6298" totalsRowDxfId="6297"/>
    <tableColumn id="13471" xr3:uid="{5411FF07-22A8-48C6-8559-A8BBFD0E17EA}" name="Column13457" dataDxfId="6296" totalsRowDxfId="6295"/>
    <tableColumn id="13472" xr3:uid="{823F1737-5BD7-4320-BF63-31DE93A45940}" name="Column13458" dataDxfId="6294" totalsRowDxfId="6293"/>
    <tableColumn id="13473" xr3:uid="{1DD7D298-A477-47AF-AD81-1866D1DF22EE}" name="Column13459" dataDxfId="6292" totalsRowDxfId="6291"/>
    <tableColumn id="13474" xr3:uid="{5300FA4D-D93B-4760-9957-3F5ABDABF661}" name="Column13460" dataDxfId="6290" totalsRowDxfId="6289"/>
    <tableColumn id="13475" xr3:uid="{B363A0BA-FCF6-404A-AE21-5849C1CF2EA5}" name="Column13461" dataDxfId="6288" totalsRowDxfId="6287"/>
    <tableColumn id="13476" xr3:uid="{588E6931-53F4-4828-9E9E-0F27015796E9}" name="Column13462" dataDxfId="6286" totalsRowDxfId="6285"/>
    <tableColumn id="13477" xr3:uid="{C74B5CC7-7302-470D-B76A-B9B621DFCE7C}" name="Column13463" dataDxfId="6284" totalsRowDxfId="6283"/>
    <tableColumn id="13478" xr3:uid="{7B5399CE-BD72-4055-8070-2248FF37A459}" name="Column13464" dataDxfId="6282" totalsRowDxfId="6281"/>
    <tableColumn id="13479" xr3:uid="{4512D698-B620-4E18-8AA0-8BCAAD16F0BF}" name="Column13465" dataDxfId="6280" totalsRowDxfId="6279"/>
    <tableColumn id="13480" xr3:uid="{93011CD2-A224-4791-83D7-EC9225EABA00}" name="Column13466" dataDxfId="6278" totalsRowDxfId="6277"/>
    <tableColumn id="13481" xr3:uid="{0264086B-B1A2-43F4-9F6B-FFD29751A3EC}" name="Column13467" dataDxfId="6276" totalsRowDxfId="6275"/>
    <tableColumn id="13482" xr3:uid="{F11D9A4E-EBA1-4955-B582-CA6D4EB657A5}" name="Column13468" dataDxfId="6274" totalsRowDxfId="6273"/>
    <tableColumn id="13483" xr3:uid="{3C25AA40-EE2C-4074-A55F-76C63BD2FAE7}" name="Column13469" dataDxfId="6272" totalsRowDxfId="6271"/>
    <tableColumn id="13484" xr3:uid="{A6D00E0C-297E-4361-97DC-925A349CA9C1}" name="Column13470" dataDxfId="6270" totalsRowDxfId="6269"/>
    <tableColumn id="13485" xr3:uid="{E0FAF0BB-199F-4B34-B1B4-45D2B1324422}" name="Column13471" dataDxfId="6268" totalsRowDxfId="6267"/>
    <tableColumn id="13486" xr3:uid="{FE069DEA-F5D1-4A01-AECD-35F93D49ADA4}" name="Column13472" dataDxfId="6266" totalsRowDxfId="6265"/>
    <tableColumn id="13487" xr3:uid="{509C1CA0-FC7D-4AFA-BCCA-C520C2724125}" name="Column13473" dataDxfId="6264" totalsRowDxfId="6263"/>
    <tableColumn id="13488" xr3:uid="{901E2107-31AF-401D-A6BD-B25A07655B2A}" name="Column13474" dataDxfId="6262" totalsRowDxfId="6261"/>
    <tableColumn id="13489" xr3:uid="{398E582D-9CAE-4FED-BC3A-EA7201B050AA}" name="Column13475" dataDxfId="6260" totalsRowDxfId="6259"/>
    <tableColumn id="13490" xr3:uid="{3E1DD244-0861-42CE-987E-0DB3AEEBCEC6}" name="Column13476" dataDxfId="6258" totalsRowDxfId="6257"/>
    <tableColumn id="13491" xr3:uid="{66C0F1F2-E723-47AC-9B4B-0014957D5D33}" name="Column13477" dataDxfId="6256" totalsRowDxfId="6255"/>
    <tableColumn id="13492" xr3:uid="{966E2F76-491D-437A-8744-87A7A880AFAC}" name="Column13478" dataDxfId="6254" totalsRowDxfId="6253"/>
    <tableColumn id="13493" xr3:uid="{7FD883CB-09C3-46AA-84D0-3E1036D00374}" name="Column13479" dataDxfId="6252" totalsRowDxfId="6251"/>
    <tableColumn id="13494" xr3:uid="{2185816D-EFB7-4471-9B18-FF057B2D3ED5}" name="Column13480" dataDxfId="6250" totalsRowDxfId="6249"/>
    <tableColumn id="13495" xr3:uid="{DC79531A-8026-4505-A5B8-C9D0C34FAFD9}" name="Column13481" dataDxfId="6248" totalsRowDxfId="6247"/>
    <tableColumn id="13496" xr3:uid="{5FB1E1DD-FF06-467E-9433-1F1C01DFB5A9}" name="Column13482" dataDxfId="6246" totalsRowDxfId="6245"/>
    <tableColumn id="13497" xr3:uid="{881FC0D0-57A8-43E8-82E0-B69AE05F01B1}" name="Column13483" dataDxfId="6244" totalsRowDxfId="6243"/>
    <tableColumn id="13498" xr3:uid="{A4BE0633-EDB7-49D8-A319-7C4A58C293C9}" name="Column13484" dataDxfId="6242" totalsRowDxfId="6241"/>
    <tableColumn id="13499" xr3:uid="{D664B938-1AA5-4BC7-84B0-B5B62DD643E2}" name="Column13485" dataDxfId="6240" totalsRowDxfId="6239"/>
    <tableColumn id="13500" xr3:uid="{C0FD6408-383C-42C6-B900-4EA78391549E}" name="Column13486" dataDxfId="6238" totalsRowDxfId="6237"/>
    <tableColumn id="13501" xr3:uid="{FF3874F8-F375-4756-9FE7-A5C991FF522B}" name="Column13487" dataDxfId="6236" totalsRowDxfId="6235"/>
    <tableColumn id="13502" xr3:uid="{EFEA2DAE-0E24-4EB4-AD76-82671DFA53B5}" name="Column13488" dataDxfId="6234" totalsRowDxfId="6233"/>
    <tableColumn id="13503" xr3:uid="{C7AE17D0-2E64-4D9C-AFF0-A154A298923E}" name="Column13489" dataDxfId="6232" totalsRowDxfId="6231"/>
    <tableColumn id="13504" xr3:uid="{4F543103-C1D3-403D-949B-30D061DBA22B}" name="Column13490" dataDxfId="6230" totalsRowDxfId="6229"/>
    <tableColumn id="13505" xr3:uid="{6CCDD889-80ED-4817-BD3F-864C14D8FA9D}" name="Column13491" dataDxfId="6228" totalsRowDxfId="6227"/>
    <tableColumn id="13506" xr3:uid="{61EF6C0B-3411-4A51-B713-3F2838F82CE6}" name="Column13492" dataDxfId="6226" totalsRowDxfId="6225"/>
    <tableColumn id="13507" xr3:uid="{C743CAC5-2747-4696-AE93-783B678A9A8B}" name="Column13493" dataDxfId="6224" totalsRowDxfId="6223"/>
    <tableColumn id="13508" xr3:uid="{1EFDEAD9-5623-4D50-8D6B-F1EA1A1C652C}" name="Column13494" dataDxfId="6222" totalsRowDxfId="6221"/>
    <tableColumn id="13509" xr3:uid="{CCA2935A-6ECA-44E9-9F0C-584A9F2F6D8F}" name="Column13495" dataDxfId="6220" totalsRowDxfId="6219"/>
    <tableColumn id="13510" xr3:uid="{61B27C10-3FAC-4863-A333-3B01B1CA2CD6}" name="Column13496" dataDxfId="6218" totalsRowDxfId="6217"/>
    <tableColumn id="13511" xr3:uid="{30954021-4A86-48B4-B286-708CDAA08B89}" name="Column13497" dataDxfId="6216" totalsRowDxfId="6215"/>
    <tableColumn id="13512" xr3:uid="{A136B3EF-9B43-4175-ABC0-9047525F9DFA}" name="Column13498" dataDxfId="6214" totalsRowDxfId="6213"/>
    <tableColumn id="13513" xr3:uid="{EF3C4640-3783-4A7B-A1F0-17BA6FEF2B6B}" name="Column13499" dataDxfId="6212" totalsRowDxfId="6211"/>
    <tableColumn id="13514" xr3:uid="{792385A8-8E64-4587-8A8E-0291190B0A9C}" name="Column13500" dataDxfId="6210" totalsRowDxfId="6209"/>
    <tableColumn id="13515" xr3:uid="{152F3D70-C709-4F7A-8BBC-26E3458FE961}" name="Column13501" dataDxfId="6208" totalsRowDxfId="6207"/>
    <tableColumn id="13516" xr3:uid="{65DC461F-2F94-4E9D-A01F-286C4A46111F}" name="Column13502" dataDxfId="6206" totalsRowDxfId="6205"/>
    <tableColumn id="13517" xr3:uid="{5F7F0531-5288-41E5-AD13-D45857891D5D}" name="Column13503" dataDxfId="6204" totalsRowDxfId="6203"/>
    <tableColumn id="13518" xr3:uid="{D77D4654-2595-4BB7-A1F7-7E00DBE0112F}" name="Column13504" dataDxfId="6202" totalsRowDxfId="6201"/>
    <tableColumn id="13519" xr3:uid="{49B97425-B6A2-4304-ACCF-2DCB9F542C59}" name="Column13505" dataDxfId="6200" totalsRowDxfId="6199"/>
    <tableColumn id="13520" xr3:uid="{03FC95A2-7BDA-46F4-85CB-62539BF1A7C7}" name="Column13506" dataDxfId="6198" totalsRowDxfId="6197"/>
    <tableColumn id="13521" xr3:uid="{AC0BB7E1-1E1A-4975-ABDB-A900B96342EB}" name="Column13507" dataDxfId="6196" totalsRowDxfId="6195"/>
    <tableColumn id="13522" xr3:uid="{42E71D9A-11D5-43E3-84A4-43A7CB546496}" name="Column13508" dataDxfId="6194" totalsRowDxfId="6193"/>
    <tableColumn id="13523" xr3:uid="{7453728B-A2D6-48A4-9734-10FEA6721BDE}" name="Column13509" dataDxfId="6192" totalsRowDxfId="6191"/>
    <tableColumn id="13524" xr3:uid="{7B1AC45E-50E8-411C-9342-F44C17A20327}" name="Column13510" dataDxfId="6190" totalsRowDxfId="6189"/>
    <tableColumn id="13525" xr3:uid="{33B24F9F-55D4-403B-94CB-30CCA767F588}" name="Column13511" dataDxfId="6188" totalsRowDxfId="6187"/>
    <tableColumn id="13526" xr3:uid="{E55F1265-9C36-417B-AC55-AEA76F2CFCDC}" name="Column13512" dataDxfId="6186" totalsRowDxfId="6185"/>
    <tableColumn id="13527" xr3:uid="{1E385B17-0F90-4B16-B0B4-8818C10E2EC5}" name="Column13513" dataDxfId="6184" totalsRowDxfId="6183"/>
    <tableColumn id="13528" xr3:uid="{FCED4552-BBA5-4C22-BFCD-9B8A2A57E2F0}" name="Column13514" dataDxfId="6182" totalsRowDxfId="6181"/>
    <tableColumn id="13529" xr3:uid="{5B16483A-A7E2-4E55-B1B3-234B26D88E39}" name="Column13515" dataDxfId="6180" totalsRowDxfId="6179"/>
    <tableColumn id="13530" xr3:uid="{1CD08DE5-9CF8-4156-A2B1-C53BFDAA83AD}" name="Column13516" dataDxfId="6178" totalsRowDxfId="6177"/>
    <tableColumn id="13531" xr3:uid="{371824D9-A650-4AA3-9499-712049846F63}" name="Column13517" dataDxfId="6176" totalsRowDxfId="6175"/>
    <tableColumn id="13532" xr3:uid="{C60C4A5E-4C4F-4B43-A40D-64BB6DC6F3E1}" name="Column13518" dataDxfId="6174" totalsRowDxfId="6173"/>
    <tableColumn id="13533" xr3:uid="{608A3EAF-E9A8-46E8-957B-4EEBEEBA966A}" name="Column13519" dataDxfId="6172" totalsRowDxfId="6171"/>
    <tableColumn id="13534" xr3:uid="{05C11514-F3E5-4E6A-98CA-FFB641059238}" name="Column13520" dataDxfId="6170" totalsRowDxfId="6169"/>
    <tableColumn id="13535" xr3:uid="{8A12315B-F1C8-47E4-9564-B40BEB5FBB6A}" name="Column13521" dataDxfId="6168" totalsRowDxfId="6167"/>
    <tableColumn id="13536" xr3:uid="{16A979A5-8BAC-405A-86FB-171DC191144C}" name="Column13522" dataDxfId="6166" totalsRowDxfId="6165"/>
    <tableColumn id="13537" xr3:uid="{58815A89-5874-4763-9568-89E225889239}" name="Column13523" dataDxfId="6164" totalsRowDxfId="6163"/>
    <tableColumn id="13538" xr3:uid="{BFE755BD-E025-490C-A192-E00BE11BBEE9}" name="Column13524" dataDxfId="6162" totalsRowDxfId="6161"/>
    <tableColumn id="13539" xr3:uid="{62DD50C3-86B7-4EDB-BCF5-962CC902DD35}" name="Column13525" dataDxfId="6160" totalsRowDxfId="6159"/>
    <tableColumn id="13540" xr3:uid="{D515DCD8-D122-48FE-87E3-E647D6CBE85A}" name="Column13526" dataDxfId="6158" totalsRowDxfId="6157"/>
    <tableColumn id="13541" xr3:uid="{796C88BE-8712-43D7-8C9D-33AE8DC7EF88}" name="Column13527" dataDxfId="6156" totalsRowDxfId="6155"/>
    <tableColumn id="13542" xr3:uid="{811BDDC9-F6E8-4867-8D38-C71FD2A6860E}" name="Column13528" dataDxfId="6154" totalsRowDxfId="6153"/>
    <tableColumn id="13543" xr3:uid="{C70482B8-F5FE-4E4B-8489-346EF1B66207}" name="Column13529" dataDxfId="6152" totalsRowDxfId="6151"/>
    <tableColumn id="13544" xr3:uid="{38592B95-9DF0-4A17-8AED-5BC240FD8B99}" name="Column13530" dataDxfId="6150" totalsRowDxfId="6149"/>
    <tableColumn id="13545" xr3:uid="{E8F5E065-D0F2-45F7-BE61-694984FADE67}" name="Column13531" dataDxfId="6148" totalsRowDxfId="6147"/>
    <tableColumn id="13546" xr3:uid="{F1043BED-31CA-4BAD-920B-D3D9DD2D20F4}" name="Column13532" dataDxfId="6146" totalsRowDxfId="6145"/>
    <tableColumn id="13547" xr3:uid="{AE05B7F5-4E27-4D78-A611-DA4BB8D7ACA2}" name="Column13533" dataDxfId="6144" totalsRowDxfId="6143"/>
    <tableColumn id="13548" xr3:uid="{DBC62CBA-7686-422B-ACF4-245CA1CC8D0F}" name="Column13534" dataDxfId="6142" totalsRowDxfId="6141"/>
    <tableColumn id="13549" xr3:uid="{3F7990AC-04F1-4543-8A75-C535D569DC7F}" name="Column13535" dataDxfId="6140" totalsRowDxfId="6139"/>
    <tableColumn id="13550" xr3:uid="{84894BD9-882A-46F1-A013-D17B3CA1B153}" name="Column13536" dataDxfId="6138" totalsRowDxfId="6137"/>
    <tableColumn id="13551" xr3:uid="{E34FE4EB-ECDE-450C-94CC-0BF74561FA60}" name="Column13537" dataDxfId="6136" totalsRowDxfId="6135"/>
    <tableColumn id="13552" xr3:uid="{52347DE3-9029-4071-B659-040B4ECF2CCA}" name="Column13538" dataDxfId="6134" totalsRowDxfId="6133"/>
    <tableColumn id="13553" xr3:uid="{6CF516C5-6A69-4488-8DC0-2AC72E582086}" name="Column13539" dataDxfId="6132" totalsRowDxfId="6131"/>
    <tableColumn id="13554" xr3:uid="{25A56039-DC08-467D-A29E-CCA4E8F28FE5}" name="Column13540" dataDxfId="6130" totalsRowDxfId="6129"/>
    <tableColumn id="13555" xr3:uid="{FD4040DE-8741-4813-826C-E9E4EF0FBD0E}" name="Column13541" dataDxfId="6128" totalsRowDxfId="6127"/>
    <tableColumn id="13556" xr3:uid="{5D534772-B341-4AE2-AB87-17179F6A4AC5}" name="Column13542" dataDxfId="6126" totalsRowDxfId="6125"/>
    <tableColumn id="13557" xr3:uid="{93A29638-8ABA-4BDE-BF8D-43113CCC8695}" name="Column13543" dataDxfId="6124" totalsRowDxfId="6123"/>
    <tableColumn id="13558" xr3:uid="{25CB8AF1-8F48-4B65-8B9F-CFB2A1591AE4}" name="Column13544" dataDxfId="6122" totalsRowDxfId="6121"/>
    <tableColumn id="13559" xr3:uid="{88146069-A79F-4A4E-A9DD-493B97779063}" name="Column13545" dataDxfId="6120" totalsRowDxfId="6119"/>
    <tableColumn id="13560" xr3:uid="{7962043D-ECDE-455B-A6C2-76F1CF646DEA}" name="Column13546" dataDxfId="6118" totalsRowDxfId="6117"/>
    <tableColumn id="13561" xr3:uid="{F572BBC6-3B80-4617-B3BA-AB4AE68D486B}" name="Column13547" dataDxfId="6116" totalsRowDxfId="6115"/>
    <tableColumn id="13562" xr3:uid="{A44A313E-6562-43C2-B3E3-952EF32BF0A1}" name="Column13548" dataDxfId="6114" totalsRowDxfId="6113"/>
    <tableColumn id="13563" xr3:uid="{7BB82B9A-1BB5-4EAD-8488-31F6014EF32F}" name="Column13549" dataDxfId="6112" totalsRowDxfId="6111"/>
    <tableColumn id="13564" xr3:uid="{CB55382D-3D34-45A5-BEC2-3FA71EA0C001}" name="Column13550" dataDxfId="6110" totalsRowDxfId="6109"/>
    <tableColumn id="13565" xr3:uid="{472259C5-B4D9-430C-9DA7-115C3E84F47C}" name="Column13551" dataDxfId="6108" totalsRowDxfId="6107"/>
    <tableColumn id="13566" xr3:uid="{CEB88407-48BB-4F61-A078-DCF722C5C3C5}" name="Column13552" dataDxfId="6106" totalsRowDxfId="6105"/>
    <tableColumn id="13567" xr3:uid="{C15D7212-CF93-4F46-89E7-F29643C80754}" name="Column13553" dataDxfId="6104" totalsRowDxfId="6103"/>
    <tableColumn id="13568" xr3:uid="{090C9920-596E-4975-BD38-2FB3562CCB91}" name="Column13554" dataDxfId="6102" totalsRowDxfId="6101"/>
    <tableColumn id="13569" xr3:uid="{9411183C-EE18-4F12-94B0-B15FA5FB82C9}" name="Column13555" dataDxfId="6100" totalsRowDxfId="6099"/>
    <tableColumn id="13570" xr3:uid="{A76A7068-5295-43DF-A0FB-0F438135853F}" name="Column13556" dataDxfId="6098" totalsRowDxfId="6097"/>
    <tableColumn id="13571" xr3:uid="{2D822598-2661-48B8-A446-64747FC38779}" name="Column13557" dataDxfId="6096" totalsRowDxfId="6095"/>
    <tableColumn id="13572" xr3:uid="{37B55496-B789-4378-BF49-8326B0191017}" name="Column13558" dataDxfId="6094" totalsRowDxfId="6093"/>
    <tableColumn id="13573" xr3:uid="{8523D9C8-81C3-4BF0-BBEC-BF65C160A95E}" name="Column13559" dataDxfId="6092" totalsRowDxfId="6091"/>
    <tableColumn id="13574" xr3:uid="{9F58C5C9-82F7-4AB6-BAC0-9D5E8E79EDDD}" name="Column13560" dataDxfId="6090" totalsRowDxfId="6089"/>
    <tableColumn id="13575" xr3:uid="{6B058BA0-2793-4D02-BAD9-9792F568172F}" name="Column13561" dataDxfId="6088" totalsRowDxfId="6087"/>
    <tableColumn id="13576" xr3:uid="{D8420B7C-FDCC-450B-BC87-B3A70F9133D9}" name="Column13562" dataDxfId="6086" totalsRowDxfId="6085"/>
    <tableColumn id="13577" xr3:uid="{0E01EA68-24BA-4034-8E53-21C14E3F0B70}" name="Column13563" dataDxfId="6084" totalsRowDxfId="6083"/>
    <tableColumn id="13578" xr3:uid="{AD9F255F-49FC-4D94-A3EA-61900BE0C6C9}" name="Column13564" dataDxfId="6082" totalsRowDxfId="6081"/>
    <tableColumn id="13579" xr3:uid="{C3224548-8B23-439E-AB0B-4FD982393F45}" name="Column13565" dataDxfId="6080" totalsRowDxfId="6079"/>
    <tableColumn id="13580" xr3:uid="{C0DEB6C1-FAE1-4EE7-B20A-D476BCC06DAA}" name="Column13566" dataDxfId="6078" totalsRowDxfId="6077"/>
    <tableColumn id="13581" xr3:uid="{A6F48BEB-9AE1-480A-93C8-A308778FA66B}" name="Column13567" dataDxfId="6076" totalsRowDxfId="6075"/>
    <tableColumn id="13582" xr3:uid="{5EA0D99B-6476-4811-9A1A-01D8F4433EE9}" name="Column13568" dataDxfId="6074" totalsRowDxfId="6073"/>
    <tableColumn id="13583" xr3:uid="{82631CA6-0C67-4EA7-9A63-0C78EA17DD8B}" name="Column13569" dataDxfId="6072" totalsRowDxfId="6071"/>
    <tableColumn id="13584" xr3:uid="{C9859FD0-E924-4693-94EA-78C231F35AF5}" name="Column13570" dataDxfId="6070" totalsRowDxfId="6069"/>
    <tableColumn id="13585" xr3:uid="{DCEC2601-F6AC-469B-8CA0-1A9BDD917D81}" name="Column13571" dataDxfId="6068" totalsRowDxfId="6067"/>
    <tableColumn id="13586" xr3:uid="{982DD4D9-C630-432E-8E7C-3816008EC1DB}" name="Column13572" dataDxfId="6066" totalsRowDxfId="6065"/>
    <tableColumn id="13587" xr3:uid="{A0BBD824-198C-44BC-9CA0-0ABB33653E14}" name="Column13573" dataDxfId="6064" totalsRowDxfId="6063"/>
    <tableColumn id="13588" xr3:uid="{547ACA86-B88F-4F36-9CAA-93BDDBB7521B}" name="Column13574" dataDxfId="6062" totalsRowDxfId="6061"/>
    <tableColumn id="13589" xr3:uid="{4DAEE0DA-9B31-4677-8FCE-8082FA27E49B}" name="Column13575" dataDxfId="6060" totalsRowDxfId="6059"/>
    <tableColumn id="13590" xr3:uid="{493026F6-E99A-48B1-B2AD-FE734A696036}" name="Column13576" dataDxfId="6058" totalsRowDxfId="6057"/>
    <tableColumn id="13591" xr3:uid="{E7CE35E5-249D-4427-974B-B616B8B5F7A0}" name="Column13577" dataDxfId="6056" totalsRowDxfId="6055"/>
    <tableColumn id="13592" xr3:uid="{A31BC6A4-6C1C-4ACF-9523-DF31BB50496D}" name="Column13578" dataDxfId="6054" totalsRowDxfId="6053"/>
    <tableColumn id="13593" xr3:uid="{D0390A05-FB65-4B4F-B6F1-0EAC64DA1EA1}" name="Column13579" dataDxfId="6052" totalsRowDxfId="6051"/>
    <tableColumn id="13594" xr3:uid="{AFDEC270-7F09-4AA1-949B-CEF435337E25}" name="Column13580" dataDxfId="6050" totalsRowDxfId="6049"/>
    <tableColumn id="13595" xr3:uid="{92CD462B-BB16-4EBA-B049-45B1C47814AE}" name="Column13581" dataDxfId="6048" totalsRowDxfId="6047"/>
    <tableColumn id="13596" xr3:uid="{FA109BD4-8639-462C-9E60-DC95E0395378}" name="Column13582" dataDxfId="6046" totalsRowDxfId="6045"/>
    <tableColumn id="13597" xr3:uid="{3665409D-061A-41C6-B466-30748E15A666}" name="Column13583" dataDxfId="6044" totalsRowDxfId="6043"/>
    <tableColumn id="13598" xr3:uid="{8ADE9526-46C1-4654-BC65-927AF470FE25}" name="Column13584" dataDxfId="6042" totalsRowDxfId="6041"/>
    <tableColumn id="13599" xr3:uid="{C67B9E78-41AC-4AEE-A64F-755330404ECE}" name="Column13585" dataDxfId="6040" totalsRowDxfId="6039"/>
    <tableColumn id="13600" xr3:uid="{B4885E6F-B53D-4E9E-9086-691CD2D8E40E}" name="Column13586" dataDxfId="6038" totalsRowDxfId="6037"/>
    <tableColumn id="13601" xr3:uid="{9E7CD86D-3BC5-4E3A-9F74-2683A5C82729}" name="Column13587" dataDxfId="6036" totalsRowDxfId="6035"/>
    <tableColumn id="13602" xr3:uid="{CF70F4BA-F4BA-40F0-88A8-FAC63EF6E4E7}" name="Column13588" dataDxfId="6034" totalsRowDxfId="6033"/>
    <tableColumn id="13603" xr3:uid="{7D498199-6FF9-4954-B1AA-A2897C8FCEFE}" name="Column13589" dataDxfId="6032" totalsRowDxfId="6031"/>
    <tableColumn id="13604" xr3:uid="{181B7770-FBF4-4757-978A-774D869B8A59}" name="Column13590" dataDxfId="6030" totalsRowDxfId="6029"/>
    <tableColumn id="13605" xr3:uid="{5386A1A3-C209-4167-B3D0-4F3CB8F52B3C}" name="Column13591" dataDxfId="6028" totalsRowDxfId="6027"/>
    <tableColumn id="13606" xr3:uid="{67BEE537-A1F9-4540-9688-A2F6CC39916B}" name="Column13592" dataDxfId="6026" totalsRowDxfId="6025"/>
    <tableColumn id="13607" xr3:uid="{6650BBF0-0B15-4299-9FCF-71EF1ED3EF78}" name="Column13593" dataDxfId="6024" totalsRowDxfId="6023"/>
    <tableColumn id="13608" xr3:uid="{8FFBE729-584B-4940-8B08-4D146A9385E6}" name="Column13594" dataDxfId="6022" totalsRowDxfId="6021"/>
    <tableColumn id="13609" xr3:uid="{4196193C-D5E4-496C-B610-0F6A1AF1F806}" name="Column13595" dataDxfId="6020" totalsRowDxfId="6019"/>
    <tableColumn id="13610" xr3:uid="{B917E8D0-1B74-453A-9674-D81FAB18AD91}" name="Column13596" dataDxfId="6018" totalsRowDxfId="6017"/>
    <tableColumn id="13611" xr3:uid="{87E20183-6DE7-4FCC-AB1F-90FFFF1DE6A8}" name="Column13597" dataDxfId="6016" totalsRowDxfId="6015"/>
    <tableColumn id="13612" xr3:uid="{D69AD446-FDB1-459F-B184-394A6C7CAC6E}" name="Column13598" dataDxfId="6014" totalsRowDxfId="6013"/>
    <tableColumn id="13613" xr3:uid="{8F0FE78F-4D6F-4367-8556-F36A6A62E67B}" name="Column13599" dataDxfId="6012" totalsRowDxfId="6011"/>
    <tableColumn id="13614" xr3:uid="{A252556E-D564-40A7-BFF1-559CABEA95EB}" name="Column13600" dataDxfId="6010" totalsRowDxfId="6009"/>
    <tableColumn id="13615" xr3:uid="{5075FE6E-56D2-4521-96B2-2C1A9F033F68}" name="Column13601" dataDxfId="6008" totalsRowDxfId="6007"/>
    <tableColumn id="13616" xr3:uid="{CEE976C4-F227-4249-8F3C-B557059AB2D0}" name="Column13602" dataDxfId="6006" totalsRowDxfId="6005"/>
    <tableColumn id="13617" xr3:uid="{A9F353C1-2D2C-4097-BFB4-DD13993D10A1}" name="Column13603" dataDxfId="6004" totalsRowDxfId="6003"/>
    <tableColumn id="13618" xr3:uid="{F026D428-85D9-460A-BB62-9EB86BD86EBB}" name="Column13604" dataDxfId="6002" totalsRowDxfId="6001"/>
    <tableColumn id="13619" xr3:uid="{37708F64-CCC5-4119-A5C1-412DA25C6DB4}" name="Column13605" dataDxfId="6000" totalsRowDxfId="5999"/>
    <tableColumn id="13620" xr3:uid="{C1EE0205-F901-432C-A2D3-08E85D8FC7CE}" name="Column13606" dataDxfId="5998" totalsRowDxfId="5997"/>
    <tableColumn id="13621" xr3:uid="{773B38C7-E09F-44D3-A9E4-27E1A2685DB6}" name="Column13607" dataDxfId="5996" totalsRowDxfId="5995"/>
    <tableColumn id="13622" xr3:uid="{C0161209-88B3-4305-9733-D1DC7F896077}" name="Column13608" dataDxfId="5994" totalsRowDxfId="5993"/>
    <tableColumn id="13623" xr3:uid="{C921EADB-EB54-461C-BB60-927926B754FF}" name="Column13609" dataDxfId="5992" totalsRowDxfId="5991"/>
    <tableColumn id="13624" xr3:uid="{BB052BE8-FCA2-44A3-9FF4-B97C70FBBB52}" name="Column13610" dataDxfId="5990" totalsRowDxfId="5989"/>
    <tableColumn id="13625" xr3:uid="{BFB83EB4-4786-4A25-892C-86194F1BF32E}" name="Column13611" dataDxfId="5988" totalsRowDxfId="5987"/>
    <tableColumn id="13626" xr3:uid="{095B2775-9458-46DC-9A2F-DC81115D3037}" name="Column13612" dataDxfId="5986" totalsRowDxfId="5985"/>
    <tableColumn id="13627" xr3:uid="{6B663594-9AFA-4B36-9EA3-C467A2C06201}" name="Column13613" dataDxfId="5984" totalsRowDxfId="5983"/>
    <tableColumn id="13628" xr3:uid="{8D55E1F7-6794-434D-94E1-1695AC20A041}" name="Column13614" dataDxfId="5982" totalsRowDxfId="5981"/>
    <tableColumn id="13629" xr3:uid="{AC9BE3A0-85E7-4021-8871-2F03994BDCB7}" name="Column13615" dataDxfId="5980" totalsRowDxfId="5979"/>
    <tableColumn id="13630" xr3:uid="{D3D356BA-B960-4DD3-A9AA-5A208B0257BC}" name="Column13616" dataDxfId="5978" totalsRowDxfId="5977"/>
    <tableColumn id="13631" xr3:uid="{A921C42D-7141-4432-8F1A-44D0E5DD8020}" name="Column13617" dataDxfId="5976" totalsRowDxfId="5975"/>
    <tableColumn id="13632" xr3:uid="{088EC1A8-4E4C-45EA-A5B4-3F1671C22078}" name="Column13618" dataDxfId="5974" totalsRowDxfId="5973"/>
    <tableColumn id="13633" xr3:uid="{BA2EB6F1-6189-4B2D-8B70-AE80CE7278C5}" name="Column13619" dataDxfId="5972" totalsRowDxfId="5971"/>
    <tableColumn id="13634" xr3:uid="{ED9C22F9-5CE7-4257-81A6-7B1BB2E7724D}" name="Column13620" dataDxfId="5970" totalsRowDxfId="5969"/>
    <tableColumn id="13635" xr3:uid="{A33FA75E-0B66-4175-B57A-44BBB689EFBC}" name="Column13621" dataDxfId="5968" totalsRowDxfId="5967"/>
    <tableColumn id="13636" xr3:uid="{EA5B4FD8-D9F3-46AD-80A7-C8299A557565}" name="Column13622" dataDxfId="5966" totalsRowDxfId="5965"/>
    <tableColumn id="13637" xr3:uid="{A31704AA-DE00-4597-9F0F-918223E8C136}" name="Column13623" dataDxfId="5964" totalsRowDxfId="5963"/>
    <tableColumn id="13638" xr3:uid="{03AEEE8F-F755-4D23-BB21-B264C4E33C14}" name="Column13624" dataDxfId="5962" totalsRowDxfId="5961"/>
    <tableColumn id="13639" xr3:uid="{B3A812E3-2F45-4528-AA15-3041061D5908}" name="Column13625" dataDxfId="5960" totalsRowDxfId="5959"/>
    <tableColumn id="13640" xr3:uid="{CB412C82-AF06-4F46-AA2C-5C59CBEFCA49}" name="Column13626" dataDxfId="5958" totalsRowDxfId="5957"/>
    <tableColumn id="13641" xr3:uid="{B2B28D78-852D-43D0-8828-AF8C1D2E719B}" name="Column13627" dataDxfId="5956" totalsRowDxfId="5955"/>
    <tableColumn id="13642" xr3:uid="{236AF15F-0DCC-457E-B967-2B6CA51CBF4E}" name="Column13628" dataDxfId="5954" totalsRowDxfId="5953"/>
    <tableColumn id="13643" xr3:uid="{8643A3DD-F11E-4A7B-86F1-2E6C5A1E0B69}" name="Column13629" dataDxfId="5952" totalsRowDxfId="5951"/>
    <tableColumn id="13644" xr3:uid="{E0F1FBBA-4950-4BBF-AFC0-601D76E945A2}" name="Column13630" dataDxfId="5950" totalsRowDxfId="5949"/>
    <tableColumn id="13645" xr3:uid="{5476EE60-0FEA-4B92-A5DE-BA7ADCF1AD3D}" name="Column13631" dataDxfId="5948" totalsRowDxfId="5947"/>
    <tableColumn id="13646" xr3:uid="{EDB9C1D9-55D3-4440-A794-B6A2C4E8B1CA}" name="Column13632" dataDxfId="5946" totalsRowDxfId="5945"/>
    <tableColumn id="13647" xr3:uid="{27D8E912-195C-4DE2-9E66-4D32D37CC98F}" name="Column13633" dataDxfId="5944" totalsRowDxfId="5943"/>
    <tableColumn id="13648" xr3:uid="{2BF6DCC1-F575-4867-AA12-09DB175F7231}" name="Column13634" dataDxfId="5942" totalsRowDxfId="5941"/>
    <tableColumn id="13649" xr3:uid="{93126ECD-6159-4746-B303-D727150129C1}" name="Column13635" dataDxfId="5940" totalsRowDxfId="5939"/>
    <tableColumn id="13650" xr3:uid="{0FE65D48-0BE3-4E10-86CD-05E514D5C42B}" name="Column13636" dataDxfId="5938" totalsRowDxfId="5937"/>
    <tableColumn id="13651" xr3:uid="{C21F6E34-7935-4938-9691-742447E9A387}" name="Column13637" dataDxfId="5936" totalsRowDxfId="5935"/>
    <tableColumn id="13652" xr3:uid="{0E1D1265-7C58-40DA-8202-27BA109A6D81}" name="Column13638" dataDxfId="5934" totalsRowDxfId="5933"/>
    <tableColumn id="13653" xr3:uid="{DD10DFAF-12E9-4F54-916A-42E43184B0AD}" name="Column13639" dataDxfId="5932" totalsRowDxfId="5931"/>
    <tableColumn id="13654" xr3:uid="{94F51F77-454E-4ADC-B21B-966BF3D67CDA}" name="Column13640" dataDxfId="5930" totalsRowDxfId="5929"/>
    <tableColumn id="13655" xr3:uid="{B6CB38BD-7BA8-424B-A870-68BA7DDC2D1C}" name="Column13641" dataDxfId="5928" totalsRowDxfId="5927"/>
    <tableColumn id="13656" xr3:uid="{333E2A18-5596-459F-8D99-F9224A393515}" name="Column13642" dataDxfId="5926" totalsRowDxfId="5925"/>
    <tableColumn id="13657" xr3:uid="{0BCD651F-58DE-4DBC-8450-36614D49F458}" name="Column13643" dataDxfId="5924" totalsRowDxfId="5923"/>
    <tableColumn id="13658" xr3:uid="{6187056F-77EB-420F-AC3A-1E19E5565E85}" name="Column13644" dataDxfId="5922" totalsRowDxfId="5921"/>
    <tableColumn id="13659" xr3:uid="{930F7600-08D9-4CC7-A722-D962E354C7EB}" name="Column13645" dataDxfId="5920" totalsRowDxfId="5919"/>
    <tableColumn id="13660" xr3:uid="{EA1B0BF4-D557-4F31-8F74-6C78F2FD6BB6}" name="Column13646" dataDxfId="5918" totalsRowDxfId="5917"/>
    <tableColumn id="13661" xr3:uid="{36D3FF07-9623-4E9E-B13D-4F6CA01C6B7A}" name="Column13647" dataDxfId="5916" totalsRowDxfId="5915"/>
    <tableColumn id="13662" xr3:uid="{DB63AEB0-D176-42BC-A68D-4B6858444A2B}" name="Column13648" dataDxfId="5914" totalsRowDxfId="5913"/>
    <tableColumn id="13663" xr3:uid="{6AF416ED-E2E6-43A7-AE28-23F468FB619C}" name="Column13649" dataDxfId="5912" totalsRowDxfId="5911"/>
    <tableColumn id="13664" xr3:uid="{973AE296-D3EE-41DE-9B5A-844397C4D02B}" name="Column13650" dataDxfId="5910" totalsRowDxfId="5909"/>
    <tableColumn id="13665" xr3:uid="{924CA82A-7155-42E7-94E7-5276753A9EB2}" name="Column13651" dataDxfId="5908" totalsRowDxfId="5907"/>
    <tableColumn id="13666" xr3:uid="{6F3F07B3-16C6-40D5-A35B-B3040552A6DB}" name="Column13652" dataDxfId="5906" totalsRowDxfId="5905"/>
    <tableColumn id="13667" xr3:uid="{59CEFADB-C095-4F51-BA7B-7CD41AB8CEC2}" name="Column13653" dataDxfId="5904" totalsRowDxfId="5903"/>
    <tableColumn id="13668" xr3:uid="{FBC14DC5-8DAD-45DB-9E5C-ED0805671A3C}" name="Column13654" dataDxfId="5902" totalsRowDxfId="5901"/>
    <tableColumn id="13669" xr3:uid="{4399BFA1-8F3C-4E7B-B327-64BC6E87F31D}" name="Column13655" dataDxfId="5900" totalsRowDxfId="5899"/>
    <tableColumn id="13670" xr3:uid="{E157D617-D796-4623-AE47-52B5E94AD023}" name="Column13656" dataDxfId="5898" totalsRowDxfId="5897"/>
    <tableColumn id="13671" xr3:uid="{EC54F96C-1249-423F-AE2A-C60126FD41B3}" name="Column13657" dataDxfId="5896" totalsRowDxfId="5895"/>
    <tableColumn id="13672" xr3:uid="{9B20E468-1BF8-4D84-9BE8-B6D0AF89E6BB}" name="Column13658" dataDxfId="5894" totalsRowDxfId="5893"/>
    <tableColumn id="13673" xr3:uid="{134BF72C-E4CF-4593-98D4-83533E9888DD}" name="Column13659" dataDxfId="5892" totalsRowDxfId="5891"/>
    <tableColumn id="13674" xr3:uid="{B1513762-8364-4325-A794-90C201CB3D51}" name="Column13660" dataDxfId="5890" totalsRowDxfId="5889"/>
    <tableColumn id="13675" xr3:uid="{6899B04F-723C-42E9-A13C-380F1C75CFC0}" name="Column13661" dataDxfId="5888" totalsRowDxfId="5887"/>
    <tableColumn id="13676" xr3:uid="{29854887-A680-40EF-B858-537ABC42023B}" name="Column13662" dataDxfId="5886" totalsRowDxfId="5885"/>
    <tableColumn id="13677" xr3:uid="{01BFCE76-C27B-402F-A7F0-C01A02CAE47E}" name="Column13663" dataDxfId="5884" totalsRowDxfId="5883"/>
    <tableColumn id="13678" xr3:uid="{B67F5CCB-E17A-4EB6-9F27-F43DA4A56050}" name="Column13664" dataDxfId="5882" totalsRowDxfId="5881"/>
    <tableColumn id="13679" xr3:uid="{1E25E7CA-2D7F-410F-9C16-30A3DDDC0EFA}" name="Column13665" dataDxfId="5880" totalsRowDxfId="5879"/>
    <tableColumn id="13680" xr3:uid="{F43E0AEB-B7F6-4319-86A7-E8AFAAE67E28}" name="Column13666" dataDxfId="5878" totalsRowDxfId="5877"/>
    <tableColumn id="13681" xr3:uid="{78E1D29E-F742-4026-A4B9-7CF970334B3A}" name="Column13667" dataDxfId="5876" totalsRowDxfId="5875"/>
    <tableColumn id="13682" xr3:uid="{99DF20AB-F86B-48B4-B19A-C1C76F26D008}" name="Column13668" dataDxfId="5874" totalsRowDxfId="5873"/>
    <tableColumn id="13683" xr3:uid="{0AE1A0FF-2A95-46CC-B577-355753419B2A}" name="Column13669" dataDxfId="5872" totalsRowDxfId="5871"/>
    <tableColumn id="13684" xr3:uid="{29564C66-E356-4C83-A83F-B5540C023765}" name="Column13670" dataDxfId="5870" totalsRowDxfId="5869"/>
    <tableColumn id="13685" xr3:uid="{DF6AFA63-1CBF-4267-AADC-166AAE7D171C}" name="Column13671" dataDxfId="5868" totalsRowDxfId="5867"/>
    <tableColumn id="13686" xr3:uid="{DDE1BCC3-30AB-4026-BEC1-91A9A7DC8B4E}" name="Column13672" dataDxfId="5866" totalsRowDxfId="5865"/>
    <tableColumn id="13687" xr3:uid="{7C55B2CE-F1AA-46B7-87D1-40474AD91C44}" name="Column13673" dataDxfId="5864" totalsRowDxfId="5863"/>
    <tableColumn id="13688" xr3:uid="{0AE340B4-9D8E-46FF-9C56-8A05BA590277}" name="Column13674" dataDxfId="5862" totalsRowDxfId="5861"/>
    <tableColumn id="13689" xr3:uid="{4EC59CBF-2906-42EC-8A2E-B99D1BA72475}" name="Column13675" dataDxfId="5860" totalsRowDxfId="5859"/>
    <tableColumn id="13690" xr3:uid="{D4C7DC4A-0560-4E3B-85EF-39DC060B7AD7}" name="Column13676" dataDxfId="5858" totalsRowDxfId="5857"/>
    <tableColumn id="13691" xr3:uid="{0C14606A-305F-4B7F-A2E7-3AA0F74DB5E4}" name="Column13677" dataDxfId="5856" totalsRowDxfId="5855"/>
    <tableColumn id="13692" xr3:uid="{BA14F922-DCF5-42B2-9C8E-486CDB6982D9}" name="Column13678" dataDxfId="5854" totalsRowDxfId="5853"/>
    <tableColumn id="13693" xr3:uid="{60F271CF-091F-446E-8987-91A8629AEE1A}" name="Column13679" dataDxfId="5852" totalsRowDxfId="5851"/>
    <tableColumn id="13694" xr3:uid="{B79BB58F-ECF6-4D14-943A-AC8932908BDC}" name="Column13680" dataDxfId="5850" totalsRowDxfId="5849"/>
    <tableColumn id="13695" xr3:uid="{0914FFDA-AE08-46E4-B496-AFC7991D7145}" name="Column13681" dataDxfId="5848" totalsRowDxfId="5847"/>
    <tableColumn id="13696" xr3:uid="{72F3077C-1ACA-484D-95B1-FDBC8CBDEB8A}" name="Column13682" dataDxfId="5846" totalsRowDxfId="5845"/>
    <tableColumn id="13697" xr3:uid="{3D5A8EB1-8E80-47B3-81A2-570B59FA827E}" name="Column13683" dataDxfId="5844" totalsRowDxfId="5843"/>
    <tableColumn id="13698" xr3:uid="{EFB2B953-E8D2-40F6-84C2-8A7604731FE5}" name="Column13684" dataDxfId="5842" totalsRowDxfId="5841"/>
    <tableColumn id="13699" xr3:uid="{EC6C17FD-C4AA-43D7-A5F0-CE7C3185D718}" name="Column13685" dataDxfId="5840" totalsRowDxfId="5839"/>
    <tableColumn id="13700" xr3:uid="{65A557E8-0C6A-4BDF-BE3E-E67D0C8746DC}" name="Column13686" dataDxfId="5838" totalsRowDxfId="5837"/>
    <tableColumn id="13701" xr3:uid="{D5FC8EFF-0A46-48B9-A934-B545D9FA3F7D}" name="Column13687" dataDxfId="5836" totalsRowDxfId="5835"/>
    <tableColumn id="13702" xr3:uid="{B18E3026-4FC4-4F9F-9339-F5DEDAC11C7F}" name="Column13688" dataDxfId="5834" totalsRowDxfId="5833"/>
    <tableColumn id="13703" xr3:uid="{031884C1-111B-433B-BB85-A6FB3D99C24E}" name="Column13689" dataDxfId="5832" totalsRowDxfId="5831"/>
    <tableColumn id="13704" xr3:uid="{066C3721-B3B8-499D-8592-FC7E6645D4E2}" name="Column13690" dataDxfId="5830" totalsRowDxfId="5829"/>
    <tableColumn id="13705" xr3:uid="{231B0061-30CB-40CD-B3E4-F6ACFFBBD68D}" name="Column13691" dataDxfId="5828" totalsRowDxfId="5827"/>
    <tableColumn id="13706" xr3:uid="{EC1257B5-683D-4781-A55B-11ABB0DBB343}" name="Column13692" dataDxfId="5826" totalsRowDxfId="5825"/>
    <tableColumn id="13707" xr3:uid="{13617389-699E-4498-9210-3E48B6468869}" name="Column13693" dataDxfId="5824" totalsRowDxfId="5823"/>
    <tableColumn id="13708" xr3:uid="{19EED409-36FB-4699-9EED-0692147AA1EA}" name="Column13694" dataDxfId="5822" totalsRowDxfId="5821"/>
    <tableColumn id="13709" xr3:uid="{A0FEDD1B-ABF6-48D4-8F8C-246C5F61CE7D}" name="Column13695" dataDxfId="5820" totalsRowDxfId="5819"/>
    <tableColumn id="13710" xr3:uid="{F4CD715C-2F09-4027-ACA0-F0B941E87A57}" name="Column13696" dataDxfId="5818" totalsRowDxfId="5817"/>
    <tableColumn id="13711" xr3:uid="{B676380A-AF48-4CC2-A815-A58F461A62A3}" name="Column13697" dataDxfId="5816" totalsRowDxfId="5815"/>
    <tableColumn id="13712" xr3:uid="{521F1F0C-D657-4D2F-9004-DF4D7F2179C1}" name="Column13698" dataDxfId="5814" totalsRowDxfId="5813"/>
    <tableColumn id="13713" xr3:uid="{E6B8B1AE-F0A4-4D19-A2E8-6A4ADF62CFCD}" name="Column13699" dataDxfId="5812" totalsRowDxfId="5811"/>
    <tableColumn id="13714" xr3:uid="{65B1B56D-6649-402E-95D4-1D37C7B61634}" name="Column13700" dataDxfId="5810" totalsRowDxfId="5809"/>
    <tableColumn id="13715" xr3:uid="{896C1409-53B2-4167-906E-0110394B978F}" name="Column13701" dataDxfId="5808" totalsRowDxfId="5807"/>
    <tableColumn id="13716" xr3:uid="{D06B9CD3-EA58-49A0-9CDB-11EFD7F732CD}" name="Column13702" dataDxfId="5806" totalsRowDxfId="5805"/>
    <tableColumn id="13717" xr3:uid="{B1449B08-5238-446C-83D7-ADD057FEF008}" name="Column13703" dataDxfId="5804" totalsRowDxfId="5803"/>
    <tableColumn id="13718" xr3:uid="{41E0FAE0-FE6A-48C9-A825-BF06E41A8801}" name="Column13704" dataDxfId="5802" totalsRowDxfId="5801"/>
    <tableColumn id="13719" xr3:uid="{1A38DC40-2A37-40CE-847F-A71CF8C5F08F}" name="Column13705" dataDxfId="5800" totalsRowDxfId="5799"/>
    <tableColumn id="13720" xr3:uid="{239D0BFB-C72D-48A2-B447-CFA5D478F3C8}" name="Column13706" dataDxfId="5798" totalsRowDxfId="5797"/>
    <tableColumn id="13721" xr3:uid="{3192C3C2-FA43-4025-8AF8-5F280A42D718}" name="Column13707" dataDxfId="5796" totalsRowDxfId="5795"/>
    <tableColumn id="13722" xr3:uid="{B9317932-828D-4433-A7FE-CE208AD6D0A7}" name="Column13708" dataDxfId="5794" totalsRowDxfId="5793"/>
    <tableColumn id="13723" xr3:uid="{BA4E64DA-4037-4488-AD4C-CF8FA9DA7F5B}" name="Column13709" dataDxfId="5792" totalsRowDxfId="5791"/>
    <tableColumn id="13724" xr3:uid="{5A0C9C18-AF0B-44A4-B449-A7AF5F7E4862}" name="Column13710" dataDxfId="5790" totalsRowDxfId="5789"/>
    <tableColumn id="13725" xr3:uid="{344BB5F4-B030-4D4F-9A74-980DEA38D9E8}" name="Column13711" dataDxfId="5788" totalsRowDxfId="5787"/>
    <tableColumn id="13726" xr3:uid="{E932B273-E628-446C-A159-F680EFD1ACDC}" name="Column13712" dataDxfId="5786" totalsRowDxfId="5785"/>
    <tableColumn id="13727" xr3:uid="{65EEDD0C-124F-4BAC-A044-0C943B55BAC1}" name="Column13713" dataDxfId="5784" totalsRowDxfId="5783"/>
    <tableColumn id="13728" xr3:uid="{03C3D083-F30B-4D06-91E0-7D7DF7ED164D}" name="Column13714" dataDxfId="5782" totalsRowDxfId="5781"/>
    <tableColumn id="13729" xr3:uid="{0CF0A8C4-DBDD-43F8-9878-7C889D2FD11C}" name="Column13715" dataDxfId="5780" totalsRowDxfId="5779"/>
    <tableColumn id="13730" xr3:uid="{ACB4C97F-03EB-426E-B492-E7C75B544CD2}" name="Column13716" dataDxfId="5778" totalsRowDxfId="5777"/>
    <tableColumn id="13731" xr3:uid="{87E0B04F-50CE-4D5E-BF1D-1CFB42419104}" name="Column13717" dataDxfId="5776" totalsRowDxfId="5775"/>
    <tableColumn id="13732" xr3:uid="{F195000B-D698-4D0E-A6AE-7ACD05A3278C}" name="Column13718" dataDxfId="5774" totalsRowDxfId="5773"/>
    <tableColumn id="13733" xr3:uid="{B6ADB3CF-1521-481F-86B6-4D633B89EFA9}" name="Column13719" dataDxfId="5772" totalsRowDxfId="5771"/>
    <tableColumn id="13734" xr3:uid="{3440B790-CDCB-422D-BA64-6618BC67DBA2}" name="Column13720" dataDxfId="5770" totalsRowDxfId="5769"/>
    <tableColumn id="13735" xr3:uid="{593425C2-15E8-455C-B40F-7C37C0FC2683}" name="Column13721" dataDxfId="5768" totalsRowDxfId="5767"/>
    <tableColumn id="13736" xr3:uid="{04E536D7-AB88-4729-A565-F30B97A1A699}" name="Column13722" dataDxfId="5766" totalsRowDxfId="5765"/>
    <tableColumn id="13737" xr3:uid="{9FCC761F-5FAD-43C7-A881-D2FC38F92DF7}" name="Column13723" dataDxfId="5764" totalsRowDxfId="5763"/>
    <tableColumn id="13738" xr3:uid="{94280E71-507E-4EC5-9F30-64C9BDA88109}" name="Column13724" dataDxfId="5762" totalsRowDxfId="5761"/>
    <tableColumn id="13739" xr3:uid="{8BFBD7EB-832F-4AFB-8208-FD9840B025E4}" name="Column13725" dataDxfId="5760" totalsRowDxfId="5759"/>
    <tableColumn id="13740" xr3:uid="{4F2F70EA-3C00-4830-933B-2DE5CAF5B159}" name="Column13726" dataDxfId="5758" totalsRowDxfId="5757"/>
    <tableColumn id="13741" xr3:uid="{21C8AE36-4207-49B8-B815-0FFE20145B38}" name="Column13727" dataDxfId="5756" totalsRowDxfId="5755"/>
    <tableColumn id="13742" xr3:uid="{717A7C62-6671-443B-9746-79AD0E9C3DCE}" name="Column13728" dataDxfId="5754" totalsRowDxfId="5753"/>
    <tableColumn id="13743" xr3:uid="{FD19B33B-38E0-4B6B-A8DB-E3AC7D7D61BA}" name="Column13729" dataDxfId="5752" totalsRowDxfId="5751"/>
    <tableColumn id="13744" xr3:uid="{85192F25-5507-4C25-A0EE-4995B02236B1}" name="Column13730" dataDxfId="5750" totalsRowDxfId="5749"/>
    <tableColumn id="13745" xr3:uid="{A699B9A5-8F68-42F3-BAFD-CC88ED7F2152}" name="Column13731" dataDxfId="5748" totalsRowDxfId="5747"/>
    <tableColumn id="13746" xr3:uid="{A4D24530-D326-4752-9013-678488FFFA07}" name="Column13732" dataDxfId="5746" totalsRowDxfId="5745"/>
    <tableColumn id="13747" xr3:uid="{3063F47F-8B76-4346-92D8-9EDF52D57726}" name="Column13733" dataDxfId="5744" totalsRowDxfId="5743"/>
    <tableColumn id="13748" xr3:uid="{E7EE27E1-E3E3-4F18-A78D-2837C781253A}" name="Column13734" dataDxfId="5742" totalsRowDxfId="5741"/>
    <tableColumn id="13749" xr3:uid="{4FCC098E-4121-455D-AF1B-56D87D7DABE1}" name="Column13735" dataDxfId="5740" totalsRowDxfId="5739"/>
    <tableColumn id="13750" xr3:uid="{E610A845-BD74-47F9-8ABE-DD40FB9C15B0}" name="Column13736" dataDxfId="5738" totalsRowDxfId="5737"/>
    <tableColumn id="13751" xr3:uid="{02E6D398-3366-408E-B98D-71E838A48557}" name="Column13737" dataDxfId="5736" totalsRowDxfId="5735"/>
    <tableColumn id="13752" xr3:uid="{020C5751-96C3-4902-8A45-F985879CA1FF}" name="Column13738" dataDxfId="5734" totalsRowDxfId="5733"/>
    <tableColumn id="13753" xr3:uid="{F093825A-6087-4FBB-856C-FF1AE1B59012}" name="Column13739" dataDxfId="5732" totalsRowDxfId="5731"/>
    <tableColumn id="13754" xr3:uid="{EEBA894E-0726-4B34-9B5F-C05E3D18928F}" name="Column13740" dataDxfId="5730" totalsRowDxfId="5729"/>
    <tableColumn id="13755" xr3:uid="{254CE590-26DC-4028-BF1F-16AF4852B460}" name="Column13741" dataDxfId="5728" totalsRowDxfId="5727"/>
    <tableColumn id="13756" xr3:uid="{717AA868-ECC7-48F0-82DD-3585A14D3814}" name="Column13742" dataDxfId="5726" totalsRowDxfId="5725"/>
    <tableColumn id="13757" xr3:uid="{DDF87800-22BF-4EBA-B3AD-4B25E95067CD}" name="Column13743" dataDxfId="5724" totalsRowDxfId="5723"/>
    <tableColumn id="13758" xr3:uid="{5CD47E6C-A8CE-4D70-8A0D-2B22D28CD7F5}" name="Column13744" dataDxfId="5722" totalsRowDxfId="5721"/>
    <tableColumn id="13759" xr3:uid="{DCFB92B8-E274-4155-97EF-CC03CED0D927}" name="Column13745" dataDxfId="5720" totalsRowDxfId="5719"/>
    <tableColumn id="13760" xr3:uid="{40569438-1E89-462C-B385-481A3C53A726}" name="Column13746" dataDxfId="5718" totalsRowDxfId="5717"/>
    <tableColumn id="13761" xr3:uid="{A66156EC-C3E4-4FB9-A44F-AB091D6BBDC1}" name="Column13747" dataDxfId="5716" totalsRowDxfId="5715"/>
    <tableColumn id="13762" xr3:uid="{6F7DC3A5-A1C5-4108-973F-B26220D1123B}" name="Column13748" dataDxfId="5714" totalsRowDxfId="5713"/>
    <tableColumn id="13763" xr3:uid="{DF9F1A5E-8ACF-4946-94B9-FFD973B334A2}" name="Column13749" dataDxfId="5712" totalsRowDxfId="5711"/>
    <tableColumn id="13764" xr3:uid="{FB2A8971-7800-443B-A9E5-4D35C3412E82}" name="Column13750" dataDxfId="5710" totalsRowDxfId="5709"/>
    <tableColumn id="13765" xr3:uid="{F09F9591-E7DA-4CDF-9F09-BF69D687183F}" name="Column13751" dataDxfId="5708" totalsRowDxfId="5707"/>
    <tableColumn id="13766" xr3:uid="{D48197AC-9B8F-4785-BD06-85F71C7CB947}" name="Column13752" dataDxfId="5706" totalsRowDxfId="5705"/>
    <tableColumn id="13767" xr3:uid="{F3EF6E36-2CFD-442A-926B-77A45D6AEA12}" name="Column13753" dataDxfId="5704" totalsRowDxfId="5703"/>
    <tableColumn id="13768" xr3:uid="{339E270A-7F9C-4E39-8CD5-AE746FE33606}" name="Column13754" dataDxfId="5702" totalsRowDxfId="5701"/>
    <tableColumn id="13769" xr3:uid="{B2FB6CBF-2593-4791-AE5D-8BD46CDC5A60}" name="Column13755" dataDxfId="5700" totalsRowDxfId="5699"/>
    <tableColumn id="13770" xr3:uid="{040703E8-072F-4A18-ABBA-014A15DABDAB}" name="Column13756" dataDxfId="5698" totalsRowDxfId="5697"/>
    <tableColumn id="13771" xr3:uid="{7732387A-0B30-45E0-90AB-42EA954DD995}" name="Column13757" dataDxfId="5696" totalsRowDxfId="5695"/>
    <tableColumn id="13772" xr3:uid="{7820C6CA-ECB0-4CA1-8785-4CE9438E687D}" name="Column13758" dataDxfId="5694" totalsRowDxfId="5693"/>
    <tableColumn id="13773" xr3:uid="{513A6AB9-256D-4DAC-AD87-A1270A90A60C}" name="Column13759" dataDxfId="5692" totalsRowDxfId="5691"/>
    <tableColumn id="13774" xr3:uid="{A751B15E-6AC9-4B98-AB49-EDBD81654D7B}" name="Column13760" dataDxfId="5690" totalsRowDxfId="5689"/>
    <tableColumn id="13775" xr3:uid="{7F815AF4-5B93-4EFF-B97C-7FF269FDA709}" name="Column13761" dataDxfId="5688" totalsRowDxfId="5687"/>
    <tableColumn id="13776" xr3:uid="{10436C1C-A2CF-4012-B8D9-55609F3D63DB}" name="Column13762" dataDxfId="5686" totalsRowDxfId="5685"/>
    <tableColumn id="13777" xr3:uid="{A7E77080-028C-4199-B6E3-A96249399E0F}" name="Column13763" dataDxfId="5684" totalsRowDxfId="5683"/>
    <tableColumn id="13778" xr3:uid="{41A77B24-52E8-4E10-87BA-BED2A51D0ECC}" name="Column13764" dataDxfId="5682" totalsRowDxfId="5681"/>
    <tableColumn id="13779" xr3:uid="{828BF9CD-FB7B-4507-ACD3-37701EF7BCE9}" name="Column13765" dataDxfId="5680" totalsRowDxfId="5679"/>
    <tableColumn id="13780" xr3:uid="{D6702461-BF19-48B4-856D-B04A92EB6573}" name="Column13766" dataDxfId="5678" totalsRowDxfId="5677"/>
    <tableColumn id="13781" xr3:uid="{A8EB7B16-7BC8-446B-B7C4-2536EDF054BB}" name="Column13767" dataDxfId="5676" totalsRowDxfId="5675"/>
    <tableColumn id="13782" xr3:uid="{5935906C-DCCE-4A7C-9043-826523EF77D6}" name="Column13768" dataDxfId="5674" totalsRowDxfId="5673"/>
    <tableColumn id="13783" xr3:uid="{85FC7D63-C072-4603-AD29-69129347A7B2}" name="Column13769" dataDxfId="5672" totalsRowDxfId="5671"/>
    <tableColumn id="13784" xr3:uid="{7D584E43-7EE5-4AA7-BDB8-DFC0F22F8E74}" name="Column13770" dataDxfId="5670" totalsRowDxfId="5669"/>
    <tableColumn id="13785" xr3:uid="{52D458E1-F8C6-471E-A6E3-1F825CEC08D5}" name="Column13771" dataDxfId="5668" totalsRowDxfId="5667"/>
    <tableColumn id="13786" xr3:uid="{C73CEB3E-7E7E-411A-AB06-B7F11A2E494C}" name="Column13772" dataDxfId="5666" totalsRowDxfId="5665"/>
    <tableColumn id="13787" xr3:uid="{D151F706-2C54-46FA-A4DF-FD7F23A3F6BC}" name="Column13773" dataDxfId="5664" totalsRowDxfId="5663"/>
    <tableColumn id="13788" xr3:uid="{EB9A55A7-8308-4C3F-AEC5-0F0EF1D5E399}" name="Column13774" dataDxfId="5662" totalsRowDxfId="5661"/>
    <tableColumn id="13789" xr3:uid="{F07C4B17-CF6B-4EFA-B635-D5247DEC28BB}" name="Column13775" dataDxfId="5660" totalsRowDxfId="5659"/>
    <tableColumn id="13790" xr3:uid="{A69B85B0-B549-42F8-BDB4-0050EDC2E286}" name="Column13776" dataDxfId="5658" totalsRowDxfId="5657"/>
    <tableColumn id="13791" xr3:uid="{0FB71CD8-3DC4-429B-B831-68D624237F09}" name="Column13777" dataDxfId="5656" totalsRowDxfId="5655"/>
    <tableColumn id="13792" xr3:uid="{CE1E4FEE-B4AA-431B-955D-BA2FBED11216}" name="Column13778" dataDxfId="5654" totalsRowDxfId="5653"/>
    <tableColumn id="13793" xr3:uid="{71C0B381-7EF0-4959-BB9A-5E8A3AC93806}" name="Column13779" dataDxfId="5652" totalsRowDxfId="5651"/>
    <tableColumn id="13794" xr3:uid="{2742B1BA-6E68-4BEB-990C-6BE9EFF51FF6}" name="Column13780" dataDxfId="5650" totalsRowDxfId="5649"/>
    <tableColumn id="13795" xr3:uid="{DB1EDCD7-4ADE-4496-B978-37925F868283}" name="Column13781" dataDxfId="5648" totalsRowDxfId="5647"/>
    <tableColumn id="13796" xr3:uid="{87BBEA9E-4D5C-45E3-A927-19358333A259}" name="Column13782" dataDxfId="5646" totalsRowDxfId="5645"/>
    <tableColumn id="13797" xr3:uid="{993AAAC7-EB99-4E3A-8943-43B6439DD823}" name="Column13783" dataDxfId="5644" totalsRowDxfId="5643"/>
    <tableColumn id="13798" xr3:uid="{129457B4-2C7C-4E1E-8348-0B1940A040F8}" name="Column13784" dataDxfId="5642" totalsRowDxfId="5641"/>
    <tableColumn id="13799" xr3:uid="{E3D08791-D5B1-4FDC-9FFE-779D9D02BA0C}" name="Column13785" dataDxfId="5640" totalsRowDxfId="5639"/>
    <tableColumn id="13800" xr3:uid="{4A2EC743-B148-4CC9-82CD-6DE3E5E2A403}" name="Column13786" dataDxfId="5638" totalsRowDxfId="5637"/>
    <tableColumn id="13801" xr3:uid="{5166D7B6-4842-497B-8795-3504876E428B}" name="Column13787" dataDxfId="5636" totalsRowDxfId="5635"/>
    <tableColumn id="13802" xr3:uid="{C745200D-A2D2-4AB3-9E9C-0883E1949965}" name="Column13788" dataDxfId="5634" totalsRowDxfId="5633"/>
    <tableColumn id="13803" xr3:uid="{FC62FDB7-5FC4-48E3-BD0A-BF6DE7088DB3}" name="Column13789" dataDxfId="5632" totalsRowDxfId="5631"/>
    <tableColumn id="13804" xr3:uid="{A7432EBE-143A-4092-AE12-90F74F0C87C1}" name="Column13790" dataDxfId="5630" totalsRowDxfId="5629"/>
    <tableColumn id="13805" xr3:uid="{2168DC29-8B35-4F57-864F-E104C239B21D}" name="Column13791" dataDxfId="5628" totalsRowDxfId="5627"/>
    <tableColumn id="13806" xr3:uid="{C76F4E74-66BD-47E8-80D0-555D71F4FAF9}" name="Column13792" dataDxfId="5626" totalsRowDxfId="5625"/>
    <tableColumn id="13807" xr3:uid="{5DB85441-458F-400B-8A6D-532AEB66D006}" name="Column13793" dataDxfId="5624" totalsRowDxfId="5623"/>
    <tableColumn id="13808" xr3:uid="{749DACA5-098D-4424-A7AC-A80A3597EC7B}" name="Column13794" dataDxfId="5622" totalsRowDxfId="5621"/>
    <tableColumn id="13809" xr3:uid="{FCAFB304-C251-4233-8245-FF2F60257CC4}" name="Column13795" dataDxfId="5620" totalsRowDxfId="5619"/>
    <tableColumn id="13810" xr3:uid="{C88AF036-F293-4567-B483-BC87B1192009}" name="Column13796" dataDxfId="5618" totalsRowDxfId="5617"/>
    <tableColumn id="13811" xr3:uid="{B21805D8-A22A-4278-8908-9F3A774A036C}" name="Column13797" dataDxfId="5616" totalsRowDxfId="5615"/>
    <tableColumn id="13812" xr3:uid="{4D2743B9-D1AC-45F7-89FB-C6A898500977}" name="Column13798" dataDxfId="5614" totalsRowDxfId="5613"/>
    <tableColumn id="13813" xr3:uid="{D5BE2858-8A0D-4D32-97FF-596E99D43A84}" name="Column13799" dataDxfId="5612" totalsRowDxfId="5611"/>
    <tableColumn id="13814" xr3:uid="{D393A5F6-C52B-42B4-8938-D68CA477A37E}" name="Column13800" dataDxfId="5610" totalsRowDxfId="5609"/>
    <tableColumn id="13815" xr3:uid="{4F89C6CA-00F9-4A2B-89C5-772B9C7BA1A5}" name="Column13801" dataDxfId="5608" totalsRowDxfId="5607"/>
    <tableColumn id="13816" xr3:uid="{E75BE3D8-2512-4D38-9930-A344321EE259}" name="Column13802" dataDxfId="5606" totalsRowDxfId="5605"/>
    <tableColumn id="13817" xr3:uid="{14C3DFBA-9680-4533-BED7-220F73949A0E}" name="Column13803" dataDxfId="5604" totalsRowDxfId="5603"/>
    <tableColumn id="13818" xr3:uid="{EF86AA13-9A6B-438D-A4D7-7204A5F5DC9B}" name="Column13804" dataDxfId="5602" totalsRowDxfId="5601"/>
    <tableColumn id="13819" xr3:uid="{49EC56B0-2453-4608-BBAF-6662DA08A4AF}" name="Column13805" dataDxfId="5600" totalsRowDxfId="5599"/>
    <tableColumn id="13820" xr3:uid="{1189BCA2-E998-43A3-AD10-D8ED6FBDFCE8}" name="Column13806" dataDxfId="5598" totalsRowDxfId="5597"/>
    <tableColumn id="13821" xr3:uid="{41FA5057-8220-4D9F-AFBA-DE8D007EBAF4}" name="Column13807" dataDxfId="5596" totalsRowDxfId="5595"/>
    <tableColumn id="13822" xr3:uid="{C886DFA0-CB96-4506-B0C4-81EBBFB3AB4C}" name="Column13808" dataDxfId="5594" totalsRowDxfId="5593"/>
    <tableColumn id="13823" xr3:uid="{3C2942D0-6259-4091-9062-FE273AA2ADD6}" name="Column13809" dataDxfId="5592" totalsRowDxfId="5591"/>
    <tableColumn id="13824" xr3:uid="{64CA2C1C-132A-405C-BB8B-D9FA8798C281}" name="Column13810" dataDxfId="5590" totalsRowDxfId="5589"/>
    <tableColumn id="13825" xr3:uid="{97EEADC4-8681-4707-881D-0145C28C1B99}" name="Column13811" dataDxfId="5588" totalsRowDxfId="5587"/>
    <tableColumn id="13826" xr3:uid="{8D3564F0-0E3F-4487-902E-71F53ADB8318}" name="Column13812" dataDxfId="5586" totalsRowDxfId="5585"/>
    <tableColumn id="13827" xr3:uid="{1EEC4210-93C0-4231-B80F-EE47DC3EAC90}" name="Column13813" dataDxfId="5584" totalsRowDxfId="5583"/>
    <tableColumn id="13828" xr3:uid="{248E461D-78C1-485C-9990-804863F9D6A9}" name="Column13814" dataDxfId="5582" totalsRowDxfId="5581"/>
    <tableColumn id="13829" xr3:uid="{3599E0AD-8AEF-42AF-BFBE-DA6CA3BF797D}" name="Column13815" dataDxfId="5580" totalsRowDxfId="5579"/>
    <tableColumn id="13830" xr3:uid="{8C78C7B9-1D46-4D34-97FE-366207339EC5}" name="Column13816" dataDxfId="5578" totalsRowDxfId="5577"/>
    <tableColumn id="13831" xr3:uid="{596C0FA4-FD49-4DD4-94BD-089B8D82428B}" name="Column13817" dataDxfId="5576" totalsRowDxfId="5575"/>
    <tableColumn id="13832" xr3:uid="{94348A75-F3DC-4C6B-B573-14B2048505EA}" name="Column13818" dataDxfId="5574" totalsRowDxfId="5573"/>
    <tableColumn id="13833" xr3:uid="{EA133281-4E54-4304-B87B-BA1AEF5DC4FE}" name="Column13819" dataDxfId="5572" totalsRowDxfId="5571"/>
    <tableColumn id="13834" xr3:uid="{F8BB9BA6-8C9A-4886-9357-552BF8FD4D6D}" name="Column13820" dataDxfId="5570" totalsRowDxfId="5569"/>
    <tableColumn id="13835" xr3:uid="{444BBD8E-9B73-4668-82B4-574AE7C1A40E}" name="Column13821" dataDxfId="5568" totalsRowDxfId="5567"/>
    <tableColumn id="13836" xr3:uid="{2976A4FA-60AA-424E-93AE-0915575C082F}" name="Column13822" dataDxfId="5566" totalsRowDxfId="5565"/>
    <tableColumn id="13837" xr3:uid="{18D1E9C0-6AC8-49AC-8826-4B011C5810E6}" name="Column13823" dataDxfId="5564" totalsRowDxfId="5563"/>
    <tableColumn id="13838" xr3:uid="{D7D69FB9-2C34-4710-A1D7-5D66973D2219}" name="Column13824" dataDxfId="5562" totalsRowDxfId="5561"/>
    <tableColumn id="13839" xr3:uid="{E0B88D27-B446-43C9-AF26-BD84ABC796E8}" name="Column13825" dataDxfId="5560" totalsRowDxfId="5559"/>
    <tableColumn id="13840" xr3:uid="{41A2FB80-F90A-461F-AE5E-23D6295FE674}" name="Column13826" dataDxfId="5558" totalsRowDxfId="5557"/>
    <tableColumn id="13841" xr3:uid="{B83E2555-5FBB-4662-A21B-3B620A2B8744}" name="Column13827" dataDxfId="5556" totalsRowDxfId="5555"/>
    <tableColumn id="13842" xr3:uid="{ADF4DB8E-5607-442A-ABB0-16CDAEE40D66}" name="Column13828" dataDxfId="5554" totalsRowDxfId="5553"/>
    <tableColumn id="13843" xr3:uid="{AC427D50-1440-4C6E-833B-03460690A35B}" name="Column13829" dataDxfId="5552" totalsRowDxfId="5551"/>
    <tableColumn id="13844" xr3:uid="{0CEEF9CE-E2AF-4F97-80B4-9D665620D56B}" name="Column13830" dataDxfId="5550" totalsRowDxfId="5549"/>
    <tableColumn id="13845" xr3:uid="{E6102C93-27E0-4244-9233-A5126D06C4B7}" name="Column13831" dataDxfId="5548" totalsRowDxfId="5547"/>
    <tableColumn id="13846" xr3:uid="{AF05B062-FB31-4044-95F8-97C7E325F28F}" name="Column13832" dataDxfId="5546" totalsRowDxfId="5545"/>
    <tableColumn id="13847" xr3:uid="{9216EE36-7A21-412C-A776-4D10076D1379}" name="Column13833" dataDxfId="5544" totalsRowDxfId="5543"/>
    <tableColumn id="13848" xr3:uid="{DCDC60CB-5DD1-42CF-B816-A0F5812C0BC6}" name="Column13834" dataDxfId="5542" totalsRowDxfId="5541"/>
    <tableColumn id="13849" xr3:uid="{AF397EDD-29FA-4B33-B937-8042FEB57DD1}" name="Column13835" dataDxfId="5540" totalsRowDxfId="5539"/>
    <tableColumn id="13850" xr3:uid="{A61F5E29-2C87-4E99-970E-2C94962CD8CA}" name="Column13836" dataDxfId="5538" totalsRowDxfId="5537"/>
    <tableColumn id="13851" xr3:uid="{9759993F-0404-42D9-A938-5D343B554EC8}" name="Column13837" dataDxfId="5536" totalsRowDxfId="5535"/>
    <tableColumn id="13852" xr3:uid="{18834B6D-2554-4F7D-B160-9EDA50D32697}" name="Column13838" dataDxfId="5534" totalsRowDxfId="5533"/>
    <tableColumn id="13853" xr3:uid="{61E4C07F-E0E3-4650-945C-C1AB2FF0A0AF}" name="Column13839" dataDxfId="5532" totalsRowDxfId="5531"/>
    <tableColumn id="13854" xr3:uid="{E4F4964F-EE33-483A-8E5B-F68BA5A86F3F}" name="Column13840" dataDxfId="5530" totalsRowDxfId="5529"/>
    <tableColumn id="13855" xr3:uid="{CD09A04A-9572-4396-8BA0-68F942F629E3}" name="Column13841" dataDxfId="5528" totalsRowDxfId="5527"/>
    <tableColumn id="13856" xr3:uid="{985F3312-A87F-4EFC-A551-3F3C1EDDF1E4}" name="Column13842" dataDxfId="5526" totalsRowDxfId="5525"/>
    <tableColumn id="13857" xr3:uid="{3DFACF18-50C8-4EF0-B548-347F4D95C8DF}" name="Column13843" dataDxfId="5524" totalsRowDxfId="5523"/>
    <tableColumn id="13858" xr3:uid="{1CA3D8FD-6352-4750-912D-49E0AC4C9457}" name="Column13844" dataDxfId="5522" totalsRowDxfId="5521"/>
    <tableColumn id="13859" xr3:uid="{0BB7D57D-28F7-4570-8ED3-6F3CDD18B34E}" name="Column13845" dataDxfId="5520" totalsRowDxfId="5519"/>
    <tableColumn id="13860" xr3:uid="{2C24F8E7-492B-43BE-BFA5-46862319E4A6}" name="Column13846" dataDxfId="5518" totalsRowDxfId="5517"/>
    <tableColumn id="13861" xr3:uid="{77BA3A66-53EA-48A5-9541-CE7945BBCF83}" name="Column13847" dataDxfId="5516" totalsRowDxfId="5515"/>
    <tableColumn id="13862" xr3:uid="{63792DA7-8305-4F5C-A70C-C863DDAE09A6}" name="Column13848" dataDxfId="5514" totalsRowDxfId="5513"/>
    <tableColumn id="13863" xr3:uid="{04AC8963-AEB6-4177-8646-92761F53ED28}" name="Column13849" dataDxfId="5512" totalsRowDxfId="5511"/>
    <tableColumn id="13864" xr3:uid="{AAA7A9C8-BFFD-4668-BAAA-2902C2255F80}" name="Column13850" dataDxfId="5510" totalsRowDxfId="5509"/>
    <tableColumn id="13865" xr3:uid="{7ABCF0BF-09A5-47F0-B903-CC01A0ADCCA3}" name="Column13851" dataDxfId="5508" totalsRowDxfId="5507"/>
    <tableColumn id="13866" xr3:uid="{0EDA9B95-C337-4592-97E3-64D75552C0CB}" name="Column13852" dataDxfId="5506" totalsRowDxfId="5505"/>
    <tableColumn id="13867" xr3:uid="{EC4AB77D-66AB-4659-B736-48E06A07414B}" name="Column13853" dataDxfId="5504" totalsRowDxfId="5503"/>
    <tableColumn id="13868" xr3:uid="{B946D8C7-848F-4AB7-ADA2-517E8ADDD9C5}" name="Column13854" dataDxfId="5502" totalsRowDxfId="5501"/>
    <tableColumn id="13869" xr3:uid="{006D5906-EF7E-4782-A2E6-33EE23427444}" name="Column13855" dataDxfId="5500" totalsRowDxfId="5499"/>
    <tableColumn id="13870" xr3:uid="{4CB27CBC-804D-4916-95A5-E3B9DF47FB3B}" name="Column13856" dataDxfId="5498" totalsRowDxfId="5497"/>
    <tableColumn id="13871" xr3:uid="{FC2A2E93-39CF-4A1F-9740-17F0BE1D9A76}" name="Column13857" dataDxfId="5496" totalsRowDxfId="5495"/>
    <tableColumn id="13872" xr3:uid="{C6ADB81F-7056-47E2-A2DE-12FE5BB95E41}" name="Column13858" dataDxfId="5494" totalsRowDxfId="5493"/>
    <tableColumn id="13873" xr3:uid="{E8A662F7-7CA8-4F11-BCF7-417EB36C6385}" name="Column13859" dataDxfId="5492" totalsRowDxfId="5491"/>
    <tableColumn id="13874" xr3:uid="{8DDF938D-98F3-48FF-9390-2A724887A840}" name="Column13860" dataDxfId="5490" totalsRowDxfId="5489"/>
    <tableColumn id="13875" xr3:uid="{4B40722D-F443-483E-A6A3-65FCE1A28B79}" name="Column13861" dataDxfId="5488" totalsRowDxfId="5487"/>
    <tableColumn id="13876" xr3:uid="{B1B3F843-D756-4967-A601-6733BD3F9BA5}" name="Column13862" dataDxfId="5486" totalsRowDxfId="5485"/>
    <tableColumn id="13877" xr3:uid="{7BE9FCC6-46F7-488A-8020-68F5DDB719BB}" name="Column13863" dataDxfId="5484" totalsRowDxfId="5483"/>
    <tableColumn id="13878" xr3:uid="{414CB80F-E4AB-4346-BA6E-0C66CBF36A8C}" name="Column13864" dataDxfId="5482" totalsRowDxfId="5481"/>
    <tableColumn id="13879" xr3:uid="{D9EDF9B5-23F2-4755-A537-19B13A4FCCFD}" name="Column13865" dataDxfId="5480" totalsRowDxfId="5479"/>
    <tableColumn id="13880" xr3:uid="{56C7240A-1055-4236-A83B-6FE03BED0B7B}" name="Column13866" dataDxfId="5478" totalsRowDxfId="5477"/>
    <tableColumn id="13881" xr3:uid="{C26B2584-7A99-4A25-B8B3-A79A8D5F50A0}" name="Column13867" dataDxfId="5476" totalsRowDxfId="5475"/>
    <tableColumn id="13882" xr3:uid="{22AED308-67AB-4FB5-9CFF-A9DB2123AD7F}" name="Column13868" dataDxfId="5474" totalsRowDxfId="5473"/>
    <tableColumn id="13883" xr3:uid="{CDB875CE-D292-4C2B-B4A9-CF08567CFFE4}" name="Column13869" dataDxfId="5472" totalsRowDxfId="5471"/>
    <tableColumn id="13884" xr3:uid="{C477BC2D-6C2D-468C-AA55-0256B4673D0C}" name="Column13870" dataDxfId="5470" totalsRowDxfId="5469"/>
    <tableColumn id="13885" xr3:uid="{98936DD0-991B-4F4E-9BDF-E06AB007238A}" name="Column13871" dataDxfId="5468" totalsRowDxfId="5467"/>
    <tableColumn id="13886" xr3:uid="{EF08A279-5D53-428C-87C1-90C3EB462E37}" name="Column13872" dataDxfId="5466" totalsRowDxfId="5465"/>
    <tableColumn id="13887" xr3:uid="{2D55FF0D-759F-484A-BE46-60B1F541E9EF}" name="Column13873" dataDxfId="5464" totalsRowDxfId="5463"/>
    <tableColumn id="13888" xr3:uid="{64333081-194A-4CC5-A9E9-7C93A7CE54B0}" name="Column13874" dataDxfId="5462" totalsRowDxfId="5461"/>
    <tableColumn id="13889" xr3:uid="{1A459AA4-76DD-4D72-AEC7-D3E1E8AEE1F5}" name="Column13875" dataDxfId="5460" totalsRowDxfId="5459"/>
    <tableColumn id="13890" xr3:uid="{D76655F4-1B4A-4D8A-8ACD-5ABB6B29DD17}" name="Column13876" dataDxfId="5458" totalsRowDxfId="5457"/>
    <tableColumn id="13891" xr3:uid="{7B53443D-77CB-4892-87DF-FDA5267CD6D7}" name="Column13877" dataDxfId="5456" totalsRowDxfId="5455"/>
    <tableColumn id="13892" xr3:uid="{C774217F-F2F4-422E-B8C6-AC5F83E45C1D}" name="Column13878" dataDxfId="5454" totalsRowDxfId="5453"/>
    <tableColumn id="13893" xr3:uid="{819FC764-4B0F-4430-A8E8-BF32E77DEA66}" name="Column13879" dataDxfId="5452" totalsRowDxfId="5451"/>
    <tableColumn id="13894" xr3:uid="{E193E52E-F270-4626-8B53-BF5690DE063E}" name="Column13880" dataDxfId="5450" totalsRowDxfId="5449"/>
    <tableColumn id="13895" xr3:uid="{E88B80D3-17B6-410A-85A2-20F30D4954A0}" name="Column13881" dataDxfId="5448" totalsRowDxfId="5447"/>
    <tableColumn id="13896" xr3:uid="{087AB2BF-9C35-407E-9BB1-891DD277C552}" name="Column13882" dataDxfId="5446" totalsRowDxfId="5445"/>
    <tableColumn id="13897" xr3:uid="{674EB023-5D33-4E7F-ABF9-19F99E53A1D7}" name="Column13883" dataDxfId="5444" totalsRowDxfId="5443"/>
    <tableColumn id="13898" xr3:uid="{246236DA-E97A-456F-9A66-9B7E96291CDB}" name="Column13884" dataDxfId="5442" totalsRowDxfId="5441"/>
    <tableColumn id="13899" xr3:uid="{7C2159AE-64F4-49F0-AB7F-7A6397AE4D80}" name="Column13885" dataDxfId="5440" totalsRowDxfId="5439"/>
    <tableColumn id="13900" xr3:uid="{B7CAEF3B-6ED2-4BA2-A81C-348B3C61BAF9}" name="Column13886" dataDxfId="5438" totalsRowDxfId="5437"/>
    <tableColumn id="13901" xr3:uid="{5B17A3C4-858C-41A1-8E05-9A788A701364}" name="Column13887" dataDxfId="5436" totalsRowDxfId="5435"/>
    <tableColumn id="13902" xr3:uid="{A9E14A50-433C-419A-B041-B193FFB30863}" name="Column13888" dataDxfId="5434" totalsRowDxfId="5433"/>
    <tableColumn id="13903" xr3:uid="{156F7D54-7A46-401B-A35D-1095DAB8CD73}" name="Column13889" dataDxfId="5432" totalsRowDxfId="5431"/>
    <tableColumn id="13904" xr3:uid="{0BE45AEF-E795-433C-BDEC-E5DD3DFCAA4E}" name="Column13890" dataDxfId="5430" totalsRowDxfId="5429"/>
    <tableColumn id="13905" xr3:uid="{DE4310B7-CC6A-46CB-9D18-544BC2132CB7}" name="Column13891" dataDxfId="5428" totalsRowDxfId="5427"/>
    <tableColumn id="13906" xr3:uid="{85C52526-8351-4A61-88AB-0B7D6FA03D50}" name="Column13892" dataDxfId="5426" totalsRowDxfId="5425"/>
    <tableColumn id="13907" xr3:uid="{8E277644-16F3-490C-BEB3-E447D51CFA8A}" name="Column13893" dataDxfId="5424" totalsRowDxfId="5423"/>
    <tableColumn id="13908" xr3:uid="{9749CA1F-A559-4F49-AE8D-5A3642509F3D}" name="Column13894" dataDxfId="5422" totalsRowDxfId="5421"/>
    <tableColumn id="13909" xr3:uid="{8879BF45-9AFF-4477-BFD7-9755CFC7B7F0}" name="Column13895" dataDxfId="5420" totalsRowDxfId="5419"/>
    <tableColumn id="13910" xr3:uid="{C6600090-6E73-48F9-A691-E83C8A9E2DED}" name="Column13896" dataDxfId="5418" totalsRowDxfId="5417"/>
    <tableColumn id="13911" xr3:uid="{BA63F4D6-8B9B-4BD4-88C5-E527151BCEEA}" name="Column13897" dataDxfId="5416" totalsRowDxfId="5415"/>
    <tableColumn id="13912" xr3:uid="{29CF2B9E-79CD-4F16-970D-B9CB153BB5BC}" name="Column13898" dataDxfId="5414" totalsRowDxfId="5413"/>
    <tableColumn id="13913" xr3:uid="{182C044E-361E-453B-801F-07F7CEA81187}" name="Column13899" dataDxfId="5412" totalsRowDxfId="5411"/>
    <tableColumn id="13914" xr3:uid="{F08DBFFD-CA2B-4736-8F07-D8F93E58FAFA}" name="Column13900" dataDxfId="5410" totalsRowDxfId="5409"/>
    <tableColumn id="13915" xr3:uid="{D5AD2FB3-2A85-405F-92D0-25223BB01C9B}" name="Column13901" dataDxfId="5408" totalsRowDxfId="5407"/>
    <tableColumn id="13916" xr3:uid="{521F1093-E61A-4A30-888E-4F16B36937D1}" name="Column13902" dataDxfId="5406" totalsRowDxfId="5405"/>
    <tableColumn id="13917" xr3:uid="{060981BA-2D42-4EEA-B861-577D29ABD727}" name="Column13903" dataDxfId="5404" totalsRowDxfId="5403"/>
    <tableColumn id="13918" xr3:uid="{3DBF69D9-8348-4A1F-85ED-FACA8C2556D9}" name="Column13904" dataDxfId="5402" totalsRowDxfId="5401"/>
    <tableColumn id="13919" xr3:uid="{E4BD8565-EDF2-44AC-8EC3-BBAE0484D237}" name="Column13905" dataDxfId="5400" totalsRowDxfId="5399"/>
    <tableColumn id="13920" xr3:uid="{3103FEFF-6528-4264-98E6-823B28256A1C}" name="Column13906" dataDxfId="5398" totalsRowDxfId="5397"/>
    <tableColumn id="13921" xr3:uid="{1033E802-4D4E-45F9-8C10-5DE4EF511297}" name="Column13907" dataDxfId="5396" totalsRowDxfId="5395"/>
    <tableColumn id="13922" xr3:uid="{F31A305D-19B7-4A53-BF55-4EC4CBA4929C}" name="Column13908" dataDxfId="5394" totalsRowDxfId="5393"/>
    <tableColumn id="13923" xr3:uid="{0CF690B5-CBB3-4A3E-8D14-4C3B72C9065C}" name="Column13909" dataDxfId="5392" totalsRowDxfId="5391"/>
    <tableColumn id="13924" xr3:uid="{0E6B8092-A799-4274-AF33-C1E2B2498777}" name="Column13910" dataDxfId="5390" totalsRowDxfId="5389"/>
    <tableColumn id="13925" xr3:uid="{A33D0AA1-8FF0-480E-964B-7138AF6998A4}" name="Column13911" dataDxfId="5388" totalsRowDxfId="5387"/>
    <tableColumn id="13926" xr3:uid="{C87CB37D-F037-43E1-886F-20232D4AD532}" name="Column13912" dataDxfId="5386" totalsRowDxfId="5385"/>
    <tableColumn id="13927" xr3:uid="{394BC8C6-3CDD-42E4-9D9D-7BD84591F3A6}" name="Column13913" dataDxfId="5384" totalsRowDxfId="5383"/>
    <tableColumn id="13928" xr3:uid="{A510F558-9D1E-45B3-9239-F08FF182C074}" name="Column13914" dataDxfId="5382" totalsRowDxfId="5381"/>
    <tableColumn id="13929" xr3:uid="{1CB2672F-FF55-4A95-8B31-FA9476EDE4AE}" name="Column13915" dataDxfId="5380" totalsRowDxfId="5379"/>
    <tableColumn id="13930" xr3:uid="{AA7B0519-1C5E-407F-B429-E66754B710A1}" name="Column13916" dataDxfId="5378" totalsRowDxfId="5377"/>
    <tableColumn id="13931" xr3:uid="{641D2BA5-F201-4654-BF6F-E58791AC2F00}" name="Column13917" dataDxfId="5376" totalsRowDxfId="5375"/>
    <tableColumn id="13932" xr3:uid="{0CABB094-2941-442D-8530-E847188B1F2B}" name="Column13918" dataDxfId="5374" totalsRowDxfId="5373"/>
    <tableColumn id="13933" xr3:uid="{A6EDBA85-5275-4A4D-9BDA-91910E1538AF}" name="Column13919" dataDxfId="5372" totalsRowDxfId="5371"/>
    <tableColumn id="13934" xr3:uid="{35368DCC-E6B4-492A-A375-3FB32F09023E}" name="Column13920" dataDxfId="5370" totalsRowDxfId="5369"/>
    <tableColumn id="13935" xr3:uid="{258B6C76-728A-48D4-B59F-0D5D4B506BD3}" name="Column13921" dataDxfId="5368" totalsRowDxfId="5367"/>
    <tableColumn id="13936" xr3:uid="{5B302FFF-B825-47E4-A2EF-77CBA5104286}" name="Column13922" dataDxfId="5366" totalsRowDxfId="5365"/>
    <tableColumn id="13937" xr3:uid="{A91BC0E4-06BD-410F-9752-A3B6AA3E2661}" name="Column13923" dataDxfId="5364" totalsRowDxfId="5363"/>
    <tableColumn id="13938" xr3:uid="{24435035-4EAB-4F2C-85FE-0B5BEA1CBBE5}" name="Column13924" dataDxfId="5362" totalsRowDxfId="5361"/>
    <tableColumn id="13939" xr3:uid="{156DA046-0310-41D2-A12F-E64DA6EF3BE6}" name="Column13925" dataDxfId="5360" totalsRowDxfId="5359"/>
    <tableColumn id="13940" xr3:uid="{5D465AE3-A953-4FA1-A151-760850FF3B98}" name="Column13926" dataDxfId="5358" totalsRowDxfId="5357"/>
    <tableColumn id="13941" xr3:uid="{F04DE9D7-2A4C-43F0-BD66-D720E5DD8DA9}" name="Column13927" dataDxfId="5356" totalsRowDxfId="5355"/>
    <tableColumn id="13942" xr3:uid="{C3B28EBB-A32A-4CB4-BAF3-34422AE4E59D}" name="Column13928" dataDxfId="5354" totalsRowDxfId="5353"/>
    <tableColumn id="13943" xr3:uid="{61BB829A-6433-4143-8383-CA6881CD2806}" name="Column13929" dataDxfId="5352" totalsRowDxfId="5351"/>
    <tableColumn id="13944" xr3:uid="{59B4252D-81C2-4A5B-A60A-4CB3325F83BE}" name="Column13930" dataDxfId="5350" totalsRowDxfId="5349"/>
    <tableColumn id="13945" xr3:uid="{E9107217-210C-4C33-9E5C-77B5F8F1EF55}" name="Column13931" dataDxfId="5348" totalsRowDxfId="5347"/>
    <tableColumn id="13946" xr3:uid="{E4ED8A14-100B-47A2-ACFC-A35738A5C7BE}" name="Column13932" dataDxfId="5346" totalsRowDxfId="5345"/>
    <tableColumn id="13947" xr3:uid="{CB92FFF7-7DC4-4E93-8E23-4AC26512B991}" name="Column13933" dataDxfId="5344" totalsRowDxfId="5343"/>
    <tableColumn id="13948" xr3:uid="{E6D36097-ECA7-467D-A952-B95750F3EE10}" name="Column13934" dataDxfId="5342" totalsRowDxfId="5341"/>
    <tableColumn id="13949" xr3:uid="{A67D877D-79F1-46F1-9FE4-84F012495123}" name="Column13935" dataDxfId="5340" totalsRowDxfId="5339"/>
    <tableColumn id="13950" xr3:uid="{B0CFC43D-80A8-4B26-8814-F5DDBA5036D6}" name="Column13936" dataDxfId="5338" totalsRowDxfId="5337"/>
    <tableColumn id="13951" xr3:uid="{71D0FA90-305D-40A1-BE73-37B682453648}" name="Column13937" dataDxfId="5336" totalsRowDxfId="5335"/>
    <tableColumn id="13952" xr3:uid="{3D0E13F6-A38F-4FA6-9C4C-5497F3A8AF35}" name="Column13938" dataDxfId="5334" totalsRowDxfId="5333"/>
    <tableColumn id="13953" xr3:uid="{892C24F8-1E1A-4859-A750-71A45896B7EC}" name="Column13939" dataDxfId="5332" totalsRowDxfId="5331"/>
    <tableColumn id="13954" xr3:uid="{079499F8-2DE5-4E75-B121-905DB4205FFB}" name="Column13940" dataDxfId="5330" totalsRowDxfId="5329"/>
    <tableColumn id="13955" xr3:uid="{FBFA5AD9-E939-4AF7-8F4F-ACD118511BF0}" name="Column13941" dataDxfId="5328" totalsRowDxfId="5327"/>
    <tableColumn id="13956" xr3:uid="{8DE49324-5489-4313-8D81-9D347C46958A}" name="Column13942" dataDxfId="5326" totalsRowDxfId="5325"/>
    <tableColumn id="13957" xr3:uid="{E43FAD1F-86E2-4D62-9C9D-379F5481FCC1}" name="Column13943" dataDxfId="5324" totalsRowDxfId="5323"/>
    <tableColumn id="13958" xr3:uid="{34BA087C-F9B9-450D-8217-3CCB7024518E}" name="Column13944" dataDxfId="5322" totalsRowDxfId="5321"/>
    <tableColumn id="13959" xr3:uid="{01B9B08B-6FA0-4C1D-B723-9A68390ACE5C}" name="Column13945" dataDxfId="5320" totalsRowDxfId="5319"/>
    <tableColumn id="13960" xr3:uid="{9D893046-230B-4518-8C8E-4A5EFA52968E}" name="Column13946" dataDxfId="5318" totalsRowDxfId="5317"/>
    <tableColumn id="13961" xr3:uid="{9ADFB4D2-758F-4DA2-862C-B50F4F4D7F44}" name="Column13947" dataDxfId="5316" totalsRowDxfId="5315"/>
    <tableColumn id="13962" xr3:uid="{637BBB74-31E3-4785-8025-F05E9B031DE0}" name="Column13948" dataDxfId="5314" totalsRowDxfId="5313"/>
    <tableColumn id="13963" xr3:uid="{5AC08066-2576-4E4A-BF5D-343E34B14CFB}" name="Column13949" dataDxfId="5312" totalsRowDxfId="5311"/>
    <tableColumn id="13964" xr3:uid="{E4BFF778-1406-4352-B12E-4E3C14AD9B8F}" name="Column13950" dataDxfId="5310" totalsRowDxfId="5309"/>
    <tableColumn id="13965" xr3:uid="{1C66E5A9-21DE-478F-B5D8-C6F6312C9BC2}" name="Column13951" dataDxfId="5308" totalsRowDxfId="5307"/>
    <tableColumn id="13966" xr3:uid="{236A6AC6-72E2-43A6-B830-55543F6C46ED}" name="Column13952" dataDxfId="5306" totalsRowDxfId="5305"/>
    <tableColumn id="13967" xr3:uid="{39FC1D7F-2364-4AD9-9C29-7616C98AB4D2}" name="Column13953" dataDxfId="5304" totalsRowDxfId="5303"/>
    <tableColumn id="13968" xr3:uid="{C6E08328-A438-491B-A088-30202C600454}" name="Column13954" dataDxfId="5302" totalsRowDxfId="5301"/>
    <tableColumn id="13969" xr3:uid="{B4BB282B-F9B9-49E2-BD9E-214855C7E0B4}" name="Column13955" dataDxfId="5300" totalsRowDxfId="5299"/>
    <tableColumn id="13970" xr3:uid="{EF5B087C-30A1-4FB9-8976-3E21B2EE521F}" name="Column13956" dataDxfId="5298" totalsRowDxfId="5297"/>
    <tableColumn id="13971" xr3:uid="{040D9838-88B9-4900-9AFB-F6C68DF1F98E}" name="Column13957" dataDxfId="5296" totalsRowDxfId="5295"/>
    <tableColumn id="13972" xr3:uid="{E56E931B-61A6-4A9C-BBE4-A5F2E8A7C42B}" name="Column13958" dataDxfId="5294" totalsRowDxfId="5293"/>
    <tableColumn id="13973" xr3:uid="{72F1D6B3-8EF0-44FB-A247-982E40094DDB}" name="Column13959" dataDxfId="5292" totalsRowDxfId="5291"/>
    <tableColumn id="13974" xr3:uid="{B28D340E-6248-42C3-94C8-3002CF09E79D}" name="Column13960" dataDxfId="5290" totalsRowDxfId="5289"/>
    <tableColumn id="13975" xr3:uid="{40C70BB2-11A8-4879-AE99-948066468838}" name="Column13961" dataDxfId="5288" totalsRowDxfId="5287"/>
    <tableColumn id="13976" xr3:uid="{D1FE7D63-4D92-4615-9778-FE8FD0B64F49}" name="Column13962" dataDxfId="5286" totalsRowDxfId="5285"/>
    <tableColumn id="13977" xr3:uid="{11127248-6DB0-47B3-8E49-37E1371AFD4D}" name="Column13963" dataDxfId="5284" totalsRowDxfId="5283"/>
    <tableColumn id="13978" xr3:uid="{CA1C52C2-8345-45D5-8EB6-C5565ACDF08B}" name="Column13964" dataDxfId="5282" totalsRowDxfId="5281"/>
    <tableColumn id="13979" xr3:uid="{98A83DD9-9318-4D34-88E3-B6484BF4F89B}" name="Column13965" dataDxfId="5280" totalsRowDxfId="5279"/>
    <tableColumn id="13980" xr3:uid="{67B92530-46DE-4C4D-A22A-70B93D399F34}" name="Column13966" dataDxfId="5278" totalsRowDxfId="5277"/>
    <tableColumn id="13981" xr3:uid="{770019AB-5828-4B98-8CB9-C6A1B6F79BCA}" name="Column13967" dataDxfId="5276" totalsRowDxfId="5275"/>
    <tableColumn id="13982" xr3:uid="{C40FD02E-65AE-42A4-8E42-73660D204546}" name="Column13968" dataDxfId="5274" totalsRowDxfId="5273"/>
    <tableColumn id="13983" xr3:uid="{68A4F8B7-1D58-40EF-A32C-FFA56D60534C}" name="Column13969" dataDxfId="5272" totalsRowDxfId="5271"/>
    <tableColumn id="13984" xr3:uid="{ED1A88E1-A2A4-4E08-A372-A8D99E68A6F4}" name="Column13970" dataDxfId="5270" totalsRowDxfId="5269"/>
    <tableColumn id="13985" xr3:uid="{F76ED224-DC9C-4FE8-B8BC-2BABE07F9C5B}" name="Column13971" dataDxfId="5268" totalsRowDxfId="5267"/>
    <tableColumn id="13986" xr3:uid="{FB976536-EFF0-4B68-B893-3B2340DEB600}" name="Column13972" dataDxfId="5266" totalsRowDxfId="5265"/>
    <tableColumn id="13987" xr3:uid="{CA23AE52-E9D2-4900-80A3-12714DF85C4D}" name="Column13973" dataDxfId="5264" totalsRowDxfId="5263"/>
    <tableColumn id="13988" xr3:uid="{CCBE6BAA-5726-43AC-B7A4-ECC1612D1F70}" name="Column13974" dataDxfId="5262" totalsRowDxfId="5261"/>
    <tableColumn id="13989" xr3:uid="{7DBC447F-296A-4B86-8BF6-A2920E23F3A0}" name="Column13975" dataDxfId="5260" totalsRowDxfId="5259"/>
    <tableColumn id="13990" xr3:uid="{63DDB807-C25F-41A9-94B1-65E0E088CCB1}" name="Column13976" dataDxfId="5258" totalsRowDxfId="5257"/>
    <tableColumn id="13991" xr3:uid="{EE6A5F72-B2CA-4026-ABDF-3AA308AD392F}" name="Column13977" dataDxfId="5256" totalsRowDxfId="5255"/>
    <tableColumn id="13992" xr3:uid="{6E6CFF7C-9EFB-4917-9EBF-CA36859326B2}" name="Column13978" dataDxfId="5254" totalsRowDxfId="5253"/>
    <tableColumn id="13993" xr3:uid="{1981417B-0D4C-4A89-A6D9-6EA0157F3E29}" name="Column13979" dataDxfId="5252" totalsRowDxfId="5251"/>
    <tableColumn id="13994" xr3:uid="{ABA97891-F0AD-4573-AFD0-7CBD15D0EC70}" name="Column13980" dataDxfId="5250" totalsRowDxfId="5249"/>
    <tableColumn id="13995" xr3:uid="{01E0C69C-0B90-4CC7-93C3-85A7562A9242}" name="Column13981" dataDxfId="5248" totalsRowDxfId="5247"/>
    <tableColumn id="13996" xr3:uid="{E9C800A7-337C-4420-B789-2FE3F2E51360}" name="Column13982" dataDxfId="5246" totalsRowDxfId="5245"/>
    <tableColumn id="13997" xr3:uid="{276D608B-4BB0-436F-9C9F-65BA7D0BAF75}" name="Column13983" dataDxfId="5244" totalsRowDxfId="5243"/>
    <tableColumn id="13998" xr3:uid="{2F5FD281-7AA9-4C84-BA00-E474A6CD8C9E}" name="Column13984" dataDxfId="5242" totalsRowDxfId="5241"/>
    <tableColumn id="13999" xr3:uid="{58499416-01D2-4A46-9A49-75C0A62B9F2C}" name="Column13985" dataDxfId="5240" totalsRowDxfId="5239"/>
    <tableColumn id="14000" xr3:uid="{6AD209FF-6393-49D4-BC39-066CF03063D8}" name="Column13986" dataDxfId="5238" totalsRowDxfId="5237"/>
    <tableColumn id="14001" xr3:uid="{02E0D2C8-B29F-4511-8E46-BAF02AE41FC8}" name="Column13987" dataDxfId="5236" totalsRowDxfId="5235"/>
    <tableColumn id="14002" xr3:uid="{0394D270-6DFF-4CC2-B92D-6F9782AD27C4}" name="Column13988" dataDxfId="5234" totalsRowDxfId="5233"/>
    <tableColumn id="14003" xr3:uid="{596DB41C-4A6C-40D9-893B-3C3A231E670C}" name="Column13989" dataDxfId="5232" totalsRowDxfId="5231"/>
    <tableColumn id="14004" xr3:uid="{373AB3CF-D199-4BCA-8240-EDD9DED66FCB}" name="Column13990" dataDxfId="5230" totalsRowDxfId="5229"/>
    <tableColumn id="14005" xr3:uid="{213FB39D-E4F7-4722-AD83-AB94166F2ABD}" name="Column13991" dataDxfId="5228" totalsRowDxfId="5227"/>
    <tableColumn id="14006" xr3:uid="{15B707C1-2C5D-4182-9288-D4D6F2C30555}" name="Column13992" dataDxfId="5226" totalsRowDxfId="5225"/>
    <tableColumn id="14007" xr3:uid="{2C0EB8AB-528D-451B-B246-8267315707AD}" name="Column13993" dataDxfId="5224" totalsRowDxfId="5223"/>
    <tableColumn id="14008" xr3:uid="{20D83E2A-8124-4959-BC02-3EA0A7B40EBE}" name="Column13994" dataDxfId="5222" totalsRowDxfId="5221"/>
    <tableColumn id="14009" xr3:uid="{18B1D579-2BF3-45FF-9763-DDB6B41A82E7}" name="Column13995" dataDxfId="5220" totalsRowDxfId="5219"/>
    <tableColumn id="14010" xr3:uid="{38C8D7C3-9ACB-4824-B457-65A09EC6E755}" name="Column13996" dataDxfId="5218" totalsRowDxfId="5217"/>
    <tableColumn id="14011" xr3:uid="{B41BC31A-F659-47E8-9B4B-FE59B94CE9F7}" name="Column13997" dataDxfId="5216" totalsRowDxfId="5215"/>
    <tableColumn id="14012" xr3:uid="{46F1C207-3CCE-4422-8E20-A71A067CE48C}" name="Column13998" dataDxfId="5214" totalsRowDxfId="5213"/>
    <tableColumn id="14013" xr3:uid="{92AA8D85-0B4D-41B0-ABA3-3411397FF521}" name="Column13999" dataDxfId="5212" totalsRowDxfId="5211"/>
    <tableColumn id="14014" xr3:uid="{5B35B4E3-C2C8-4618-AE1F-1AB72E306C1C}" name="Column14000" dataDxfId="5210" totalsRowDxfId="5209"/>
    <tableColumn id="14015" xr3:uid="{DCF301B4-A5EC-4E83-9C1B-43DA8EEFBAD6}" name="Column14001" dataDxfId="5208" totalsRowDxfId="5207"/>
    <tableColumn id="14016" xr3:uid="{D9B6A206-9A5D-4F98-BBC1-E8BC8F61E63E}" name="Column14002" dataDxfId="5206" totalsRowDxfId="5205"/>
    <tableColumn id="14017" xr3:uid="{4CF69CB8-43A8-4623-9097-D77BA76C667F}" name="Column14003" dataDxfId="5204" totalsRowDxfId="5203"/>
    <tableColumn id="14018" xr3:uid="{E0204B66-1B12-469A-9012-FF636BBF152D}" name="Column14004" dataDxfId="5202" totalsRowDxfId="5201"/>
    <tableColumn id="14019" xr3:uid="{DCFA666E-332B-4948-BCB1-37D9E00A5529}" name="Column14005" dataDxfId="5200" totalsRowDxfId="5199"/>
    <tableColumn id="14020" xr3:uid="{495310C0-99A1-4159-BC11-EE03A13B3776}" name="Column14006" dataDxfId="5198" totalsRowDxfId="5197"/>
    <tableColumn id="14021" xr3:uid="{CD0E6560-FCA8-42AE-9CB5-C5F3EC1F2191}" name="Column14007" dataDxfId="5196" totalsRowDxfId="5195"/>
    <tableColumn id="14022" xr3:uid="{5C0562B5-8F7C-493A-A85F-75AAE4719298}" name="Column14008" dataDxfId="5194" totalsRowDxfId="5193"/>
    <tableColumn id="14023" xr3:uid="{BE0DF4BA-872F-4FE0-BC14-C24737EAE3BB}" name="Column14009" dataDxfId="5192" totalsRowDxfId="5191"/>
    <tableColumn id="14024" xr3:uid="{9BB4766C-0210-4C8D-B94B-176FE2667ADF}" name="Column14010" dataDxfId="5190" totalsRowDxfId="5189"/>
    <tableColumn id="14025" xr3:uid="{5FEC112A-5C93-4E05-B1FF-6459CC07D31F}" name="Column14011" dataDxfId="5188" totalsRowDxfId="5187"/>
    <tableColumn id="14026" xr3:uid="{F71B43C0-17D0-411C-8F8B-1ECC6FA7AD9F}" name="Column14012" dataDxfId="5186" totalsRowDxfId="5185"/>
    <tableColumn id="14027" xr3:uid="{F1B520D6-4F28-4347-A926-ABDF7BB12FC7}" name="Column14013" dataDxfId="5184" totalsRowDxfId="5183"/>
    <tableColumn id="14028" xr3:uid="{4C4DEE70-1344-431B-8A2B-1784A6B69ADB}" name="Column14014" dataDxfId="5182" totalsRowDxfId="5181"/>
    <tableColumn id="14029" xr3:uid="{B85FE0A4-7B93-4A7B-854A-812A4439DDD3}" name="Column14015" dataDxfId="5180" totalsRowDxfId="5179"/>
    <tableColumn id="14030" xr3:uid="{7A49DCBF-263D-4DF4-A5CD-0DAD2C50D120}" name="Column14016" dataDxfId="5178" totalsRowDxfId="5177"/>
    <tableColumn id="14031" xr3:uid="{B3D2F95A-AC35-4828-AAA3-44F6DFA68A17}" name="Column14017" dataDxfId="5176" totalsRowDxfId="5175"/>
    <tableColumn id="14032" xr3:uid="{47CECA2C-4591-4A7D-BB82-F37ED7352A8B}" name="Column14018" dataDxfId="5174" totalsRowDxfId="5173"/>
    <tableColumn id="14033" xr3:uid="{2CF40B98-AE37-4AC1-AC29-7F15C8EE70C4}" name="Column14019" dataDxfId="5172" totalsRowDxfId="5171"/>
    <tableColumn id="14034" xr3:uid="{067DB16E-4A7F-47D8-8D56-A9760C0495C2}" name="Column14020" dataDxfId="5170" totalsRowDxfId="5169"/>
    <tableColumn id="14035" xr3:uid="{C01EA715-71F0-4F9C-BD46-B135DA5FBF64}" name="Column14021" dataDxfId="5168" totalsRowDxfId="5167"/>
    <tableColumn id="14036" xr3:uid="{C5346619-B3F3-4A5E-8A6C-C004439F4052}" name="Column14022" dataDxfId="5166" totalsRowDxfId="5165"/>
    <tableColumn id="14037" xr3:uid="{1D0C05ED-6315-4041-83F2-9CD766FDC749}" name="Column14023" dataDxfId="5164" totalsRowDxfId="5163"/>
    <tableColumn id="14038" xr3:uid="{465F7645-4D47-47EE-85DE-2F2FD3C0ADDB}" name="Column14024" dataDxfId="5162" totalsRowDxfId="5161"/>
    <tableColumn id="14039" xr3:uid="{47940C96-3388-40E4-ACF3-AA0B4BEDFA7A}" name="Column14025" dataDxfId="5160" totalsRowDxfId="5159"/>
    <tableColumn id="14040" xr3:uid="{BD0E2A48-CEC6-421F-8E9E-8C9D36D13E53}" name="Column14026" dataDxfId="5158" totalsRowDxfId="5157"/>
    <tableColumn id="14041" xr3:uid="{EFE57717-1C7D-4D77-B7FC-7DEE519C3B1F}" name="Column14027" dataDxfId="5156" totalsRowDxfId="5155"/>
    <tableColumn id="14042" xr3:uid="{145B9864-24DC-4D21-B9B1-547C90054BD3}" name="Column14028" dataDxfId="5154" totalsRowDxfId="5153"/>
    <tableColumn id="14043" xr3:uid="{7474F897-69D6-4522-941E-69986623CBA2}" name="Column14029" dataDxfId="5152" totalsRowDxfId="5151"/>
    <tableColumn id="14044" xr3:uid="{6AEB8402-8073-4DE2-9505-918D893788F8}" name="Column14030" dataDxfId="5150" totalsRowDxfId="5149"/>
    <tableColumn id="14045" xr3:uid="{847DB88A-C684-4F32-A860-A41CCC8F2F75}" name="Column14031" dataDxfId="5148" totalsRowDxfId="5147"/>
    <tableColumn id="14046" xr3:uid="{9848A1BF-67EA-4A75-9B7B-3A8F09269305}" name="Column14032" dataDxfId="5146" totalsRowDxfId="5145"/>
    <tableColumn id="14047" xr3:uid="{1372BD77-99A4-4AB0-AA09-E6D9E38D37C2}" name="Column14033" dataDxfId="5144" totalsRowDxfId="5143"/>
    <tableColumn id="14048" xr3:uid="{E8E574CE-75C6-4EF5-A051-77E0979C1AF9}" name="Column14034" dataDxfId="5142" totalsRowDxfId="5141"/>
    <tableColumn id="14049" xr3:uid="{AF0C13BA-8993-4B5F-BF4A-D256006F18B7}" name="Column14035" dataDxfId="5140" totalsRowDxfId="5139"/>
    <tableColumn id="14050" xr3:uid="{FB626E26-BF2A-4146-AD19-FDDF77931C5F}" name="Column14036" dataDxfId="5138" totalsRowDxfId="5137"/>
    <tableColumn id="14051" xr3:uid="{78D005BC-9FF8-4026-A7C2-70B8E6F755F8}" name="Column14037" dataDxfId="5136" totalsRowDxfId="5135"/>
    <tableColumn id="14052" xr3:uid="{1AF67841-1B3C-4F7F-96D3-FFF86D55E907}" name="Column14038" dataDxfId="5134" totalsRowDxfId="5133"/>
    <tableColumn id="14053" xr3:uid="{8AD8E4D9-BBAF-412D-B2D6-B60C410F5F44}" name="Column14039" dataDxfId="5132" totalsRowDxfId="5131"/>
    <tableColumn id="14054" xr3:uid="{91280074-7529-47C6-B9DB-00B80D23B3D9}" name="Column14040" dataDxfId="5130" totalsRowDxfId="5129"/>
    <tableColumn id="14055" xr3:uid="{BA469F25-CAC7-4C7C-AE84-B5AC9E3DC07E}" name="Column14041" dataDxfId="5128" totalsRowDxfId="5127"/>
    <tableColumn id="14056" xr3:uid="{1A8B1826-07A6-4CF0-983D-744FDAD0E06B}" name="Column14042" dataDxfId="5126" totalsRowDxfId="5125"/>
    <tableColumn id="14057" xr3:uid="{65030C0D-F2A1-445C-921A-11E5D8B4C5C3}" name="Column14043" dataDxfId="5124" totalsRowDxfId="5123"/>
    <tableColumn id="14058" xr3:uid="{D964902D-9CEE-4F0E-92A6-04B19B59ECB1}" name="Column14044" dataDxfId="5122" totalsRowDxfId="5121"/>
    <tableColumn id="14059" xr3:uid="{46D18E34-22CA-43BC-A9E7-3BC769BB447D}" name="Column14045" dataDxfId="5120" totalsRowDxfId="5119"/>
    <tableColumn id="14060" xr3:uid="{A2A77C16-48E2-40B4-83BE-0672B2E4348B}" name="Column14046" dataDxfId="5118" totalsRowDxfId="5117"/>
    <tableColumn id="14061" xr3:uid="{C994040A-034B-47EC-A7F3-8273815A3015}" name="Column14047" dataDxfId="5116" totalsRowDxfId="5115"/>
    <tableColumn id="14062" xr3:uid="{CF95E5F6-AA80-46C9-9FB8-A3E73E679095}" name="Column14048" dataDxfId="5114" totalsRowDxfId="5113"/>
    <tableColumn id="14063" xr3:uid="{8D88AF25-9873-4FA1-9429-5FBE1C66844F}" name="Column14049" dataDxfId="5112" totalsRowDxfId="5111"/>
    <tableColumn id="14064" xr3:uid="{E3958003-D938-4C00-B5F3-18F4D8D6BE41}" name="Column14050" dataDxfId="5110" totalsRowDxfId="5109"/>
    <tableColumn id="14065" xr3:uid="{03727A03-BC96-40D6-B2DF-FA46E24BE7F5}" name="Column14051" dataDxfId="5108" totalsRowDxfId="5107"/>
    <tableColumn id="14066" xr3:uid="{C30E6F0C-B6D8-4031-B002-0DCD386F6F01}" name="Column14052" dataDxfId="5106" totalsRowDxfId="5105"/>
    <tableColumn id="14067" xr3:uid="{1F6D361E-6ED9-48E1-9D51-548817CF48FD}" name="Column14053" dataDxfId="5104" totalsRowDxfId="5103"/>
    <tableColumn id="14068" xr3:uid="{756E8FAD-BA0F-49DB-A8BA-F184D95B0945}" name="Column14054" dataDxfId="5102" totalsRowDxfId="5101"/>
    <tableColumn id="14069" xr3:uid="{D2B6EC66-A283-41A4-8602-A0494DF8C59F}" name="Column14055" dataDxfId="5100" totalsRowDxfId="5099"/>
    <tableColumn id="14070" xr3:uid="{44722490-FDF7-4F00-90FB-5B982309B1CB}" name="Column14056" dataDxfId="5098" totalsRowDxfId="5097"/>
    <tableColumn id="14071" xr3:uid="{2234439B-021C-4E5F-8196-5F8BB58ECB15}" name="Column14057" dataDxfId="5096" totalsRowDxfId="5095"/>
    <tableColumn id="14072" xr3:uid="{B4AC59AA-82B8-4C1A-89D1-85D3F71FC045}" name="Column14058" dataDxfId="5094" totalsRowDxfId="5093"/>
    <tableColumn id="14073" xr3:uid="{D96B84BE-B89D-4EDA-A607-9E0E393685AF}" name="Column14059" dataDxfId="5092" totalsRowDxfId="5091"/>
    <tableColumn id="14074" xr3:uid="{56B39CCB-7227-4892-8A92-07932EB2BECA}" name="Column14060" dataDxfId="5090" totalsRowDxfId="5089"/>
    <tableColumn id="14075" xr3:uid="{A950C2E7-2D98-4C89-8A60-96FEFE17CC52}" name="Column14061" dataDxfId="5088" totalsRowDxfId="5087"/>
    <tableColumn id="14076" xr3:uid="{BE67860E-ECE9-49BC-A78C-7C8165B2DF22}" name="Column14062" dataDxfId="5086" totalsRowDxfId="5085"/>
    <tableColumn id="14077" xr3:uid="{2D12963D-C222-4992-80EC-B8D54819A079}" name="Column14063" dataDxfId="5084" totalsRowDxfId="5083"/>
    <tableColumn id="14078" xr3:uid="{0210E21B-C591-4B47-8E6F-73A9F4258608}" name="Column14064" dataDxfId="5082" totalsRowDxfId="5081"/>
    <tableColumn id="14079" xr3:uid="{D597C5EF-B2FC-4139-A069-5477652ABE1C}" name="Column14065" dataDxfId="5080" totalsRowDxfId="5079"/>
    <tableColumn id="14080" xr3:uid="{72B01F29-F9C3-45A9-A276-E89F66FF2426}" name="Column14066" dataDxfId="5078" totalsRowDxfId="5077"/>
    <tableColumn id="14081" xr3:uid="{844C148C-F344-4F69-AA96-8BFC574981FD}" name="Column14067" dataDxfId="5076" totalsRowDxfId="5075"/>
    <tableColumn id="14082" xr3:uid="{6FF826B6-982D-4F26-A30C-F9972E37A78F}" name="Column14068" dataDxfId="5074" totalsRowDxfId="5073"/>
    <tableColumn id="14083" xr3:uid="{9CE50943-A47B-43FF-A2A5-607EC88A112C}" name="Column14069" dataDxfId="5072" totalsRowDxfId="5071"/>
    <tableColumn id="14084" xr3:uid="{D49137F7-D4BC-40FC-8C37-E1A792FEF9C7}" name="Column14070" dataDxfId="5070" totalsRowDxfId="5069"/>
    <tableColumn id="14085" xr3:uid="{41D92591-3D5D-4407-AA46-1CCC7442D0FD}" name="Column14071" dataDxfId="5068" totalsRowDxfId="5067"/>
    <tableColumn id="14086" xr3:uid="{17457BED-3FD3-410D-9957-1A1170323E80}" name="Column14072" dataDxfId="5066" totalsRowDxfId="5065"/>
    <tableColumn id="14087" xr3:uid="{AD017048-D24F-485D-A888-B0F1B320987E}" name="Column14073" dataDxfId="5064" totalsRowDxfId="5063"/>
    <tableColumn id="14088" xr3:uid="{B0C150B8-2CA0-453B-A44A-8F067406D3C2}" name="Column14074" dataDxfId="5062" totalsRowDxfId="5061"/>
    <tableColumn id="14089" xr3:uid="{514FCA80-4DAC-4475-BE39-A26E19BB2104}" name="Column14075" dataDxfId="5060" totalsRowDxfId="5059"/>
    <tableColumn id="14090" xr3:uid="{6A73716C-0B89-4FA5-A0F7-21017B1E91F4}" name="Column14076" dataDxfId="5058" totalsRowDxfId="5057"/>
    <tableColumn id="14091" xr3:uid="{E5C69A2F-1268-4756-9627-4B787CE92A21}" name="Column14077" dataDxfId="5056" totalsRowDxfId="5055"/>
    <tableColumn id="14092" xr3:uid="{D0B9E77B-1BC9-43D8-B8AB-B63A87D623A9}" name="Column14078" dataDxfId="5054" totalsRowDxfId="5053"/>
    <tableColumn id="14093" xr3:uid="{16BEB606-2366-4B45-86E2-003D5E1D88CE}" name="Column14079" dataDxfId="5052" totalsRowDxfId="5051"/>
    <tableColumn id="14094" xr3:uid="{7150EABA-6185-4EE0-8528-1770F039AEBD}" name="Column14080" dataDxfId="5050" totalsRowDxfId="5049"/>
    <tableColumn id="14095" xr3:uid="{E58A4FC6-AB14-4BA3-B761-EC8C99C2B18F}" name="Column14081" dataDxfId="5048" totalsRowDxfId="5047"/>
    <tableColumn id="14096" xr3:uid="{0C030714-7018-45E9-8FBE-E014E3ED6181}" name="Column14082" dataDxfId="5046" totalsRowDxfId="5045"/>
    <tableColumn id="14097" xr3:uid="{8AD90844-0B94-462B-8B7D-EA0616CCA20A}" name="Column14083" dataDxfId="5044" totalsRowDxfId="5043"/>
    <tableColumn id="14098" xr3:uid="{BA53591A-66BF-498D-9054-943F33A4DDAD}" name="Column14084" dataDxfId="5042" totalsRowDxfId="5041"/>
    <tableColumn id="14099" xr3:uid="{1EDB5697-752E-4BCD-9E07-90C10621D891}" name="Column14085" dataDxfId="5040" totalsRowDxfId="5039"/>
    <tableColumn id="14100" xr3:uid="{BB1F4608-68FA-405D-94FE-B348AD40DBF0}" name="Column14086" dataDxfId="5038" totalsRowDxfId="5037"/>
    <tableColumn id="14101" xr3:uid="{49747607-616B-45AA-ADDA-E3E878442CCD}" name="Column14087" dataDxfId="5036" totalsRowDxfId="5035"/>
    <tableColumn id="14102" xr3:uid="{39F6A07B-8E62-447C-B263-BC1277CCA3E2}" name="Column14088" dataDxfId="5034" totalsRowDxfId="5033"/>
    <tableColumn id="14103" xr3:uid="{4A9FB8A3-FD49-4EEF-8F8E-C299D17560BE}" name="Column14089" dataDxfId="5032" totalsRowDxfId="5031"/>
    <tableColumn id="14104" xr3:uid="{FBD07A09-C5EF-4F93-A9F8-67753C50C0C4}" name="Column14090" dataDxfId="5030" totalsRowDxfId="5029"/>
    <tableColumn id="14105" xr3:uid="{D389DFC2-0E57-43E4-B3DD-F3C71B1DD9FA}" name="Column14091" dataDxfId="5028" totalsRowDxfId="5027"/>
    <tableColumn id="14106" xr3:uid="{53D77C16-D825-47E0-84AD-FD7A684CE7B8}" name="Column14092" dataDxfId="5026" totalsRowDxfId="5025"/>
    <tableColumn id="14107" xr3:uid="{84A4D550-3FAC-4484-9E97-99A2CC12A8FB}" name="Column14093" dataDxfId="5024" totalsRowDxfId="5023"/>
    <tableColumn id="14108" xr3:uid="{41C81BF1-AC2C-464B-86CD-6220D5345A44}" name="Column14094" dataDxfId="5022" totalsRowDxfId="5021"/>
    <tableColumn id="14109" xr3:uid="{2FD0826E-07BA-479D-B5D3-8381C430BBA2}" name="Column14095" dataDxfId="5020" totalsRowDxfId="5019"/>
    <tableColumn id="14110" xr3:uid="{2EC99705-268B-445B-B052-1A4933A8B4E8}" name="Column14096" dataDxfId="5018" totalsRowDxfId="5017"/>
    <tableColumn id="14111" xr3:uid="{A80A4086-F989-4DB1-8758-1166BCD7F127}" name="Column14097" dataDxfId="5016" totalsRowDxfId="5015"/>
    <tableColumn id="14112" xr3:uid="{EE9CF7DD-1AFB-4F70-AF9D-D29DA15D6D7E}" name="Column14098" dataDxfId="5014" totalsRowDxfId="5013"/>
    <tableColumn id="14113" xr3:uid="{ACC14A16-B12C-4668-9479-CA54FA748787}" name="Column14099" dataDxfId="5012" totalsRowDxfId="5011"/>
    <tableColumn id="14114" xr3:uid="{2A91DE0F-E332-45B6-8FAE-64B8A587B2A9}" name="Column14100" dataDxfId="5010" totalsRowDxfId="5009"/>
    <tableColumn id="14115" xr3:uid="{E04DA6D4-3554-4900-8566-AFEF6295F535}" name="Column14101" dataDxfId="5008" totalsRowDxfId="5007"/>
    <tableColumn id="14116" xr3:uid="{8FE4AC86-957F-4287-A3C0-A9EC51A33DAC}" name="Column14102" dataDxfId="5006" totalsRowDxfId="5005"/>
    <tableColumn id="14117" xr3:uid="{2A6D5AF4-5EB5-40E3-BECF-B829EA84AFF3}" name="Column14103" dataDxfId="5004" totalsRowDxfId="5003"/>
    <tableColumn id="14118" xr3:uid="{CE7D692D-4BCD-4BE7-B9DD-DFF2E66695F6}" name="Column14104" dataDxfId="5002" totalsRowDxfId="5001"/>
    <tableColumn id="14119" xr3:uid="{F54D56C8-A705-40CB-8B33-0BD09EEA1BFD}" name="Column14105" dataDxfId="5000" totalsRowDxfId="4999"/>
    <tableColumn id="14120" xr3:uid="{54C6E2FD-3D7B-472B-8CAE-66411317E22D}" name="Column14106" dataDxfId="4998" totalsRowDxfId="4997"/>
    <tableColumn id="14121" xr3:uid="{BC9FF5A2-E863-4546-9AD3-B541173A36C3}" name="Column14107" dataDxfId="4996" totalsRowDxfId="4995"/>
    <tableColumn id="14122" xr3:uid="{903F6AB8-CC91-4D25-BE03-97F9F7F033E0}" name="Column14108" dataDxfId="4994" totalsRowDxfId="4993"/>
    <tableColumn id="14123" xr3:uid="{093504AE-F794-4505-89E6-A6D480DE3F58}" name="Column14109" dataDxfId="4992" totalsRowDxfId="4991"/>
    <tableColumn id="14124" xr3:uid="{F022B082-54F3-4C88-A502-180132C5C2F7}" name="Column14110" dataDxfId="4990" totalsRowDxfId="4989"/>
    <tableColumn id="14125" xr3:uid="{B972004B-DB00-4DA0-8A3A-E98DC8DF0314}" name="Column14111" dataDxfId="4988" totalsRowDxfId="4987"/>
    <tableColumn id="14126" xr3:uid="{31556E2D-4FCF-4D07-A5EB-0178BA9FF00B}" name="Column14112" dataDxfId="4986" totalsRowDxfId="4985"/>
    <tableColumn id="14127" xr3:uid="{7BB55AA2-E698-4160-960F-DE3ED8A23FDB}" name="Column14113" dataDxfId="4984" totalsRowDxfId="4983"/>
    <tableColumn id="14128" xr3:uid="{960385A0-0EDD-47ED-9FCE-CC386F9E83F6}" name="Column14114" dataDxfId="4982" totalsRowDxfId="4981"/>
    <tableColumn id="14129" xr3:uid="{BCBED36C-B3DF-494B-8B86-7A33FB54A85E}" name="Column14115" dataDxfId="4980" totalsRowDxfId="4979"/>
    <tableColumn id="14130" xr3:uid="{2BF8CAA1-111D-4BD2-B7E6-B421794999A9}" name="Column14116" dataDxfId="4978" totalsRowDxfId="4977"/>
    <tableColumn id="14131" xr3:uid="{3C3C1E64-6509-429B-8F8C-603FA05058D8}" name="Column14117" dataDxfId="4976" totalsRowDxfId="4975"/>
    <tableColumn id="14132" xr3:uid="{C7EBB15C-70C9-413B-9F9B-8BF3FDF5D08F}" name="Column14118" dataDxfId="4974" totalsRowDxfId="4973"/>
    <tableColumn id="14133" xr3:uid="{1CF6C0AD-06DB-4723-A11D-2FF9592619ED}" name="Column14119" dataDxfId="4972" totalsRowDxfId="4971"/>
    <tableColumn id="14134" xr3:uid="{54400638-0136-431D-BB25-FF30BBBCCFC5}" name="Column14120" dataDxfId="4970" totalsRowDxfId="4969"/>
    <tableColumn id="14135" xr3:uid="{10BE143E-E418-4AF3-BEFC-EEF89D59B2AE}" name="Column14121" dataDxfId="4968" totalsRowDxfId="4967"/>
    <tableColumn id="14136" xr3:uid="{C8B4683A-88CA-41FE-9A33-FCE767654046}" name="Column14122" dataDxfId="4966" totalsRowDxfId="4965"/>
    <tableColumn id="14137" xr3:uid="{FA45BB60-063A-4D97-8CDB-DF7B86F0B35C}" name="Column14123" dataDxfId="4964" totalsRowDxfId="4963"/>
    <tableColumn id="14138" xr3:uid="{B0129825-D03E-4D9A-B13B-4B27971CC108}" name="Column14124" dataDxfId="4962" totalsRowDxfId="4961"/>
    <tableColumn id="14139" xr3:uid="{24D8AF46-E3FA-4091-9110-42B314B6B1CE}" name="Column14125" dataDxfId="4960" totalsRowDxfId="4959"/>
    <tableColumn id="14140" xr3:uid="{7E119749-15C2-4983-87A6-01E68398E9EB}" name="Column14126" dataDxfId="4958" totalsRowDxfId="4957"/>
    <tableColumn id="14141" xr3:uid="{06D25073-1B4E-494C-9441-10F24BD06CBE}" name="Column14127" dataDxfId="4956" totalsRowDxfId="4955"/>
    <tableColumn id="14142" xr3:uid="{694723D6-5650-4BB4-90A3-7F79F2352FA1}" name="Column14128" dataDxfId="4954" totalsRowDxfId="4953"/>
    <tableColumn id="14143" xr3:uid="{B1596C69-4FE3-47CE-AFAA-A813BD8983D5}" name="Column14129" dataDxfId="4952" totalsRowDxfId="4951"/>
    <tableColumn id="14144" xr3:uid="{5A59A33B-83A7-4D43-95A6-904D34EBEDBF}" name="Column14130" dataDxfId="4950" totalsRowDxfId="4949"/>
    <tableColumn id="14145" xr3:uid="{50C5E004-2F8B-4445-B20F-ED8ABCE86B82}" name="Column14131" dataDxfId="4948" totalsRowDxfId="4947"/>
    <tableColumn id="14146" xr3:uid="{B5694522-5D58-4E35-85A2-CECF6E551A67}" name="Column14132" dataDxfId="4946" totalsRowDxfId="4945"/>
    <tableColumn id="14147" xr3:uid="{AC29BC55-8541-439C-8AC9-4D3012C8FBDD}" name="Column14133" dataDxfId="4944" totalsRowDxfId="4943"/>
    <tableColumn id="14148" xr3:uid="{E170B192-4786-4062-8CE0-9AE22EB33C8C}" name="Column14134" dataDxfId="4942" totalsRowDxfId="4941"/>
    <tableColumn id="14149" xr3:uid="{632148D1-CB65-4131-A566-B2D481616F16}" name="Column14135" dataDxfId="4940" totalsRowDxfId="4939"/>
    <tableColumn id="14150" xr3:uid="{1FE410D7-581E-4BDA-A395-7D4E56284352}" name="Column14136" dataDxfId="4938" totalsRowDxfId="4937"/>
    <tableColumn id="14151" xr3:uid="{1AA58370-0042-4419-8CC1-7431D45B433C}" name="Column14137" dataDxfId="4936" totalsRowDxfId="4935"/>
    <tableColumn id="14152" xr3:uid="{A1AEF9D7-7A6A-4662-AA3D-69E464D2E6D9}" name="Column14138" dataDxfId="4934" totalsRowDxfId="4933"/>
    <tableColumn id="14153" xr3:uid="{69B6C1DC-91C7-48F9-A1DF-04A5977DC6B6}" name="Column14139" dataDxfId="4932" totalsRowDxfId="4931"/>
    <tableColumn id="14154" xr3:uid="{D486E8C0-685A-45F5-B74F-B116A3677480}" name="Column14140" dataDxfId="4930" totalsRowDxfId="4929"/>
    <tableColumn id="14155" xr3:uid="{BCB2645B-6EFB-44BB-9488-F034D91D1FA2}" name="Column14141" dataDxfId="4928" totalsRowDxfId="4927"/>
    <tableColumn id="14156" xr3:uid="{B2718037-B973-4666-B39D-04445DAC7202}" name="Column14142" dataDxfId="4926" totalsRowDxfId="4925"/>
    <tableColumn id="14157" xr3:uid="{54873EAE-F22B-4745-A9B0-9F0DEB5EDA52}" name="Column14143" dataDxfId="4924" totalsRowDxfId="4923"/>
    <tableColumn id="14158" xr3:uid="{F6914D6A-8234-4A69-9314-33202C9C6B69}" name="Column14144" dataDxfId="4922" totalsRowDxfId="4921"/>
    <tableColumn id="14159" xr3:uid="{83B570BB-987E-43C7-86A3-C81F6C27DD3B}" name="Column14145" dataDxfId="4920" totalsRowDxfId="4919"/>
    <tableColumn id="14160" xr3:uid="{F0B676B3-5285-4AC1-8E1A-3F9301DFE17D}" name="Column14146" dataDxfId="4918" totalsRowDxfId="4917"/>
    <tableColumn id="14161" xr3:uid="{72C8A61B-C92D-4911-AD64-F821BF3878E4}" name="Column14147" dataDxfId="4916" totalsRowDxfId="4915"/>
    <tableColumn id="14162" xr3:uid="{34DBFAE3-310E-47F9-BCD2-D3ECA373DB26}" name="Column14148" dataDxfId="4914" totalsRowDxfId="4913"/>
    <tableColumn id="14163" xr3:uid="{258FECF9-35CB-45F7-A671-F55B5AD3F2B5}" name="Column14149" dataDxfId="4912" totalsRowDxfId="4911"/>
    <tableColumn id="14164" xr3:uid="{5E897BC8-D4BB-49C4-BB4C-274115A377F6}" name="Column14150" dataDxfId="4910" totalsRowDxfId="4909"/>
    <tableColumn id="14165" xr3:uid="{A3371093-4C7E-4C3E-AF39-BAE9F1F4DE63}" name="Column14151" dataDxfId="4908" totalsRowDxfId="4907"/>
    <tableColumn id="14166" xr3:uid="{F9808D4A-E3C2-4B6A-8F1F-EAF822A6F4B1}" name="Column14152" dataDxfId="4906" totalsRowDxfId="4905"/>
    <tableColumn id="14167" xr3:uid="{D55F2088-F085-4A63-9C4A-846B89B0BD8A}" name="Column14153" dataDxfId="4904" totalsRowDxfId="4903"/>
    <tableColumn id="14168" xr3:uid="{BB8F3973-6E1E-4283-9C1E-AB383BD9FEC6}" name="Column14154" dataDxfId="4902" totalsRowDxfId="4901"/>
    <tableColumn id="14169" xr3:uid="{904A4934-880E-48AE-98C4-E4A0F30237D2}" name="Column14155" dataDxfId="4900" totalsRowDxfId="4899"/>
    <tableColumn id="14170" xr3:uid="{DBCD9FF7-0DF5-4710-9844-3F6EB0984CF9}" name="Column14156" dataDxfId="4898" totalsRowDxfId="4897"/>
    <tableColumn id="14171" xr3:uid="{F008038E-937C-467B-8FAF-525FE9B75214}" name="Column14157" dataDxfId="4896" totalsRowDxfId="4895"/>
    <tableColumn id="14172" xr3:uid="{471F895F-A17F-4393-B806-7D930E91EB0E}" name="Column14158" dataDxfId="4894" totalsRowDxfId="4893"/>
    <tableColumn id="14173" xr3:uid="{261592D9-3ADC-4EE4-96B2-90004AB048A1}" name="Column14159" dataDxfId="4892" totalsRowDxfId="4891"/>
    <tableColumn id="14174" xr3:uid="{5043F052-9BAB-4BEB-852E-C5031F253827}" name="Column14160" dataDxfId="4890" totalsRowDxfId="4889"/>
    <tableColumn id="14175" xr3:uid="{702F12D5-DF63-45E3-8C2B-0D244EE2AFC8}" name="Column14161" dataDxfId="4888" totalsRowDxfId="4887"/>
    <tableColumn id="14176" xr3:uid="{9B85F232-8923-45C4-9FD3-AFFB94426B90}" name="Column14162" dataDxfId="4886" totalsRowDxfId="4885"/>
    <tableColumn id="14177" xr3:uid="{29C8F16A-6975-4220-8323-BC1459C6CC86}" name="Column14163" dataDxfId="4884" totalsRowDxfId="4883"/>
    <tableColumn id="14178" xr3:uid="{069158B3-9721-44A1-BEA4-1EC623E883BA}" name="Column14164" dataDxfId="4882" totalsRowDxfId="4881"/>
    <tableColumn id="14179" xr3:uid="{2C9539A4-0F23-43F1-B2F3-36B0C4773A7E}" name="Column14165" dataDxfId="4880" totalsRowDxfId="4879"/>
    <tableColumn id="14180" xr3:uid="{1BFDD91B-9BE0-480F-91D5-026EF2B0CC0A}" name="Column14166" dataDxfId="4878" totalsRowDxfId="4877"/>
    <tableColumn id="14181" xr3:uid="{266ADA70-0816-4924-B889-54A768916953}" name="Column14167" dataDxfId="4876" totalsRowDxfId="4875"/>
    <tableColumn id="14182" xr3:uid="{C52ADD8D-F1DF-49F4-A8B8-54690DA525BB}" name="Column14168" dataDxfId="4874" totalsRowDxfId="4873"/>
    <tableColumn id="14183" xr3:uid="{04049EF6-83A7-4234-9D44-930DFDDC2D17}" name="Column14169" dataDxfId="4872" totalsRowDxfId="4871"/>
    <tableColumn id="14184" xr3:uid="{F5B905D5-C59E-41B0-B5E9-636153D00CAC}" name="Column14170" dataDxfId="4870" totalsRowDxfId="4869"/>
    <tableColumn id="14185" xr3:uid="{189AE25A-795A-4B5C-BFA3-F71E4A5A71F2}" name="Column14171" dataDxfId="4868" totalsRowDxfId="4867"/>
    <tableColumn id="14186" xr3:uid="{BBC47721-8472-49F3-97DF-E9B843AED942}" name="Column14172" dataDxfId="4866" totalsRowDxfId="4865"/>
    <tableColumn id="14187" xr3:uid="{31D160C4-8DB7-4FB8-84F9-887E8C5C5F9E}" name="Column14173" dataDxfId="4864" totalsRowDxfId="4863"/>
    <tableColumn id="14188" xr3:uid="{5AD2E9CD-0C4B-4B43-8F2F-0F7DEE409CAC}" name="Column14174" dataDxfId="4862" totalsRowDxfId="4861"/>
    <tableColumn id="14189" xr3:uid="{006F21D7-DEA7-4C39-B0D0-14CA213F9052}" name="Column14175" dataDxfId="4860" totalsRowDxfId="4859"/>
    <tableColumn id="14190" xr3:uid="{DD9177FF-E69C-4867-AF0D-A81EEF2980E6}" name="Column14176" dataDxfId="4858" totalsRowDxfId="4857"/>
    <tableColumn id="14191" xr3:uid="{D0A7AB33-A7C4-4C40-8DD2-CECD18F65A2A}" name="Column14177" dataDxfId="4856" totalsRowDxfId="4855"/>
    <tableColumn id="14192" xr3:uid="{80802065-27B8-43F9-98CA-4DFDFCD806E2}" name="Column14178" dataDxfId="4854" totalsRowDxfId="4853"/>
    <tableColumn id="14193" xr3:uid="{7DECB8AA-FFA0-4F5D-BA22-9927631CA347}" name="Column14179" dataDxfId="4852" totalsRowDxfId="4851"/>
    <tableColumn id="14194" xr3:uid="{EF0694BB-3426-41F2-B4F3-70AB583BF9B0}" name="Column14180" dataDxfId="4850" totalsRowDxfId="4849"/>
    <tableColumn id="14195" xr3:uid="{1364220D-A9F3-4A33-8FCB-F46502594CC7}" name="Column14181" dataDxfId="4848" totalsRowDxfId="4847"/>
    <tableColumn id="14196" xr3:uid="{CC1C66C5-2CF1-4D16-8CA5-BD3DCDBC2625}" name="Column14182" dataDxfId="4846" totalsRowDxfId="4845"/>
    <tableColumn id="14197" xr3:uid="{A7223BED-032E-4483-8DC6-C42C21EFB12B}" name="Column14183" dataDxfId="4844" totalsRowDxfId="4843"/>
    <tableColumn id="14198" xr3:uid="{B18460F4-9F4E-4785-8E6E-5928179F9695}" name="Column14184" dataDxfId="4842" totalsRowDxfId="4841"/>
    <tableColumn id="14199" xr3:uid="{AAD3CF71-81EE-49D7-8939-B79D414266F7}" name="Column14185" dataDxfId="4840" totalsRowDxfId="4839"/>
    <tableColumn id="14200" xr3:uid="{F243A237-FD78-4026-9CAB-2D00BF9114A3}" name="Column14186" dataDxfId="4838" totalsRowDxfId="4837"/>
    <tableColumn id="14201" xr3:uid="{9329A37E-233B-4E49-A27A-99B8E8DD66D2}" name="Column14187" dataDxfId="4836" totalsRowDxfId="4835"/>
    <tableColumn id="14202" xr3:uid="{F675BB21-30DB-4280-8416-82C564568BE4}" name="Column14188" dataDxfId="4834" totalsRowDxfId="4833"/>
    <tableColumn id="14203" xr3:uid="{DD8B6985-B778-4EEE-AE65-3D5E5286012B}" name="Column14189" dataDxfId="4832" totalsRowDxfId="4831"/>
    <tableColumn id="14204" xr3:uid="{CD7226CD-7326-403B-AE12-E1778367647A}" name="Column14190" dataDxfId="4830" totalsRowDxfId="4829"/>
    <tableColumn id="14205" xr3:uid="{DC4549EC-C834-4F66-91EA-6AC6C0D760C6}" name="Column14191" dataDxfId="4828" totalsRowDxfId="4827"/>
    <tableColumn id="14206" xr3:uid="{254A65DA-320F-4DD6-8C90-79A3754E6233}" name="Column14192" dataDxfId="4826" totalsRowDxfId="4825"/>
    <tableColumn id="14207" xr3:uid="{FB9618C4-A2AE-4AF2-B27B-CADEA080BE41}" name="Column14193" dataDxfId="4824" totalsRowDxfId="4823"/>
    <tableColumn id="14208" xr3:uid="{13FD3458-FA4E-43F6-89F9-FA40DF0613C4}" name="Column14194" dataDxfId="4822" totalsRowDxfId="4821"/>
    <tableColumn id="14209" xr3:uid="{369CA071-D549-4DC4-928A-9F2504953686}" name="Column14195" dataDxfId="4820" totalsRowDxfId="4819"/>
    <tableColumn id="14210" xr3:uid="{D726CF0A-0BD9-41E4-8952-3808A94599CA}" name="Column14196" dataDxfId="4818" totalsRowDxfId="4817"/>
    <tableColumn id="14211" xr3:uid="{B45A7A9D-9CE9-4248-A915-AE69BC6CBB23}" name="Column14197" dataDxfId="4816" totalsRowDxfId="4815"/>
    <tableColumn id="14212" xr3:uid="{9EA0B348-1B38-44D1-BC2D-F90737C33A60}" name="Column14198" dataDxfId="4814" totalsRowDxfId="4813"/>
    <tableColumn id="14213" xr3:uid="{56659D2A-D502-4DC3-AE23-4088A87A2816}" name="Column14199" dataDxfId="4812" totalsRowDxfId="4811"/>
    <tableColumn id="14214" xr3:uid="{3416D809-5AA6-488C-A361-2B3D9831FC9A}" name="Column14200" dataDxfId="4810" totalsRowDxfId="4809"/>
    <tableColumn id="14215" xr3:uid="{ECCC119B-45B7-43B6-93E0-E89C0012C105}" name="Column14201" dataDxfId="4808" totalsRowDxfId="4807"/>
    <tableColumn id="14216" xr3:uid="{F7597BC5-5160-4A8F-A2C0-0E4EBE8F3B49}" name="Column14202" dataDxfId="4806" totalsRowDxfId="4805"/>
    <tableColumn id="14217" xr3:uid="{0564967B-A37D-47B3-804E-AF4F80F3306D}" name="Column14203" dataDxfId="4804" totalsRowDxfId="4803"/>
    <tableColumn id="14218" xr3:uid="{495F79C6-A142-400C-92FB-F3742A7F971E}" name="Column14204" dataDxfId="4802" totalsRowDxfId="4801"/>
    <tableColumn id="14219" xr3:uid="{0389AFE2-BA40-4833-BAEF-C51CBB564236}" name="Column14205" dataDxfId="4800" totalsRowDxfId="4799"/>
    <tableColumn id="14220" xr3:uid="{DF56FA5A-FA50-430C-B703-9030DE5865D8}" name="Column14206" dataDxfId="4798" totalsRowDxfId="4797"/>
    <tableColumn id="14221" xr3:uid="{25D961E0-C55D-4503-86B3-62FA3AC2456B}" name="Column14207" dataDxfId="4796" totalsRowDxfId="4795"/>
    <tableColumn id="14222" xr3:uid="{B7F1AAA4-5173-4757-8D33-DC95B0ED9472}" name="Column14208" dataDxfId="4794" totalsRowDxfId="4793"/>
    <tableColumn id="14223" xr3:uid="{25D39A88-1A1F-4C1A-AA25-69B58F003974}" name="Column14209" dataDxfId="4792" totalsRowDxfId="4791"/>
    <tableColumn id="14224" xr3:uid="{E684287A-AEC0-4337-841B-8443F8FF43FD}" name="Column14210" dataDxfId="4790" totalsRowDxfId="4789"/>
    <tableColumn id="14225" xr3:uid="{DACA04C9-1E1D-480B-8DD4-491985985B81}" name="Column14211" dataDxfId="4788" totalsRowDxfId="4787"/>
    <tableColumn id="14226" xr3:uid="{AC692F14-4039-4C6E-AC64-0E99882DF281}" name="Column14212" dataDxfId="4786" totalsRowDxfId="4785"/>
    <tableColumn id="14227" xr3:uid="{FB103844-6168-4AEB-B239-C71BFBD258E7}" name="Column14213" dataDxfId="4784" totalsRowDxfId="4783"/>
    <tableColumn id="14228" xr3:uid="{4C9267D2-A575-437C-9479-21D859BFF4C1}" name="Column14214" dataDxfId="4782" totalsRowDxfId="4781"/>
    <tableColumn id="14229" xr3:uid="{2C269244-5343-4456-92D2-5024E3C64D23}" name="Column14215" dataDxfId="4780" totalsRowDxfId="4779"/>
    <tableColumn id="14230" xr3:uid="{0FC4AABE-A091-4237-BF79-80B1697CB862}" name="Column14216" dataDxfId="4778" totalsRowDxfId="4777"/>
    <tableColumn id="14231" xr3:uid="{3BCBBF24-A821-43B2-BC6C-8893C1AFCC21}" name="Column14217" dataDxfId="4776" totalsRowDxfId="4775"/>
    <tableColumn id="14232" xr3:uid="{DAAFFDE3-F204-4CE6-8C95-F2AD6800BFBD}" name="Column14218" dataDxfId="4774" totalsRowDxfId="4773"/>
    <tableColumn id="14233" xr3:uid="{3D41BD32-B84D-4F16-A432-41E355324B02}" name="Column14219" dataDxfId="4772" totalsRowDxfId="4771"/>
    <tableColumn id="14234" xr3:uid="{23590A06-A552-4665-850D-F561A20022D5}" name="Column14220" dataDxfId="4770" totalsRowDxfId="4769"/>
    <tableColumn id="14235" xr3:uid="{949F1585-DF4D-4329-B9BA-A623A954A591}" name="Column14221" dataDxfId="4768" totalsRowDxfId="4767"/>
    <tableColumn id="14236" xr3:uid="{9E287D3C-2A97-4FA7-9647-BEA0EC45ED96}" name="Column14222" dataDxfId="4766" totalsRowDxfId="4765"/>
    <tableColumn id="14237" xr3:uid="{2CD28ECB-7C3E-4696-9BB8-1461B3D8C299}" name="Column14223" dataDxfId="4764" totalsRowDxfId="4763"/>
    <tableColumn id="14238" xr3:uid="{9A5F1BA6-4EB7-40C0-BFC8-C47996904513}" name="Column14224" dataDxfId="4762" totalsRowDxfId="4761"/>
    <tableColumn id="14239" xr3:uid="{522E5D6D-280C-4931-960D-04E2D03E1B94}" name="Column14225" dataDxfId="4760" totalsRowDxfId="4759"/>
    <tableColumn id="14240" xr3:uid="{3F3D2090-5E14-46BE-8C2C-8CBE4501E07E}" name="Column14226" dataDxfId="4758" totalsRowDxfId="4757"/>
    <tableColumn id="14241" xr3:uid="{4F4AA955-30DE-49B8-A116-BA718D7699EC}" name="Column14227" dataDxfId="4756" totalsRowDxfId="4755"/>
    <tableColumn id="14242" xr3:uid="{19AD942B-2322-401E-8DC9-1BCCAE91B6D3}" name="Column14228" dataDxfId="4754" totalsRowDxfId="4753"/>
    <tableColumn id="14243" xr3:uid="{BBBF7535-3E71-42A8-B9B1-0914A97AE30F}" name="Column14229" dataDxfId="4752" totalsRowDxfId="4751"/>
    <tableColumn id="14244" xr3:uid="{F56AA1D0-85D9-43F8-9151-B991178B7095}" name="Column14230" dataDxfId="4750" totalsRowDxfId="4749"/>
    <tableColumn id="14245" xr3:uid="{BBFEB5A3-CE88-46D8-A21B-C0E80933E70C}" name="Column14231" dataDxfId="4748" totalsRowDxfId="4747"/>
    <tableColumn id="14246" xr3:uid="{32745A1C-8F6A-4D2A-B00D-A7C79AF2061A}" name="Column14232" dataDxfId="4746" totalsRowDxfId="4745"/>
    <tableColumn id="14247" xr3:uid="{026C0E8A-860E-41EF-8207-21CC49DD2615}" name="Column14233" dataDxfId="4744" totalsRowDxfId="4743"/>
    <tableColumn id="14248" xr3:uid="{5DDB8335-22AD-4569-B4A8-5BB5ABEDFAA4}" name="Column14234" dataDxfId="4742" totalsRowDxfId="4741"/>
    <tableColumn id="14249" xr3:uid="{574B66D3-2A59-4158-803A-B53C49EA2CE4}" name="Column14235" dataDxfId="4740" totalsRowDxfId="4739"/>
    <tableColumn id="14250" xr3:uid="{1F317457-67BD-4E25-A19A-4A9BE6A01388}" name="Column14236" dataDxfId="4738" totalsRowDxfId="4737"/>
    <tableColumn id="14251" xr3:uid="{856A2EBC-24D1-4A4A-98D3-AA97908C8A67}" name="Column14237" dataDxfId="4736" totalsRowDxfId="4735"/>
    <tableColumn id="14252" xr3:uid="{96135E9C-DCCE-49AC-8137-53653D5527A5}" name="Column14238" dataDxfId="4734" totalsRowDxfId="4733"/>
    <tableColumn id="14253" xr3:uid="{CBABD3C5-9004-45D4-9BAC-84C5DE18909E}" name="Column14239" dataDxfId="4732" totalsRowDxfId="4731"/>
    <tableColumn id="14254" xr3:uid="{ED666E4A-A9FA-4D71-8C39-2477F3108917}" name="Column14240" dataDxfId="4730" totalsRowDxfId="4729"/>
    <tableColumn id="14255" xr3:uid="{ED6E7075-1636-4188-8294-AC2466597A07}" name="Column14241" dataDxfId="4728" totalsRowDxfId="4727"/>
    <tableColumn id="14256" xr3:uid="{3C0EC818-39D9-4CA8-9E64-48C8FAF7F8B1}" name="Column14242" dataDxfId="4726" totalsRowDxfId="4725"/>
    <tableColumn id="14257" xr3:uid="{07C2C07C-0D04-46EC-80D2-97D3F55CB87F}" name="Column14243" dataDxfId="4724" totalsRowDxfId="4723"/>
    <tableColumn id="14258" xr3:uid="{46BE7DA3-EFAD-4058-B4D1-BE1E010C26ED}" name="Column14244" dataDxfId="4722" totalsRowDxfId="4721"/>
    <tableColumn id="14259" xr3:uid="{551D7F81-2A78-414F-A003-63EC21E22E43}" name="Column14245" dataDxfId="4720" totalsRowDxfId="4719"/>
    <tableColumn id="14260" xr3:uid="{F07564BC-A587-4FB5-BE71-074C10601FC8}" name="Column14246" dataDxfId="4718" totalsRowDxfId="4717"/>
    <tableColumn id="14261" xr3:uid="{1F18D48F-DE7A-4ADE-9FCF-11425A91405C}" name="Column14247" dataDxfId="4716" totalsRowDxfId="4715"/>
    <tableColumn id="14262" xr3:uid="{9F733628-A956-4B85-9968-9EF6B348ABE9}" name="Column14248" dataDxfId="4714" totalsRowDxfId="4713"/>
    <tableColumn id="14263" xr3:uid="{7FFD5F41-5F16-469A-87A0-3A4141B4D234}" name="Column14249" dataDxfId="4712" totalsRowDxfId="4711"/>
    <tableColumn id="14264" xr3:uid="{3A5AC89D-3EF9-4BC1-9CB6-99A33353151C}" name="Column14250" dataDxfId="4710" totalsRowDxfId="4709"/>
    <tableColumn id="14265" xr3:uid="{FA514D9A-568F-4709-8AAC-C70C64936F32}" name="Column14251" dataDxfId="4708" totalsRowDxfId="4707"/>
    <tableColumn id="14266" xr3:uid="{ED80A7FA-BB10-49E0-89DB-DDD51FE69E46}" name="Column14252" dataDxfId="4706" totalsRowDxfId="4705"/>
    <tableColumn id="14267" xr3:uid="{2B326028-54B3-4962-8730-991C0F72C604}" name="Column14253" dataDxfId="4704" totalsRowDxfId="4703"/>
    <tableColumn id="14268" xr3:uid="{5078BC3F-CFB9-4F5C-B5B7-B2E46ECB5B5A}" name="Column14254" dataDxfId="4702" totalsRowDxfId="4701"/>
    <tableColumn id="14269" xr3:uid="{ED044592-44FE-409B-9A41-0C00F54C6802}" name="Column14255" dataDxfId="4700" totalsRowDxfId="4699"/>
    <tableColumn id="14270" xr3:uid="{3BAC704C-D1B6-4033-9D6F-D9E88ED8D659}" name="Column14256" dataDxfId="4698" totalsRowDxfId="4697"/>
    <tableColumn id="14271" xr3:uid="{4A443953-2F98-4202-B4B5-679F1F1C6553}" name="Column14257" dataDxfId="4696" totalsRowDxfId="4695"/>
    <tableColumn id="14272" xr3:uid="{61BBD8E0-63D2-40BC-BBF7-FC21AAE1382E}" name="Column14258" dataDxfId="4694" totalsRowDxfId="4693"/>
    <tableColumn id="14273" xr3:uid="{379612D5-160E-4E70-A52D-9B6EBF16B392}" name="Column14259" dataDxfId="4692" totalsRowDxfId="4691"/>
    <tableColumn id="14274" xr3:uid="{757BB92D-F77F-4C05-8EAA-2C82B239239F}" name="Column14260" dataDxfId="4690" totalsRowDxfId="4689"/>
    <tableColumn id="14275" xr3:uid="{FD218891-6B1B-4D13-878C-DC4215FF1F14}" name="Column14261" dataDxfId="4688" totalsRowDxfId="4687"/>
    <tableColumn id="14276" xr3:uid="{3EF2C64D-4517-4DF4-90C9-B9636EBCB73B}" name="Column14262" dataDxfId="4686" totalsRowDxfId="4685"/>
    <tableColumn id="14277" xr3:uid="{1E03191F-09ED-4F58-AF08-8815DF277FE0}" name="Column14263" dataDxfId="4684" totalsRowDxfId="4683"/>
    <tableColumn id="14278" xr3:uid="{46C8C121-B701-4A0D-A751-9D974EC924CA}" name="Column14264" dataDxfId="4682" totalsRowDxfId="4681"/>
    <tableColumn id="14279" xr3:uid="{F6F34FB5-0EF9-4B6E-8D39-4BBCD11ECA21}" name="Column14265" dataDxfId="4680" totalsRowDxfId="4679"/>
    <tableColumn id="14280" xr3:uid="{D484AB3D-C11A-4839-8497-E1C0C021D8C7}" name="Column14266" dataDxfId="4678" totalsRowDxfId="4677"/>
    <tableColumn id="14281" xr3:uid="{119262C5-1E6B-445E-91FA-661E90DDFE76}" name="Column14267" dataDxfId="4676" totalsRowDxfId="4675"/>
    <tableColumn id="14282" xr3:uid="{FA2F7B58-02C3-4471-B9CF-4C1EA8CE6152}" name="Column14268" dataDxfId="4674" totalsRowDxfId="4673"/>
    <tableColumn id="14283" xr3:uid="{DC334540-3D1B-4421-8A94-B6404DE46F91}" name="Column14269" dataDxfId="4672" totalsRowDxfId="4671"/>
    <tableColumn id="14284" xr3:uid="{C0F67FF0-44F3-45AB-9475-85A5987AF3F5}" name="Column14270" dataDxfId="4670" totalsRowDxfId="4669"/>
    <tableColumn id="14285" xr3:uid="{D4103044-41A3-427F-B774-78B64EC7C373}" name="Column14271" dataDxfId="4668" totalsRowDxfId="4667"/>
    <tableColumn id="14286" xr3:uid="{B4F77D3E-B2A3-452E-B68F-622D308A0DDE}" name="Column14272" dataDxfId="4666" totalsRowDxfId="4665"/>
    <tableColumn id="14287" xr3:uid="{68BBEC82-8BFC-4878-AC67-FE8C6C5F5941}" name="Column14273" dataDxfId="4664" totalsRowDxfId="4663"/>
    <tableColumn id="14288" xr3:uid="{44C4F797-7FC8-4028-A067-FF9D6D928912}" name="Column14274" dataDxfId="4662" totalsRowDxfId="4661"/>
    <tableColumn id="14289" xr3:uid="{3D2C05C0-A7B7-40A7-A3E1-04F9FDB735D7}" name="Column14275" dataDxfId="4660" totalsRowDxfId="4659"/>
    <tableColumn id="14290" xr3:uid="{4521829B-A66D-4BD6-A0D9-A76D4852FF4A}" name="Column14276" dataDxfId="4658" totalsRowDxfId="4657"/>
    <tableColumn id="14291" xr3:uid="{F3072499-04EA-4E87-AE60-041C4F48D1C4}" name="Column14277" dataDxfId="4656" totalsRowDxfId="4655"/>
    <tableColumn id="14292" xr3:uid="{96419232-3817-4305-9703-CE6CAC3E1992}" name="Column14278" dataDxfId="4654" totalsRowDxfId="4653"/>
    <tableColumn id="14293" xr3:uid="{168DC9FE-3A81-43A1-86B2-4E26005A3611}" name="Column14279" dataDxfId="4652" totalsRowDxfId="4651"/>
    <tableColumn id="14294" xr3:uid="{38AC0D76-5BEF-4381-86FC-77F295DBA91B}" name="Column14280" dataDxfId="4650" totalsRowDxfId="4649"/>
    <tableColumn id="14295" xr3:uid="{1D2902FB-4FD2-4C19-8AB9-0DBDC034DEDE}" name="Column14281" dataDxfId="4648" totalsRowDxfId="4647"/>
    <tableColumn id="14296" xr3:uid="{D9C711AA-9907-4343-9ECC-783749A47634}" name="Column14282" dataDxfId="4646" totalsRowDxfId="4645"/>
    <tableColumn id="14297" xr3:uid="{C09DE4D1-8808-4309-99FF-D8CA291F6592}" name="Column14283" dataDxfId="4644" totalsRowDxfId="4643"/>
    <tableColumn id="14298" xr3:uid="{5CC923F1-5C0D-4F26-9221-00849D538447}" name="Column14284" dataDxfId="4642" totalsRowDxfId="4641"/>
    <tableColumn id="14299" xr3:uid="{7A3714EB-DF73-4F8D-953F-32B7110B21C9}" name="Column14285" dataDxfId="4640" totalsRowDxfId="4639"/>
    <tableColumn id="14300" xr3:uid="{435A4161-3649-43CB-8475-B4FA7A47EE2B}" name="Column14286" dataDxfId="4638" totalsRowDxfId="4637"/>
    <tableColumn id="14301" xr3:uid="{F12DDC05-7449-4707-B752-A014269152FA}" name="Column14287" dataDxfId="4636" totalsRowDxfId="4635"/>
    <tableColumn id="14302" xr3:uid="{04BBE553-EFD0-4B8F-B9D4-59B6B99F9DE5}" name="Column14288" dataDxfId="4634" totalsRowDxfId="4633"/>
    <tableColumn id="14303" xr3:uid="{82851C9B-628F-48D1-BF84-7D92B38CB0E2}" name="Column14289" dataDxfId="4632" totalsRowDxfId="4631"/>
    <tableColumn id="14304" xr3:uid="{3064CBFC-C870-498B-911B-F2A8921B6E50}" name="Column14290" dataDxfId="4630" totalsRowDxfId="4629"/>
    <tableColumn id="14305" xr3:uid="{50B5C658-C27C-443B-BC07-A7AFFD225BF5}" name="Column14291" dataDxfId="4628" totalsRowDxfId="4627"/>
    <tableColumn id="14306" xr3:uid="{15A49CCF-2AF8-491E-88F7-7063BD0AA8FA}" name="Column14292" dataDxfId="4626" totalsRowDxfId="4625"/>
    <tableColumn id="14307" xr3:uid="{31F78C14-9A1B-4B24-8775-99EC21726B91}" name="Column14293" dataDxfId="4624" totalsRowDxfId="4623"/>
    <tableColumn id="14308" xr3:uid="{AC34AF65-28F5-4219-B745-EC50620E54F4}" name="Column14294" dataDxfId="4622" totalsRowDxfId="4621"/>
    <tableColumn id="14309" xr3:uid="{292FDE13-D87E-42FF-AD57-A9BCC35162DC}" name="Column14295" dataDxfId="4620" totalsRowDxfId="4619"/>
    <tableColumn id="14310" xr3:uid="{970E17C1-F306-4215-BC7E-E08518786009}" name="Column14296" dataDxfId="4618" totalsRowDxfId="4617"/>
    <tableColumn id="14311" xr3:uid="{AB2E528D-1C17-4ED6-8207-6E39FB60374A}" name="Column14297" dataDxfId="4616" totalsRowDxfId="4615"/>
    <tableColumn id="14312" xr3:uid="{DE290002-AC8C-4030-B331-69738071E611}" name="Column14298" dataDxfId="4614" totalsRowDxfId="4613"/>
    <tableColumn id="14313" xr3:uid="{8D0A14FB-F6F7-4B13-A7BC-FD34BC6F4CA4}" name="Column14299" dataDxfId="4612" totalsRowDxfId="4611"/>
    <tableColumn id="14314" xr3:uid="{82905A85-C3B3-4428-A875-441C8AACDDCB}" name="Column14300" dataDxfId="4610" totalsRowDxfId="4609"/>
    <tableColumn id="14315" xr3:uid="{441E7836-9414-4642-8FAF-5716C4BBDF36}" name="Column14301" dataDxfId="4608" totalsRowDxfId="4607"/>
    <tableColumn id="14316" xr3:uid="{61FED288-297E-447F-AED9-287B32EACF16}" name="Column14302" dataDxfId="4606" totalsRowDxfId="4605"/>
    <tableColumn id="14317" xr3:uid="{906F9D23-5C13-4ED6-9766-186AC151470D}" name="Column14303" dataDxfId="4604" totalsRowDxfId="4603"/>
    <tableColumn id="14318" xr3:uid="{7B7AB9F2-0395-4893-85E0-4863F1086D01}" name="Column14304" dataDxfId="4602" totalsRowDxfId="4601"/>
    <tableColumn id="14319" xr3:uid="{CAD7F55E-D042-4EDE-B180-01E28D32A30A}" name="Column14305" dataDxfId="4600" totalsRowDxfId="4599"/>
    <tableColumn id="14320" xr3:uid="{A779C044-858E-4D2C-B2D3-B5B58C38DA14}" name="Column14306" dataDxfId="4598" totalsRowDxfId="4597"/>
    <tableColumn id="14321" xr3:uid="{F4BB84BF-45C6-4BD2-8B8D-8BBFDDEF969B}" name="Column14307" dataDxfId="4596" totalsRowDxfId="4595"/>
    <tableColumn id="14322" xr3:uid="{C7720E67-283F-430B-AC0B-AD4E8F622626}" name="Column14308" dataDxfId="4594" totalsRowDxfId="4593"/>
    <tableColumn id="14323" xr3:uid="{C05A0C45-FCFD-46A0-ACC3-98D2D52725CC}" name="Column14309" dataDxfId="4592" totalsRowDxfId="4591"/>
    <tableColumn id="14324" xr3:uid="{38689935-B0E9-4817-A97A-0C213541701B}" name="Column14310" dataDxfId="4590" totalsRowDxfId="4589"/>
    <tableColumn id="14325" xr3:uid="{24437838-1246-4A35-8646-E60F2E80D36B}" name="Column14311" dataDxfId="4588" totalsRowDxfId="4587"/>
    <tableColumn id="14326" xr3:uid="{DCFC510D-D88B-4C37-9A63-EF6715D7C685}" name="Column14312" dataDxfId="4586" totalsRowDxfId="4585"/>
    <tableColumn id="14327" xr3:uid="{76DCC91F-CEFA-4E00-9A1F-F72004C05936}" name="Column14313" dataDxfId="4584" totalsRowDxfId="4583"/>
    <tableColumn id="14328" xr3:uid="{EE5ECD0C-966F-4A31-A46D-5FDF0E3FF735}" name="Column14314" dataDxfId="4582" totalsRowDxfId="4581"/>
    <tableColumn id="14329" xr3:uid="{6492B223-4BC0-4E87-96E4-0D2BD4CCFA2E}" name="Column14315" dataDxfId="4580" totalsRowDxfId="4579"/>
    <tableColumn id="14330" xr3:uid="{7FBC0933-BEFC-46EB-A407-42AD094E25A0}" name="Column14316" dataDxfId="4578" totalsRowDxfId="4577"/>
    <tableColumn id="14331" xr3:uid="{D1F06676-AF6B-4F5B-BD5D-E08DF943322B}" name="Column14317" dataDxfId="4576" totalsRowDxfId="4575"/>
    <tableColumn id="14332" xr3:uid="{0DE28470-301A-4C22-B02D-51B6341064E0}" name="Column14318" dataDxfId="4574" totalsRowDxfId="4573"/>
    <tableColumn id="14333" xr3:uid="{67665599-84C6-4A94-8881-46485AB17AFC}" name="Column14319" dataDxfId="4572" totalsRowDxfId="4571"/>
    <tableColumn id="14334" xr3:uid="{A421DC28-321A-45EF-9D78-F646687494AD}" name="Column14320" dataDxfId="4570" totalsRowDxfId="4569"/>
    <tableColumn id="14335" xr3:uid="{9DF7A9B5-D0E3-4AD6-A2E4-ACCAF2C40FDB}" name="Column14321" dataDxfId="4568" totalsRowDxfId="4567"/>
    <tableColumn id="14336" xr3:uid="{682801FA-A553-4DE8-85FC-AB3DE7B84114}" name="Column14322" dataDxfId="4566" totalsRowDxfId="4565"/>
    <tableColumn id="14337" xr3:uid="{C1A2A51E-0170-470E-A61E-1C8EB771242D}" name="Column14323" dataDxfId="4564" totalsRowDxfId="4563"/>
    <tableColumn id="14338" xr3:uid="{E8AA83A4-0938-488A-B7B9-61616E80629C}" name="Column14324" dataDxfId="4562" totalsRowDxfId="4561"/>
    <tableColumn id="14339" xr3:uid="{0FF5F4C4-5BC4-4435-AA9F-9E8F7B328B1E}" name="Column14325" dataDxfId="4560" totalsRowDxfId="4559"/>
    <tableColumn id="14340" xr3:uid="{16BD4881-1347-415A-81B3-054E255ADB6C}" name="Column14326" dataDxfId="4558" totalsRowDxfId="4557"/>
    <tableColumn id="14341" xr3:uid="{C4B71DA8-D474-431D-99D1-57FF8B217BB3}" name="Column14327" dataDxfId="4556" totalsRowDxfId="4555"/>
    <tableColumn id="14342" xr3:uid="{FF6D39F8-8DF3-45CE-BDBF-7F54D62A858D}" name="Column14328" dataDxfId="4554" totalsRowDxfId="4553"/>
    <tableColumn id="14343" xr3:uid="{E1364DA7-2149-4FC0-A31C-74F7D0BEFDA3}" name="Column14329" dataDxfId="4552" totalsRowDxfId="4551"/>
    <tableColumn id="14344" xr3:uid="{3387AEE3-44C6-44D8-BB02-A785127F03B2}" name="Column14330" dataDxfId="4550" totalsRowDxfId="4549"/>
    <tableColumn id="14345" xr3:uid="{C4F53095-CC37-4603-AD1E-F1E0E371E9F9}" name="Column14331" dataDxfId="4548" totalsRowDxfId="4547"/>
    <tableColumn id="14346" xr3:uid="{C62A5E64-B1B7-4747-B2A2-9C5B419B1165}" name="Column14332" dataDxfId="4546" totalsRowDxfId="4545"/>
    <tableColumn id="14347" xr3:uid="{E166A5F0-B4D8-4CC9-8B1F-DF691428EEC7}" name="Column14333" dataDxfId="4544" totalsRowDxfId="4543"/>
    <tableColumn id="14348" xr3:uid="{46C787D6-BCD1-4069-8F7F-C3A9B047CECA}" name="Column14334" dataDxfId="4542" totalsRowDxfId="4541"/>
    <tableColumn id="14349" xr3:uid="{F79CE5AA-5F51-45E5-867C-F9C1D03F6EFC}" name="Column14335" dataDxfId="4540" totalsRowDxfId="4539"/>
    <tableColumn id="14350" xr3:uid="{CAA17F4D-FA5C-4463-8F74-B93EF03B7A5A}" name="Column14336" dataDxfId="4538" totalsRowDxfId="4537"/>
    <tableColumn id="14351" xr3:uid="{FD2A01D4-8D62-4AF6-8F74-E57286FB7A6B}" name="Column14337" dataDxfId="4536" totalsRowDxfId="4535"/>
    <tableColumn id="14352" xr3:uid="{7383E42B-6E48-42F7-AF14-CF15B87D0AD1}" name="Column14338" dataDxfId="4534" totalsRowDxfId="4533"/>
    <tableColumn id="14353" xr3:uid="{7CE6D462-AE19-4374-9244-EB7B3414A10F}" name="Column14339" dataDxfId="4532" totalsRowDxfId="4531"/>
    <tableColumn id="14354" xr3:uid="{F70DB013-D4BE-423B-90FD-8DFEA0068567}" name="Column14340" dataDxfId="4530" totalsRowDxfId="4529"/>
    <tableColumn id="14355" xr3:uid="{698ECF15-F11A-4C88-8095-7DF3E70D552C}" name="Column14341" dataDxfId="4528" totalsRowDxfId="4527"/>
    <tableColumn id="14356" xr3:uid="{1BF6F54B-64CE-4AFF-BB1E-C45CEEE1752A}" name="Column14342" dataDxfId="4526" totalsRowDxfId="4525"/>
    <tableColumn id="14357" xr3:uid="{2BCCD6C5-1A90-4830-8E75-22C81976C93C}" name="Column14343" dataDxfId="4524" totalsRowDxfId="4523"/>
    <tableColumn id="14358" xr3:uid="{577F638B-7A0F-474F-A98C-D6A486C35FE1}" name="Column14344" dataDxfId="4522" totalsRowDxfId="4521"/>
    <tableColumn id="14359" xr3:uid="{70B16DFF-F202-45C0-AA57-C44F19724933}" name="Column14345" dataDxfId="4520" totalsRowDxfId="4519"/>
    <tableColumn id="14360" xr3:uid="{63305052-AD15-442A-B0E9-3F5E27665299}" name="Column14346" dataDxfId="4518" totalsRowDxfId="4517"/>
    <tableColumn id="14361" xr3:uid="{E3E769FB-7136-4F10-B4A7-F96DDC749CED}" name="Column14347" dataDxfId="4516" totalsRowDxfId="4515"/>
    <tableColumn id="14362" xr3:uid="{E88DE821-625D-4537-9A32-8D4A7BF68F4C}" name="Column14348" dataDxfId="4514" totalsRowDxfId="4513"/>
    <tableColumn id="14363" xr3:uid="{12DC4E86-CE27-4E01-98A9-CD55C87EEED3}" name="Column14349" dataDxfId="4512" totalsRowDxfId="4511"/>
    <tableColumn id="14364" xr3:uid="{66BC794D-4DA2-4581-A945-90386C982EEB}" name="Column14350" dataDxfId="4510" totalsRowDxfId="4509"/>
    <tableColumn id="14365" xr3:uid="{CD86EC2A-FB66-404A-A8F6-6A875BD94D67}" name="Column14351" dataDxfId="4508" totalsRowDxfId="4507"/>
    <tableColumn id="14366" xr3:uid="{E9F346BC-4063-485C-8B8F-9CB4BFEED6B9}" name="Column14352" dataDxfId="4506" totalsRowDxfId="4505"/>
    <tableColumn id="14367" xr3:uid="{6B9CF640-8F74-4146-9CB4-AD82966CA5DA}" name="Column14353" dataDxfId="4504" totalsRowDxfId="4503"/>
    <tableColumn id="14368" xr3:uid="{202501E0-80C0-406D-9A54-570942FB7C19}" name="Column14354" dataDxfId="4502" totalsRowDxfId="4501"/>
    <tableColumn id="14369" xr3:uid="{CD099685-74E9-4A67-8F8A-C1D5FC3E01F8}" name="Column14355" dataDxfId="4500" totalsRowDxfId="4499"/>
    <tableColumn id="14370" xr3:uid="{49886699-327B-4F65-8A41-0F5150202C55}" name="Column14356" dataDxfId="4498" totalsRowDxfId="4497"/>
    <tableColumn id="14371" xr3:uid="{8A504E06-FCE2-449A-AB17-BF0CE5BBB2BE}" name="Column14357" dataDxfId="4496" totalsRowDxfId="4495"/>
    <tableColumn id="14372" xr3:uid="{FBA1F3CC-5210-4ED4-97C3-7BF8212F0917}" name="Column14358" dataDxfId="4494" totalsRowDxfId="4493"/>
    <tableColumn id="14373" xr3:uid="{83DEB13E-A994-4FC0-B79B-5AA046A88933}" name="Column14359" dataDxfId="4492" totalsRowDxfId="4491"/>
    <tableColumn id="14374" xr3:uid="{264B3054-426E-45B2-B984-7C1A3793D717}" name="Column14360" dataDxfId="4490" totalsRowDxfId="4489"/>
    <tableColumn id="14375" xr3:uid="{3457FC80-019F-4173-AE2F-887CECE69462}" name="Column14361" dataDxfId="4488" totalsRowDxfId="4487"/>
    <tableColumn id="14376" xr3:uid="{29AE43FE-82B1-4CE3-9650-F7635925949C}" name="Column14362" dataDxfId="4486" totalsRowDxfId="4485"/>
    <tableColumn id="14377" xr3:uid="{8DEE91E1-AED6-40BC-8525-8AEDAC4B53B8}" name="Column14363" dataDxfId="4484" totalsRowDxfId="4483"/>
    <tableColumn id="14378" xr3:uid="{8B4A924E-F01A-408E-B60E-04BCA9A0D299}" name="Column14364" dataDxfId="4482" totalsRowDxfId="4481"/>
    <tableColumn id="14379" xr3:uid="{5A840ABE-6262-4CA4-8391-73868FA4E338}" name="Column14365" dataDxfId="4480" totalsRowDxfId="4479"/>
    <tableColumn id="14380" xr3:uid="{43BECD1A-9984-4232-A74B-45F6235538BF}" name="Column14366" dataDxfId="4478" totalsRowDxfId="4477"/>
    <tableColumn id="14381" xr3:uid="{94B850FE-52CC-4988-9C6D-FA53802027B7}" name="Column14367" dataDxfId="4476" totalsRowDxfId="4475"/>
    <tableColumn id="14382" xr3:uid="{D5F29D7F-EDC0-41F4-B849-F51332EBBD87}" name="Column14368" dataDxfId="4474" totalsRowDxfId="4473"/>
    <tableColumn id="14383" xr3:uid="{92196113-711F-46D5-B756-8C68596A28BA}" name="Column14369" dataDxfId="4472" totalsRowDxfId="4471"/>
    <tableColumn id="14384" xr3:uid="{390DE2BB-174C-4540-A6DF-0E37FF033C22}" name="Column14370" dataDxfId="4470" totalsRowDxfId="4469"/>
    <tableColumn id="14385" xr3:uid="{20FEA144-66BA-476F-A61C-F57BD73428C4}" name="Column14371" dataDxfId="4468" totalsRowDxfId="4467"/>
    <tableColumn id="14386" xr3:uid="{A8A87C68-BF8D-47A1-A572-39511B255315}" name="Column14372" dataDxfId="4466" totalsRowDxfId="4465"/>
    <tableColumn id="14387" xr3:uid="{9E4E8F1B-764A-4826-A26D-6E35EB1A2C06}" name="Column14373" dataDxfId="4464" totalsRowDxfId="4463"/>
    <tableColumn id="14388" xr3:uid="{449ED51A-2F1B-4A12-A989-19D2E8D60DE1}" name="Column14374" dataDxfId="4462" totalsRowDxfId="4461"/>
    <tableColumn id="14389" xr3:uid="{5F6BE963-56C0-4179-80DA-0B1618A5475C}" name="Column14375" dataDxfId="4460" totalsRowDxfId="4459"/>
    <tableColumn id="14390" xr3:uid="{60214923-8846-46FB-AE66-45B03289AB2F}" name="Column14376" dataDxfId="4458" totalsRowDxfId="4457"/>
    <tableColumn id="14391" xr3:uid="{FC6ED40E-91EA-4178-86CB-7EAA17AB883D}" name="Column14377" dataDxfId="4456" totalsRowDxfId="4455"/>
    <tableColumn id="14392" xr3:uid="{B1A86B95-728B-4722-979A-6BA0A5B7A951}" name="Column14378" dataDxfId="4454" totalsRowDxfId="4453"/>
    <tableColumn id="14393" xr3:uid="{42D561CB-A847-48BF-8609-DA49C1C1AD88}" name="Column14379" dataDxfId="4452" totalsRowDxfId="4451"/>
    <tableColumn id="14394" xr3:uid="{F722E097-E206-4F36-9A20-7B0354B91791}" name="Column14380" dataDxfId="4450" totalsRowDxfId="4449"/>
    <tableColumn id="14395" xr3:uid="{F203CFD9-DDCF-4A2F-86D8-30B79A1713A6}" name="Column14381" dataDxfId="4448" totalsRowDxfId="4447"/>
    <tableColumn id="14396" xr3:uid="{74395B2D-991D-4193-8CE1-DB21CF550C57}" name="Column14382" dataDxfId="4446" totalsRowDxfId="4445"/>
    <tableColumn id="14397" xr3:uid="{25ADF5B1-27F0-4BB2-8839-360C46AAA6C0}" name="Column14383" dataDxfId="4444" totalsRowDxfId="4443"/>
    <tableColumn id="14398" xr3:uid="{CD8362AA-B699-4165-BC19-515755467100}" name="Column14384" dataDxfId="4442" totalsRowDxfId="4441"/>
    <tableColumn id="14399" xr3:uid="{7030A63A-BF65-4040-94D0-0420775C291A}" name="Column14385" dataDxfId="4440" totalsRowDxfId="4439"/>
    <tableColumn id="14400" xr3:uid="{06D01C27-6D01-4AD6-B244-860BCD301BEB}" name="Column14386" dataDxfId="4438" totalsRowDxfId="4437"/>
    <tableColumn id="14401" xr3:uid="{73A7BF4C-B227-4970-BD9B-4E2BE43DEFE8}" name="Column14387" dataDxfId="4436" totalsRowDxfId="4435"/>
    <tableColumn id="14402" xr3:uid="{3146D417-FCE4-4EC9-A804-9F10A3C29F56}" name="Column14388" dataDxfId="4434" totalsRowDxfId="4433"/>
    <tableColumn id="14403" xr3:uid="{FF69165A-BD07-42D8-986C-6DDA0AD825BE}" name="Column14389" dataDxfId="4432" totalsRowDxfId="4431"/>
    <tableColumn id="14404" xr3:uid="{652F9509-4148-4466-AF5D-7981DC51E9D4}" name="Column14390" dataDxfId="4430" totalsRowDxfId="4429"/>
    <tableColumn id="14405" xr3:uid="{DB8A26AD-C6B2-48C1-9BDA-CFAF702E870C}" name="Column14391" dataDxfId="4428" totalsRowDxfId="4427"/>
    <tableColumn id="14406" xr3:uid="{38605A33-3437-45BB-9582-EB0A1B636B6F}" name="Column14392" dataDxfId="4426" totalsRowDxfId="4425"/>
    <tableColumn id="14407" xr3:uid="{C1C00C3D-5546-4971-9AD8-032B8675AAB4}" name="Column14393" dataDxfId="4424" totalsRowDxfId="4423"/>
    <tableColumn id="14408" xr3:uid="{D6C691CC-41BA-47B2-8448-8371CD3BD23B}" name="Column14394" dataDxfId="4422" totalsRowDxfId="4421"/>
    <tableColumn id="14409" xr3:uid="{04494C77-DB43-4E5E-9A0D-E155AB44F47D}" name="Column14395" dataDxfId="4420" totalsRowDxfId="4419"/>
    <tableColumn id="14410" xr3:uid="{C0EB9362-8A42-4FB7-90D9-5F58CCDF8175}" name="Column14396" dataDxfId="4418" totalsRowDxfId="4417"/>
    <tableColumn id="14411" xr3:uid="{9DB0BD5B-421B-48E7-9B54-DD78FC3C8401}" name="Column14397" dataDxfId="4416" totalsRowDxfId="4415"/>
    <tableColumn id="14412" xr3:uid="{9077518C-5D2C-45EB-A3D9-52402718D167}" name="Column14398" dataDxfId="4414" totalsRowDxfId="4413"/>
    <tableColumn id="14413" xr3:uid="{E5E647D1-3A6E-4300-80CA-72A801AF958A}" name="Column14399" dataDxfId="4412" totalsRowDxfId="4411"/>
    <tableColumn id="14414" xr3:uid="{FC70080C-0BF3-47F7-85E9-9D31E83803A0}" name="Column14400" dataDxfId="4410" totalsRowDxfId="4409"/>
    <tableColumn id="14415" xr3:uid="{97CC31ED-3401-42D7-9D1A-D1A7E0BEEDF2}" name="Column14401" dataDxfId="4408" totalsRowDxfId="4407"/>
    <tableColumn id="14416" xr3:uid="{3ABA197E-B440-4DBE-A76B-5D0C619B81AA}" name="Column14402" dataDxfId="4406" totalsRowDxfId="4405"/>
    <tableColumn id="14417" xr3:uid="{9CE5919C-801D-46E5-AF50-35BF8EDB97C8}" name="Column14403" dataDxfId="4404" totalsRowDxfId="4403"/>
    <tableColumn id="14418" xr3:uid="{03817A84-2E9B-4EC1-9DBE-BB25F2557875}" name="Column14404" dataDxfId="4402" totalsRowDxfId="4401"/>
    <tableColumn id="14419" xr3:uid="{93563BD5-2040-4B16-BD9D-B1C9392F775D}" name="Column14405" dataDxfId="4400" totalsRowDxfId="4399"/>
    <tableColumn id="14420" xr3:uid="{92CDCAA1-779C-45A9-969C-7D1D50473D93}" name="Column14406" dataDxfId="4398" totalsRowDxfId="4397"/>
    <tableColumn id="14421" xr3:uid="{5E39606A-35BC-4822-8A61-AF0F3957B6AD}" name="Column14407" dataDxfId="4396" totalsRowDxfId="4395"/>
    <tableColumn id="14422" xr3:uid="{FC6A52A8-0B28-49A6-8C55-D2761BDF843C}" name="Column14408" dataDxfId="4394" totalsRowDxfId="4393"/>
    <tableColumn id="14423" xr3:uid="{99143383-5433-4B4D-9375-8B805A30CF56}" name="Column14409" dataDxfId="4392" totalsRowDxfId="4391"/>
    <tableColumn id="14424" xr3:uid="{BB6A3187-E516-4054-88DC-C6F2E3B8B265}" name="Column14410" dataDxfId="4390" totalsRowDxfId="4389"/>
    <tableColumn id="14425" xr3:uid="{789DDDB1-C762-4175-AC7C-DCEABC9DB08F}" name="Column14411" dataDxfId="4388" totalsRowDxfId="4387"/>
    <tableColumn id="14426" xr3:uid="{331A24DF-A79C-435D-8EE1-89CB72315327}" name="Column14412" dataDxfId="4386" totalsRowDxfId="4385"/>
    <tableColumn id="14427" xr3:uid="{C09B23D5-67F8-4921-9822-8AE4F4F79446}" name="Column14413" dataDxfId="4384" totalsRowDxfId="4383"/>
    <tableColumn id="14428" xr3:uid="{3F71AE19-DD2C-426D-BB32-35425DD99DB3}" name="Column14414" dataDxfId="4382" totalsRowDxfId="4381"/>
    <tableColumn id="14429" xr3:uid="{A206D581-D5F8-4AF7-AAA6-1C63E854801F}" name="Column14415" dataDxfId="4380" totalsRowDxfId="4379"/>
    <tableColumn id="14430" xr3:uid="{230169B8-8341-497C-8089-7D2C4E8708A2}" name="Column14416" dataDxfId="4378" totalsRowDxfId="4377"/>
    <tableColumn id="14431" xr3:uid="{E1F77651-EB31-4B19-8464-4839AC5C1002}" name="Column14417" dataDxfId="4376" totalsRowDxfId="4375"/>
    <tableColumn id="14432" xr3:uid="{BCD5932E-2A3B-4847-BD28-C3240D07945A}" name="Column14418" dataDxfId="4374" totalsRowDxfId="4373"/>
    <tableColumn id="14433" xr3:uid="{8DF92F22-9DDF-4D62-AD5A-D66BC768D75F}" name="Column14419" dataDxfId="4372" totalsRowDxfId="4371"/>
    <tableColumn id="14434" xr3:uid="{BE68467B-C87B-42C4-9561-6BE1E98BD9E7}" name="Column14420" dataDxfId="4370" totalsRowDxfId="4369"/>
    <tableColumn id="14435" xr3:uid="{F096386A-46ED-484B-85D3-7FC6F7307EF9}" name="Column14421" dataDxfId="4368" totalsRowDxfId="4367"/>
    <tableColumn id="14436" xr3:uid="{DDD457D7-D625-484F-B45E-9E6F66142D67}" name="Column14422" dataDxfId="4366" totalsRowDxfId="4365"/>
    <tableColumn id="14437" xr3:uid="{A4FC4929-75B5-4BCE-95A9-224B9DECD87D}" name="Column14423" dataDxfId="4364" totalsRowDxfId="4363"/>
    <tableColumn id="14438" xr3:uid="{D77CF028-A157-4FBA-B3C8-026CCB900CCF}" name="Column14424" dataDxfId="4362" totalsRowDxfId="4361"/>
    <tableColumn id="14439" xr3:uid="{047A21B3-5755-4051-8EB2-835586890E0D}" name="Column14425" dataDxfId="4360" totalsRowDxfId="4359"/>
    <tableColumn id="14440" xr3:uid="{1AE6CCBB-3FB1-4C76-ACCA-BA77A06C4B6E}" name="Column14426" dataDxfId="4358" totalsRowDxfId="4357"/>
    <tableColumn id="14441" xr3:uid="{D61F01F1-2641-4A51-BA87-1E41ABBA8A26}" name="Column14427" dataDxfId="4356" totalsRowDxfId="4355"/>
    <tableColumn id="14442" xr3:uid="{09306F56-ABA3-485E-9256-9DE7CB2FBBB0}" name="Column14428" dataDxfId="4354" totalsRowDxfId="4353"/>
    <tableColumn id="14443" xr3:uid="{746C255E-F944-4202-B765-86E28FC698F8}" name="Column14429" dataDxfId="4352" totalsRowDxfId="4351"/>
    <tableColumn id="14444" xr3:uid="{89020D27-FECC-4F72-8582-E191B3EF2C05}" name="Column14430" dataDxfId="4350" totalsRowDxfId="4349"/>
    <tableColumn id="14445" xr3:uid="{6D6DF0E8-82BE-423A-B0AA-536CBF76C09A}" name="Column14431" dataDxfId="4348" totalsRowDxfId="4347"/>
    <tableColumn id="14446" xr3:uid="{309173CB-593D-4CCB-B206-49CBC59A9206}" name="Column14432" dataDxfId="4346" totalsRowDxfId="4345"/>
    <tableColumn id="14447" xr3:uid="{0C057D5E-FCB8-4186-B797-C638EC8CEC67}" name="Column14433" dataDxfId="4344" totalsRowDxfId="4343"/>
    <tableColumn id="14448" xr3:uid="{3A5E6D20-E464-439E-9953-6A68B6BB6D01}" name="Column14434" dataDxfId="4342" totalsRowDxfId="4341"/>
    <tableColumn id="14449" xr3:uid="{AC0543E2-6629-48B9-969B-C9273FB79730}" name="Column14435" dataDxfId="4340" totalsRowDxfId="4339"/>
    <tableColumn id="14450" xr3:uid="{5AFF890D-8647-499B-922C-62B7DE9EC02A}" name="Column14436" dataDxfId="4338" totalsRowDxfId="4337"/>
    <tableColumn id="14451" xr3:uid="{FB8AE0C8-8341-42DE-94C7-060891AF89CB}" name="Column14437" dataDxfId="4336" totalsRowDxfId="4335"/>
    <tableColumn id="14452" xr3:uid="{8269727E-8EA0-4BD8-ADF8-0AC81058DD05}" name="Column14438" dataDxfId="4334" totalsRowDxfId="4333"/>
    <tableColumn id="14453" xr3:uid="{7DF2C9FE-E7F3-4EAD-8A08-744AF3FF9B42}" name="Column14439" dataDxfId="4332" totalsRowDxfId="4331"/>
    <tableColumn id="14454" xr3:uid="{DBEE8AC5-1A19-407B-AC87-1628BC7FD9F6}" name="Column14440" dataDxfId="4330" totalsRowDxfId="4329"/>
    <tableColumn id="14455" xr3:uid="{C8B5CF05-DEAF-44FA-BDAB-31404BCA4004}" name="Column14441" dataDxfId="4328" totalsRowDxfId="4327"/>
    <tableColumn id="14456" xr3:uid="{FCCCB989-6579-4A93-B3DC-FBE076586147}" name="Column14442" dataDxfId="4326" totalsRowDxfId="4325"/>
    <tableColumn id="14457" xr3:uid="{6289365E-E040-4443-A511-6440A8EF4579}" name="Column14443" dataDxfId="4324" totalsRowDxfId="4323"/>
    <tableColumn id="14458" xr3:uid="{9190CD79-1E0A-4BFA-8F1E-D64DF8A9897F}" name="Column14444" dataDxfId="4322" totalsRowDxfId="4321"/>
    <tableColumn id="14459" xr3:uid="{BF05C30D-64A7-472F-A686-B9CD99787E75}" name="Column14445" dataDxfId="4320" totalsRowDxfId="4319"/>
    <tableColumn id="14460" xr3:uid="{81DC159D-832E-4F96-A9F7-AE5FE45254D2}" name="Column14446" dataDxfId="4318" totalsRowDxfId="4317"/>
    <tableColumn id="14461" xr3:uid="{E9428A4C-DA07-49EC-889E-813170E92120}" name="Column14447" dataDxfId="4316" totalsRowDxfId="4315"/>
    <tableColumn id="14462" xr3:uid="{DB2445E8-3E1E-4B86-8236-3D6065BDC9EE}" name="Column14448" dataDxfId="4314" totalsRowDxfId="4313"/>
    <tableColumn id="14463" xr3:uid="{9041EE4C-1F2F-468D-ABD6-070BF257918A}" name="Column14449" dataDxfId="4312" totalsRowDxfId="4311"/>
    <tableColumn id="14464" xr3:uid="{7A115B9D-97F1-4672-AE04-DA2A6F4206A1}" name="Column14450" dataDxfId="4310" totalsRowDxfId="4309"/>
    <tableColumn id="14465" xr3:uid="{295C365E-493F-4CB6-9B50-763BDF2C4AAE}" name="Column14451" dataDxfId="4308" totalsRowDxfId="4307"/>
    <tableColumn id="14466" xr3:uid="{535AE034-9EB2-4D6E-BFD8-600CEBCC3836}" name="Column14452" dataDxfId="4306" totalsRowDxfId="4305"/>
    <tableColumn id="14467" xr3:uid="{2DF713FE-817D-474C-83E3-C360F1F9ACDB}" name="Column14453" dataDxfId="4304" totalsRowDxfId="4303"/>
    <tableColumn id="14468" xr3:uid="{654AB4EE-AC71-4904-872A-C73EE0A996CA}" name="Column14454" dataDxfId="4302" totalsRowDxfId="4301"/>
    <tableColumn id="14469" xr3:uid="{7A196CE7-4558-4B0D-9858-E94B9314B073}" name="Column14455" dataDxfId="4300" totalsRowDxfId="4299"/>
    <tableColumn id="14470" xr3:uid="{88825D42-53D9-4949-A0AC-1664E6542149}" name="Column14456" dataDxfId="4298" totalsRowDxfId="4297"/>
    <tableColumn id="14471" xr3:uid="{4D457B7F-9E48-4212-A6B0-FE952F333BC0}" name="Column14457" dataDxfId="4296" totalsRowDxfId="4295"/>
    <tableColumn id="14472" xr3:uid="{6EAD2158-84B3-4402-B790-5ACA9F87BBF7}" name="Column14458" dataDxfId="4294" totalsRowDxfId="4293"/>
    <tableColumn id="14473" xr3:uid="{4A2E411B-BC28-4C3B-8824-13373AD3BA59}" name="Column14459" dataDxfId="4292" totalsRowDxfId="4291"/>
    <tableColumn id="14474" xr3:uid="{96D85974-AC08-46E8-86F9-02EA34197914}" name="Column14460" dataDxfId="4290" totalsRowDxfId="4289"/>
    <tableColumn id="14475" xr3:uid="{898878AA-DFB3-4C99-8A1C-43FBBCE6117D}" name="Column14461" dataDxfId="4288" totalsRowDxfId="4287"/>
    <tableColumn id="14476" xr3:uid="{055E77B6-5947-4805-87F0-C7D7CDD4D96F}" name="Column14462" dataDxfId="4286" totalsRowDxfId="4285"/>
    <tableColumn id="14477" xr3:uid="{36567ABF-DA94-473C-83D5-C437FC490EE6}" name="Column14463" dataDxfId="4284" totalsRowDxfId="4283"/>
    <tableColumn id="14478" xr3:uid="{6BB7BC34-84A7-43A6-9F61-235D4FCC2E11}" name="Column14464" dataDxfId="4282" totalsRowDxfId="4281"/>
    <tableColumn id="14479" xr3:uid="{6D912D0A-C7A4-4CDD-99A2-05DA32DA2DE6}" name="Column14465" dataDxfId="4280" totalsRowDxfId="4279"/>
    <tableColumn id="14480" xr3:uid="{901D01F4-DDF6-4742-B6F8-3995618FBE7C}" name="Column14466" dataDxfId="4278" totalsRowDxfId="4277"/>
    <tableColumn id="14481" xr3:uid="{7B4A5E93-7199-45FC-A46A-E34FB3F4F5CA}" name="Column14467" dataDxfId="4276" totalsRowDxfId="4275"/>
    <tableColumn id="14482" xr3:uid="{ABAF3020-6273-4354-BC03-3AFD4CF07090}" name="Column14468" dataDxfId="4274" totalsRowDxfId="4273"/>
    <tableColumn id="14483" xr3:uid="{06779768-F1D1-44BB-BCC0-5BB1276B9029}" name="Column14469" dataDxfId="4272" totalsRowDxfId="4271"/>
    <tableColumn id="14484" xr3:uid="{ED6FA903-4A18-4F32-9DC3-A654D6E50BBF}" name="Column14470" dataDxfId="4270" totalsRowDxfId="4269"/>
    <tableColumn id="14485" xr3:uid="{85889560-6145-4413-BCB5-BBF3B96B116C}" name="Column14471" dataDxfId="4268" totalsRowDxfId="4267"/>
    <tableColumn id="14486" xr3:uid="{80DDB615-3DF9-41CD-8E90-62627A5CDA3E}" name="Column14472" dataDxfId="4266" totalsRowDxfId="4265"/>
    <tableColumn id="14487" xr3:uid="{2102DC43-1D88-4BCF-A92E-B261B08C8FB8}" name="Column14473" dataDxfId="4264" totalsRowDxfId="4263"/>
    <tableColumn id="14488" xr3:uid="{ECD7908D-DAD7-4060-A49E-AEDB036A6753}" name="Column14474" dataDxfId="4262" totalsRowDxfId="4261"/>
    <tableColumn id="14489" xr3:uid="{D45F24D6-94B2-4B52-AB19-852A4591DFDD}" name="Column14475" dataDxfId="4260" totalsRowDxfId="4259"/>
    <tableColumn id="14490" xr3:uid="{7027EFB8-BE36-48DB-AEB9-5D95E0C4A02F}" name="Column14476" dataDxfId="4258" totalsRowDxfId="4257"/>
    <tableColumn id="14491" xr3:uid="{8ECDEAB6-D0FE-49CA-80C1-C71A3E13108C}" name="Column14477" dataDxfId="4256" totalsRowDxfId="4255"/>
    <tableColumn id="14492" xr3:uid="{74265658-2D1E-4295-AFBF-A3417451ACFF}" name="Column14478" dataDxfId="4254" totalsRowDxfId="4253"/>
    <tableColumn id="14493" xr3:uid="{23790976-18E2-4D4F-A933-18A2A3D65EC3}" name="Column14479" dataDxfId="4252" totalsRowDxfId="4251"/>
    <tableColumn id="14494" xr3:uid="{1A544E0C-7D8A-4BB8-822F-9435B4279318}" name="Column14480" dataDxfId="4250" totalsRowDxfId="4249"/>
    <tableColumn id="14495" xr3:uid="{66D6C735-1F1D-477F-B45E-5D7F44AC74CC}" name="Column14481" dataDxfId="4248" totalsRowDxfId="4247"/>
    <tableColumn id="14496" xr3:uid="{0318F535-DEC2-4D63-B5B6-6A3D3E197593}" name="Column14482" dataDxfId="4246" totalsRowDxfId="4245"/>
    <tableColumn id="14497" xr3:uid="{860836EB-AD20-467D-AF15-7A43AA6DCBF3}" name="Column14483" dataDxfId="4244" totalsRowDxfId="4243"/>
    <tableColumn id="14498" xr3:uid="{00687623-FAF0-4A83-A3D5-2E7DEB076D49}" name="Column14484" dataDxfId="4242" totalsRowDxfId="4241"/>
    <tableColumn id="14499" xr3:uid="{8C34743D-0A70-4B64-AB8D-34208609594E}" name="Column14485" dataDxfId="4240" totalsRowDxfId="4239"/>
    <tableColumn id="14500" xr3:uid="{A99B7C58-2AF9-476E-AE6B-ECB6E4B1D575}" name="Column14486" dataDxfId="4238" totalsRowDxfId="4237"/>
    <tableColumn id="14501" xr3:uid="{1616E0DD-D0AA-41D9-81E5-0A99CEEACF1E}" name="Column14487" dataDxfId="4236" totalsRowDxfId="4235"/>
    <tableColumn id="14502" xr3:uid="{4B5A83B8-9B86-42BD-85F7-3C02DC41B4E6}" name="Column14488" dataDxfId="4234" totalsRowDxfId="4233"/>
    <tableColumn id="14503" xr3:uid="{A2C4FE94-D411-42C3-A2ED-24657D642A08}" name="Column14489" dataDxfId="4232" totalsRowDxfId="4231"/>
    <tableColumn id="14504" xr3:uid="{A5AAAD90-661F-4E3B-AFB4-D90CB30FE02F}" name="Column14490" dataDxfId="4230" totalsRowDxfId="4229"/>
    <tableColumn id="14505" xr3:uid="{E8C2BBD3-4433-499A-A381-E4C9FB63C758}" name="Column14491" dataDxfId="4228" totalsRowDxfId="4227"/>
    <tableColumn id="14506" xr3:uid="{B6B2C06D-0ECF-4836-9B09-8804BB2943D7}" name="Column14492" dataDxfId="4226" totalsRowDxfId="4225"/>
    <tableColumn id="14507" xr3:uid="{D9CEB229-F4C9-4A27-9A4F-D3D1C487551C}" name="Column14493" dataDxfId="4224" totalsRowDxfId="4223"/>
    <tableColumn id="14508" xr3:uid="{DC3C8AB0-DEC9-47DC-A43C-7266A9A6C1E8}" name="Column14494" dataDxfId="4222" totalsRowDxfId="4221"/>
    <tableColumn id="14509" xr3:uid="{4614149F-EC4D-4DD5-9791-149647CC5299}" name="Column14495" dataDxfId="4220" totalsRowDxfId="4219"/>
    <tableColumn id="14510" xr3:uid="{773E9748-BBA8-4151-9A6D-D74EAEAFEFCF}" name="Column14496" dataDxfId="4218" totalsRowDxfId="4217"/>
    <tableColumn id="14511" xr3:uid="{6BBBD3FC-9A8C-4525-A56C-E9C3BE6AF540}" name="Column14497" dataDxfId="4216" totalsRowDxfId="4215"/>
    <tableColumn id="14512" xr3:uid="{82915A49-AFC4-406B-B731-DC51C7C7896F}" name="Column14498" dataDxfId="4214" totalsRowDxfId="4213"/>
    <tableColumn id="14513" xr3:uid="{10B75AA5-D9B8-4EE2-884D-D1A560419D26}" name="Column14499" dataDxfId="4212" totalsRowDxfId="4211"/>
    <tableColumn id="14514" xr3:uid="{DD975302-E57B-4DB3-A0DC-BD0E8448F8D4}" name="Column14500" dataDxfId="4210" totalsRowDxfId="4209"/>
    <tableColumn id="14515" xr3:uid="{3BE79C58-AF21-435F-9BE1-9CD1A97ED7A6}" name="Column14501" dataDxfId="4208" totalsRowDxfId="4207"/>
    <tableColumn id="14516" xr3:uid="{53995BE8-1330-4094-8215-33E635FA5596}" name="Column14502" dataDxfId="4206" totalsRowDxfId="4205"/>
    <tableColumn id="14517" xr3:uid="{A4F56108-B062-4F67-9C0D-769B049C29A0}" name="Column14503" dataDxfId="4204" totalsRowDxfId="4203"/>
    <tableColumn id="14518" xr3:uid="{16E3DCC4-DFC1-4AB9-98F2-6E0CD44E16AE}" name="Column14504" dataDxfId="4202" totalsRowDxfId="4201"/>
    <tableColumn id="14519" xr3:uid="{1D0545A7-3961-4A77-9F50-7C8CFEDE737E}" name="Column14505" dataDxfId="4200" totalsRowDxfId="4199"/>
    <tableColumn id="14520" xr3:uid="{49C26E62-9259-4D71-9075-FD60E128368D}" name="Column14506" dataDxfId="4198" totalsRowDxfId="4197"/>
    <tableColumn id="14521" xr3:uid="{240914C4-46C7-4029-8961-154C857A10CE}" name="Column14507" dataDxfId="4196" totalsRowDxfId="4195"/>
    <tableColumn id="14522" xr3:uid="{06CCD5A7-3BDE-4E65-B4E7-1D03507507EB}" name="Column14508" dataDxfId="4194" totalsRowDxfId="4193"/>
    <tableColumn id="14523" xr3:uid="{D0FC541C-B377-4054-9512-87D2CDD03666}" name="Column14509" dataDxfId="4192" totalsRowDxfId="4191"/>
    <tableColumn id="14524" xr3:uid="{745A2AC6-28C4-4DD6-9B76-D265ABA541AD}" name="Column14510" dataDxfId="4190" totalsRowDxfId="4189"/>
    <tableColumn id="14525" xr3:uid="{C0B69344-4F33-4129-BB40-E29427AED1C5}" name="Column14511" dataDxfId="4188" totalsRowDxfId="4187"/>
    <tableColumn id="14526" xr3:uid="{63AE919D-C144-49BC-987A-24D7CB29C5E1}" name="Column14512" dataDxfId="4186" totalsRowDxfId="4185"/>
    <tableColumn id="14527" xr3:uid="{F0BBC984-7A42-4D1E-90E4-7767ED1F80B6}" name="Column14513" dataDxfId="4184" totalsRowDxfId="4183"/>
    <tableColumn id="14528" xr3:uid="{E3E57AD5-4081-4C20-8676-C801A14544A1}" name="Column14514" dataDxfId="4182" totalsRowDxfId="4181"/>
    <tableColumn id="14529" xr3:uid="{B5C6A2CF-5456-417B-9948-02EFD436A21B}" name="Column14515" dataDxfId="4180" totalsRowDxfId="4179"/>
    <tableColumn id="14530" xr3:uid="{254B2BAD-51C7-45B0-9C85-19E1B3411262}" name="Column14516" dataDxfId="4178" totalsRowDxfId="4177"/>
    <tableColumn id="14531" xr3:uid="{5789A685-5373-4A3B-B222-BDFEFAA7DD95}" name="Column14517" dataDxfId="4176" totalsRowDxfId="4175"/>
    <tableColumn id="14532" xr3:uid="{46F0D3DA-CE24-43FA-B229-26711DDBCDCE}" name="Column14518" dataDxfId="4174" totalsRowDxfId="4173"/>
    <tableColumn id="14533" xr3:uid="{9BAC47D8-5279-4337-83AF-461EDA713C38}" name="Column14519" dataDxfId="4172" totalsRowDxfId="4171"/>
    <tableColumn id="14534" xr3:uid="{4A8DABE6-998D-4BB8-9417-EE1B0109B080}" name="Column14520" dataDxfId="4170" totalsRowDxfId="4169"/>
    <tableColumn id="14535" xr3:uid="{7AAB6661-BE60-459D-8249-45FE5BCF0A2F}" name="Column14521" dataDxfId="4168" totalsRowDxfId="4167"/>
    <tableColumn id="14536" xr3:uid="{957B53B0-EA68-4C08-B6DA-30002B625082}" name="Column14522" dataDxfId="4166" totalsRowDxfId="4165"/>
    <tableColumn id="14537" xr3:uid="{FE96EE7A-D488-4C80-9717-14EB6706C341}" name="Column14523" dataDxfId="4164" totalsRowDxfId="4163"/>
    <tableColumn id="14538" xr3:uid="{DC8E0502-1FF1-4DF6-93C3-5280F1E22A7E}" name="Column14524" dataDxfId="4162" totalsRowDxfId="4161"/>
    <tableColumn id="14539" xr3:uid="{9E101632-935E-41E6-A95D-10BBC8EECEFD}" name="Column14525" dataDxfId="4160" totalsRowDxfId="4159"/>
    <tableColumn id="14540" xr3:uid="{9382F346-7870-46B2-A8B3-286B561B7935}" name="Column14526" dataDxfId="4158" totalsRowDxfId="4157"/>
    <tableColumn id="14541" xr3:uid="{FA18F6AF-C4E3-4148-83FB-412B198A2CF4}" name="Column14527" dataDxfId="4156" totalsRowDxfId="4155"/>
    <tableColumn id="14542" xr3:uid="{3F261A6D-F99C-419B-B23A-D139FA11D5A3}" name="Column14528" dataDxfId="4154" totalsRowDxfId="4153"/>
    <tableColumn id="14543" xr3:uid="{DFD000B6-114C-415B-88E3-11541D1A06D9}" name="Column14529" dataDxfId="4152" totalsRowDxfId="4151"/>
    <tableColumn id="14544" xr3:uid="{4987DE18-D47B-42DE-8253-A6B609E95AD4}" name="Column14530" dataDxfId="4150" totalsRowDxfId="4149"/>
    <tableColumn id="14545" xr3:uid="{271314FF-3CC8-4BAA-A650-B6AD1F25DCFD}" name="Column14531" dataDxfId="4148" totalsRowDxfId="4147"/>
    <tableColumn id="14546" xr3:uid="{F0AD1A4F-95A5-4CFE-AB54-FAA400AA7B43}" name="Column14532" dataDxfId="4146" totalsRowDxfId="4145"/>
    <tableColumn id="14547" xr3:uid="{07F892A1-9C66-4B42-B2D2-54070002B3CB}" name="Column14533" dataDxfId="4144" totalsRowDxfId="4143"/>
    <tableColumn id="14548" xr3:uid="{6B3CBF73-B519-4C69-B3FF-02D69C6E0FF8}" name="Column14534" dataDxfId="4142" totalsRowDxfId="4141"/>
    <tableColumn id="14549" xr3:uid="{6F2BBB1D-BDBE-477F-8D11-55F4F36F6296}" name="Column14535" dataDxfId="4140" totalsRowDxfId="4139"/>
    <tableColumn id="14550" xr3:uid="{6B3218D0-1772-4464-BDC2-FBEB8A67C61F}" name="Column14536" dataDxfId="4138" totalsRowDxfId="4137"/>
    <tableColumn id="14551" xr3:uid="{4CE20271-1F1D-4016-91E8-21B02E8802D4}" name="Column14537" dataDxfId="4136" totalsRowDxfId="4135"/>
    <tableColumn id="14552" xr3:uid="{F9D96FDE-551C-40FD-9F1A-FBC03A811271}" name="Column14538" dataDxfId="4134" totalsRowDxfId="4133"/>
    <tableColumn id="14553" xr3:uid="{D6C78AED-B75A-43AE-A6A1-4DA15CC1B27E}" name="Column14539" dataDxfId="4132" totalsRowDxfId="4131"/>
    <tableColumn id="14554" xr3:uid="{F9517AD6-8DF0-4A1B-AE64-F1CAD0C745C6}" name="Column14540" dataDxfId="4130" totalsRowDxfId="4129"/>
    <tableColumn id="14555" xr3:uid="{713BAA4B-102D-4F33-804A-55AEEFF711DA}" name="Column14541" dataDxfId="4128" totalsRowDxfId="4127"/>
    <tableColumn id="14556" xr3:uid="{CB722C3F-9CCA-4227-8F68-3041C121ECD8}" name="Column14542" dataDxfId="4126" totalsRowDxfId="4125"/>
    <tableColumn id="14557" xr3:uid="{536A8058-9E82-40E4-8DA3-2ACD3C7B2580}" name="Column14543" dataDxfId="4124" totalsRowDxfId="4123"/>
    <tableColumn id="14558" xr3:uid="{521BE1F5-D3DC-4F6F-97DF-5A75DD1327F2}" name="Column14544" dataDxfId="4122" totalsRowDxfId="4121"/>
    <tableColumn id="14559" xr3:uid="{7710C378-359A-464E-AB3E-22E21B7CAD4A}" name="Column14545" dataDxfId="4120" totalsRowDxfId="4119"/>
    <tableColumn id="14560" xr3:uid="{36BAA759-BACB-43FE-A8B2-9AF6828D1406}" name="Column14546" dataDxfId="4118" totalsRowDxfId="4117"/>
    <tableColumn id="14561" xr3:uid="{F622E35D-BDD1-4541-8FC7-501467A51B99}" name="Column14547" dataDxfId="4116" totalsRowDxfId="4115"/>
    <tableColumn id="14562" xr3:uid="{D7EB119E-5C5D-4D27-BCE7-4D939206116F}" name="Column14548" dataDxfId="4114" totalsRowDxfId="4113"/>
    <tableColumn id="14563" xr3:uid="{087B151F-8EAF-46CA-AE69-9BCE3C6E7D2B}" name="Column14549" dataDxfId="4112" totalsRowDxfId="4111"/>
    <tableColumn id="14564" xr3:uid="{64EF8697-1ACC-47C4-AA92-36CF7015DE74}" name="Column14550" dataDxfId="4110" totalsRowDxfId="4109"/>
    <tableColumn id="14565" xr3:uid="{E89662C3-2232-4BB1-B4DC-9BD0E877C1C1}" name="Column14551" dataDxfId="4108" totalsRowDxfId="4107"/>
    <tableColumn id="14566" xr3:uid="{192A7271-F252-4DD9-B430-816A280943C7}" name="Column14552" dataDxfId="4106" totalsRowDxfId="4105"/>
    <tableColumn id="14567" xr3:uid="{2326A6B7-76F8-44A0-9644-3F408909E3DA}" name="Column14553" dataDxfId="4104" totalsRowDxfId="4103"/>
    <tableColumn id="14568" xr3:uid="{0B784A50-5108-4FFB-A403-683B900CB214}" name="Column14554" dataDxfId="4102" totalsRowDxfId="4101"/>
    <tableColumn id="14569" xr3:uid="{72EB00C1-7AD1-488E-B3EF-4F2431AA025F}" name="Column14555" dataDxfId="4100" totalsRowDxfId="4099"/>
    <tableColumn id="14570" xr3:uid="{F92CBD4F-EB34-4FA6-BD75-D1EE61584F51}" name="Column14556" dataDxfId="4098" totalsRowDxfId="4097"/>
    <tableColumn id="14571" xr3:uid="{904FB407-9EA4-4A68-9664-9B9AD9B0BC34}" name="Column14557" dataDxfId="4096" totalsRowDxfId="4095"/>
    <tableColumn id="14572" xr3:uid="{BA07861F-9595-4D24-8E44-3C902BED5C11}" name="Column14558" dataDxfId="4094" totalsRowDxfId="4093"/>
    <tableColumn id="14573" xr3:uid="{EA40DF15-7E9E-4ECE-A6C1-50857B272727}" name="Column14559" dataDxfId="4092" totalsRowDxfId="4091"/>
    <tableColumn id="14574" xr3:uid="{6B502BC5-722D-45B3-9D26-F721890F7041}" name="Column14560" dataDxfId="4090" totalsRowDxfId="4089"/>
    <tableColumn id="14575" xr3:uid="{FA3BD4A2-88D7-4680-9153-163F923585DA}" name="Column14561" dataDxfId="4088" totalsRowDxfId="4087"/>
    <tableColumn id="14576" xr3:uid="{E2AF8BBD-7548-4391-9D0B-A95FBDD202DA}" name="Column14562" dataDxfId="4086" totalsRowDxfId="4085"/>
    <tableColumn id="14577" xr3:uid="{8F0ED70E-275A-4B85-9727-6B3CFF15C5BC}" name="Column14563" dataDxfId="4084" totalsRowDxfId="4083"/>
    <tableColumn id="14578" xr3:uid="{CB46EC14-0E11-4681-A3F1-378D0DE2531B}" name="Column14564" dataDxfId="4082" totalsRowDxfId="4081"/>
    <tableColumn id="14579" xr3:uid="{EDFE79D8-2CA4-479D-BE2A-72DE192916D0}" name="Column14565" dataDxfId="4080" totalsRowDxfId="4079"/>
    <tableColumn id="14580" xr3:uid="{D116D73A-3F03-4E59-9F4B-291B46CEF796}" name="Column14566" dataDxfId="4078" totalsRowDxfId="4077"/>
    <tableColumn id="14581" xr3:uid="{EFF74DC3-A132-4C8B-86B6-69E9EC0AD98C}" name="Column14567" dataDxfId="4076" totalsRowDxfId="4075"/>
    <tableColumn id="14582" xr3:uid="{D4925CB5-6889-4AEF-B9FF-64BAFDFFC060}" name="Column14568" dataDxfId="4074" totalsRowDxfId="4073"/>
    <tableColumn id="14583" xr3:uid="{73C63FD0-D0D6-4CC7-9AB0-EA28FF95841D}" name="Column14569" dataDxfId="4072" totalsRowDxfId="4071"/>
    <tableColumn id="14584" xr3:uid="{09F82334-D0CE-41A6-9C9B-1BBFB83D4E29}" name="Column14570" dataDxfId="4070" totalsRowDxfId="4069"/>
    <tableColumn id="14585" xr3:uid="{DAA3C43F-C1E1-4B3C-BB36-BA43618C1414}" name="Column14571" dataDxfId="4068" totalsRowDxfId="4067"/>
    <tableColumn id="14586" xr3:uid="{7BB645A4-6904-4EB9-B4F2-5F135CFC1484}" name="Column14572" dataDxfId="4066" totalsRowDxfId="4065"/>
    <tableColumn id="14587" xr3:uid="{118D83AB-DE41-492A-807E-15A14028A4FB}" name="Column14573" dataDxfId="4064" totalsRowDxfId="4063"/>
    <tableColumn id="14588" xr3:uid="{B0597C0A-3C58-43E0-9C7B-CE35108F5B73}" name="Column14574" dataDxfId="4062" totalsRowDxfId="4061"/>
    <tableColumn id="14589" xr3:uid="{34AED473-5D33-4AB2-B253-33C25397AE68}" name="Column14575" dataDxfId="4060" totalsRowDxfId="4059"/>
    <tableColumn id="14590" xr3:uid="{95E5D75D-D735-41CC-9E98-9FF29E626774}" name="Column14576" dataDxfId="4058" totalsRowDxfId="4057"/>
    <tableColumn id="14591" xr3:uid="{648C2CAB-FEAA-4823-B1DE-DA03EA9E5569}" name="Column14577" dataDxfId="4056" totalsRowDxfId="4055"/>
    <tableColumn id="14592" xr3:uid="{3FF17371-B709-40FE-A7B9-C9B8C1C2F844}" name="Column14578" dataDxfId="4054" totalsRowDxfId="4053"/>
    <tableColumn id="14593" xr3:uid="{03844EF2-C143-42C0-94B2-563DEDD89DAB}" name="Column14579" dataDxfId="4052" totalsRowDxfId="4051"/>
    <tableColumn id="14594" xr3:uid="{1D2B77DF-BFCA-4EB5-B7A8-BC8B188E7ABB}" name="Column14580" dataDxfId="4050" totalsRowDxfId="4049"/>
    <tableColumn id="14595" xr3:uid="{5B2FF7DE-FF12-40C7-8DA1-F0F48F456D05}" name="Column14581" dataDxfId="4048" totalsRowDxfId="4047"/>
    <tableColumn id="14596" xr3:uid="{92C3BC86-63FB-4721-88C9-5CAC73BC2AFA}" name="Column14582" dataDxfId="4046" totalsRowDxfId="4045"/>
    <tableColumn id="14597" xr3:uid="{916FB211-08A5-4174-ADD4-98335CB30157}" name="Column14583" dataDxfId="4044" totalsRowDxfId="4043"/>
    <tableColumn id="14598" xr3:uid="{CCE06951-C5AE-43C6-86FA-278FE0D03996}" name="Column14584" dataDxfId="4042" totalsRowDxfId="4041"/>
    <tableColumn id="14599" xr3:uid="{996A348C-FDD7-47DA-A3E7-AA60B033B92E}" name="Column14585" dataDxfId="4040" totalsRowDxfId="4039"/>
    <tableColumn id="14600" xr3:uid="{D6EE9BA4-02FA-433D-9433-012FE6FDCF07}" name="Column14586" dataDxfId="4038" totalsRowDxfId="4037"/>
    <tableColumn id="14601" xr3:uid="{2A56D3F5-EA45-4CB8-93A4-A9DA5CA94E94}" name="Column14587" dataDxfId="4036" totalsRowDxfId="4035"/>
    <tableColumn id="14602" xr3:uid="{390ABF7D-5D3E-4C31-9982-12EF380E9197}" name="Column14588" dataDxfId="4034" totalsRowDxfId="4033"/>
    <tableColumn id="14603" xr3:uid="{10F0654C-CBB7-4710-BC95-9E131DD9C5C0}" name="Column14589" dataDxfId="4032" totalsRowDxfId="4031"/>
    <tableColumn id="14604" xr3:uid="{4ED4B518-4EBE-4110-98CC-151910C8055C}" name="Column14590" dataDxfId="4030" totalsRowDxfId="4029"/>
    <tableColumn id="14605" xr3:uid="{614440B6-5BB8-4363-A7B2-27CE4833A157}" name="Column14591" dataDxfId="4028" totalsRowDxfId="4027"/>
    <tableColumn id="14606" xr3:uid="{220B3D2E-04DC-4BAB-A0C9-700088C0E4C2}" name="Column14592" dataDxfId="4026" totalsRowDxfId="4025"/>
    <tableColumn id="14607" xr3:uid="{E33D97D1-283B-4239-8BFB-2D84AC9ADC28}" name="Column14593" dataDxfId="4024" totalsRowDxfId="4023"/>
    <tableColumn id="14608" xr3:uid="{F90056AA-7E18-42A7-B1D9-4B90C609F5BF}" name="Column14594" dataDxfId="4022" totalsRowDxfId="4021"/>
    <tableColumn id="14609" xr3:uid="{22F04961-4516-40D2-8012-E4E966516B8E}" name="Column14595" dataDxfId="4020" totalsRowDxfId="4019"/>
    <tableColumn id="14610" xr3:uid="{136A8EBF-FC74-423F-BB90-87D5F1E17573}" name="Column14596" dataDxfId="4018" totalsRowDxfId="4017"/>
    <tableColumn id="14611" xr3:uid="{9BDFA9D5-19AA-4094-9104-E403718978A1}" name="Column14597" dataDxfId="4016" totalsRowDxfId="4015"/>
    <tableColumn id="14612" xr3:uid="{49EFCBD9-F0F7-4F83-8B1C-A5C11C75155A}" name="Column14598" dataDxfId="4014" totalsRowDxfId="4013"/>
    <tableColumn id="14613" xr3:uid="{6EB497F8-9240-422D-9289-7B52C4611275}" name="Column14599" dataDxfId="4012" totalsRowDxfId="4011"/>
    <tableColumn id="14614" xr3:uid="{12D3F362-DEE6-45DD-BB82-78EC7DD870E5}" name="Column14600" dataDxfId="4010" totalsRowDxfId="4009"/>
    <tableColumn id="14615" xr3:uid="{B5374D12-CE25-45A4-A8B7-B37F24106D9D}" name="Column14601" dataDxfId="4008" totalsRowDxfId="4007"/>
    <tableColumn id="14616" xr3:uid="{9F293A89-05BB-44BD-ABA1-6754BDD38D62}" name="Column14602" dataDxfId="4006" totalsRowDxfId="4005"/>
    <tableColumn id="14617" xr3:uid="{8C4CE15B-8D84-409E-98D1-17402A378F33}" name="Column14603" dataDxfId="4004" totalsRowDxfId="4003"/>
    <tableColumn id="14618" xr3:uid="{F8D1BD10-AE47-4808-9BAC-D4874D9209C6}" name="Column14604" dataDxfId="4002" totalsRowDxfId="4001"/>
    <tableColumn id="14619" xr3:uid="{13A79C1C-EBB6-4FE8-8DC1-13215521B96B}" name="Column14605" dataDxfId="4000" totalsRowDxfId="3999"/>
    <tableColumn id="14620" xr3:uid="{8C35806D-C54D-44C6-AE5A-8A060839FCC4}" name="Column14606" dataDxfId="3998" totalsRowDxfId="3997"/>
    <tableColumn id="14621" xr3:uid="{871EDB00-8733-43C0-B28D-1A48FD4A22AA}" name="Column14607" dataDxfId="3996" totalsRowDxfId="3995"/>
    <tableColumn id="14622" xr3:uid="{75C3C092-06BA-4A0E-A15B-DBB1702AE66C}" name="Column14608" dataDxfId="3994" totalsRowDxfId="3993"/>
    <tableColumn id="14623" xr3:uid="{AE7AFAD7-20FE-46CE-BE40-828198E74074}" name="Column14609" dataDxfId="3992" totalsRowDxfId="3991"/>
    <tableColumn id="14624" xr3:uid="{F35B06B1-1B7C-4C59-A575-805264AB9DBE}" name="Column14610" dataDxfId="3990" totalsRowDxfId="3989"/>
    <tableColumn id="14625" xr3:uid="{2F3E2587-6E2C-4AE9-B157-ADD01AFAB223}" name="Column14611" dataDxfId="3988" totalsRowDxfId="3987"/>
    <tableColumn id="14626" xr3:uid="{B71F9F47-0EEE-4B9B-BA45-E7C995B35BA6}" name="Column14612" dataDxfId="3986" totalsRowDxfId="3985"/>
    <tableColumn id="14627" xr3:uid="{92769E8C-4611-426E-9057-02711CA41039}" name="Column14613" dataDxfId="3984" totalsRowDxfId="3983"/>
    <tableColumn id="14628" xr3:uid="{70A44A68-9C74-4EBC-9FBB-A8AF1C32C5EF}" name="Column14614" dataDxfId="3982" totalsRowDxfId="3981"/>
    <tableColumn id="14629" xr3:uid="{B2D9AF40-63FB-49F7-B13F-DCDA3FB02918}" name="Column14615" dataDxfId="3980" totalsRowDxfId="3979"/>
    <tableColumn id="14630" xr3:uid="{4404E7EF-0D16-4E47-ABCC-B47E0A2281B5}" name="Column14616" dataDxfId="3978" totalsRowDxfId="3977"/>
    <tableColumn id="14631" xr3:uid="{9EFAD7B3-BCBA-49EA-B662-DE01EF3183A4}" name="Column14617" dataDxfId="3976" totalsRowDxfId="3975"/>
    <tableColumn id="14632" xr3:uid="{69187E67-4973-4DDC-A32C-C2F89499FFE6}" name="Column14618" dataDxfId="3974" totalsRowDxfId="3973"/>
    <tableColumn id="14633" xr3:uid="{6E7035CE-9F9A-4F7B-B063-7BDA236FBB10}" name="Column14619" dataDxfId="3972" totalsRowDxfId="3971"/>
    <tableColumn id="14634" xr3:uid="{9800FFF3-CBAB-4D57-A368-EB201D3AC154}" name="Column14620" dataDxfId="3970" totalsRowDxfId="3969"/>
    <tableColumn id="14635" xr3:uid="{DB90945E-D8A4-4927-8397-EFEE8F13D9D5}" name="Column14621" dataDxfId="3968" totalsRowDxfId="3967"/>
    <tableColumn id="14636" xr3:uid="{702580D1-A707-4324-ADAA-0607F5295FAF}" name="Column14622" dataDxfId="3966" totalsRowDxfId="3965"/>
    <tableColumn id="14637" xr3:uid="{0BC04702-3E5B-4F56-8BEA-72F05986ED7B}" name="Column14623" dataDxfId="3964" totalsRowDxfId="3963"/>
    <tableColumn id="14638" xr3:uid="{26C54D49-F26A-42E7-92A4-5B356A18440A}" name="Column14624" dataDxfId="3962" totalsRowDxfId="3961"/>
    <tableColumn id="14639" xr3:uid="{07196BB4-2F5F-4409-872B-D8DF6AF99659}" name="Column14625" dataDxfId="3960" totalsRowDxfId="3959"/>
    <tableColumn id="14640" xr3:uid="{5EFE98D2-2117-460A-A924-391D7554C007}" name="Column14626" dataDxfId="3958" totalsRowDxfId="3957"/>
    <tableColumn id="14641" xr3:uid="{46116396-5DF7-415E-856C-BCA9368F4004}" name="Column14627" dataDxfId="3956" totalsRowDxfId="3955"/>
    <tableColumn id="14642" xr3:uid="{D4472C2B-CEA6-4333-BA45-4EF9919E3668}" name="Column14628" dataDxfId="3954" totalsRowDxfId="3953"/>
    <tableColumn id="14643" xr3:uid="{455501F4-9718-4119-8BF1-43D8D9B1DD96}" name="Column14629" dataDxfId="3952" totalsRowDxfId="3951"/>
    <tableColumn id="14644" xr3:uid="{EE400EF3-632E-4CAF-9241-1405F52EFB84}" name="Column14630" dataDxfId="3950" totalsRowDxfId="3949"/>
    <tableColumn id="14645" xr3:uid="{2D8704F2-7E84-4102-81DF-3FFE4DE6C183}" name="Column14631" dataDxfId="3948" totalsRowDxfId="3947"/>
    <tableColumn id="14646" xr3:uid="{509DACB2-A965-4C27-86E7-D96E1BB724FB}" name="Column14632" dataDxfId="3946" totalsRowDxfId="3945"/>
    <tableColumn id="14647" xr3:uid="{3AD154A2-35C3-42EE-9A67-95BB20886000}" name="Column14633" dataDxfId="3944" totalsRowDxfId="3943"/>
    <tableColumn id="14648" xr3:uid="{B84D116D-544D-4ECE-AFE9-1C18A2E76F07}" name="Column14634" dataDxfId="3942" totalsRowDxfId="3941"/>
    <tableColumn id="14649" xr3:uid="{352E5AE6-0D30-44B8-A539-FEADE0248700}" name="Column14635" dataDxfId="3940" totalsRowDxfId="3939"/>
    <tableColumn id="14650" xr3:uid="{11E99F1A-8176-44DE-823E-FE2FB3022E06}" name="Column14636" dataDxfId="3938" totalsRowDxfId="3937"/>
    <tableColumn id="14651" xr3:uid="{61511B94-CE23-4EDA-B70B-0F1453FFD8B9}" name="Column14637" dataDxfId="3936" totalsRowDxfId="3935"/>
    <tableColumn id="14652" xr3:uid="{32AD66EE-B0BE-41EF-BC2E-F88442C5243C}" name="Column14638" dataDxfId="3934" totalsRowDxfId="3933"/>
    <tableColumn id="14653" xr3:uid="{D25523B8-CB96-4193-A90F-EA885023F5A6}" name="Column14639" dataDxfId="3932" totalsRowDxfId="3931"/>
    <tableColumn id="14654" xr3:uid="{6167EF9A-59B0-4F10-9D53-BEA05E6C7204}" name="Column14640" dataDxfId="3930" totalsRowDxfId="3929"/>
    <tableColumn id="14655" xr3:uid="{CBE45E92-7312-4F7B-A93E-65438B9833CB}" name="Column14641" dataDxfId="3928" totalsRowDxfId="3927"/>
    <tableColumn id="14656" xr3:uid="{D631C31B-7C37-4E8E-A8FB-2F58E25164B5}" name="Column14642" dataDxfId="3926" totalsRowDxfId="3925"/>
    <tableColumn id="14657" xr3:uid="{62A6B398-EDF2-47B1-B056-9955686C4B9B}" name="Column14643" dataDxfId="3924" totalsRowDxfId="3923"/>
    <tableColumn id="14658" xr3:uid="{3BB49D1D-8D46-4E02-96D4-1A87CABF4308}" name="Column14644" dataDxfId="3922" totalsRowDxfId="3921"/>
    <tableColumn id="14659" xr3:uid="{D9B0090C-362C-4AE2-87AD-E32072DAB065}" name="Column14645" dataDxfId="3920" totalsRowDxfId="3919"/>
    <tableColumn id="14660" xr3:uid="{90DB24DD-E924-4274-9601-CFD956B12FE5}" name="Column14646" dataDxfId="3918" totalsRowDxfId="3917"/>
    <tableColumn id="14661" xr3:uid="{518C5948-52E9-4FD2-BC60-868A6EA5399A}" name="Column14647" dataDxfId="3916" totalsRowDxfId="3915"/>
    <tableColumn id="14662" xr3:uid="{E1DFCD95-73F9-44B7-8EA2-E21BF822523E}" name="Column14648" dataDxfId="3914" totalsRowDxfId="3913"/>
    <tableColumn id="14663" xr3:uid="{246FE537-5A83-4561-93ED-5AF50309D529}" name="Column14649" dataDxfId="3912" totalsRowDxfId="3911"/>
    <tableColumn id="14664" xr3:uid="{0F23A68F-6800-48DE-BF3F-7948D4ADCD28}" name="Column14650" dataDxfId="3910" totalsRowDxfId="3909"/>
    <tableColumn id="14665" xr3:uid="{A72ECFA0-0F9E-4A6D-B47E-4A7FA6CDC7FD}" name="Column14651" dataDxfId="3908" totalsRowDxfId="3907"/>
    <tableColumn id="14666" xr3:uid="{115F7FDD-6C24-46F6-A317-FCBB9191EDCB}" name="Column14652" dataDxfId="3906" totalsRowDxfId="3905"/>
    <tableColumn id="14667" xr3:uid="{BD1FCC6A-0D1F-494F-AD8B-79E9A0972D09}" name="Column14653" dataDxfId="3904" totalsRowDxfId="3903"/>
    <tableColumn id="14668" xr3:uid="{77C25317-187F-4D49-AF95-1962DDE74DB3}" name="Column14654" dataDxfId="3902" totalsRowDxfId="3901"/>
    <tableColumn id="14669" xr3:uid="{9CB54B10-A063-4028-98CD-8B4ED2B3BB5F}" name="Column14655" dataDxfId="3900" totalsRowDxfId="3899"/>
    <tableColumn id="14670" xr3:uid="{19588CDE-D3A4-4F64-A4FB-4741A35148DB}" name="Column14656" dataDxfId="3898" totalsRowDxfId="3897"/>
    <tableColumn id="14671" xr3:uid="{ED805056-31C5-4728-B37F-F6DD3A8AF70A}" name="Column14657" dataDxfId="3896" totalsRowDxfId="3895"/>
    <tableColumn id="14672" xr3:uid="{B9B87444-3D5F-41A3-B630-B6EB35A0E001}" name="Column14658" dataDxfId="3894" totalsRowDxfId="3893"/>
    <tableColumn id="14673" xr3:uid="{B8D2AFBE-8A0D-4E69-92C0-F14DD3FB092D}" name="Column14659" dataDxfId="3892" totalsRowDxfId="3891"/>
    <tableColumn id="14674" xr3:uid="{C949FF21-50E3-4F85-A171-7A752A52F9DA}" name="Column14660" dataDxfId="3890" totalsRowDxfId="3889"/>
    <tableColumn id="14675" xr3:uid="{C645640F-C645-4E06-84CF-7B3DF4F95AD9}" name="Column14661" dataDxfId="3888" totalsRowDxfId="3887"/>
    <tableColumn id="14676" xr3:uid="{CE6D457A-89DA-490E-9D5E-B01476039D38}" name="Column14662" dataDxfId="3886" totalsRowDxfId="3885"/>
    <tableColumn id="14677" xr3:uid="{A7147E37-E37A-4BCA-9941-7626A61DC497}" name="Column14663" dataDxfId="3884" totalsRowDxfId="3883"/>
    <tableColumn id="14678" xr3:uid="{CC839A9A-FDCB-438F-BF5F-D48AF3A783B7}" name="Column14664" dataDxfId="3882" totalsRowDxfId="3881"/>
    <tableColumn id="14679" xr3:uid="{56A2F837-ABA7-4389-B184-AD136E6CDE3E}" name="Column14665" dataDxfId="3880" totalsRowDxfId="3879"/>
    <tableColumn id="14680" xr3:uid="{1EDEF238-D0B0-4EA6-9E13-21B33D7042CA}" name="Column14666" dataDxfId="3878" totalsRowDxfId="3877"/>
    <tableColumn id="14681" xr3:uid="{CCCE3E5B-60CC-40CB-ABB9-6A8D55A652E2}" name="Column14667" dataDxfId="3876" totalsRowDxfId="3875"/>
    <tableColumn id="14682" xr3:uid="{B0181142-F487-4CDB-A853-8510D7C6FD54}" name="Column14668" dataDxfId="3874" totalsRowDxfId="3873"/>
    <tableColumn id="14683" xr3:uid="{1F20F96A-F2CC-4954-8ADA-270FFAD47DC8}" name="Column14669" dataDxfId="3872" totalsRowDxfId="3871"/>
    <tableColumn id="14684" xr3:uid="{D5F44A7F-64A4-4580-B5C4-56210FCCD8D4}" name="Column14670" dataDxfId="3870" totalsRowDxfId="3869"/>
    <tableColumn id="14685" xr3:uid="{2F258E1A-8C4F-442A-9A35-6DE57F1855E5}" name="Column14671" dataDxfId="3868" totalsRowDxfId="3867"/>
    <tableColumn id="14686" xr3:uid="{A9C238B8-DEAB-4327-873B-606790C66AFA}" name="Column14672" dataDxfId="3866" totalsRowDxfId="3865"/>
    <tableColumn id="14687" xr3:uid="{55E429A2-5295-45F7-B1F4-C709670FB688}" name="Column14673" dataDxfId="3864" totalsRowDxfId="3863"/>
    <tableColumn id="14688" xr3:uid="{CCFCF1F0-2253-480F-A70F-A7F4283DE1E8}" name="Column14674" dataDxfId="3862" totalsRowDxfId="3861"/>
    <tableColumn id="14689" xr3:uid="{F6D6BF10-957E-4648-BF7D-0277FD8D0CA8}" name="Column14675" dataDxfId="3860" totalsRowDxfId="3859"/>
    <tableColumn id="14690" xr3:uid="{320D20A1-F4E6-48DF-946B-27019C88160F}" name="Column14676" dataDxfId="3858" totalsRowDxfId="3857"/>
    <tableColumn id="14691" xr3:uid="{7F897834-2E58-44F1-8AE8-558C659B4B29}" name="Column14677" dataDxfId="3856" totalsRowDxfId="3855"/>
    <tableColumn id="14692" xr3:uid="{839D6DFF-AD9D-4467-843B-86E6DBB0E0C8}" name="Column14678" dataDxfId="3854" totalsRowDxfId="3853"/>
    <tableColumn id="14693" xr3:uid="{41964975-AE43-41F5-9CCF-76707B0A2C6C}" name="Column14679" dataDxfId="3852" totalsRowDxfId="3851"/>
    <tableColumn id="14694" xr3:uid="{AEB8FAE4-1B01-46F6-A65C-93F888F6F510}" name="Column14680" dataDxfId="3850" totalsRowDxfId="3849"/>
    <tableColumn id="14695" xr3:uid="{08BFB810-6814-49B8-815E-A115066E10C7}" name="Column14681" dataDxfId="3848" totalsRowDxfId="3847"/>
    <tableColumn id="14696" xr3:uid="{C80E757B-3734-4E3B-927A-9E201B1A7E7B}" name="Column14682" dataDxfId="3846" totalsRowDxfId="3845"/>
    <tableColumn id="14697" xr3:uid="{DE4319A0-9F8C-4F26-9299-95A61ADC235C}" name="Column14683" dataDxfId="3844" totalsRowDxfId="3843"/>
    <tableColumn id="14698" xr3:uid="{1D6FE736-73E8-4265-9B29-86BAB417CD9C}" name="Column14684" dataDxfId="3842" totalsRowDxfId="3841"/>
    <tableColumn id="14699" xr3:uid="{1410AD5E-22AB-4285-B3CE-BE3D437BC6A6}" name="Column14685" dataDxfId="3840" totalsRowDxfId="3839"/>
    <tableColumn id="14700" xr3:uid="{B7492B3E-95C2-4D37-A35B-3E12E338D8AB}" name="Column14686" dataDxfId="3838" totalsRowDxfId="3837"/>
    <tableColumn id="14701" xr3:uid="{0C910614-DBE1-4FD7-8FC4-87E51C395FEB}" name="Column14687" dataDxfId="3836" totalsRowDxfId="3835"/>
    <tableColumn id="14702" xr3:uid="{6D2E8263-9526-46CB-924F-10A7F9387758}" name="Column14688" dataDxfId="3834" totalsRowDxfId="3833"/>
    <tableColumn id="14703" xr3:uid="{8EC1C86F-458D-45B1-B15F-7AD6BFBEA93A}" name="Column14689" dataDxfId="3832" totalsRowDxfId="3831"/>
    <tableColumn id="14704" xr3:uid="{AE69950A-A9A0-4AF5-A9DB-9466A330A716}" name="Column14690" dataDxfId="3830" totalsRowDxfId="3829"/>
    <tableColumn id="14705" xr3:uid="{547788EA-3439-4BA2-AFDB-695DE40622C0}" name="Column14691" dataDxfId="3828" totalsRowDxfId="3827"/>
    <tableColumn id="14706" xr3:uid="{EB4B9683-4B23-426C-B3E5-B0E4D7DAB3A6}" name="Column14692" dataDxfId="3826" totalsRowDxfId="3825"/>
    <tableColumn id="14707" xr3:uid="{E5D10C66-BADE-490C-A89B-72D4C1F9819D}" name="Column14693" dataDxfId="3824" totalsRowDxfId="3823"/>
    <tableColumn id="14708" xr3:uid="{04975A20-CA4D-4DC0-ABC9-FB51473B97AE}" name="Column14694" dataDxfId="3822" totalsRowDxfId="3821"/>
    <tableColumn id="14709" xr3:uid="{B29AF8D7-A7ED-43B9-9DA5-C5895B4D09E6}" name="Column14695" dataDxfId="3820" totalsRowDxfId="3819"/>
    <tableColumn id="14710" xr3:uid="{6010D147-5D3E-47F2-A095-1700B1857700}" name="Column14696" dataDxfId="3818" totalsRowDxfId="3817"/>
    <tableColumn id="14711" xr3:uid="{1667C26A-1AEC-4B7A-996B-E1588038467A}" name="Column14697" dataDxfId="3816" totalsRowDxfId="3815"/>
    <tableColumn id="14712" xr3:uid="{51259752-35AA-47F6-8159-B93B519550F4}" name="Column14698" dataDxfId="3814" totalsRowDxfId="3813"/>
    <tableColumn id="14713" xr3:uid="{EA88416D-6862-4A2C-A780-18B8BDD304FD}" name="Column14699" dataDxfId="3812" totalsRowDxfId="3811"/>
    <tableColumn id="14714" xr3:uid="{4493FED2-AF70-4EC9-8674-44899B277138}" name="Column14700" dataDxfId="3810" totalsRowDxfId="3809"/>
    <tableColumn id="14715" xr3:uid="{2EE5E5F3-6475-4BF1-9D2E-820C09484DBC}" name="Column14701" dataDxfId="3808" totalsRowDxfId="3807"/>
    <tableColumn id="14716" xr3:uid="{53CBD8A3-C7AE-4DD9-B332-3D5776160F07}" name="Column14702" dataDxfId="3806" totalsRowDxfId="3805"/>
    <tableColumn id="14717" xr3:uid="{90E8E449-DFB8-41F0-8C81-257E767A44D2}" name="Column14703" dataDxfId="3804" totalsRowDxfId="3803"/>
    <tableColumn id="14718" xr3:uid="{0B6A0316-8703-497A-91AE-50907DD3DEAB}" name="Column14704" dataDxfId="3802" totalsRowDxfId="3801"/>
    <tableColumn id="14719" xr3:uid="{AACF87F2-A347-4993-9F8C-52EE0028F8FE}" name="Column14705" dataDxfId="3800" totalsRowDxfId="3799"/>
    <tableColumn id="14720" xr3:uid="{E7A8266B-B455-402C-97E3-2A8AAB387E18}" name="Column14706" dataDxfId="3798" totalsRowDxfId="3797"/>
    <tableColumn id="14721" xr3:uid="{CBF670BB-A070-45DF-A742-77C2B9F6B857}" name="Column14707" dataDxfId="3796" totalsRowDxfId="3795"/>
    <tableColumn id="14722" xr3:uid="{48DA56B1-2C9F-4069-A564-715A0D7F34BC}" name="Column14708" dataDxfId="3794" totalsRowDxfId="3793"/>
    <tableColumn id="14723" xr3:uid="{6C9769DF-7F21-41E3-963C-1325CD4DF7C4}" name="Column14709" dataDxfId="3792" totalsRowDxfId="3791"/>
    <tableColumn id="14724" xr3:uid="{9CE1DD7F-036A-4DE5-8EAA-4333079E9464}" name="Column14710" dataDxfId="3790" totalsRowDxfId="3789"/>
    <tableColumn id="14725" xr3:uid="{954A345A-03D9-475C-80F2-FFEE86CC76BC}" name="Column14711" dataDxfId="3788" totalsRowDxfId="3787"/>
    <tableColumn id="14726" xr3:uid="{F8C6F57E-8A7D-4E65-B117-1E676FF81E70}" name="Column14712" dataDxfId="3786" totalsRowDxfId="3785"/>
    <tableColumn id="14727" xr3:uid="{933C0E12-5DAB-4DFA-A4FF-4F4366776105}" name="Column14713" dataDxfId="3784" totalsRowDxfId="3783"/>
    <tableColumn id="14728" xr3:uid="{CF878C0D-8D24-4FE0-99C8-ED2FCA835A83}" name="Column14714" dataDxfId="3782" totalsRowDxfId="3781"/>
    <tableColumn id="14729" xr3:uid="{E83250E9-A861-42C8-8044-2EFF808D0FCE}" name="Column14715" dataDxfId="3780" totalsRowDxfId="3779"/>
    <tableColumn id="14730" xr3:uid="{2397E23A-87B5-470B-86CF-B25A43FDFDA7}" name="Column14716" dataDxfId="3778" totalsRowDxfId="3777"/>
    <tableColumn id="14731" xr3:uid="{95163B27-394F-4621-8C8D-B0CB842BA13A}" name="Column14717" dataDxfId="3776" totalsRowDxfId="3775"/>
    <tableColumn id="14732" xr3:uid="{C8ACB858-0842-4626-BDC3-E3B08E9F182C}" name="Column14718" dataDxfId="3774" totalsRowDxfId="3773"/>
    <tableColumn id="14733" xr3:uid="{E78E14EA-CDCB-4712-B75A-C347E8459285}" name="Column14719" dataDxfId="3772" totalsRowDxfId="3771"/>
    <tableColumn id="14734" xr3:uid="{17712FE9-FDCB-4BDC-B160-73B16087D301}" name="Column14720" dataDxfId="3770" totalsRowDxfId="3769"/>
    <tableColumn id="14735" xr3:uid="{10D7BBC6-D731-455E-B1EF-78A13A860BCB}" name="Column14721" dataDxfId="3768" totalsRowDxfId="3767"/>
    <tableColumn id="14736" xr3:uid="{7F14BC52-39CB-452A-9DCC-1E554043677A}" name="Column14722" dataDxfId="3766" totalsRowDxfId="3765"/>
    <tableColumn id="14737" xr3:uid="{B973D842-1976-44FC-882F-24DD54AAD22F}" name="Column14723" dataDxfId="3764" totalsRowDxfId="3763"/>
    <tableColumn id="14738" xr3:uid="{0B43DDD4-3983-4E18-82BE-F84767FAE96D}" name="Column14724" dataDxfId="3762" totalsRowDxfId="3761"/>
    <tableColumn id="14739" xr3:uid="{EE7365D9-316E-4C14-A8AF-559469D62D9C}" name="Column14725" dataDxfId="3760" totalsRowDxfId="3759"/>
    <tableColumn id="14740" xr3:uid="{826A4922-FF36-4035-801C-9818E794C10F}" name="Column14726" dataDxfId="3758" totalsRowDxfId="3757"/>
    <tableColumn id="14741" xr3:uid="{1E0666F6-F9A7-4A7F-8C9B-4847B4540C5C}" name="Column14727" dataDxfId="3756" totalsRowDxfId="3755"/>
    <tableColumn id="14742" xr3:uid="{A723B599-7A4A-44EA-AD99-46967A3992EF}" name="Column14728" dataDxfId="3754" totalsRowDxfId="3753"/>
    <tableColumn id="14743" xr3:uid="{E9EB8E6A-C8E3-4C74-A312-DCB6032BFB7E}" name="Column14729" dataDxfId="3752" totalsRowDxfId="3751"/>
    <tableColumn id="14744" xr3:uid="{57614BCB-9E30-4910-89B1-8A78D5532DDA}" name="Column14730" dataDxfId="3750" totalsRowDxfId="3749"/>
    <tableColumn id="14745" xr3:uid="{76DDFC58-9F03-4241-8EE1-92370F9E05CD}" name="Column14731" dataDxfId="3748" totalsRowDxfId="3747"/>
    <tableColumn id="14746" xr3:uid="{BBF2D14E-71D5-4ED2-9D7A-D04C2A3C6619}" name="Column14732" dataDxfId="3746" totalsRowDxfId="3745"/>
    <tableColumn id="14747" xr3:uid="{55176B3B-4817-475B-9746-610905309D90}" name="Column14733" dataDxfId="3744" totalsRowDxfId="3743"/>
    <tableColumn id="14748" xr3:uid="{18DE5DD5-9985-41B1-ABC7-EDC1F269EAD0}" name="Column14734" dataDxfId="3742" totalsRowDxfId="3741"/>
    <tableColumn id="14749" xr3:uid="{1F9AABEB-9D94-493E-8C4A-3E2C3ACAC4F1}" name="Column14735" dataDxfId="3740" totalsRowDxfId="3739"/>
    <tableColumn id="14750" xr3:uid="{14BA3BD1-59D8-44DC-952E-B86BFC80485D}" name="Column14736" dataDxfId="3738" totalsRowDxfId="3737"/>
    <tableColumn id="14751" xr3:uid="{02651ABC-C427-48BA-808C-86D10FF7BF85}" name="Column14737" dataDxfId="3736" totalsRowDxfId="3735"/>
    <tableColumn id="14752" xr3:uid="{4931EF59-5D30-4210-B549-5E8B66FD57FE}" name="Column14738" dataDxfId="3734" totalsRowDxfId="3733"/>
    <tableColumn id="14753" xr3:uid="{AD3B0CD5-44D9-4A25-AC65-7094144B6B9D}" name="Column14739" dataDxfId="3732" totalsRowDxfId="3731"/>
    <tableColumn id="14754" xr3:uid="{46BCAC7F-EDE3-4583-88EB-E79324244072}" name="Column14740" dataDxfId="3730" totalsRowDxfId="3729"/>
    <tableColumn id="14755" xr3:uid="{FCAB0550-74F1-4C66-B0C6-A7F6F684BBE4}" name="Column14741" dataDxfId="3728" totalsRowDxfId="3727"/>
    <tableColumn id="14756" xr3:uid="{30BE5ED1-509B-43E9-8B7F-E6FE4EDA28C4}" name="Column14742" dataDxfId="3726" totalsRowDxfId="3725"/>
    <tableColumn id="14757" xr3:uid="{1F0F9616-AA05-477B-AB71-FA66E2E00DC8}" name="Column14743" dataDxfId="3724" totalsRowDxfId="3723"/>
    <tableColumn id="14758" xr3:uid="{B7392095-E159-4384-BBD2-C7614E80B1C6}" name="Column14744" dataDxfId="3722" totalsRowDxfId="3721"/>
    <tableColumn id="14759" xr3:uid="{A37FBDEC-0E00-45AA-AB9C-60C7B70041D0}" name="Column14745" dataDxfId="3720" totalsRowDxfId="3719"/>
    <tableColumn id="14760" xr3:uid="{1EC12856-3EA2-4A24-967E-31934572A4FC}" name="Column14746" dataDxfId="3718" totalsRowDxfId="3717"/>
    <tableColumn id="14761" xr3:uid="{09AD6ED4-7637-4CC3-8989-9384AD58B45C}" name="Column14747" dataDxfId="3716" totalsRowDxfId="3715"/>
    <tableColumn id="14762" xr3:uid="{C05F805C-F107-4978-8167-D67FC9ECB8CA}" name="Column14748" dataDxfId="3714" totalsRowDxfId="3713"/>
    <tableColumn id="14763" xr3:uid="{FCABE9E0-DC62-4B39-9A43-5C9D4E86614A}" name="Column14749" dataDxfId="3712" totalsRowDxfId="3711"/>
    <tableColumn id="14764" xr3:uid="{6DBA2094-5CEF-43BA-9A3B-F3CA82CFDF08}" name="Column14750" dataDxfId="3710" totalsRowDxfId="3709"/>
    <tableColumn id="14765" xr3:uid="{DFD5BA14-DCDC-481D-AFF8-24E3E6A04978}" name="Column14751" dataDxfId="3708" totalsRowDxfId="3707"/>
    <tableColumn id="14766" xr3:uid="{BD5BEAD9-5271-4109-9F7D-CB51D3F20FB3}" name="Column14752" dataDxfId="3706" totalsRowDxfId="3705"/>
    <tableColumn id="14767" xr3:uid="{8BCDD0CF-FFB1-4AF9-BEC2-FC232E9BE5EF}" name="Column14753" dataDxfId="3704" totalsRowDxfId="3703"/>
    <tableColumn id="14768" xr3:uid="{A7478570-319C-4FFD-B214-5E4B07576143}" name="Column14754" dataDxfId="3702" totalsRowDxfId="3701"/>
    <tableColumn id="14769" xr3:uid="{8CDE71F6-B636-4472-B8DF-11AA2893D197}" name="Column14755" dataDxfId="3700" totalsRowDxfId="3699"/>
    <tableColumn id="14770" xr3:uid="{117C385E-F24B-4152-9523-40EE26244D7D}" name="Column14756" dataDxfId="3698" totalsRowDxfId="3697"/>
    <tableColumn id="14771" xr3:uid="{F3F78DFA-98DC-46E0-AA77-AD9ACAB330DE}" name="Column14757" dataDxfId="3696" totalsRowDxfId="3695"/>
    <tableColumn id="14772" xr3:uid="{ACAAE003-4699-4AFF-84A0-1069573844F9}" name="Column14758" dataDxfId="3694" totalsRowDxfId="3693"/>
    <tableColumn id="14773" xr3:uid="{E4D6ECAB-CDB0-4547-92F3-3DFA302CE7B7}" name="Column14759" dataDxfId="3692" totalsRowDxfId="3691"/>
    <tableColumn id="14774" xr3:uid="{1785CAF4-B1D9-4216-8411-605B879DDF52}" name="Column14760" dataDxfId="3690" totalsRowDxfId="3689"/>
    <tableColumn id="14775" xr3:uid="{E0431CA5-6EC5-4E7B-A077-0DFF1E805E4C}" name="Column14761" dataDxfId="3688" totalsRowDxfId="3687"/>
    <tableColumn id="14776" xr3:uid="{85EF2EDF-ED1E-4CF1-80EC-E5B623023C0F}" name="Column14762" dataDxfId="3686" totalsRowDxfId="3685"/>
    <tableColumn id="14777" xr3:uid="{479BB6BC-4D8A-4FD8-A889-25ECC6782F0B}" name="Column14763" dataDxfId="3684" totalsRowDxfId="3683"/>
    <tableColumn id="14778" xr3:uid="{3B7B0C7F-8090-49EC-AC9A-BD95588A5C0B}" name="Column14764" dataDxfId="3682" totalsRowDxfId="3681"/>
    <tableColumn id="14779" xr3:uid="{951704D8-7F14-4841-9FD6-DEE800EA18C0}" name="Column14765" dataDxfId="3680" totalsRowDxfId="3679"/>
    <tableColumn id="14780" xr3:uid="{28809C94-D56D-4014-B206-9B8DF579BEAE}" name="Column14766" dataDxfId="3678" totalsRowDxfId="3677"/>
    <tableColumn id="14781" xr3:uid="{F2436679-F990-46EF-9CE7-701C6AD6101C}" name="Column14767" dataDxfId="3676" totalsRowDxfId="3675"/>
    <tableColumn id="14782" xr3:uid="{F4DC532E-F4BB-4F78-902D-DB7790A4CD2C}" name="Column14768" dataDxfId="3674" totalsRowDxfId="3673"/>
    <tableColumn id="14783" xr3:uid="{F4A1D1B6-4417-4265-AE70-4CA98062BADC}" name="Column14769" dataDxfId="3672" totalsRowDxfId="3671"/>
    <tableColumn id="14784" xr3:uid="{577273FE-4FF0-4F4E-9A00-E4A7695FF85D}" name="Column14770" dataDxfId="3670" totalsRowDxfId="3669"/>
    <tableColumn id="14785" xr3:uid="{7AEAD0D4-69D7-4039-A315-B5E302A9A741}" name="Column14771" dataDxfId="3668" totalsRowDxfId="3667"/>
    <tableColumn id="14786" xr3:uid="{44AF227C-E0CD-4604-9A2B-E9FEFE5DF8C4}" name="Column14772" dataDxfId="3666" totalsRowDxfId="3665"/>
    <tableColumn id="14787" xr3:uid="{67D7F4F8-57EE-423B-96A5-EC31D9D2127B}" name="Column14773" dataDxfId="3664" totalsRowDxfId="3663"/>
    <tableColumn id="14788" xr3:uid="{77CD1BA4-0282-4EA3-B83E-2A4150ABCD9B}" name="Column14774" dataDxfId="3662" totalsRowDxfId="3661"/>
    <tableColumn id="14789" xr3:uid="{C4325F03-E52D-4B5E-8FC3-7E0568187E4F}" name="Column14775" dataDxfId="3660" totalsRowDxfId="3659"/>
    <tableColumn id="14790" xr3:uid="{889D4F2F-23FB-493D-93F2-1B58D828111B}" name="Column14776" dataDxfId="3658" totalsRowDxfId="3657"/>
    <tableColumn id="14791" xr3:uid="{7EE7D165-E1F7-4BFF-9F52-67A555D2C111}" name="Column14777" dataDxfId="3656" totalsRowDxfId="3655"/>
    <tableColumn id="14792" xr3:uid="{27326FE3-BEA3-4EA4-BE69-DF93CEA9B96D}" name="Column14778" dataDxfId="3654" totalsRowDxfId="3653"/>
    <tableColumn id="14793" xr3:uid="{5AFF8162-7DC1-4E72-946F-5CA7C30E329E}" name="Column14779" dataDxfId="3652" totalsRowDxfId="3651"/>
    <tableColumn id="14794" xr3:uid="{6F7AD20A-2326-40EB-811D-53F1FA34E673}" name="Column14780" dataDxfId="3650" totalsRowDxfId="3649"/>
    <tableColumn id="14795" xr3:uid="{983AFB8C-6E38-466B-83FE-4BF38735B112}" name="Column14781" dataDxfId="3648" totalsRowDxfId="3647"/>
    <tableColumn id="14796" xr3:uid="{C981ED38-EB25-4F88-9B8A-3ACAC3253F0D}" name="Column14782" dataDxfId="3646" totalsRowDxfId="3645"/>
    <tableColumn id="14797" xr3:uid="{25FB6A2F-C7C5-43F4-B276-09D4B744894A}" name="Column14783" dataDxfId="3644" totalsRowDxfId="3643"/>
    <tableColumn id="14798" xr3:uid="{4FAF1F86-E6A1-4C49-8B29-9912EFC32902}" name="Column14784" dataDxfId="3642" totalsRowDxfId="3641"/>
    <tableColumn id="14799" xr3:uid="{0E1CE711-0CAB-4D78-8917-5A89F069F87E}" name="Column14785" dataDxfId="3640" totalsRowDxfId="3639"/>
    <tableColumn id="14800" xr3:uid="{D0E4B194-D7AC-4BBB-890B-899A08DF608F}" name="Column14786" dataDxfId="3638" totalsRowDxfId="3637"/>
    <tableColumn id="14801" xr3:uid="{2FA3C259-1D44-4804-AB23-8CD91FAD89AA}" name="Column14787" dataDxfId="3636" totalsRowDxfId="3635"/>
    <tableColumn id="14802" xr3:uid="{7EA21765-D570-4E03-A29B-F6B2142F401A}" name="Column14788" dataDxfId="3634" totalsRowDxfId="3633"/>
    <tableColumn id="14803" xr3:uid="{1BE9E4B4-CF61-4EFD-9B00-B71E5A084DEA}" name="Column14789" dataDxfId="3632" totalsRowDxfId="3631"/>
    <tableColumn id="14804" xr3:uid="{A0F51AAA-15B3-4BCC-9C39-FB85F77B0443}" name="Column14790" dataDxfId="3630" totalsRowDxfId="3629"/>
    <tableColumn id="14805" xr3:uid="{5CC53AC8-3002-4A72-AA1E-5C6CE8C58DC3}" name="Column14791" dataDxfId="3628" totalsRowDxfId="3627"/>
    <tableColumn id="14806" xr3:uid="{2814E39E-1491-4A54-B5A5-03F7C1075163}" name="Column14792" dataDxfId="3626" totalsRowDxfId="3625"/>
    <tableColumn id="14807" xr3:uid="{3D18E6BF-77DC-47FA-AE88-E4F56B2AAB51}" name="Column14793" dataDxfId="3624" totalsRowDxfId="3623"/>
    <tableColumn id="14808" xr3:uid="{BF8BC229-D56A-4E3B-BD7B-51C1BEA7C46E}" name="Column14794" dataDxfId="3622" totalsRowDxfId="3621"/>
    <tableColumn id="14809" xr3:uid="{FF5DC375-7950-4D12-80FC-4C707A12668E}" name="Column14795" dataDxfId="3620" totalsRowDxfId="3619"/>
    <tableColumn id="14810" xr3:uid="{0BE1CDAB-7B06-4CC8-A299-EF9B7BFF8CDA}" name="Column14796" dataDxfId="3618" totalsRowDxfId="3617"/>
    <tableColumn id="14811" xr3:uid="{BFF20887-78DC-4082-9CFF-0382247A64F2}" name="Column14797" dataDxfId="3616" totalsRowDxfId="3615"/>
    <tableColumn id="14812" xr3:uid="{C767D963-A591-440F-B5BB-FE62981F2253}" name="Column14798" dataDxfId="3614" totalsRowDxfId="3613"/>
    <tableColumn id="14813" xr3:uid="{868CC0F9-9E32-4B21-BF15-372D6B3D232A}" name="Column14799" dataDxfId="3612" totalsRowDxfId="3611"/>
    <tableColumn id="14814" xr3:uid="{13FFE014-7D9A-413A-B821-263330A93B0E}" name="Column14800" dataDxfId="3610" totalsRowDxfId="3609"/>
    <tableColumn id="14815" xr3:uid="{B5AEF2DA-2D0A-46DB-904C-BF95E271645D}" name="Column14801" dataDxfId="3608" totalsRowDxfId="3607"/>
    <tableColumn id="14816" xr3:uid="{C8FBAB54-9A60-4141-ACB9-4D2F43AFE510}" name="Column14802" dataDxfId="3606" totalsRowDxfId="3605"/>
    <tableColumn id="14817" xr3:uid="{0B10B2C6-FCF7-402F-93AF-434457C7790A}" name="Column14803" dataDxfId="3604" totalsRowDxfId="3603"/>
    <tableColumn id="14818" xr3:uid="{7A81D826-933D-431B-A9C0-6283A9ECD99F}" name="Column14804" dataDxfId="3602" totalsRowDxfId="3601"/>
    <tableColumn id="14819" xr3:uid="{A6814288-B0F6-4281-8299-F2195587411A}" name="Column14805" dataDxfId="3600" totalsRowDxfId="3599"/>
    <tableColumn id="14820" xr3:uid="{AC1BE315-128C-41C3-8BCF-FAB665166620}" name="Column14806" dataDxfId="3598" totalsRowDxfId="3597"/>
    <tableColumn id="14821" xr3:uid="{B97F86B7-F272-4D4D-A130-4F98B31797A5}" name="Column14807" dataDxfId="3596" totalsRowDxfId="3595"/>
    <tableColumn id="14822" xr3:uid="{AFEFBF05-8165-431B-836E-C2BA75E003C6}" name="Column14808" dataDxfId="3594" totalsRowDxfId="3593"/>
    <tableColumn id="14823" xr3:uid="{DF1AA78C-B44E-4502-9933-975F1F8ED7D8}" name="Column14809" dataDxfId="3592" totalsRowDxfId="3591"/>
    <tableColumn id="14824" xr3:uid="{09EFD1F4-07CE-43FA-99EC-9E46D1529CBA}" name="Column14810" dataDxfId="3590" totalsRowDxfId="3589"/>
    <tableColumn id="14825" xr3:uid="{D2B98A14-CDE9-48F8-BFE3-2115FDC8A194}" name="Column14811" dataDxfId="3588" totalsRowDxfId="3587"/>
    <tableColumn id="14826" xr3:uid="{9B0EFA13-A60E-4386-8E5D-5210CDA63EC6}" name="Column14812" dataDxfId="3586" totalsRowDxfId="3585"/>
    <tableColumn id="14827" xr3:uid="{7BD53F46-AC17-455C-A227-F341213FE11C}" name="Column14813" dataDxfId="3584" totalsRowDxfId="3583"/>
    <tableColumn id="14828" xr3:uid="{8A39F691-CFFC-460F-BF8F-01512390BB7D}" name="Column14814" dataDxfId="3582" totalsRowDxfId="3581"/>
    <tableColumn id="14829" xr3:uid="{717A5D74-73A8-47D9-A698-27D9942C5EED}" name="Column14815" dataDxfId="3580" totalsRowDxfId="3579"/>
    <tableColumn id="14830" xr3:uid="{A453ACC7-B37A-4E27-A443-B90848432CD3}" name="Column14816" dataDxfId="3578" totalsRowDxfId="3577"/>
    <tableColumn id="14831" xr3:uid="{F175B78A-378E-4741-A345-7B05BD16BEEE}" name="Column14817" dataDxfId="3576" totalsRowDxfId="3575"/>
    <tableColumn id="14832" xr3:uid="{2225DE4C-780A-4C82-AB95-6207EE8169D9}" name="Column14818" dataDxfId="3574" totalsRowDxfId="3573"/>
    <tableColumn id="14833" xr3:uid="{6A69692B-B971-4833-8851-DA36612FC43B}" name="Column14819" dataDxfId="3572" totalsRowDxfId="3571"/>
    <tableColumn id="14834" xr3:uid="{020728BC-E489-4CF6-9117-73BFA962B082}" name="Column14820" dataDxfId="3570" totalsRowDxfId="3569"/>
    <tableColumn id="14835" xr3:uid="{8D53B660-1DFA-432B-824B-5FDF13100C45}" name="Column14821" dataDxfId="3568" totalsRowDxfId="3567"/>
    <tableColumn id="14836" xr3:uid="{3B2C9376-0948-4E14-8600-4E0D7F2D575D}" name="Column14822" dataDxfId="3566" totalsRowDxfId="3565"/>
    <tableColumn id="14837" xr3:uid="{04D24E63-DEE1-42B7-8139-78FC3A0C01A9}" name="Column14823" dataDxfId="3564" totalsRowDxfId="3563"/>
    <tableColumn id="14838" xr3:uid="{9FCB5B3B-8AB6-49B3-9C8D-5913C06EEE6F}" name="Column14824" dataDxfId="3562" totalsRowDxfId="3561"/>
    <tableColumn id="14839" xr3:uid="{0218CA82-9D32-41D5-842D-608814C5247E}" name="Column14825" dataDxfId="3560" totalsRowDxfId="3559"/>
    <tableColumn id="14840" xr3:uid="{9FEA51D2-251A-4630-9CB7-504567A54C12}" name="Column14826" dataDxfId="3558" totalsRowDxfId="3557"/>
    <tableColumn id="14841" xr3:uid="{128280BF-77E3-45BD-9E65-84BC63BCC48B}" name="Column14827" dataDxfId="3556" totalsRowDxfId="3555"/>
    <tableColumn id="14842" xr3:uid="{050F40F8-F322-4FC0-AE05-91C5404F40D5}" name="Column14828" dataDxfId="3554" totalsRowDxfId="3553"/>
    <tableColumn id="14843" xr3:uid="{FC629D0A-0791-49F5-99A8-AF3164129E94}" name="Column14829" dataDxfId="3552" totalsRowDxfId="3551"/>
    <tableColumn id="14844" xr3:uid="{CAA6786F-0EA5-4248-9188-463296618595}" name="Column14830" dataDxfId="3550" totalsRowDxfId="3549"/>
    <tableColumn id="14845" xr3:uid="{3D11CD7C-15A7-4BDB-A5C3-BA7B135CD281}" name="Column14831" dataDxfId="3548" totalsRowDxfId="3547"/>
    <tableColumn id="14846" xr3:uid="{3312B80F-2C4E-4809-87B0-9DC9D651F5BA}" name="Column14832" dataDxfId="3546" totalsRowDxfId="3545"/>
    <tableColumn id="14847" xr3:uid="{9337E07A-6372-4C81-9C3E-B9E6ABB0380A}" name="Column14833" dataDxfId="3544" totalsRowDxfId="3543"/>
    <tableColumn id="14848" xr3:uid="{FAD087CA-BDFF-474A-8D5A-8D0FB70E4F9F}" name="Column14834" dataDxfId="3542" totalsRowDxfId="3541"/>
    <tableColumn id="14849" xr3:uid="{F381730C-CAF1-42BE-9400-9F38D10B65DD}" name="Column14835" dataDxfId="3540" totalsRowDxfId="3539"/>
    <tableColumn id="14850" xr3:uid="{7DC7F6E8-7ED4-4438-B2A9-249DDDCDA6F1}" name="Column14836" dataDxfId="3538" totalsRowDxfId="3537"/>
    <tableColumn id="14851" xr3:uid="{C0B205E4-0531-468C-A2E1-D68E6D21C101}" name="Column14837" dataDxfId="3536" totalsRowDxfId="3535"/>
    <tableColumn id="14852" xr3:uid="{7EC2E7A0-9272-4129-83CC-DF33EF2A47F1}" name="Column14838" dataDxfId="3534" totalsRowDxfId="3533"/>
    <tableColumn id="14853" xr3:uid="{ABE77139-C29A-4519-B5DB-D7D9BCE2BCBA}" name="Column14839" dataDxfId="3532" totalsRowDxfId="3531"/>
    <tableColumn id="14854" xr3:uid="{33449EC2-AE63-46D8-BEFF-9DBA104FFA9E}" name="Column14840" dataDxfId="3530" totalsRowDxfId="3529"/>
    <tableColumn id="14855" xr3:uid="{06898AB5-5869-488B-AC61-9007F362AD21}" name="Column14841" dataDxfId="3528" totalsRowDxfId="3527"/>
    <tableColumn id="14856" xr3:uid="{C7EA7B29-20E5-47E3-8D35-E63D7FF8F927}" name="Column14842" dataDxfId="3526" totalsRowDxfId="3525"/>
    <tableColumn id="14857" xr3:uid="{A917A395-0915-4091-8006-D632AD6433F7}" name="Column14843" dataDxfId="3524" totalsRowDxfId="3523"/>
    <tableColumn id="14858" xr3:uid="{92E5A4FB-A3C4-4388-AC8A-2E54D7D90320}" name="Column14844" dataDxfId="3522" totalsRowDxfId="3521"/>
    <tableColumn id="14859" xr3:uid="{EC7E6679-AFD2-4A1B-B171-8D0DFA5A4077}" name="Column14845" dataDxfId="3520" totalsRowDxfId="3519"/>
    <tableColumn id="14860" xr3:uid="{A2D71644-E6C9-494F-AA51-5CE70BE30A55}" name="Column14846" dataDxfId="3518" totalsRowDxfId="3517"/>
    <tableColumn id="14861" xr3:uid="{66248FD8-9524-42C4-A994-93B90FD61027}" name="Column14847" dataDxfId="3516" totalsRowDxfId="3515"/>
    <tableColumn id="14862" xr3:uid="{AAAEA132-33B9-40F1-B13F-FCF5CA290513}" name="Column14848" dataDxfId="3514" totalsRowDxfId="3513"/>
    <tableColumn id="14863" xr3:uid="{D662ECBE-F117-4129-87AD-B81BE418E82D}" name="Column14849" dataDxfId="3512" totalsRowDxfId="3511"/>
    <tableColumn id="14864" xr3:uid="{0DF3E2AD-71F5-4DBD-8F8E-D2BE0E1C2692}" name="Column14850" dataDxfId="3510" totalsRowDxfId="3509"/>
    <tableColumn id="14865" xr3:uid="{AA0736FC-4BD2-407A-A404-63394A087FB4}" name="Column14851" dataDxfId="3508" totalsRowDxfId="3507"/>
    <tableColumn id="14866" xr3:uid="{9C0A6003-CDEE-48EC-8E69-044F7C0DC774}" name="Column14852" dataDxfId="3506" totalsRowDxfId="3505"/>
    <tableColumn id="14867" xr3:uid="{69E3554E-4ED0-4898-8946-9A08A368DA16}" name="Column14853" dataDxfId="3504" totalsRowDxfId="3503"/>
    <tableColumn id="14868" xr3:uid="{6030811D-E0BF-4996-A526-0962C10EEAE4}" name="Column14854" dataDxfId="3502" totalsRowDxfId="3501"/>
    <tableColumn id="14869" xr3:uid="{0285B5EC-C9C1-46B6-85B2-967145E34EF0}" name="Column14855" dataDxfId="3500" totalsRowDxfId="3499"/>
    <tableColumn id="14870" xr3:uid="{6FA09337-2E4B-4FC9-9487-2B98C7ABE25D}" name="Column14856" dataDxfId="3498" totalsRowDxfId="3497"/>
    <tableColumn id="14871" xr3:uid="{8E07ADD1-3475-44DC-9D3C-881C5604CDA8}" name="Column14857" dataDxfId="3496" totalsRowDxfId="3495"/>
    <tableColumn id="14872" xr3:uid="{2B460BD1-F60E-45DA-A641-7BA6B68BB583}" name="Column14858" dataDxfId="3494" totalsRowDxfId="3493"/>
    <tableColumn id="14873" xr3:uid="{60077020-99AE-4AAA-9720-5CB722C0ABE0}" name="Column14859" dataDxfId="3492" totalsRowDxfId="3491"/>
    <tableColumn id="14874" xr3:uid="{E5821FC9-8E76-4102-9CE0-F5ABFE6FB05C}" name="Column14860" dataDxfId="3490" totalsRowDxfId="3489"/>
    <tableColumn id="14875" xr3:uid="{A3E3124F-6EEE-493E-B2FE-781BB2E96B0F}" name="Column14861" dataDxfId="3488" totalsRowDxfId="3487"/>
    <tableColumn id="14876" xr3:uid="{06D2D8C2-7095-4E66-88F7-2CC3FD85D4D8}" name="Column14862" dataDxfId="3486" totalsRowDxfId="3485"/>
    <tableColumn id="14877" xr3:uid="{57C8F7AF-EF75-4E8B-951D-1B95E97A960D}" name="Column14863" dataDxfId="3484" totalsRowDxfId="3483"/>
    <tableColumn id="14878" xr3:uid="{1E1893C0-E3CC-4220-AB7B-F894861DF7CA}" name="Column14864" dataDxfId="3482" totalsRowDxfId="3481"/>
    <tableColumn id="14879" xr3:uid="{EC5B173B-C229-4F86-967A-A8C813416EBB}" name="Column14865" dataDxfId="3480" totalsRowDxfId="3479"/>
    <tableColumn id="14880" xr3:uid="{E5BF65D2-1BD3-4FFE-8713-8C38B80F2702}" name="Column14866" dataDxfId="3478" totalsRowDxfId="3477"/>
    <tableColumn id="14881" xr3:uid="{0842069A-652D-493E-9E84-C4F9F8D3B511}" name="Column14867" dataDxfId="3476" totalsRowDxfId="3475"/>
    <tableColumn id="14882" xr3:uid="{E90BCB3F-3B65-42AA-917C-B014077A3823}" name="Column14868" dataDxfId="3474" totalsRowDxfId="3473"/>
    <tableColumn id="14883" xr3:uid="{418671DA-8B43-4FE5-AF52-552AD9729268}" name="Column14869" dataDxfId="3472" totalsRowDxfId="3471"/>
    <tableColumn id="14884" xr3:uid="{A49197E1-C46A-487E-8012-9280C3B55445}" name="Column14870" dataDxfId="3470" totalsRowDxfId="3469"/>
    <tableColumn id="14885" xr3:uid="{9F0E2347-B499-4697-810D-2E1DAC41911E}" name="Column14871" dataDxfId="3468" totalsRowDxfId="3467"/>
    <tableColumn id="14886" xr3:uid="{38ED4880-6C40-4DDC-8D6B-578898542980}" name="Column14872" dataDxfId="3466" totalsRowDxfId="3465"/>
    <tableColumn id="14887" xr3:uid="{96A5A270-14F1-4261-B2DA-3E270D373AAC}" name="Column14873" dataDxfId="3464" totalsRowDxfId="3463"/>
    <tableColumn id="14888" xr3:uid="{C3D85470-4E88-4BDD-A5DB-514C79DA01AB}" name="Column14874" dataDxfId="3462" totalsRowDxfId="3461"/>
    <tableColumn id="14889" xr3:uid="{CF56799B-336B-47CF-9D34-40E362DCCF6C}" name="Column14875" dataDxfId="3460" totalsRowDxfId="3459"/>
    <tableColumn id="14890" xr3:uid="{DE812E51-B4C0-4CC8-A840-229B823A9DA6}" name="Column14876" dataDxfId="3458" totalsRowDxfId="3457"/>
    <tableColumn id="14891" xr3:uid="{A3575EBA-0EDC-4A17-A4E2-0AB6F4BF5C21}" name="Column14877" dataDxfId="3456" totalsRowDxfId="3455"/>
    <tableColumn id="14892" xr3:uid="{9D18A1F9-FDF3-4E1A-8922-FDC65D16A2CB}" name="Column14878" dataDxfId="3454" totalsRowDxfId="3453"/>
    <tableColumn id="14893" xr3:uid="{D4A572AD-0341-40D5-B73A-63B3E8019233}" name="Column14879" dataDxfId="3452" totalsRowDxfId="3451"/>
    <tableColumn id="14894" xr3:uid="{EAFCFA5D-4BCA-4548-B1CE-DE175849BAF3}" name="Column14880" dataDxfId="3450" totalsRowDxfId="3449"/>
    <tableColumn id="14895" xr3:uid="{2FB63C98-B5F9-44A9-B0C3-505305ECDCC0}" name="Column14881" dataDxfId="3448" totalsRowDxfId="3447"/>
    <tableColumn id="14896" xr3:uid="{3F5A8284-4D9B-474C-BB72-DF5D1821C0DA}" name="Column14882" dataDxfId="3446" totalsRowDxfId="3445"/>
    <tableColumn id="14897" xr3:uid="{227D9AA9-5389-402E-8429-CA05061EB115}" name="Column14883" dataDxfId="3444" totalsRowDxfId="3443"/>
    <tableColumn id="14898" xr3:uid="{7491835A-C030-40BB-9B0C-E8A4D76C36E0}" name="Column14884" dataDxfId="3442" totalsRowDxfId="3441"/>
    <tableColumn id="14899" xr3:uid="{C0665F85-E698-4937-AA07-8271AEE8BF36}" name="Column14885" dataDxfId="3440" totalsRowDxfId="3439"/>
    <tableColumn id="14900" xr3:uid="{0434CE43-0E94-4DE7-B2C8-F29281BFB9F2}" name="Column14886" dataDxfId="3438" totalsRowDxfId="3437"/>
    <tableColumn id="14901" xr3:uid="{8E96E737-6AD1-41A0-A865-FF105A80B53E}" name="Column14887" dataDxfId="3436" totalsRowDxfId="3435"/>
    <tableColumn id="14902" xr3:uid="{40C8BC38-1125-4BC9-980A-CFEF20AE3BE0}" name="Column14888" dataDxfId="3434" totalsRowDxfId="3433"/>
    <tableColumn id="14903" xr3:uid="{9F84DE1A-5EEE-4F9F-B271-40A917913326}" name="Column14889" dataDxfId="3432" totalsRowDxfId="3431"/>
    <tableColumn id="14904" xr3:uid="{F4A0DA3F-F49E-49DE-B727-80BD72C6FDFF}" name="Column14890" dataDxfId="3430" totalsRowDxfId="3429"/>
    <tableColumn id="14905" xr3:uid="{5689C52F-CFD2-4E6A-8675-1280E3DE7658}" name="Column14891" dataDxfId="3428" totalsRowDxfId="3427"/>
    <tableColumn id="14906" xr3:uid="{CC3010E1-1A54-4769-ABE4-B671947F5438}" name="Column14892" dataDxfId="3426" totalsRowDxfId="3425"/>
    <tableColumn id="14907" xr3:uid="{A09D9F1D-0225-4710-8E92-6B0D4FEEE203}" name="Column14893" dataDxfId="3424" totalsRowDxfId="3423"/>
    <tableColumn id="14908" xr3:uid="{D11AE9C1-67F1-4C1B-A6C1-4D1AC4FFB0C2}" name="Column14894" dataDxfId="3422" totalsRowDxfId="3421"/>
    <tableColumn id="14909" xr3:uid="{F23A1D18-0893-4D8B-9DBD-ADAD6D1C7B40}" name="Column14895" dataDxfId="3420" totalsRowDxfId="3419"/>
    <tableColumn id="14910" xr3:uid="{885B139A-8617-49D4-9704-FC18F8BFA40E}" name="Column14896" dataDxfId="3418" totalsRowDxfId="3417"/>
    <tableColumn id="14911" xr3:uid="{AEC586EE-E3F2-4DFA-90F1-D299947104CF}" name="Column14897" dataDxfId="3416" totalsRowDxfId="3415"/>
    <tableColumn id="14912" xr3:uid="{EB16353C-CAD7-4FA0-B3F6-A6BED46ACD69}" name="Column14898" dataDxfId="3414" totalsRowDxfId="3413"/>
    <tableColumn id="14913" xr3:uid="{33B0B14A-A8B1-4C83-8D5D-6A58D0DADC23}" name="Column14899" dataDxfId="3412" totalsRowDxfId="3411"/>
    <tableColumn id="14914" xr3:uid="{32817A96-DE6E-43BB-8C3C-25CF75B938FF}" name="Column14900" dataDxfId="3410" totalsRowDxfId="3409"/>
    <tableColumn id="14915" xr3:uid="{7E84C9EE-5BFF-441F-9A9F-7A78CA222CD8}" name="Column14901" dataDxfId="3408" totalsRowDxfId="3407"/>
    <tableColumn id="14916" xr3:uid="{4475ABA3-08E5-495A-8441-8CB7202A0CA9}" name="Column14902" dataDxfId="3406" totalsRowDxfId="3405"/>
    <tableColumn id="14917" xr3:uid="{9CBEE8C1-5634-4C07-A299-33C100F6CD82}" name="Column14903" dataDxfId="3404" totalsRowDxfId="3403"/>
    <tableColumn id="14918" xr3:uid="{A7D22CE3-885D-4133-A0D5-4CA0385AB4E8}" name="Column14904" dataDxfId="3402" totalsRowDxfId="3401"/>
    <tableColumn id="14919" xr3:uid="{016C5653-6EFB-4291-9BEE-F0BCAFE70359}" name="Column14905" dataDxfId="3400" totalsRowDxfId="3399"/>
    <tableColumn id="14920" xr3:uid="{ED2C59B3-C5C1-4D23-9E7A-8D351B044844}" name="Column14906" dataDxfId="3398" totalsRowDxfId="3397"/>
    <tableColumn id="14921" xr3:uid="{CE7104F8-EA31-49B8-8E87-98A8D0F1F6DC}" name="Column14907" dataDxfId="3396" totalsRowDxfId="3395"/>
    <tableColumn id="14922" xr3:uid="{8061125A-3E69-4D4A-89AA-6BA6A7AFBD79}" name="Column14908" dataDxfId="3394" totalsRowDxfId="3393"/>
    <tableColumn id="14923" xr3:uid="{816AA974-8391-4FA0-9092-29346BEA73EF}" name="Column14909" dataDxfId="3392" totalsRowDxfId="3391"/>
    <tableColumn id="14924" xr3:uid="{5F3296A3-61E2-40C7-AF7F-59F81BA55D59}" name="Column14910" dataDxfId="3390" totalsRowDxfId="3389"/>
    <tableColumn id="14925" xr3:uid="{9218E119-2D9A-4364-BAB0-B8916DC7850B}" name="Column14911" dataDxfId="3388" totalsRowDxfId="3387"/>
    <tableColumn id="14926" xr3:uid="{1F442789-5616-4725-9709-5E70380ADBA1}" name="Column14912" dataDxfId="3386" totalsRowDxfId="3385"/>
    <tableColumn id="14927" xr3:uid="{28F7036D-7B92-4BF0-9F8C-6F53048FC80E}" name="Column14913" dataDxfId="3384" totalsRowDxfId="3383"/>
    <tableColumn id="14928" xr3:uid="{DD42462A-FB32-44BA-B474-BFE9A0A1E653}" name="Column14914" dataDxfId="3382" totalsRowDxfId="3381"/>
    <tableColumn id="14929" xr3:uid="{FF62DB8F-F7A3-4136-AD94-21AD20B08D24}" name="Column14915" dataDxfId="3380" totalsRowDxfId="3379"/>
    <tableColumn id="14930" xr3:uid="{2B9F1834-BCE4-4A1E-B671-1A4009C39490}" name="Column14916" dataDxfId="3378" totalsRowDxfId="3377"/>
    <tableColumn id="14931" xr3:uid="{53FEAFDA-8651-4517-8228-A9B6CCBF6EEC}" name="Column14917" dataDxfId="3376" totalsRowDxfId="3375"/>
    <tableColumn id="14932" xr3:uid="{5EB54B57-4772-4167-A5D8-39DE70EEF970}" name="Column14918" dataDxfId="3374" totalsRowDxfId="3373"/>
    <tableColumn id="14933" xr3:uid="{CEB2796C-4542-4E3A-A2DD-5EDE5F0BD38B}" name="Column14919" dataDxfId="3372" totalsRowDxfId="3371"/>
    <tableColumn id="14934" xr3:uid="{53F25554-C24C-4676-9F4F-45C4876A68D6}" name="Column14920" dataDxfId="3370" totalsRowDxfId="3369"/>
    <tableColumn id="14935" xr3:uid="{29EE9453-5169-4547-B438-D541912389EF}" name="Column14921" dataDxfId="3368" totalsRowDxfId="3367"/>
    <tableColumn id="14936" xr3:uid="{3F192D4E-8C58-4FC3-93CF-944481586E4A}" name="Column14922" dataDxfId="3366" totalsRowDxfId="3365"/>
    <tableColumn id="14937" xr3:uid="{7C935B5A-15C4-45B7-8CB1-0AD890F7780E}" name="Column14923" dataDxfId="3364" totalsRowDxfId="3363"/>
    <tableColumn id="14938" xr3:uid="{02AA2C69-8062-413E-B73A-8E83BF310D3E}" name="Column14924" dataDxfId="3362" totalsRowDxfId="3361"/>
    <tableColumn id="14939" xr3:uid="{527B3BD4-2310-4448-A7FD-138C44D9296D}" name="Column14925" dataDxfId="3360" totalsRowDxfId="3359"/>
    <tableColumn id="14940" xr3:uid="{D27D38C0-2B51-4F9B-8A0D-A28BDECDAE84}" name="Column14926" dataDxfId="3358" totalsRowDxfId="3357"/>
    <tableColumn id="14941" xr3:uid="{9A1C7B41-FF32-4E22-B539-104FE8CF303D}" name="Column14927" dataDxfId="3356" totalsRowDxfId="3355"/>
    <tableColumn id="14942" xr3:uid="{A46A0A4E-B536-4CAE-890F-1A7B1F64E7C4}" name="Column14928" dataDxfId="3354" totalsRowDxfId="3353"/>
    <tableColumn id="14943" xr3:uid="{B7561169-0B6B-43E3-8CCC-EEB21A45E498}" name="Column14929" dataDxfId="3352" totalsRowDxfId="3351"/>
    <tableColumn id="14944" xr3:uid="{D6ED71B6-6001-4AA3-840E-91D1E524CB20}" name="Column14930" dataDxfId="3350" totalsRowDxfId="3349"/>
    <tableColumn id="14945" xr3:uid="{3C185B8E-0D3A-4635-BA59-E97B7B63DB40}" name="Column14931" dataDxfId="3348" totalsRowDxfId="3347"/>
    <tableColumn id="14946" xr3:uid="{C00C0464-FCFE-4616-B01D-7755C2C665C3}" name="Column14932" dataDxfId="3346" totalsRowDxfId="3345"/>
    <tableColumn id="14947" xr3:uid="{F995C6D0-86FE-4981-ACC7-B3AFB92A7630}" name="Column14933" dataDxfId="3344" totalsRowDxfId="3343"/>
    <tableColumn id="14948" xr3:uid="{41FF8C5D-76B5-46F1-A5C4-6EF6B8AFC30E}" name="Column14934" dataDxfId="3342" totalsRowDxfId="3341"/>
    <tableColumn id="14949" xr3:uid="{4AFDF7A4-2420-4511-B555-3299065D40D0}" name="Column14935" dataDxfId="3340" totalsRowDxfId="3339"/>
    <tableColumn id="14950" xr3:uid="{CFA204A4-AEA3-4A48-91CC-70746D9AC0AB}" name="Column14936" dataDxfId="3338" totalsRowDxfId="3337"/>
    <tableColumn id="14951" xr3:uid="{2C8EE578-42F3-442B-A28E-A7AC8B2ACC35}" name="Column14937" dataDxfId="3336" totalsRowDxfId="3335"/>
    <tableColumn id="14952" xr3:uid="{9387FBFC-CEEA-47CE-B480-16E6ECD4ADE3}" name="Column14938" dataDxfId="3334" totalsRowDxfId="3333"/>
    <tableColumn id="14953" xr3:uid="{7EE90D0E-611E-4641-82D8-C8443F77E8BC}" name="Column14939" dataDxfId="3332" totalsRowDxfId="3331"/>
    <tableColumn id="14954" xr3:uid="{978D5C33-C0A0-4D9E-9570-2EECA92AD50F}" name="Column14940" dataDxfId="3330" totalsRowDxfId="3329"/>
    <tableColumn id="14955" xr3:uid="{5A431D63-E575-4D8E-B80B-E2069940B8D0}" name="Column14941" dataDxfId="3328" totalsRowDxfId="3327"/>
    <tableColumn id="14956" xr3:uid="{87085B2C-CF33-43EC-856C-6F02855E93CB}" name="Column14942" dataDxfId="3326" totalsRowDxfId="3325"/>
    <tableColumn id="14957" xr3:uid="{2A995E76-45EB-403B-A83E-084949BA7538}" name="Column14943" dataDxfId="3324" totalsRowDxfId="3323"/>
    <tableColumn id="14958" xr3:uid="{4BA97986-E3DD-4E1B-8739-241622EDED9E}" name="Column14944" dataDxfId="3322" totalsRowDxfId="3321"/>
    <tableColumn id="14959" xr3:uid="{FA733835-948D-4EA2-AC52-A68B29E4A2BC}" name="Column14945" dataDxfId="3320" totalsRowDxfId="3319"/>
    <tableColumn id="14960" xr3:uid="{6BD8C56A-988B-42C2-951A-777A0B3E8858}" name="Column14946" dataDxfId="3318" totalsRowDxfId="3317"/>
    <tableColumn id="14961" xr3:uid="{B18B3ACE-99E0-4B7A-8C97-1749CCE94FB9}" name="Column14947" dataDxfId="3316" totalsRowDxfId="3315"/>
    <tableColumn id="14962" xr3:uid="{3B29B768-D352-4C2D-93DA-9218DFCDF807}" name="Column14948" dataDxfId="3314" totalsRowDxfId="3313"/>
    <tableColumn id="14963" xr3:uid="{490108EC-9985-410B-B747-5032D57F90B6}" name="Column14949" dataDxfId="3312" totalsRowDxfId="3311"/>
    <tableColumn id="14964" xr3:uid="{6887F168-42F2-4051-8ED1-0AE85E01C56A}" name="Column14950" dataDxfId="3310" totalsRowDxfId="3309"/>
    <tableColumn id="14965" xr3:uid="{F2ED0EE3-C688-4F9F-B108-04BC71654C7C}" name="Column14951" dataDxfId="3308" totalsRowDxfId="3307"/>
    <tableColumn id="14966" xr3:uid="{E2443921-6238-41E3-8F27-5558F4CB21AF}" name="Column14952" dataDxfId="3306" totalsRowDxfId="3305"/>
    <tableColumn id="14967" xr3:uid="{5E4E2D4C-1341-4AEE-8F91-4571E83065BD}" name="Column14953" dataDxfId="3304" totalsRowDxfId="3303"/>
    <tableColumn id="14968" xr3:uid="{7AC8594D-82E2-4A88-9D9D-EBA3A3442516}" name="Column14954" dataDxfId="3302" totalsRowDxfId="3301"/>
    <tableColumn id="14969" xr3:uid="{4C14C121-6DBF-453F-A403-98955DF11C49}" name="Column14955" dataDxfId="3300" totalsRowDxfId="3299"/>
    <tableColumn id="14970" xr3:uid="{F18B1320-31C4-49AE-907F-CCD60ECE4077}" name="Column14956" dataDxfId="3298" totalsRowDxfId="3297"/>
    <tableColumn id="14971" xr3:uid="{08679B1A-7833-4B6D-935E-660C97C88C10}" name="Column14957" dataDxfId="3296" totalsRowDxfId="3295"/>
    <tableColumn id="14972" xr3:uid="{6683B0F7-FDA4-4F20-9CE0-E792A7B6C526}" name="Column14958" dataDxfId="3294" totalsRowDxfId="3293"/>
    <tableColumn id="14973" xr3:uid="{D5B8BE43-8E7E-474D-AC59-AAB8CF810A34}" name="Column14959" dataDxfId="3292" totalsRowDxfId="3291"/>
    <tableColumn id="14974" xr3:uid="{B9FE3D9C-923B-4B38-ADAC-E76AF0F15090}" name="Column14960" dataDxfId="3290" totalsRowDxfId="3289"/>
    <tableColumn id="14975" xr3:uid="{181BB1FF-3ED6-45BC-8C88-735DEB593F53}" name="Column14961" dataDxfId="3288" totalsRowDxfId="3287"/>
    <tableColumn id="14976" xr3:uid="{09BCACB9-F457-4902-8E57-E1F5CDFBC28B}" name="Column14962" dataDxfId="3286" totalsRowDxfId="3285"/>
    <tableColumn id="14977" xr3:uid="{1BE6EF5B-6CCD-44A0-BB92-FCB29DF82C77}" name="Column14963" dataDxfId="3284" totalsRowDxfId="3283"/>
    <tableColumn id="14978" xr3:uid="{1E4EA51B-3661-4F05-B5DA-85B640CEA72C}" name="Column14964" dataDxfId="3282" totalsRowDxfId="3281"/>
    <tableColumn id="14979" xr3:uid="{5104F6B7-5E38-43F8-A639-0D9C2F3CAB45}" name="Column14965" dataDxfId="3280" totalsRowDxfId="3279"/>
    <tableColumn id="14980" xr3:uid="{D2D72FCE-0EA9-4B56-9168-0DC23851E10C}" name="Column14966" dataDxfId="3278" totalsRowDxfId="3277"/>
    <tableColumn id="14981" xr3:uid="{D5DC532E-A314-4325-8936-A05AAF4719EA}" name="Column14967" dataDxfId="3276" totalsRowDxfId="3275"/>
    <tableColumn id="14982" xr3:uid="{FCAE2296-1E6C-454C-92DD-B6618286185F}" name="Column14968" dataDxfId="3274" totalsRowDxfId="3273"/>
    <tableColumn id="14983" xr3:uid="{E2831520-A6AE-44CE-9BA9-7A14D6CAA965}" name="Column14969" dataDxfId="3272" totalsRowDxfId="3271"/>
    <tableColumn id="14984" xr3:uid="{C84577DC-2F3E-45E5-93E7-CDCFD96007DE}" name="Column14970" dataDxfId="3270" totalsRowDxfId="3269"/>
    <tableColumn id="14985" xr3:uid="{1B566B5D-62D5-470E-8220-B795945427EA}" name="Column14971" dataDxfId="3268" totalsRowDxfId="3267"/>
    <tableColumn id="14986" xr3:uid="{098CD927-76B6-462F-AC88-D9B9BBB9592C}" name="Column14972" dataDxfId="3266" totalsRowDxfId="3265"/>
    <tableColumn id="14987" xr3:uid="{24E182F2-14B8-494A-AF78-D1739C3A1999}" name="Column14973" dataDxfId="3264" totalsRowDxfId="3263"/>
    <tableColumn id="14988" xr3:uid="{014D30B8-9451-43B1-88BA-3E2418150178}" name="Column14974" dataDxfId="3262" totalsRowDxfId="3261"/>
    <tableColumn id="14989" xr3:uid="{ED3162B8-5B17-47B4-A618-FF21F5E019A4}" name="Column14975" dataDxfId="3260" totalsRowDxfId="3259"/>
    <tableColumn id="14990" xr3:uid="{0A8F52EF-ABA7-4DF5-89FA-3266E22346CC}" name="Column14976" dataDxfId="3258" totalsRowDxfId="3257"/>
    <tableColumn id="14991" xr3:uid="{656880E2-111F-4746-98EB-E2103E46500E}" name="Column14977" dataDxfId="3256" totalsRowDxfId="3255"/>
    <tableColumn id="14992" xr3:uid="{62B17940-B0F9-434B-90CC-6BD9E7051907}" name="Column14978" dataDxfId="3254" totalsRowDxfId="3253"/>
    <tableColumn id="14993" xr3:uid="{C67FB3C9-5F56-4EE8-9E78-F03F05179D2C}" name="Column14979" dataDxfId="3252" totalsRowDxfId="3251"/>
    <tableColumn id="14994" xr3:uid="{C85C1ACC-AAC4-4014-B6FA-A23E70E789EE}" name="Column14980" dataDxfId="3250" totalsRowDxfId="3249"/>
    <tableColumn id="14995" xr3:uid="{8323C6AB-FA00-403D-8CBA-A616C0453D14}" name="Column14981" dataDxfId="3248" totalsRowDxfId="3247"/>
    <tableColumn id="14996" xr3:uid="{DE899A4C-9BC5-4663-98E2-831551D478AB}" name="Column14982" dataDxfId="3246" totalsRowDxfId="3245"/>
    <tableColumn id="14997" xr3:uid="{0C41FFD7-841C-435C-8EAE-92D56F55B490}" name="Column14983" dataDxfId="3244" totalsRowDxfId="3243"/>
    <tableColumn id="14998" xr3:uid="{CA7BDC7E-F67D-4E22-8C4E-784FC4BEC804}" name="Column14984" dataDxfId="3242" totalsRowDxfId="3241"/>
    <tableColumn id="14999" xr3:uid="{D4BD24EB-9A79-4021-AE08-826EAAB04EF0}" name="Column14985" dataDxfId="3240" totalsRowDxfId="3239"/>
    <tableColumn id="15000" xr3:uid="{BD388F5A-A0E9-4193-B885-453056C2B8DA}" name="Column14986" dataDxfId="3238" totalsRowDxfId="3237"/>
    <tableColumn id="15001" xr3:uid="{B66B2951-6342-4A4E-B4D5-A8B878A8F3D7}" name="Column14987" dataDxfId="3236" totalsRowDxfId="3235"/>
    <tableColumn id="15002" xr3:uid="{6F81112C-E2C2-4CCA-8047-9ACAC76B85F4}" name="Column14988" dataDxfId="3234" totalsRowDxfId="3233"/>
    <tableColumn id="15003" xr3:uid="{3344900C-381E-4727-87BE-E96683362202}" name="Column14989" dataDxfId="3232" totalsRowDxfId="3231"/>
    <tableColumn id="15004" xr3:uid="{DDD61358-0177-4DF5-856B-84F6B181740C}" name="Column14990" dataDxfId="3230" totalsRowDxfId="3229"/>
    <tableColumn id="15005" xr3:uid="{AB17E9AE-7778-4ACE-B199-C2A6495D45D5}" name="Column14991" dataDxfId="3228" totalsRowDxfId="3227"/>
    <tableColumn id="15006" xr3:uid="{5E14B13C-1A23-46B0-99FB-019CE906ECF5}" name="Column14992" dataDxfId="3226" totalsRowDxfId="3225"/>
    <tableColumn id="15007" xr3:uid="{3203A35C-8B08-4501-B49A-7F981257552B}" name="Column14993" dataDxfId="3224" totalsRowDxfId="3223"/>
    <tableColumn id="15008" xr3:uid="{16A0D145-A711-43FE-B5DA-1DD420BC13A4}" name="Column14994" dataDxfId="3222" totalsRowDxfId="3221"/>
    <tableColumn id="15009" xr3:uid="{F1B22DC6-A988-43DB-8A96-35E188B02C85}" name="Column14995" dataDxfId="3220" totalsRowDxfId="3219"/>
    <tableColumn id="15010" xr3:uid="{C4695209-231F-46F9-843E-B50EB747D25A}" name="Column14996" dataDxfId="3218" totalsRowDxfId="3217"/>
    <tableColumn id="15011" xr3:uid="{5A043C4D-9243-4026-9A0B-B1DA0E481ED7}" name="Column14997" dataDxfId="3216" totalsRowDxfId="3215"/>
    <tableColumn id="15012" xr3:uid="{046F328A-A729-49B3-A4C2-6D0221509378}" name="Column14998" dataDxfId="3214" totalsRowDxfId="3213"/>
    <tableColumn id="15013" xr3:uid="{A11BBC22-ABF6-429A-884A-A2BC7F1CA3D1}" name="Column14999" dataDxfId="3212" totalsRowDxfId="3211"/>
    <tableColumn id="15014" xr3:uid="{9E16ED2C-DBCA-4BBB-9D26-090F21EF11DC}" name="Column15000" dataDxfId="3210" totalsRowDxfId="3209"/>
    <tableColumn id="15015" xr3:uid="{31B1BF07-48CD-4D74-932D-730A3B049160}" name="Column15001" dataDxfId="3208" totalsRowDxfId="3207"/>
    <tableColumn id="15016" xr3:uid="{E8070618-0E01-4183-B889-1F99CABDCE6D}" name="Column15002" dataDxfId="3206" totalsRowDxfId="3205"/>
    <tableColumn id="15017" xr3:uid="{B4E37845-2F54-4E7E-A608-0B231B5CC397}" name="Column15003" dataDxfId="3204" totalsRowDxfId="3203"/>
    <tableColumn id="15018" xr3:uid="{16A4B253-8FE6-4AE1-B167-FFAB750E8B03}" name="Column15004" dataDxfId="3202" totalsRowDxfId="3201"/>
    <tableColumn id="15019" xr3:uid="{6781A4F9-E659-4193-AB15-2BA9E7198B1A}" name="Column15005" dataDxfId="3200" totalsRowDxfId="3199"/>
    <tableColumn id="15020" xr3:uid="{04BF02E7-A94A-47AB-959E-072237A28AD7}" name="Column15006" dataDxfId="3198" totalsRowDxfId="3197"/>
    <tableColumn id="15021" xr3:uid="{8690D403-5970-4EE8-BE04-C4DFBC3572FF}" name="Column15007" dataDxfId="3196" totalsRowDxfId="3195"/>
    <tableColumn id="15022" xr3:uid="{AF0C301E-9A39-42F5-9983-618CBB8601D0}" name="Column15008" dataDxfId="3194" totalsRowDxfId="3193"/>
    <tableColumn id="15023" xr3:uid="{B63798AF-6E06-491A-BE6B-827186ED10E3}" name="Column15009" dataDxfId="3192" totalsRowDxfId="3191"/>
    <tableColumn id="15024" xr3:uid="{8DDB2806-B83C-4947-BB96-11A8D3C55429}" name="Column15010" dataDxfId="3190" totalsRowDxfId="3189"/>
    <tableColumn id="15025" xr3:uid="{A109BCCB-21BD-4407-A31E-6C9C857C7CF8}" name="Column15011" dataDxfId="3188" totalsRowDxfId="3187"/>
    <tableColumn id="15026" xr3:uid="{6F773A2A-63BF-484F-97A8-0D263B55E522}" name="Column15012" dataDxfId="3186" totalsRowDxfId="3185"/>
    <tableColumn id="15027" xr3:uid="{0A26DF5E-8FAD-463B-97FE-3DEF74A5522C}" name="Column15013" dataDxfId="3184" totalsRowDxfId="3183"/>
    <tableColumn id="15028" xr3:uid="{DC757043-3068-4ED6-8378-6660E61E66ED}" name="Column15014" dataDxfId="3182" totalsRowDxfId="3181"/>
    <tableColumn id="15029" xr3:uid="{393CF3AA-4C43-4FA0-B80E-CE810D932EFD}" name="Column15015" dataDxfId="3180" totalsRowDxfId="3179"/>
    <tableColumn id="15030" xr3:uid="{ED9C1151-10E4-4E94-A520-AE2B826D005A}" name="Column15016" dataDxfId="3178" totalsRowDxfId="3177"/>
    <tableColumn id="15031" xr3:uid="{B6423F4B-E36B-47BD-A232-915179A34DC5}" name="Column15017" dataDxfId="3176" totalsRowDxfId="3175"/>
    <tableColumn id="15032" xr3:uid="{47BC6F05-DAFA-45C0-82AF-FCA63437C896}" name="Column15018" dataDxfId="3174" totalsRowDxfId="3173"/>
    <tableColumn id="15033" xr3:uid="{11168ADA-F964-4017-B0F0-A64FFD6B2595}" name="Column15019" dataDxfId="3172" totalsRowDxfId="3171"/>
    <tableColumn id="15034" xr3:uid="{0B0ED78C-93E0-42AC-B81B-98D389501A5D}" name="Column15020" dataDxfId="3170" totalsRowDxfId="3169"/>
    <tableColumn id="15035" xr3:uid="{3B38685A-9DC8-4399-A0C4-759CD7046010}" name="Column15021" dataDxfId="3168" totalsRowDxfId="3167"/>
    <tableColumn id="15036" xr3:uid="{68280513-272C-4B9A-B938-4C2261AF9FB4}" name="Column15022" dataDxfId="3166" totalsRowDxfId="3165"/>
    <tableColumn id="15037" xr3:uid="{9038B0E6-A0AC-427C-936E-E4063C00AFB6}" name="Column15023" dataDxfId="3164" totalsRowDxfId="3163"/>
    <tableColumn id="15038" xr3:uid="{662911D9-5941-4482-9B88-9F86BDAA9E9A}" name="Column15024" dataDxfId="3162" totalsRowDxfId="3161"/>
    <tableColumn id="15039" xr3:uid="{022C661B-0175-4391-B248-6FAE699798A6}" name="Column15025" dataDxfId="3160" totalsRowDxfId="3159"/>
    <tableColumn id="15040" xr3:uid="{509836ED-102E-4196-9F45-D1E8081C7587}" name="Column15026" dataDxfId="3158" totalsRowDxfId="3157"/>
    <tableColumn id="15041" xr3:uid="{DA325FB0-7DD5-4CDA-8A66-1C6A1170C9E8}" name="Column15027" dataDxfId="3156" totalsRowDxfId="3155"/>
    <tableColumn id="15042" xr3:uid="{87D11BFA-F66D-4E5A-987D-6C419FFF3DBF}" name="Column15028" dataDxfId="3154" totalsRowDxfId="3153"/>
    <tableColumn id="15043" xr3:uid="{7117E1C2-D429-45AE-9DDA-B1AC6F2EABB5}" name="Column15029" dataDxfId="3152" totalsRowDxfId="3151"/>
    <tableColumn id="15044" xr3:uid="{F444E729-F713-42F2-A09B-8E2306487E9D}" name="Column15030" dataDxfId="3150" totalsRowDxfId="3149"/>
    <tableColumn id="15045" xr3:uid="{8892A4BA-E761-42C4-A035-83F26A8EAA2B}" name="Column15031" dataDxfId="3148" totalsRowDxfId="3147"/>
    <tableColumn id="15046" xr3:uid="{FC9E4E71-ECFB-4BA7-9985-FF27D8A6C7E2}" name="Column15032" dataDxfId="3146" totalsRowDxfId="3145"/>
    <tableColumn id="15047" xr3:uid="{D64F2A1A-B3C8-4846-9AAD-CC4775EE1F79}" name="Column15033" dataDxfId="3144" totalsRowDxfId="3143"/>
    <tableColumn id="15048" xr3:uid="{FE3FC5AA-883D-4023-A6AF-440EF1E39E31}" name="Column15034" dataDxfId="3142" totalsRowDxfId="3141"/>
    <tableColumn id="15049" xr3:uid="{3ABFAF22-AA03-4BA3-AE82-490B3A91492A}" name="Column15035" dataDxfId="3140" totalsRowDxfId="3139"/>
    <tableColumn id="15050" xr3:uid="{80211C67-1551-4FA1-A70B-096C29CD2B1D}" name="Column15036" dataDxfId="3138" totalsRowDxfId="3137"/>
    <tableColumn id="15051" xr3:uid="{61185F73-AA8A-46E8-BB7D-B8EC989199E9}" name="Column15037" dataDxfId="3136" totalsRowDxfId="3135"/>
    <tableColumn id="15052" xr3:uid="{064F0DB7-A425-4255-B4DE-86822A73B73F}" name="Column15038" dataDxfId="3134" totalsRowDxfId="3133"/>
    <tableColumn id="15053" xr3:uid="{1D300947-7EC4-40CF-AC4B-DA342B7836FC}" name="Column15039" dataDxfId="3132" totalsRowDxfId="3131"/>
    <tableColumn id="15054" xr3:uid="{2F5723EA-04AE-4C86-B16F-8C9C0320B845}" name="Column15040" dataDxfId="3130" totalsRowDxfId="3129"/>
    <tableColumn id="15055" xr3:uid="{64FAC102-58A5-4FD9-929B-5A6FE31E3DEF}" name="Column15041" dataDxfId="3128" totalsRowDxfId="3127"/>
    <tableColumn id="15056" xr3:uid="{40A1041D-260D-4FF5-ADB0-3F06015EC2B6}" name="Column15042" dataDxfId="3126" totalsRowDxfId="3125"/>
    <tableColumn id="15057" xr3:uid="{0A39ED7E-92A9-4848-BE18-C0A244EBCED5}" name="Column15043" dataDxfId="3124" totalsRowDxfId="3123"/>
    <tableColumn id="15058" xr3:uid="{3B4C1C2A-54AC-49FD-92B2-6DD671C9468B}" name="Column15044" dataDxfId="3122" totalsRowDxfId="3121"/>
    <tableColumn id="15059" xr3:uid="{219172F4-B52D-4797-81E1-EE3ECC5D7A86}" name="Column15045" dataDxfId="3120" totalsRowDxfId="3119"/>
    <tableColumn id="15060" xr3:uid="{0FCC42DC-C873-4C72-A8AD-3D007D44D2BC}" name="Column15046" dataDxfId="3118" totalsRowDxfId="3117"/>
    <tableColumn id="15061" xr3:uid="{C425F23A-2E09-431C-B392-900245CF3556}" name="Column15047" dataDxfId="3116" totalsRowDxfId="3115"/>
    <tableColumn id="15062" xr3:uid="{A9D47336-DABC-4AE5-AB3C-1B7A2F85D2EB}" name="Column15048" dataDxfId="3114" totalsRowDxfId="3113"/>
    <tableColumn id="15063" xr3:uid="{C5CD7BB7-BC1C-4E61-9410-5D3A5E74C68E}" name="Column15049" dataDxfId="3112" totalsRowDxfId="3111"/>
    <tableColumn id="15064" xr3:uid="{DDF4CA22-E312-453C-8AC0-B51E8F11CE06}" name="Column15050" dataDxfId="3110" totalsRowDxfId="3109"/>
    <tableColumn id="15065" xr3:uid="{C96E5FAD-48C1-47C2-B391-B668B8CD9608}" name="Column15051" dataDxfId="3108" totalsRowDxfId="3107"/>
    <tableColumn id="15066" xr3:uid="{ABDE2A1B-B876-4763-A771-4A412F147C12}" name="Column15052" dataDxfId="3106" totalsRowDxfId="3105"/>
    <tableColumn id="15067" xr3:uid="{13CF75F8-4DD8-4276-A376-32B5C2F87725}" name="Column15053" dataDxfId="3104" totalsRowDxfId="3103"/>
    <tableColumn id="15068" xr3:uid="{BA6B4A62-EB67-494F-AB52-0E7EE83C2B7B}" name="Column15054" dataDxfId="3102" totalsRowDxfId="3101"/>
    <tableColumn id="15069" xr3:uid="{7F5ABFA0-3DE1-40CD-9385-166D5BB2971F}" name="Column15055" dataDxfId="3100" totalsRowDxfId="3099"/>
    <tableColumn id="15070" xr3:uid="{70DA7198-F855-432C-B070-99E675204BBA}" name="Column15056" dataDxfId="3098" totalsRowDxfId="3097"/>
    <tableColumn id="15071" xr3:uid="{D37F5DEB-D7F2-4B39-837D-5477EE82839B}" name="Column15057" dataDxfId="3096" totalsRowDxfId="3095"/>
    <tableColumn id="15072" xr3:uid="{51B2620D-C43E-467E-A315-B6D5FBB9D901}" name="Column15058" dataDxfId="3094" totalsRowDxfId="3093"/>
    <tableColumn id="15073" xr3:uid="{02805B30-E888-4FF1-9AD3-E6E4D7B8E5DA}" name="Column15059" dataDxfId="3092" totalsRowDxfId="3091"/>
    <tableColumn id="15074" xr3:uid="{7169521D-FE06-4949-89F5-B4A77B980601}" name="Column15060" dataDxfId="3090" totalsRowDxfId="3089"/>
    <tableColumn id="15075" xr3:uid="{5C13C5C8-BD94-43A0-8A4E-AA29DE622BD8}" name="Column15061" dataDxfId="3088" totalsRowDxfId="3087"/>
    <tableColumn id="15076" xr3:uid="{BCBDAD71-3736-4724-8CE0-02814E2CE9CE}" name="Column15062" dataDxfId="3086" totalsRowDxfId="3085"/>
    <tableColumn id="15077" xr3:uid="{7B82FDAD-2F1D-4D3F-AAA1-2B9E08AD3829}" name="Column15063" dataDxfId="3084" totalsRowDxfId="3083"/>
    <tableColumn id="15078" xr3:uid="{50876F9A-8249-4439-B208-ECF609D153E5}" name="Column15064" dataDxfId="3082" totalsRowDxfId="3081"/>
    <tableColumn id="15079" xr3:uid="{BFF1C55F-6848-45D3-8C7A-F23CCDD08CE9}" name="Column15065" dataDxfId="3080" totalsRowDxfId="3079"/>
    <tableColumn id="15080" xr3:uid="{A250576F-7BDD-4136-BB4B-4663AC193883}" name="Column15066" dataDxfId="3078" totalsRowDxfId="3077"/>
    <tableColumn id="15081" xr3:uid="{EBC7489A-8AE3-4A9C-9FC9-34E7550BD622}" name="Column15067" dataDxfId="3076" totalsRowDxfId="3075"/>
    <tableColumn id="15082" xr3:uid="{896D3599-34A2-4923-A64A-388F8F69D170}" name="Column15068" dataDxfId="3074" totalsRowDxfId="3073"/>
    <tableColumn id="15083" xr3:uid="{9D1362D4-40B9-4C0E-AA5A-0B169EA98451}" name="Column15069" dataDxfId="3072" totalsRowDxfId="3071"/>
    <tableColumn id="15084" xr3:uid="{051213AC-1E1C-4CB4-9A36-86E5A4604178}" name="Column15070" dataDxfId="3070" totalsRowDxfId="3069"/>
    <tableColumn id="15085" xr3:uid="{15E3167E-D922-4E91-B0C0-6861139213BA}" name="Column15071" dataDxfId="3068" totalsRowDxfId="3067"/>
    <tableColumn id="15086" xr3:uid="{ABB0E18E-DB05-4AD1-9FC0-8FF24AC440B8}" name="Column15072" dataDxfId="3066" totalsRowDxfId="3065"/>
    <tableColumn id="15087" xr3:uid="{A78AA0E4-807C-49D4-ADF6-8B8A41C2E109}" name="Column15073" dataDxfId="3064" totalsRowDxfId="3063"/>
    <tableColumn id="15088" xr3:uid="{B6C2E9DD-4E57-4426-88B9-268B86C27977}" name="Column15074" dataDxfId="3062" totalsRowDxfId="3061"/>
    <tableColumn id="15089" xr3:uid="{520545C0-7673-4D77-B313-0D78B47528A5}" name="Column15075" dataDxfId="3060" totalsRowDxfId="3059"/>
    <tableColumn id="15090" xr3:uid="{B3C2AF56-C8BE-4516-B133-6899FB96BE2E}" name="Column15076" dataDxfId="3058" totalsRowDxfId="3057"/>
    <tableColumn id="15091" xr3:uid="{DCD1F723-45DA-44B4-A800-326D4A010AC6}" name="Column15077" dataDxfId="3056" totalsRowDxfId="3055"/>
    <tableColumn id="15092" xr3:uid="{3FCD69F2-9B10-47D4-A6C9-B96DE4C692A2}" name="Column15078" dataDxfId="3054" totalsRowDxfId="3053"/>
    <tableColumn id="15093" xr3:uid="{F67953CE-38D2-40BA-B493-689F804F381A}" name="Column15079" dataDxfId="3052" totalsRowDxfId="3051"/>
    <tableColumn id="15094" xr3:uid="{8E9105D5-CCCB-42B9-98B3-D0473188C0C1}" name="Column15080" dataDxfId="3050" totalsRowDxfId="3049"/>
    <tableColumn id="15095" xr3:uid="{440A958A-5DCE-4BBD-BE74-98BF519BBC26}" name="Column15081" dataDxfId="3048" totalsRowDxfId="3047"/>
    <tableColumn id="15096" xr3:uid="{21BD2991-515C-4B1D-B43B-3E1A7AD7AC36}" name="Column15082" dataDxfId="3046" totalsRowDxfId="3045"/>
    <tableColumn id="15097" xr3:uid="{257FD321-FEFE-4389-B78F-86595629D371}" name="Column15083" dataDxfId="3044" totalsRowDxfId="3043"/>
    <tableColumn id="15098" xr3:uid="{C3CB82DD-CD62-4C64-B9AB-9F3838C5873A}" name="Column15084" dataDxfId="3042" totalsRowDxfId="3041"/>
    <tableColumn id="15099" xr3:uid="{B350B33C-CC39-4058-B8AE-B9CC062D946C}" name="Column15085" dataDxfId="3040" totalsRowDxfId="3039"/>
    <tableColumn id="15100" xr3:uid="{2DE47FB4-93AB-456E-8480-663801035BFE}" name="Column15086" dataDxfId="3038" totalsRowDxfId="3037"/>
    <tableColumn id="15101" xr3:uid="{8FA0C039-7FBF-47BA-84B2-360FF9AAF8F6}" name="Column15087" dataDxfId="3036" totalsRowDxfId="3035"/>
    <tableColumn id="15102" xr3:uid="{EB9EB661-50EB-43D8-941A-1561C7D581BB}" name="Column15088" dataDxfId="3034" totalsRowDxfId="3033"/>
    <tableColumn id="15103" xr3:uid="{D8A4EDAA-B0C8-4E28-BF8F-BE0EAADF4B13}" name="Column15089" dataDxfId="3032" totalsRowDxfId="3031"/>
    <tableColumn id="15104" xr3:uid="{567B65E2-2810-4251-AFAB-AC371DF2118C}" name="Column15090" dataDxfId="3030" totalsRowDxfId="3029"/>
    <tableColumn id="15105" xr3:uid="{B4869438-61CF-43F7-8E4B-A76742D4DB1A}" name="Column15091" dataDxfId="3028" totalsRowDxfId="3027"/>
    <tableColumn id="15106" xr3:uid="{1C2AD526-5BAF-4EF2-AB7B-2A8884F33C75}" name="Column15092" dataDxfId="3026" totalsRowDxfId="3025"/>
    <tableColumn id="15107" xr3:uid="{62930945-03E5-4EBF-87C7-005235E37918}" name="Column15093" dataDxfId="3024" totalsRowDxfId="3023"/>
    <tableColumn id="15108" xr3:uid="{8A25E0E2-C9B4-453E-8619-3CF2AD065B3A}" name="Column15094" dataDxfId="3022" totalsRowDxfId="3021"/>
    <tableColumn id="15109" xr3:uid="{37FF2C51-5F7B-4319-9A05-325C1B717691}" name="Column15095" dataDxfId="3020" totalsRowDxfId="3019"/>
    <tableColumn id="15110" xr3:uid="{75EA9C94-543D-4748-9A17-D1F8DBE631BC}" name="Column15096" dataDxfId="3018" totalsRowDxfId="3017"/>
    <tableColumn id="15111" xr3:uid="{99A06E12-24C7-48CA-B3BA-C0355E7ED788}" name="Column15097" dataDxfId="3016" totalsRowDxfId="3015"/>
    <tableColumn id="15112" xr3:uid="{6E72A497-55A4-4C1C-8F5F-48521AF02F5A}" name="Column15098" dataDxfId="3014" totalsRowDxfId="3013"/>
    <tableColumn id="15113" xr3:uid="{7340AF9F-6664-4C6E-98B0-07DC7BC1A804}" name="Column15099" dataDxfId="3012" totalsRowDxfId="3011"/>
    <tableColumn id="15114" xr3:uid="{40499ADC-43FF-4D3B-9DC0-34C9122AA1DA}" name="Column15100" dataDxfId="3010" totalsRowDxfId="3009"/>
    <tableColumn id="15115" xr3:uid="{1CF407F1-4BC5-430C-A6AC-F9E557CE84E8}" name="Column15101" dataDxfId="3008" totalsRowDxfId="3007"/>
    <tableColumn id="15116" xr3:uid="{FE970965-76C6-41C6-9825-CFD90DFFDD66}" name="Column15102" dataDxfId="3006" totalsRowDxfId="3005"/>
    <tableColumn id="15117" xr3:uid="{E1B2A26A-58FD-4C51-BD1A-11F6B9423426}" name="Column15103" dataDxfId="3004" totalsRowDxfId="3003"/>
    <tableColumn id="15118" xr3:uid="{AD022E97-201B-4ECA-8F5B-9297DC6CBFDF}" name="Column15104" dataDxfId="3002" totalsRowDxfId="3001"/>
    <tableColumn id="15119" xr3:uid="{98B89851-7CEF-409D-835A-F50FCCB36D07}" name="Column15105" dataDxfId="3000" totalsRowDxfId="2999"/>
    <tableColumn id="15120" xr3:uid="{54524EE8-49BB-4D26-A72D-BC2F79D55CBB}" name="Column15106" dataDxfId="2998" totalsRowDxfId="2997"/>
    <tableColumn id="15121" xr3:uid="{7A1C4961-3651-4806-B16B-97F8D5072AE7}" name="Column15107" dataDxfId="2996" totalsRowDxfId="2995"/>
    <tableColumn id="15122" xr3:uid="{A8EE924D-9D20-4BA4-9E85-492D562F9CBD}" name="Column15108" dataDxfId="2994" totalsRowDxfId="2993"/>
    <tableColumn id="15123" xr3:uid="{F3BF0E3B-0AE9-4942-B5C6-B6E5E80F60B1}" name="Column15109" dataDxfId="2992" totalsRowDxfId="2991"/>
    <tableColumn id="15124" xr3:uid="{6248FD4B-418E-4629-9A04-860FEAB5A7D6}" name="Column15110" dataDxfId="2990" totalsRowDxfId="2989"/>
    <tableColumn id="15125" xr3:uid="{BAB47345-FD5D-4559-9295-9C2C2687E73F}" name="Column15111" dataDxfId="2988" totalsRowDxfId="2987"/>
    <tableColumn id="15126" xr3:uid="{908DD728-C20D-4676-B2ED-7E4CEACA9763}" name="Column15112" dataDxfId="2986" totalsRowDxfId="2985"/>
    <tableColumn id="15127" xr3:uid="{B370AB04-E37A-4189-8328-AE654542221D}" name="Column15113" dataDxfId="2984" totalsRowDxfId="2983"/>
    <tableColumn id="15128" xr3:uid="{9A9F4206-7025-4F5D-B807-40AF3615EDF6}" name="Column15114" dataDxfId="2982" totalsRowDxfId="2981"/>
    <tableColumn id="15129" xr3:uid="{39C69A77-845E-4387-903E-34121B021F98}" name="Column15115" dataDxfId="2980" totalsRowDxfId="2979"/>
    <tableColumn id="15130" xr3:uid="{0AFA40BD-45CC-44E5-AAD4-65A580A288E6}" name="Column15116" dataDxfId="2978" totalsRowDxfId="2977"/>
    <tableColumn id="15131" xr3:uid="{89FB1F0B-6C66-4B11-B75A-D93623887538}" name="Column15117" dataDxfId="2976" totalsRowDxfId="2975"/>
    <tableColumn id="15132" xr3:uid="{0DCEF97F-477E-47D7-A370-C39A3A21B666}" name="Column15118" dataDxfId="2974" totalsRowDxfId="2973"/>
    <tableColumn id="15133" xr3:uid="{2D1FFFC2-F867-4BDD-85FC-B3459393A4AD}" name="Column15119" dataDxfId="2972" totalsRowDxfId="2971"/>
    <tableColumn id="15134" xr3:uid="{A1B6358A-14A0-4A76-9ED7-3EA2EDAB7254}" name="Column15120" dataDxfId="2970" totalsRowDxfId="2969"/>
    <tableColumn id="15135" xr3:uid="{93412452-1AA8-4369-B129-53A6FEF7BC21}" name="Column15121" dataDxfId="2968" totalsRowDxfId="2967"/>
    <tableColumn id="15136" xr3:uid="{10A2A434-0D76-497E-9C1C-948B7F1B2F91}" name="Column15122" dataDxfId="2966" totalsRowDxfId="2965"/>
    <tableColumn id="15137" xr3:uid="{1FF6D93E-0863-4B59-B289-CE0B516909F1}" name="Column15123" dataDxfId="2964" totalsRowDxfId="2963"/>
    <tableColumn id="15138" xr3:uid="{85D0B13F-BE93-4347-992D-CF9BEBC4275D}" name="Column15124" dataDxfId="2962" totalsRowDxfId="2961"/>
    <tableColumn id="15139" xr3:uid="{AFEFFB54-BAFF-4860-BC9A-C92440B0C807}" name="Column15125" dataDxfId="2960" totalsRowDxfId="2959"/>
    <tableColumn id="15140" xr3:uid="{82414233-D800-43D8-9EC5-7E5E0E699382}" name="Column15126" dataDxfId="2958" totalsRowDxfId="2957"/>
    <tableColumn id="15141" xr3:uid="{A2EED5B3-9E53-4324-984A-870125912F6E}" name="Column15127" dataDxfId="2956" totalsRowDxfId="2955"/>
    <tableColumn id="15142" xr3:uid="{7FAB0961-8DCB-42F7-B3E4-C2703DE6916A}" name="Column15128" dataDxfId="2954" totalsRowDxfId="2953"/>
    <tableColumn id="15143" xr3:uid="{433627AD-A3C5-43CD-9B5B-B6788C4DC2FC}" name="Column15129" dataDxfId="2952" totalsRowDxfId="2951"/>
    <tableColumn id="15144" xr3:uid="{80E4B608-66FE-407D-A3B3-EBBBE6FC4438}" name="Column15130" dataDxfId="2950" totalsRowDxfId="2949"/>
    <tableColumn id="15145" xr3:uid="{2F3791C9-909D-4D48-B9D1-B40A51E6AE4B}" name="Column15131" dataDxfId="2948" totalsRowDxfId="2947"/>
    <tableColumn id="15146" xr3:uid="{AFB401F1-AF35-45AD-9C44-7D1EC9F6F751}" name="Column15132" dataDxfId="2946" totalsRowDxfId="2945"/>
    <tableColumn id="15147" xr3:uid="{C87AD067-EE80-4D61-8221-EEDFC03128DD}" name="Column15133" dataDxfId="2944" totalsRowDxfId="2943"/>
    <tableColumn id="15148" xr3:uid="{3BB87990-A483-49F2-8EB5-1CF8C284F3E2}" name="Column15134" dataDxfId="2942" totalsRowDxfId="2941"/>
    <tableColumn id="15149" xr3:uid="{28BD7A8B-234B-441A-9612-88B025251B51}" name="Column15135" dataDxfId="2940" totalsRowDxfId="2939"/>
    <tableColumn id="15150" xr3:uid="{E0F38132-3929-42EB-BFF7-0A624F6A0374}" name="Column15136" dataDxfId="2938" totalsRowDxfId="2937"/>
    <tableColumn id="15151" xr3:uid="{AB2AF06B-DC45-416D-ACE8-C3836C6932DF}" name="Column15137" dataDxfId="2936" totalsRowDxfId="2935"/>
    <tableColumn id="15152" xr3:uid="{3E8638FF-E4B1-4513-BAFC-F9A8E5B81422}" name="Column15138" dataDxfId="2934" totalsRowDxfId="2933"/>
    <tableColumn id="15153" xr3:uid="{56450E2A-BDEB-4496-93FB-E4088E99CB2D}" name="Column15139" dataDxfId="2932" totalsRowDxfId="2931"/>
    <tableColumn id="15154" xr3:uid="{69F96E94-0840-406C-97F8-EB20B0D19CD3}" name="Column15140" dataDxfId="2930" totalsRowDxfId="2929"/>
    <tableColumn id="15155" xr3:uid="{B3EDA40D-AD30-4AB1-A38C-E3F4B6BF8872}" name="Column15141" dataDxfId="2928" totalsRowDxfId="2927"/>
    <tableColumn id="15156" xr3:uid="{0A65A133-6C1B-485D-945D-6DB061BF38A9}" name="Column15142" dataDxfId="2926" totalsRowDxfId="2925"/>
    <tableColumn id="15157" xr3:uid="{E423AB04-8E58-4259-A9E4-87E7173D624A}" name="Column15143" dataDxfId="2924" totalsRowDxfId="2923"/>
    <tableColumn id="15158" xr3:uid="{8FAF7C11-0F11-4C42-BD0E-AD2E8C83CD71}" name="Column15144" dataDxfId="2922" totalsRowDxfId="2921"/>
    <tableColumn id="15159" xr3:uid="{BBD60B4D-A8D8-4789-ABC6-A730AC89C997}" name="Column15145" dataDxfId="2920" totalsRowDxfId="2919"/>
    <tableColumn id="15160" xr3:uid="{DE74AF4A-8903-4AAC-9BA4-BEAF56A85546}" name="Column15146" dataDxfId="2918" totalsRowDxfId="2917"/>
    <tableColumn id="15161" xr3:uid="{7FAA0BA6-AD81-4CF0-80ED-7AE146356060}" name="Column15147" dataDxfId="2916" totalsRowDxfId="2915"/>
    <tableColumn id="15162" xr3:uid="{D378B49A-3B11-4E24-8916-1CC31A775F44}" name="Column15148" dataDxfId="2914" totalsRowDxfId="2913"/>
    <tableColumn id="15163" xr3:uid="{FEF35619-99D4-4E81-824E-D6A21198BDB8}" name="Column15149" dataDxfId="2912" totalsRowDxfId="2911"/>
    <tableColumn id="15164" xr3:uid="{3C7D4DA5-35D8-481E-933C-1129E202D344}" name="Column15150" dataDxfId="2910" totalsRowDxfId="2909"/>
    <tableColumn id="15165" xr3:uid="{1BE4F614-0D8A-44EE-9C39-B233811DB11F}" name="Column15151" dataDxfId="2908" totalsRowDxfId="2907"/>
    <tableColumn id="15166" xr3:uid="{3BD463E0-B0C2-40A8-8E04-67FC7B40E4B9}" name="Column15152" dataDxfId="2906" totalsRowDxfId="2905"/>
    <tableColumn id="15167" xr3:uid="{6B2844E7-4D23-4032-A3E4-C0CE3D515CFB}" name="Column15153" dataDxfId="2904" totalsRowDxfId="2903"/>
    <tableColumn id="15168" xr3:uid="{A4D08100-7EF4-40BF-AF13-6DEF30894A29}" name="Column15154" dataDxfId="2902" totalsRowDxfId="2901"/>
    <tableColumn id="15169" xr3:uid="{6B6CAB21-EE1A-4BA9-BC75-BD3158E59C8E}" name="Column15155" dataDxfId="2900" totalsRowDxfId="2899"/>
    <tableColumn id="15170" xr3:uid="{FBED38B8-AF95-42CF-AB33-0C053E3A447C}" name="Column15156" dataDxfId="2898" totalsRowDxfId="2897"/>
    <tableColumn id="15171" xr3:uid="{DED95898-7A77-41EE-8429-AD3F9B17873C}" name="Column15157" dataDxfId="2896" totalsRowDxfId="2895"/>
    <tableColumn id="15172" xr3:uid="{3D110601-228A-4334-8984-E62444E7C811}" name="Column15158" dataDxfId="2894" totalsRowDxfId="2893"/>
    <tableColumn id="15173" xr3:uid="{AEF4EAF9-14F3-403E-9018-938F789B193F}" name="Column15159" dataDxfId="2892" totalsRowDxfId="2891"/>
    <tableColumn id="15174" xr3:uid="{5BE94E1F-5056-4283-B747-ECA562CACA1B}" name="Column15160" dataDxfId="2890" totalsRowDxfId="2889"/>
    <tableColumn id="15175" xr3:uid="{FF1E8E10-59ED-453C-B657-E9825E76504E}" name="Column15161" dataDxfId="2888" totalsRowDxfId="2887"/>
    <tableColumn id="15176" xr3:uid="{E4ECA40F-BE97-444D-A0EC-3792516156B5}" name="Column15162" dataDxfId="2886" totalsRowDxfId="2885"/>
    <tableColumn id="15177" xr3:uid="{B29FFC05-CCEC-4921-83E0-9A564145BE2E}" name="Column15163" dataDxfId="2884" totalsRowDxfId="2883"/>
    <tableColumn id="15178" xr3:uid="{67ED5412-AF02-4273-8CA9-89EF15185689}" name="Column15164" dataDxfId="2882" totalsRowDxfId="2881"/>
    <tableColumn id="15179" xr3:uid="{ACF31468-E4C5-4259-93E0-5D5BBDB13EB0}" name="Column15165" dataDxfId="2880" totalsRowDxfId="2879"/>
    <tableColumn id="15180" xr3:uid="{CE6932B5-5868-45D8-BD56-24A7D2B8943F}" name="Column15166" dataDxfId="2878" totalsRowDxfId="2877"/>
    <tableColumn id="15181" xr3:uid="{9A2F388E-A3AC-4D8A-8177-723335D10CBB}" name="Column15167" dataDxfId="2876" totalsRowDxfId="2875"/>
    <tableColumn id="15182" xr3:uid="{82DF9BF3-2F4D-419A-B3F9-7D2F66CD18A8}" name="Column15168" dataDxfId="2874" totalsRowDxfId="2873"/>
    <tableColumn id="15183" xr3:uid="{610559C9-3A37-4B9F-A645-B7A0BAC3933C}" name="Column15169" dataDxfId="2872" totalsRowDxfId="2871"/>
    <tableColumn id="15184" xr3:uid="{A35B5208-E5B5-429E-A31F-093765F85DF7}" name="Column15170" dataDxfId="2870" totalsRowDxfId="2869"/>
    <tableColumn id="15185" xr3:uid="{4411CB49-3E9E-4646-9759-2FC039723086}" name="Column15171" dataDxfId="2868" totalsRowDxfId="2867"/>
    <tableColumn id="15186" xr3:uid="{43EF8367-C4A2-4E6A-B6C2-5D7583369F1C}" name="Column15172" dataDxfId="2866" totalsRowDxfId="2865"/>
    <tableColumn id="15187" xr3:uid="{1420529B-A8A1-4A5C-9A50-CF39EB8DE001}" name="Column15173" dataDxfId="2864" totalsRowDxfId="2863"/>
    <tableColumn id="15188" xr3:uid="{1DD5585B-2DBD-4900-81DE-133C0D50A53D}" name="Column15174" dataDxfId="2862" totalsRowDxfId="2861"/>
    <tableColumn id="15189" xr3:uid="{2DF27C82-E980-4B47-A047-387FD1668604}" name="Column15175" dataDxfId="2860" totalsRowDxfId="2859"/>
    <tableColumn id="15190" xr3:uid="{5AB4DDC3-9DAC-46A1-A46F-BE6DFF440318}" name="Column15176" dataDxfId="2858" totalsRowDxfId="2857"/>
    <tableColumn id="15191" xr3:uid="{5FEB9395-3740-41A5-8E7A-6BCC97BCA2C5}" name="Column15177" dataDxfId="2856" totalsRowDxfId="2855"/>
    <tableColumn id="15192" xr3:uid="{F6272104-7695-4C2D-9F9E-C5DF591BB6C1}" name="Column15178" dataDxfId="2854" totalsRowDxfId="2853"/>
    <tableColumn id="15193" xr3:uid="{79645801-FC0F-4FF4-AC3E-1B8EEA4EA358}" name="Column15179" dataDxfId="2852" totalsRowDxfId="2851"/>
    <tableColumn id="15194" xr3:uid="{3EB177ED-18DB-43ED-B470-562EE7B8A7E3}" name="Column15180" dataDxfId="2850" totalsRowDxfId="2849"/>
    <tableColumn id="15195" xr3:uid="{325E90D4-27A6-450A-A196-E18A22833A15}" name="Column15181" dataDxfId="2848" totalsRowDxfId="2847"/>
    <tableColumn id="15196" xr3:uid="{6800E6B6-2F6D-4137-A059-9FEC92105186}" name="Column15182" dataDxfId="2846" totalsRowDxfId="2845"/>
    <tableColumn id="15197" xr3:uid="{F38D1C44-2229-4F93-BA7D-82495C316E76}" name="Column15183" dataDxfId="2844" totalsRowDxfId="2843"/>
    <tableColumn id="15198" xr3:uid="{9500B70F-E4F3-4ADC-836B-01E69E1D8EF1}" name="Column15184" dataDxfId="2842" totalsRowDxfId="2841"/>
    <tableColumn id="15199" xr3:uid="{326EF86B-9E91-4CE8-AF01-96DAFC800453}" name="Column15185" dataDxfId="2840" totalsRowDxfId="2839"/>
    <tableColumn id="15200" xr3:uid="{06C9E4E2-3A58-44C2-8EB0-FD96D9383374}" name="Column15186" dataDxfId="2838" totalsRowDxfId="2837"/>
    <tableColumn id="15201" xr3:uid="{64F3EF46-EBC3-4453-B04E-D95B2C8B55BA}" name="Column15187" dataDxfId="2836" totalsRowDxfId="2835"/>
    <tableColumn id="15202" xr3:uid="{543965CB-0B87-411E-AB63-76E9B1DE9206}" name="Column15188" dataDxfId="2834" totalsRowDxfId="2833"/>
    <tableColumn id="15203" xr3:uid="{596FB3C1-FC62-492A-8C8A-36A0F8014F31}" name="Column15189" dataDxfId="2832" totalsRowDxfId="2831"/>
    <tableColumn id="15204" xr3:uid="{AE20B899-1A21-49AF-A107-31953164736E}" name="Column15190" dataDxfId="2830" totalsRowDxfId="2829"/>
    <tableColumn id="15205" xr3:uid="{CFB2C0D5-4E20-4398-8135-CB7E9446083C}" name="Column15191" dataDxfId="2828" totalsRowDxfId="2827"/>
    <tableColumn id="15206" xr3:uid="{0800868E-4FF6-48C2-B802-05FCE769678F}" name="Column15192" dataDxfId="2826" totalsRowDxfId="2825"/>
    <tableColumn id="15207" xr3:uid="{7EE2A9BC-3772-48FD-9C55-C7F52AF06788}" name="Column15193" dataDxfId="2824" totalsRowDxfId="2823"/>
    <tableColumn id="15208" xr3:uid="{DDE1A4EF-7227-4958-8B1D-2907EB6E082E}" name="Column15194" dataDxfId="2822" totalsRowDxfId="2821"/>
    <tableColumn id="15209" xr3:uid="{AE1F678D-DBDE-41C7-B6DD-A0920ABF699B}" name="Column15195" dataDxfId="2820" totalsRowDxfId="2819"/>
    <tableColumn id="15210" xr3:uid="{94825CE4-B680-41C9-A472-E2F3C08903D1}" name="Column15196" dataDxfId="2818" totalsRowDxfId="2817"/>
    <tableColumn id="15211" xr3:uid="{6CC07071-E502-4E6C-989F-3DF930FA2ADA}" name="Column15197" dataDxfId="2816" totalsRowDxfId="2815"/>
    <tableColumn id="15212" xr3:uid="{9628B058-F05F-44F8-86BB-D08AA83D154D}" name="Column15198" dataDxfId="2814" totalsRowDxfId="2813"/>
    <tableColumn id="15213" xr3:uid="{BA3F3039-4665-4622-80DC-B2D37E137AC9}" name="Column15199" dataDxfId="2812" totalsRowDxfId="2811"/>
    <tableColumn id="15214" xr3:uid="{CEB1724B-3626-46AD-BCDD-20A9761FF018}" name="Column15200" dataDxfId="2810" totalsRowDxfId="2809"/>
    <tableColumn id="15215" xr3:uid="{803D3475-6259-4107-B552-A6EED9D7153C}" name="Column15201" dataDxfId="2808" totalsRowDxfId="2807"/>
    <tableColumn id="15216" xr3:uid="{C9F20FFF-A6B6-4D4A-B999-51CB5FE136A2}" name="Column15202" dataDxfId="2806" totalsRowDxfId="2805"/>
    <tableColumn id="15217" xr3:uid="{530E7969-F90D-4D9A-95DD-A95B5B107B5E}" name="Column15203" dataDxfId="2804" totalsRowDxfId="2803"/>
    <tableColumn id="15218" xr3:uid="{A4C20131-096B-47C5-AAB8-4CB8FEB840A9}" name="Column15204" dataDxfId="2802" totalsRowDxfId="2801"/>
    <tableColumn id="15219" xr3:uid="{08F0B63C-BBD5-4895-ACFF-02FA13D46D72}" name="Column15205" dataDxfId="2800" totalsRowDxfId="2799"/>
    <tableColumn id="15220" xr3:uid="{4877EE59-3966-4F7D-9C88-FDAF06031EE5}" name="Column15206" dataDxfId="2798" totalsRowDxfId="2797"/>
    <tableColumn id="15221" xr3:uid="{64938DBE-30C5-484A-8B84-42375222FBD4}" name="Column15207" dataDxfId="2796" totalsRowDxfId="2795"/>
    <tableColumn id="15222" xr3:uid="{FB962C2F-896C-4B34-B946-58A197B0B2DD}" name="Column15208" dataDxfId="2794" totalsRowDxfId="2793"/>
    <tableColumn id="15223" xr3:uid="{1FEFFE81-B41B-4780-8709-39529AFFB149}" name="Column15209" dataDxfId="2792" totalsRowDxfId="2791"/>
    <tableColumn id="15224" xr3:uid="{BAA2F7DB-93EA-4E4C-9243-BAE52CDFD57C}" name="Column15210" dataDxfId="2790" totalsRowDxfId="2789"/>
    <tableColumn id="15225" xr3:uid="{69164B0C-3CAC-4E80-ABB4-C5390761DC8B}" name="Column15211" dataDxfId="2788" totalsRowDxfId="2787"/>
    <tableColumn id="15226" xr3:uid="{EA16D78F-1706-4DD7-8608-DC884A3064A3}" name="Column15212" dataDxfId="2786" totalsRowDxfId="2785"/>
    <tableColumn id="15227" xr3:uid="{3BB90E02-6CB1-422C-BD2A-AA0926EA4B8C}" name="Column15213" dataDxfId="2784" totalsRowDxfId="2783"/>
    <tableColumn id="15228" xr3:uid="{E559607F-2969-459B-8136-14FFC3F69B9B}" name="Column15214" dataDxfId="2782" totalsRowDxfId="2781"/>
    <tableColumn id="15229" xr3:uid="{BF0BF9FB-3694-4F42-954A-16F78CC43A99}" name="Column15215" dataDxfId="2780" totalsRowDxfId="2779"/>
    <tableColumn id="15230" xr3:uid="{0184252A-824C-46B4-B609-1865BDFC7D31}" name="Column15216" dataDxfId="2778" totalsRowDxfId="2777"/>
    <tableColumn id="15231" xr3:uid="{7169988A-A9CE-4EB3-8D0A-51364B1FDA46}" name="Column15217" dataDxfId="2776" totalsRowDxfId="2775"/>
    <tableColumn id="15232" xr3:uid="{958A1DA1-B404-4935-9941-3BDD080CD8AD}" name="Column15218" dataDxfId="2774" totalsRowDxfId="2773"/>
    <tableColumn id="15233" xr3:uid="{6E5945C7-8047-4E8A-AD6B-322C3050B86F}" name="Column15219" dataDxfId="2772" totalsRowDxfId="2771"/>
    <tableColumn id="15234" xr3:uid="{BD204EB9-BEF3-40B5-A16F-4EE8CA42DE4D}" name="Column15220" dataDxfId="2770" totalsRowDxfId="2769"/>
    <tableColumn id="15235" xr3:uid="{43DC7411-1E80-4D5F-9681-2E9ABA535324}" name="Column15221" dataDxfId="2768" totalsRowDxfId="2767"/>
    <tableColumn id="15236" xr3:uid="{5C88F685-6BC5-4A59-AE04-3A543EDEF675}" name="Column15222" dataDxfId="2766" totalsRowDxfId="2765"/>
    <tableColumn id="15237" xr3:uid="{E43A4506-B9C9-40D2-B274-870929124555}" name="Column15223" dataDxfId="2764" totalsRowDxfId="2763"/>
    <tableColumn id="15238" xr3:uid="{B502AC17-0497-40A0-BB0F-C955E913C11F}" name="Column15224" dataDxfId="2762" totalsRowDxfId="2761"/>
    <tableColumn id="15239" xr3:uid="{85F15AF0-7A15-49C2-A9E9-0A01CA4AF6C6}" name="Column15225" dataDxfId="2760" totalsRowDxfId="2759"/>
    <tableColumn id="15240" xr3:uid="{712AE016-A530-4931-A7DF-D200095AE508}" name="Column15226" dataDxfId="2758" totalsRowDxfId="2757"/>
    <tableColumn id="15241" xr3:uid="{261F90EB-949A-4889-A1AE-AF413A19991F}" name="Column15227" dataDxfId="2756" totalsRowDxfId="2755"/>
    <tableColumn id="15242" xr3:uid="{895F492C-C37F-4462-BCD9-826639B98B8C}" name="Column15228" dataDxfId="2754" totalsRowDxfId="2753"/>
    <tableColumn id="15243" xr3:uid="{1AFA752E-E663-4247-A183-FB882F63D806}" name="Column15229" dataDxfId="2752" totalsRowDxfId="2751"/>
    <tableColumn id="15244" xr3:uid="{0E0C0A10-42C0-4DBF-8DFC-F8B891356110}" name="Column15230" dataDxfId="2750" totalsRowDxfId="2749"/>
    <tableColumn id="15245" xr3:uid="{A1441232-2716-4A61-AB38-77796EF51A80}" name="Column15231" dataDxfId="2748" totalsRowDxfId="2747"/>
    <tableColumn id="15246" xr3:uid="{86C3EDCD-0612-477C-B780-A9743B9EFD6C}" name="Column15232" dataDxfId="2746" totalsRowDxfId="2745"/>
    <tableColumn id="15247" xr3:uid="{6C87CA6A-55F6-432D-97AE-256744EF3A6C}" name="Column15233" dataDxfId="2744" totalsRowDxfId="2743"/>
    <tableColumn id="15248" xr3:uid="{C1B0CCC5-4547-4B4D-935B-0B4FED77E21E}" name="Column15234" dataDxfId="2742" totalsRowDxfId="2741"/>
    <tableColumn id="15249" xr3:uid="{4D1B98CC-4540-44DF-B4E6-3EE640682CB4}" name="Column15235" dataDxfId="2740" totalsRowDxfId="2739"/>
    <tableColumn id="15250" xr3:uid="{DDEEE565-CD45-4AED-AC3F-52C54FAA8FA7}" name="Column15236" dataDxfId="2738" totalsRowDxfId="2737"/>
    <tableColumn id="15251" xr3:uid="{744A5388-DB53-45C3-8F15-CA8CF20FB15F}" name="Column15237" dataDxfId="2736" totalsRowDxfId="2735"/>
    <tableColumn id="15252" xr3:uid="{E9A5A47C-0208-435C-ABD7-92085FE3A548}" name="Column15238" dataDxfId="2734" totalsRowDxfId="2733"/>
    <tableColumn id="15253" xr3:uid="{365DC31C-40C6-4254-ACA4-99ED11700C4A}" name="Column15239" dataDxfId="2732" totalsRowDxfId="2731"/>
    <tableColumn id="15254" xr3:uid="{01680B17-8E27-456C-8CD7-73120FFBAEBD}" name="Column15240" dataDxfId="2730" totalsRowDxfId="2729"/>
    <tableColumn id="15255" xr3:uid="{152AE645-3167-42B6-8057-45E25BA0C34E}" name="Column15241" dataDxfId="2728" totalsRowDxfId="2727"/>
    <tableColumn id="15256" xr3:uid="{4EC103CD-0612-4B81-8D79-8D93ED6EC46B}" name="Column15242" dataDxfId="2726" totalsRowDxfId="2725"/>
    <tableColumn id="15257" xr3:uid="{829640A5-7B12-4BAF-A725-B22DB17528EF}" name="Column15243" dataDxfId="2724" totalsRowDxfId="2723"/>
    <tableColumn id="15258" xr3:uid="{17E36097-396E-4804-B613-94BA4D54B390}" name="Column15244" dataDxfId="2722" totalsRowDxfId="2721"/>
    <tableColumn id="15259" xr3:uid="{9ACA030A-E4A0-4F6F-B5A2-B3DE6AE95195}" name="Column15245" dataDxfId="2720" totalsRowDxfId="2719"/>
    <tableColumn id="15260" xr3:uid="{0272C50A-5D89-42DD-BBF7-357B4FB5B1E9}" name="Column15246" dataDxfId="2718" totalsRowDxfId="2717"/>
    <tableColumn id="15261" xr3:uid="{4643C722-A597-4697-BE4C-94C05CF99CFB}" name="Column15247" dataDxfId="2716" totalsRowDxfId="2715"/>
    <tableColumn id="15262" xr3:uid="{1FC7C9B8-E56F-420A-BCDB-DA7C5A79A462}" name="Column15248" dataDxfId="2714" totalsRowDxfId="2713"/>
    <tableColumn id="15263" xr3:uid="{9317A988-71B4-479E-A736-1C7590EEB925}" name="Column15249" dataDxfId="2712" totalsRowDxfId="2711"/>
    <tableColumn id="15264" xr3:uid="{69525B71-9D8D-4B53-8919-BB5B0E9DE919}" name="Column15250" dataDxfId="2710" totalsRowDxfId="2709"/>
    <tableColumn id="15265" xr3:uid="{5F729139-9941-4821-946E-377C0E70AE0D}" name="Column15251" dataDxfId="2708" totalsRowDxfId="2707"/>
    <tableColumn id="15266" xr3:uid="{052E215D-EF9C-4B39-B68B-D456D5B766E8}" name="Column15252" dataDxfId="2706" totalsRowDxfId="2705"/>
    <tableColumn id="15267" xr3:uid="{04C292D0-A474-4D1E-B2EB-7FB517717237}" name="Column15253" dataDxfId="2704" totalsRowDxfId="2703"/>
    <tableColumn id="15268" xr3:uid="{32802BA5-291A-40BD-AF0B-1EFC7F56565E}" name="Column15254" dataDxfId="2702" totalsRowDxfId="2701"/>
    <tableColumn id="15269" xr3:uid="{0321C674-DAC0-4AE7-9A5F-DBF8B389AD49}" name="Column15255" dataDxfId="2700" totalsRowDxfId="2699"/>
    <tableColumn id="15270" xr3:uid="{53B8CCE7-30B7-48AB-9741-57A7688E7E17}" name="Column15256" dataDxfId="2698" totalsRowDxfId="2697"/>
    <tableColumn id="15271" xr3:uid="{0ED954C6-42A4-47C1-99EF-9073866B2CB1}" name="Column15257" dataDxfId="2696" totalsRowDxfId="2695"/>
    <tableColumn id="15272" xr3:uid="{98B9C775-1A1F-4210-80C8-80C46A658E6E}" name="Column15258" dataDxfId="2694" totalsRowDxfId="2693"/>
    <tableColumn id="15273" xr3:uid="{6B7CCB97-6F3F-4A2A-8933-8089F8FDD4FF}" name="Column15259" dataDxfId="2692" totalsRowDxfId="2691"/>
    <tableColumn id="15274" xr3:uid="{EF257F9F-2369-4C52-8859-22CB72B34B0B}" name="Column15260" dataDxfId="2690" totalsRowDxfId="2689"/>
    <tableColumn id="15275" xr3:uid="{ABD9158E-FF9E-4928-90C9-CE54003E11F1}" name="Column15261" dataDxfId="2688" totalsRowDxfId="2687"/>
    <tableColumn id="15276" xr3:uid="{AA3B0EC1-9B6A-4635-82B5-6EB6F0562E3D}" name="Column15262" dataDxfId="2686" totalsRowDxfId="2685"/>
    <tableColumn id="15277" xr3:uid="{272413FC-FACD-4F7E-9672-FD1278C9F75E}" name="Column15263" dataDxfId="2684" totalsRowDxfId="2683"/>
    <tableColumn id="15278" xr3:uid="{5A91EB16-5C7F-4F1F-BF7F-052088F9DF58}" name="Column15264" dataDxfId="2682" totalsRowDxfId="2681"/>
    <tableColumn id="15279" xr3:uid="{1415258D-D451-471A-9CD8-47C69C351581}" name="Column15265" dataDxfId="2680" totalsRowDxfId="2679"/>
    <tableColumn id="15280" xr3:uid="{CEE8799A-2C15-4DAC-ABFE-BFABC4D87EDC}" name="Column15266" dataDxfId="2678" totalsRowDxfId="2677"/>
    <tableColumn id="15281" xr3:uid="{50DA8ED8-4710-4592-9C33-2D36202C9A59}" name="Column15267" dataDxfId="2676" totalsRowDxfId="2675"/>
    <tableColumn id="15282" xr3:uid="{17FD1374-69EF-4ECC-84F4-424C503744CF}" name="Column15268" dataDxfId="2674" totalsRowDxfId="2673"/>
    <tableColumn id="15283" xr3:uid="{978276DB-6538-43B3-A759-1B441C1D6A76}" name="Column15269" dataDxfId="2672" totalsRowDxfId="2671"/>
    <tableColumn id="15284" xr3:uid="{9D676BCA-E932-4447-8FB4-EF9F4A3771F7}" name="Column15270" dataDxfId="2670" totalsRowDxfId="2669"/>
    <tableColumn id="15285" xr3:uid="{A8B854BA-64FD-4DD1-9E64-E8FF506B98AD}" name="Column15271" dataDxfId="2668" totalsRowDxfId="2667"/>
    <tableColumn id="15286" xr3:uid="{BC7006F4-1DBC-4784-915C-22575F899D5E}" name="Column15272" dataDxfId="2666" totalsRowDxfId="2665"/>
    <tableColumn id="15287" xr3:uid="{8A00021D-3D31-480C-B625-F0CC9848BCA0}" name="Column15273" dataDxfId="2664" totalsRowDxfId="2663"/>
    <tableColumn id="15288" xr3:uid="{4F4B0D1B-77BD-4391-82D5-5788B9F8EAA7}" name="Column15274" dataDxfId="2662" totalsRowDxfId="2661"/>
    <tableColumn id="15289" xr3:uid="{D04F66B3-E688-4930-BFDA-15406006FCF3}" name="Column15275" dataDxfId="2660" totalsRowDxfId="2659"/>
    <tableColumn id="15290" xr3:uid="{78684F1C-B608-4798-ADC4-7D5AA8336599}" name="Column15276" dataDxfId="2658" totalsRowDxfId="2657"/>
    <tableColumn id="15291" xr3:uid="{4FB6965A-083B-425A-8B8F-FA334F27E29E}" name="Column15277" dataDxfId="2656" totalsRowDxfId="2655"/>
    <tableColumn id="15292" xr3:uid="{881BB7F2-06A2-4A21-8D1B-0EB91D7B4CF3}" name="Column15278" dataDxfId="2654" totalsRowDxfId="2653"/>
    <tableColumn id="15293" xr3:uid="{4C30B03F-C136-43B2-88FA-74C295D9FB3F}" name="Column15279" dataDxfId="2652" totalsRowDxfId="2651"/>
    <tableColumn id="15294" xr3:uid="{5BEA461B-D3E9-4314-833A-B77C0A9EBC5A}" name="Column15280" dataDxfId="2650" totalsRowDxfId="2649"/>
    <tableColumn id="15295" xr3:uid="{E08F0E58-14C0-43FA-8297-889BCFF4D2F6}" name="Column15281" dataDxfId="2648" totalsRowDxfId="2647"/>
    <tableColumn id="15296" xr3:uid="{6AD998A6-A2F0-40EB-BED2-5565D492C954}" name="Column15282" dataDxfId="2646" totalsRowDxfId="2645"/>
    <tableColumn id="15297" xr3:uid="{19F85CE7-9E8C-4CB4-90D5-2E4938A860FF}" name="Column15283" dataDxfId="2644" totalsRowDxfId="2643"/>
    <tableColumn id="15298" xr3:uid="{F2B4C621-FC35-408D-8681-9174D73F7B8E}" name="Column15284" dataDxfId="2642" totalsRowDxfId="2641"/>
    <tableColumn id="15299" xr3:uid="{435A67AC-3585-4FC1-856A-9B174CE19804}" name="Column15285" dataDxfId="2640" totalsRowDxfId="2639"/>
    <tableColumn id="15300" xr3:uid="{A42BB441-08F6-416E-A78E-2518A16B3E70}" name="Column15286" dataDxfId="2638" totalsRowDxfId="2637"/>
    <tableColumn id="15301" xr3:uid="{AE4FC895-E1C5-4220-A155-28ADF9A6BC98}" name="Column15287" dataDxfId="2636" totalsRowDxfId="2635"/>
    <tableColumn id="15302" xr3:uid="{E353689F-D8AB-4FC2-A637-836A5FA966D7}" name="Column15288" dataDxfId="2634" totalsRowDxfId="2633"/>
    <tableColumn id="15303" xr3:uid="{A932C9DD-2FE0-450E-9965-B57A809BBA05}" name="Column15289" dataDxfId="2632" totalsRowDxfId="2631"/>
    <tableColumn id="15304" xr3:uid="{B0DAF4E3-7EB3-4C4D-BE3C-F80E969ABF79}" name="Column15290" dataDxfId="2630" totalsRowDxfId="2629"/>
    <tableColumn id="15305" xr3:uid="{B2FA7D1E-EC6E-4B13-B3FE-A83465635D6F}" name="Column15291" dataDxfId="2628" totalsRowDxfId="2627"/>
    <tableColumn id="15306" xr3:uid="{EEA021D8-3E55-4650-BD4C-A1FA4B892EAF}" name="Column15292" dataDxfId="2626" totalsRowDxfId="2625"/>
    <tableColumn id="15307" xr3:uid="{46FC4A94-5CD1-4252-A09F-0BA60BC6F49D}" name="Column15293" dataDxfId="2624" totalsRowDxfId="2623"/>
    <tableColumn id="15308" xr3:uid="{16CCDC10-5B6C-424E-B0CA-710F957F96D6}" name="Column15294" dataDxfId="2622" totalsRowDxfId="2621"/>
    <tableColumn id="15309" xr3:uid="{48441127-37A6-4AE6-9691-9D7D29B56FFC}" name="Column15295" dataDxfId="2620" totalsRowDxfId="2619"/>
    <tableColumn id="15310" xr3:uid="{BCBDD4DD-1C65-4496-BF1F-69D6BDDC92D5}" name="Column15296" dataDxfId="2618" totalsRowDxfId="2617"/>
    <tableColumn id="15311" xr3:uid="{76272B8E-1324-4807-A6BF-AAEAFAC0AA81}" name="Column15297" dataDxfId="2616" totalsRowDxfId="2615"/>
    <tableColumn id="15312" xr3:uid="{F80B9CE7-C877-48D9-B6AA-D21CE0B18744}" name="Column15298" dataDxfId="2614" totalsRowDxfId="2613"/>
    <tableColumn id="15313" xr3:uid="{D0939163-C3B6-4197-938C-9241C596D543}" name="Column15299" dataDxfId="2612" totalsRowDxfId="2611"/>
    <tableColumn id="15314" xr3:uid="{703BE4A8-5BFD-4D2D-8D30-7702FDE04FBB}" name="Column15300" dataDxfId="2610" totalsRowDxfId="2609"/>
    <tableColumn id="15315" xr3:uid="{08AC1451-0353-4EC4-B9C3-CA1661FCA94D}" name="Column15301" dataDxfId="2608" totalsRowDxfId="2607"/>
    <tableColumn id="15316" xr3:uid="{377668F5-6292-40D5-A8A3-C5D0549DD63C}" name="Column15302" dataDxfId="2606" totalsRowDxfId="2605"/>
    <tableColumn id="15317" xr3:uid="{5BEB7A97-DB16-4B52-9A91-47489E5DBE18}" name="Column15303" dataDxfId="2604" totalsRowDxfId="2603"/>
    <tableColumn id="15318" xr3:uid="{298AB745-D5B0-4560-AC08-1AEA2F50A4DE}" name="Column15304" dataDxfId="2602" totalsRowDxfId="2601"/>
    <tableColumn id="15319" xr3:uid="{8FFBACEF-764D-4D0D-A5F8-A1894247EC38}" name="Column15305" dataDxfId="2600" totalsRowDxfId="2599"/>
    <tableColumn id="15320" xr3:uid="{E4D0A821-DDF5-499B-888E-2BCCF1C78191}" name="Column15306" dataDxfId="2598" totalsRowDxfId="2597"/>
    <tableColumn id="15321" xr3:uid="{2CF42673-2771-44DE-891D-F365D57A3827}" name="Column15307" dataDxfId="2596" totalsRowDxfId="2595"/>
    <tableColumn id="15322" xr3:uid="{0F3D7E32-BAD3-4903-A3EA-EF5CBF063415}" name="Column15308" dataDxfId="2594" totalsRowDxfId="2593"/>
    <tableColumn id="15323" xr3:uid="{DDEF9A54-F734-4D22-8643-7E551CDDEF54}" name="Column15309" dataDxfId="2592" totalsRowDxfId="2591"/>
    <tableColumn id="15324" xr3:uid="{0987CD0B-2FE8-45EC-A81E-B7CDD53FB089}" name="Column15310" dataDxfId="2590" totalsRowDxfId="2589"/>
    <tableColumn id="15325" xr3:uid="{66495BC1-723A-45A2-9CD4-18FECF46A849}" name="Column15311" dataDxfId="2588" totalsRowDxfId="2587"/>
    <tableColumn id="15326" xr3:uid="{07F1ED01-2CE5-4091-958F-0067F18F16DC}" name="Column15312" dataDxfId="2586" totalsRowDxfId="2585"/>
    <tableColumn id="15327" xr3:uid="{AFAD353B-AE8C-48EC-B002-AF7A2B3D3805}" name="Column15313" dataDxfId="2584" totalsRowDxfId="2583"/>
    <tableColumn id="15328" xr3:uid="{8989B188-0571-4D38-A212-307BA81F5787}" name="Column15314" dataDxfId="2582" totalsRowDxfId="2581"/>
    <tableColumn id="15329" xr3:uid="{80571124-4728-412E-A2E6-5ABEEBE23377}" name="Column15315" dataDxfId="2580" totalsRowDxfId="2579"/>
    <tableColumn id="15330" xr3:uid="{AD166EFE-87C3-4069-B2EC-6E082DBB0FF9}" name="Column15316" dataDxfId="2578" totalsRowDxfId="2577"/>
    <tableColumn id="15331" xr3:uid="{ADB09B81-5E3E-4006-A205-DCF29B4F28CF}" name="Column15317" dataDxfId="2576" totalsRowDxfId="2575"/>
    <tableColumn id="15332" xr3:uid="{F1AD19F6-8F3B-4508-A60D-113A421E1368}" name="Column15318" dataDxfId="2574" totalsRowDxfId="2573"/>
    <tableColumn id="15333" xr3:uid="{E416BCC7-71F4-4601-B1D8-00B177660E01}" name="Column15319" dataDxfId="2572" totalsRowDxfId="2571"/>
    <tableColumn id="15334" xr3:uid="{990C8F18-2589-4819-BDC4-FF8DE483CF77}" name="Column15320" dataDxfId="2570" totalsRowDxfId="2569"/>
    <tableColumn id="15335" xr3:uid="{4AC6E9ED-C9DB-4A94-95AE-30934653B422}" name="Column15321" dataDxfId="2568" totalsRowDxfId="2567"/>
    <tableColumn id="15336" xr3:uid="{954DBEC5-6EE4-4319-833D-BD72AD149734}" name="Column15322" dataDxfId="2566" totalsRowDxfId="2565"/>
    <tableColumn id="15337" xr3:uid="{5CF403D2-E385-4E71-AD4F-FCE801F05F4B}" name="Column15323" dataDxfId="2564" totalsRowDxfId="2563"/>
    <tableColumn id="15338" xr3:uid="{438BA5B6-30CF-4EDB-88C6-E29FEB8B5C37}" name="Column15324" dataDxfId="2562" totalsRowDxfId="2561"/>
    <tableColumn id="15339" xr3:uid="{C87E831A-F23F-41E5-9673-BFAC7375330F}" name="Column15325" dataDxfId="2560" totalsRowDxfId="2559"/>
    <tableColumn id="15340" xr3:uid="{DF93E85B-2DCD-46CC-BE80-53D0B2A8020C}" name="Column15326" dataDxfId="2558" totalsRowDxfId="2557"/>
    <tableColumn id="15341" xr3:uid="{1BA817B2-9A3F-46AA-8AD3-178B615EE377}" name="Column15327" dataDxfId="2556" totalsRowDxfId="2555"/>
    <tableColumn id="15342" xr3:uid="{25E4D15C-1482-4D6D-9333-56208752C46C}" name="Column15328" dataDxfId="2554" totalsRowDxfId="2553"/>
    <tableColumn id="15343" xr3:uid="{7B9FDB9F-19FE-42BF-AA33-577599E4E566}" name="Column15329" dataDxfId="2552" totalsRowDxfId="2551"/>
    <tableColumn id="15344" xr3:uid="{0AD645EB-21BB-4FA7-8BC2-62FC262AB824}" name="Column15330" dataDxfId="2550" totalsRowDxfId="2549"/>
    <tableColumn id="15345" xr3:uid="{F60C3676-0353-4D88-8B99-40D0530CCE06}" name="Column15331" dataDxfId="2548" totalsRowDxfId="2547"/>
    <tableColumn id="15346" xr3:uid="{B645EBAD-8219-4A38-AC26-B212A3820FC2}" name="Column15332" dataDxfId="2546" totalsRowDxfId="2545"/>
    <tableColumn id="15347" xr3:uid="{D276A6FB-6987-4172-87DB-F7D9A2A88706}" name="Column15333" dataDxfId="2544" totalsRowDxfId="2543"/>
    <tableColumn id="15348" xr3:uid="{FC740BDF-675F-45A2-A3B0-BB7930EB6C7E}" name="Column15334" dataDxfId="2542" totalsRowDxfId="2541"/>
    <tableColumn id="15349" xr3:uid="{B9E5515A-DA1E-413B-BCE9-9C7F67623ADD}" name="Column15335" dataDxfId="2540" totalsRowDxfId="2539"/>
    <tableColumn id="15350" xr3:uid="{8414BCDC-8A5B-4C61-8F5F-79C11BA0E62E}" name="Column15336" dataDxfId="2538" totalsRowDxfId="2537"/>
    <tableColumn id="15351" xr3:uid="{B4F2B16B-BABC-4345-9A4A-5DF08558D072}" name="Column15337" dataDxfId="2536" totalsRowDxfId="2535"/>
    <tableColumn id="15352" xr3:uid="{97F25195-90FB-48AE-82D5-C1E582C30013}" name="Column15338" dataDxfId="2534" totalsRowDxfId="2533"/>
    <tableColumn id="15353" xr3:uid="{DBFB64C1-5384-40C7-A75C-9B157DFE67AD}" name="Column15339" dataDxfId="2532" totalsRowDxfId="2531"/>
    <tableColumn id="15354" xr3:uid="{8959479F-6562-4E4A-9497-29C20EDF1B01}" name="Column15340" dataDxfId="2530" totalsRowDxfId="2529"/>
    <tableColumn id="15355" xr3:uid="{2D752BCD-F3B8-4E74-98E9-12A79B5172E3}" name="Column15341" dataDxfId="2528" totalsRowDxfId="2527"/>
    <tableColumn id="15356" xr3:uid="{7D15F205-90D9-4A22-BA4F-B08F533AB15B}" name="Column15342" dataDxfId="2526" totalsRowDxfId="2525"/>
    <tableColumn id="15357" xr3:uid="{B7AD1963-4894-4964-82DB-FA152A6BF529}" name="Column15343" dataDxfId="2524" totalsRowDxfId="2523"/>
    <tableColumn id="15358" xr3:uid="{D1D1EB75-B1B0-4506-B1B8-C9E4644CC89F}" name="Column15344" dataDxfId="2522" totalsRowDxfId="2521"/>
    <tableColumn id="15359" xr3:uid="{1D2354EF-B973-4D32-B7E6-600D08DEC861}" name="Column15345" dataDxfId="2520" totalsRowDxfId="2519"/>
    <tableColumn id="15360" xr3:uid="{046407A8-907E-4B04-9793-AB4AA45D9011}" name="Column15346" dataDxfId="2518" totalsRowDxfId="2517"/>
    <tableColumn id="15361" xr3:uid="{66792AAA-1794-418E-B458-0059C097296E}" name="Column15347" dataDxfId="2516" totalsRowDxfId="2515"/>
    <tableColumn id="15362" xr3:uid="{372F9207-1581-433E-83BD-E35439BD5FBC}" name="Column15348" dataDxfId="2514" totalsRowDxfId="2513"/>
    <tableColumn id="15363" xr3:uid="{42595BFC-0951-49F2-9F7E-D6CE2AEC7133}" name="Column15349" dataDxfId="2512" totalsRowDxfId="2511"/>
    <tableColumn id="15364" xr3:uid="{76F22075-25B0-4739-BD4E-3D6A01759E40}" name="Column15350" dataDxfId="2510" totalsRowDxfId="2509"/>
    <tableColumn id="15365" xr3:uid="{3A83EBF6-2679-47A9-B287-FC1444C7C92D}" name="Column15351" dataDxfId="2508" totalsRowDxfId="2507"/>
    <tableColumn id="15366" xr3:uid="{CC34DB8F-05FF-4418-99FA-3B1307F20C80}" name="Column15352" dataDxfId="2506" totalsRowDxfId="2505"/>
    <tableColumn id="15367" xr3:uid="{48D3E779-D747-419B-8FD0-CBDDAB00541A}" name="Column15353" dataDxfId="2504" totalsRowDxfId="2503"/>
    <tableColumn id="15368" xr3:uid="{DBF562B4-9B7F-4A4A-9360-E3985E197B47}" name="Column15354" dataDxfId="2502" totalsRowDxfId="2501"/>
    <tableColumn id="15369" xr3:uid="{5D420A9B-F64A-4D51-853B-CE857B5C1A38}" name="Column15355" dataDxfId="2500" totalsRowDxfId="2499"/>
    <tableColumn id="15370" xr3:uid="{8EFEC449-55D1-457A-8998-F73DB0261B8C}" name="Column15356" dataDxfId="2498" totalsRowDxfId="2497"/>
    <tableColumn id="15371" xr3:uid="{E8F1BADC-30B2-4079-937F-728CD69667EB}" name="Column15357" dataDxfId="2496" totalsRowDxfId="2495"/>
    <tableColumn id="15372" xr3:uid="{52333D63-D548-4FB4-AC95-14DC65694972}" name="Column15358" dataDxfId="2494" totalsRowDxfId="2493"/>
    <tableColumn id="15373" xr3:uid="{EBCAB720-460B-4169-80BD-959C30340C2C}" name="Column15359" dataDxfId="2492" totalsRowDxfId="2491"/>
    <tableColumn id="15374" xr3:uid="{9FB8EF39-7E71-42A6-8768-C2173A475EF4}" name="Column15360" dataDxfId="2490" totalsRowDxfId="2489"/>
    <tableColumn id="15375" xr3:uid="{86636DEB-EDEC-4704-BF35-48173F7218AA}" name="Column15361" dataDxfId="2488" totalsRowDxfId="2487"/>
    <tableColumn id="15376" xr3:uid="{65ADFFDB-C165-4E48-8A9B-B54CDE69754A}" name="Column15362" dataDxfId="2486" totalsRowDxfId="2485"/>
    <tableColumn id="15377" xr3:uid="{5F317137-CCF6-4FB0-9357-8EA85E0CA5EE}" name="Column15363" dataDxfId="2484" totalsRowDxfId="2483"/>
    <tableColumn id="15378" xr3:uid="{67103B24-3B5A-4C27-9DB4-1DF62D86F0D1}" name="Column15364" dataDxfId="2482" totalsRowDxfId="2481"/>
    <tableColumn id="15379" xr3:uid="{202F76AB-81E7-4705-9D65-BD05A5DBFB6E}" name="Column15365" dataDxfId="2480" totalsRowDxfId="2479"/>
    <tableColumn id="15380" xr3:uid="{E030D82E-E8BC-4882-8CF5-67FADFD23775}" name="Column15366" dataDxfId="2478" totalsRowDxfId="2477"/>
    <tableColumn id="15381" xr3:uid="{BCF306CC-34D5-4582-AAA3-46923E21B47E}" name="Column15367" dataDxfId="2476" totalsRowDxfId="2475"/>
    <tableColumn id="15382" xr3:uid="{B76675C1-7BA0-497C-8BF4-927E5FF62810}" name="Column15368" dataDxfId="2474" totalsRowDxfId="2473"/>
    <tableColumn id="15383" xr3:uid="{E14C2975-628B-4DBA-A7AF-AA0B6A3B41FE}" name="Column15369" dataDxfId="2472" totalsRowDxfId="2471"/>
    <tableColumn id="15384" xr3:uid="{4937C271-4CA4-4039-ABC6-8F7ACFEA1573}" name="Column15370" dataDxfId="2470" totalsRowDxfId="2469"/>
    <tableColumn id="15385" xr3:uid="{B7213C2E-61F0-4007-A7DF-6EEBE5887ABC}" name="Column15371" dataDxfId="2468" totalsRowDxfId="2467"/>
    <tableColumn id="15386" xr3:uid="{F1CE7AE0-DB11-4F2C-9146-4B4C1E926425}" name="Column15372" dataDxfId="2466" totalsRowDxfId="2465"/>
    <tableColumn id="15387" xr3:uid="{1C9696DD-F67D-421A-A016-CAFA1FBDC949}" name="Column15373" dataDxfId="2464" totalsRowDxfId="2463"/>
    <tableColumn id="15388" xr3:uid="{F4E71E95-3A55-42C3-8952-1EFAD66AC34A}" name="Column15374" dataDxfId="2462" totalsRowDxfId="2461"/>
    <tableColumn id="15389" xr3:uid="{3B3FD6F3-ADA6-46F8-9439-6C7B32055EE3}" name="Column15375" dataDxfId="2460" totalsRowDxfId="2459"/>
    <tableColumn id="15390" xr3:uid="{C8D0164A-3C2B-43D7-B4D8-42A5EF9B1694}" name="Column15376" dataDxfId="2458" totalsRowDxfId="2457"/>
    <tableColumn id="15391" xr3:uid="{3F936D8C-461A-44BC-9C0A-B2334A4E47CE}" name="Column15377" dataDxfId="2456" totalsRowDxfId="2455"/>
    <tableColumn id="15392" xr3:uid="{D362AE32-17C4-4F2E-8D54-E0B32F55A773}" name="Column15378" dataDxfId="2454" totalsRowDxfId="2453"/>
    <tableColumn id="15393" xr3:uid="{A24CB119-4972-4164-A23C-F2CFF30CBC81}" name="Column15379" dataDxfId="2452" totalsRowDxfId="2451"/>
    <tableColumn id="15394" xr3:uid="{A31D2A2B-2AEC-4D81-A91C-0AA73F230B09}" name="Column15380" dataDxfId="2450" totalsRowDxfId="2449"/>
    <tableColumn id="15395" xr3:uid="{73EC1E08-1D05-4EDE-B92A-0372DE7E1D80}" name="Column15381" dataDxfId="2448" totalsRowDxfId="2447"/>
    <tableColumn id="15396" xr3:uid="{A15663AA-7BE0-495E-83D6-69AA4DDBC270}" name="Column15382" dataDxfId="2446" totalsRowDxfId="2445"/>
    <tableColumn id="15397" xr3:uid="{F7EDAD4F-FFD3-413D-A6D5-1E1CD0AED03F}" name="Column15383" dataDxfId="2444" totalsRowDxfId="2443"/>
    <tableColumn id="15398" xr3:uid="{44968330-8ACF-456B-A603-16E7F3AD0CE3}" name="Column15384" dataDxfId="2442" totalsRowDxfId="2441"/>
    <tableColumn id="15399" xr3:uid="{734D9C08-35C5-4E78-8AB0-61E3AD452B41}" name="Column15385" dataDxfId="2440" totalsRowDxfId="2439"/>
    <tableColumn id="15400" xr3:uid="{13D4371F-FE9C-4E00-BC2E-BD387DDCAFD3}" name="Column15386" dataDxfId="2438" totalsRowDxfId="2437"/>
    <tableColumn id="15401" xr3:uid="{410B71FB-86EF-44C0-A88E-36C9F21D0231}" name="Column15387" dataDxfId="2436" totalsRowDxfId="2435"/>
    <tableColumn id="15402" xr3:uid="{B2B2C180-D861-474D-8AC0-FB5B4681BA9E}" name="Column15388" dataDxfId="2434" totalsRowDxfId="2433"/>
    <tableColumn id="15403" xr3:uid="{95DC4E1E-5964-4A57-AC53-630E0D1CE3E3}" name="Column15389" dataDxfId="2432" totalsRowDxfId="2431"/>
    <tableColumn id="15404" xr3:uid="{C0401FD4-FB93-41C5-B815-DD74C9E7535E}" name="Column15390" dataDxfId="2430" totalsRowDxfId="2429"/>
    <tableColumn id="15405" xr3:uid="{12055D36-6B2D-4AAF-856F-63D0E06CD008}" name="Column15391" dataDxfId="2428" totalsRowDxfId="2427"/>
    <tableColumn id="15406" xr3:uid="{DB592188-72D7-4FB1-BD72-76F4E3F3E980}" name="Column15392" dataDxfId="2426" totalsRowDxfId="2425"/>
    <tableColumn id="15407" xr3:uid="{1B7D503D-5CD5-444D-B843-3C0DFB6CF97B}" name="Column15393" dataDxfId="2424" totalsRowDxfId="2423"/>
    <tableColumn id="15408" xr3:uid="{CBBF684C-DD3C-4E1F-AD5C-C1B57AF03674}" name="Column15394" dataDxfId="2422" totalsRowDxfId="2421"/>
    <tableColumn id="15409" xr3:uid="{C3B704E1-DB46-4F41-A16D-22A94BD4FCF9}" name="Column15395" dataDxfId="2420" totalsRowDxfId="2419"/>
    <tableColumn id="15410" xr3:uid="{A8EB05D9-84AB-4FF8-94F5-02C70C831E39}" name="Column15396" dataDxfId="2418" totalsRowDxfId="2417"/>
    <tableColumn id="15411" xr3:uid="{CBCD4226-33C6-4CC2-A374-839F67CC2118}" name="Column15397" dataDxfId="2416" totalsRowDxfId="2415"/>
    <tableColumn id="15412" xr3:uid="{95090264-0B66-4ABA-B069-A352200471FC}" name="Column15398" dataDxfId="2414" totalsRowDxfId="2413"/>
    <tableColumn id="15413" xr3:uid="{7DF54A8D-68C6-440D-B993-67CADADC42DD}" name="Column15399" dataDxfId="2412" totalsRowDxfId="2411"/>
    <tableColumn id="15414" xr3:uid="{16C0A706-55E5-4DDD-94B0-961BBB6B6A65}" name="Column15400" dataDxfId="2410" totalsRowDxfId="2409"/>
    <tableColumn id="15415" xr3:uid="{3660BC89-1D13-4886-AF5D-DC634C67D0D0}" name="Column15401" dataDxfId="2408" totalsRowDxfId="2407"/>
    <tableColumn id="15416" xr3:uid="{B860312D-CA0A-441B-98A0-BCA9B712D946}" name="Column15402" dataDxfId="2406" totalsRowDxfId="2405"/>
    <tableColumn id="15417" xr3:uid="{CE76508F-9091-4F2A-B4B8-05A23A72772A}" name="Column15403" dataDxfId="2404" totalsRowDxfId="2403"/>
    <tableColumn id="15418" xr3:uid="{F7D74A2B-5B86-48FE-8969-FB04A3A68A53}" name="Column15404" dataDxfId="2402" totalsRowDxfId="2401"/>
    <tableColumn id="15419" xr3:uid="{47C448D5-AB44-496B-8B10-9FC4223D04F2}" name="Column15405" dataDxfId="2400" totalsRowDxfId="2399"/>
    <tableColumn id="15420" xr3:uid="{57ABE22E-06D6-4828-AF11-A81D9CEFE836}" name="Column15406" dataDxfId="2398" totalsRowDxfId="2397"/>
    <tableColumn id="15421" xr3:uid="{558FCFCA-1083-4E83-B6AA-26B3D36056AE}" name="Column15407" dataDxfId="2396" totalsRowDxfId="2395"/>
    <tableColumn id="15422" xr3:uid="{1FFCCCA7-8B1A-4C45-8F9E-CC0EEC470464}" name="Column15408" dataDxfId="2394" totalsRowDxfId="2393"/>
    <tableColumn id="15423" xr3:uid="{640056F7-D7CD-4ED7-93CB-4CD04836859D}" name="Column15409" dataDxfId="2392" totalsRowDxfId="2391"/>
    <tableColumn id="15424" xr3:uid="{26B3427A-5747-402A-AF72-C2D8AB5F29EC}" name="Column15410" dataDxfId="2390" totalsRowDxfId="2389"/>
    <tableColumn id="15425" xr3:uid="{6CAD4672-87D4-4BD2-95CD-5B95381E1668}" name="Column15411" dataDxfId="2388" totalsRowDxfId="2387"/>
    <tableColumn id="15426" xr3:uid="{C2EABFA0-79D2-496D-8C14-6DF35A08E5EB}" name="Column15412" dataDxfId="2386" totalsRowDxfId="2385"/>
    <tableColumn id="15427" xr3:uid="{2F777453-6855-46E3-874E-B34FAC7BE287}" name="Column15413" dataDxfId="2384" totalsRowDxfId="2383"/>
    <tableColumn id="15428" xr3:uid="{E1AF09A6-7E8F-4FE0-9267-D695BE520FC2}" name="Column15414" dataDxfId="2382" totalsRowDxfId="2381"/>
    <tableColumn id="15429" xr3:uid="{A0B2BB69-56EC-4758-B9DD-5B2B01CAB396}" name="Column15415" dataDxfId="2380" totalsRowDxfId="2379"/>
    <tableColumn id="15430" xr3:uid="{6D04ACD0-1339-43F0-8D49-B7963FBCC96B}" name="Column15416" dataDxfId="2378" totalsRowDxfId="2377"/>
    <tableColumn id="15431" xr3:uid="{64CE31AC-9AD9-45E9-A565-42A21E1E58E0}" name="Column15417" dataDxfId="2376" totalsRowDxfId="2375"/>
    <tableColumn id="15432" xr3:uid="{875D71E9-77D9-4E37-927E-974794A3EF45}" name="Column15418" dataDxfId="2374" totalsRowDxfId="2373"/>
    <tableColumn id="15433" xr3:uid="{AAF4C962-6499-4A5C-A487-6F64DFCEAD8E}" name="Column15419" dataDxfId="2372" totalsRowDxfId="2371"/>
    <tableColumn id="15434" xr3:uid="{1BE8D603-7755-4F63-8C96-6B0862CD515E}" name="Column15420" dataDxfId="2370" totalsRowDxfId="2369"/>
    <tableColumn id="15435" xr3:uid="{A3854681-88C8-4284-8DC8-17084D0C018D}" name="Column15421" dataDxfId="2368" totalsRowDxfId="2367"/>
    <tableColumn id="15436" xr3:uid="{B511C10F-C0B8-4360-87CA-59BF3FA997E7}" name="Column15422" dataDxfId="2366" totalsRowDxfId="2365"/>
    <tableColumn id="15437" xr3:uid="{9538C7BE-C916-4319-B644-3723409FF910}" name="Column15423" dataDxfId="2364" totalsRowDxfId="2363"/>
    <tableColumn id="15438" xr3:uid="{CEBF175F-37A5-4175-969D-B51FCE93FE37}" name="Column15424" dataDxfId="2362" totalsRowDxfId="2361"/>
    <tableColumn id="15439" xr3:uid="{EF9657CA-1A6D-4045-8F28-AD943A4B785E}" name="Column15425" dataDxfId="2360" totalsRowDxfId="2359"/>
    <tableColumn id="15440" xr3:uid="{6B1F12C2-236D-4871-B980-964C3F98002D}" name="Column15426" dataDxfId="2358" totalsRowDxfId="2357"/>
    <tableColumn id="15441" xr3:uid="{5CB800CB-670C-4D94-BA03-A0F85581C4BE}" name="Column15427" dataDxfId="2356" totalsRowDxfId="2355"/>
    <tableColumn id="15442" xr3:uid="{D294B041-BA4F-419D-80EF-1CA42B924D6B}" name="Column15428" dataDxfId="2354" totalsRowDxfId="2353"/>
    <tableColumn id="15443" xr3:uid="{F0A6698A-7651-4EC5-A6FA-FCC6F6AB87A1}" name="Column15429" dataDxfId="2352" totalsRowDxfId="2351"/>
    <tableColumn id="15444" xr3:uid="{73442DA0-E63E-4E5E-99E1-00AC15F815F5}" name="Column15430" dataDxfId="2350" totalsRowDxfId="2349"/>
    <tableColumn id="15445" xr3:uid="{BC0A55A4-E585-4F3F-91BB-6BD81D1A6A6C}" name="Column15431" dataDxfId="2348" totalsRowDxfId="2347"/>
    <tableColumn id="15446" xr3:uid="{89DD583F-D949-4C6A-AC32-00687DEDA8F3}" name="Column15432" dataDxfId="2346" totalsRowDxfId="2345"/>
    <tableColumn id="15447" xr3:uid="{758E7496-7155-4826-B552-5940B99EE0DC}" name="Column15433" dataDxfId="2344" totalsRowDxfId="2343"/>
    <tableColumn id="15448" xr3:uid="{DDBBE24A-F190-4B35-A526-FF5F97D2A13C}" name="Column15434" dataDxfId="2342" totalsRowDxfId="2341"/>
    <tableColumn id="15449" xr3:uid="{B2A053B2-3F47-4F2C-8943-8A32C3CCBF57}" name="Column15435" dataDxfId="2340" totalsRowDxfId="2339"/>
    <tableColumn id="15450" xr3:uid="{C64CF1D7-8B2F-44F0-B507-34054D18C4D7}" name="Column15436" dataDxfId="2338" totalsRowDxfId="2337"/>
    <tableColumn id="15451" xr3:uid="{A3371483-D23D-48C2-9009-59BA93E3F017}" name="Column15437" dataDxfId="2336" totalsRowDxfId="2335"/>
    <tableColumn id="15452" xr3:uid="{9DC332C1-318D-45E2-8A41-172A022656B1}" name="Column15438" dataDxfId="2334" totalsRowDxfId="2333"/>
    <tableColumn id="15453" xr3:uid="{A6E17C1F-8392-4DEC-ACFA-E10D822527E2}" name="Column15439" dataDxfId="2332" totalsRowDxfId="2331"/>
    <tableColumn id="15454" xr3:uid="{5DD8B793-C409-4FCA-9BAB-E9883673394A}" name="Column15440" dataDxfId="2330" totalsRowDxfId="2329"/>
    <tableColumn id="15455" xr3:uid="{707BC605-52F4-40C4-8896-F856F3178FEC}" name="Column15441" dataDxfId="2328" totalsRowDxfId="2327"/>
    <tableColumn id="15456" xr3:uid="{FADC42B5-FB71-4E55-8789-D1D0B2E985A4}" name="Column15442" dataDxfId="2326" totalsRowDxfId="2325"/>
    <tableColumn id="15457" xr3:uid="{27B3D284-2CDD-4BED-9A08-8BFA2A2AD796}" name="Column15443" dataDxfId="2324" totalsRowDxfId="2323"/>
    <tableColumn id="15458" xr3:uid="{457D743C-7C1F-404E-8911-F1EC22BB1C53}" name="Column15444" dataDxfId="2322" totalsRowDxfId="2321"/>
    <tableColumn id="15459" xr3:uid="{D2B76275-FB60-4BD0-B612-1FFEC5643F95}" name="Column15445" dataDxfId="2320" totalsRowDxfId="2319"/>
    <tableColumn id="15460" xr3:uid="{BD8C9904-5D8C-4ED8-9F8E-1FA291A7EAD6}" name="Column15446" dataDxfId="2318" totalsRowDxfId="2317"/>
    <tableColumn id="15461" xr3:uid="{B4507BE8-6D3F-4257-866B-CCCDCB86E7A3}" name="Column15447" dataDxfId="2316" totalsRowDxfId="2315"/>
    <tableColumn id="15462" xr3:uid="{65786D7B-A873-4C5A-866C-9BB0EA66E363}" name="Column15448" dataDxfId="2314" totalsRowDxfId="2313"/>
    <tableColumn id="15463" xr3:uid="{071C0024-87B2-4C83-9547-C691241060B9}" name="Column15449" dataDxfId="2312" totalsRowDxfId="2311"/>
    <tableColumn id="15464" xr3:uid="{065CBC38-6582-4139-8242-D6D3AB6604D1}" name="Column15450" dataDxfId="2310" totalsRowDxfId="2309"/>
    <tableColumn id="15465" xr3:uid="{F8C62D2D-C11D-46DA-81DC-BCC772B51AEF}" name="Column15451" dataDxfId="2308" totalsRowDxfId="2307"/>
    <tableColumn id="15466" xr3:uid="{A72883D0-769D-4FDD-BC94-81CD625F3193}" name="Column15452" dataDxfId="2306" totalsRowDxfId="2305"/>
    <tableColumn id="15467" xr3:uid="{77AE409C-269D-471D-8DE0-47EBD5640D59}" name="Column15453" dataDxfId="2304" totalsRowDxfId="2303"/>
    <tableColumn id="15468" xr3:uid="{A6C3BFBA-AE4E-405D-93B5-BF24154A3F51}" name="Column15454" dataDxfId="2302" totalsRowDxfId="2301"/>
    <tableColumn id="15469" xr3:uid="{5C5378D0-6DCD-4D10-88B3-DF8D1A5D82F8}" name="Column15455" dataDxfId="2300" totalsRowDxfId="2299"/>
    <tableColumn id="15470" xr3:uid="{27BEB836-5015-4948-8A07-9B8011EBF297}" name="Column15456" dataDxfId="2298" totalsRowDxfId="2297"/>
    <tableColumn id="15471" xr3:uid="{A7D09E56-7E80-4D26-93DB-19E4547C2763}" name="Column15457" dataDxfId="2296" totalsRowDxfId="2295"/>
    <tableColumn id="15472" xr3:uid="{1E775CF2-C67E-45A0-ADAF-12606ACFB15E}" name="Column15458" dataDxfId="2294" totalsRowDxfId="2293"/>
    <tableColumn id="15473" xr3:uid="{75F5D0D4-EE50-4469-8625-D2968608145E}" name="Column15459" dataDxfId="2292" totalsRowDxfId="2291"/>
    <tableColumn id="15474" xr3:uid="{4EAD14D2-F28E-4B00-87C5-5CA52B538FA8}" name="Column15460" dataDxfId="2290" totalsRowDxfId="2289"/>
    <tableColumn id="15475" xr3:uid="{41E14530-39E4-46C9-87E3-A90DCFF01F2A}" name="Column15461" dataDxfId="2288" totalsRowDxfId="2287"/>
    <tableColumn id="15476" xr3:uid="{1407F8C1-9630-44A0-BC31-B230BF45DE9C}" name="Column15462" dataDxfId="2286" totalsRowDxfId="2285"/>
    <tableColumn id="15477" xr3:uid="{167D5E03-081D-4E3E-84E7-125E628ED0CA}" name="Column15463" dataDxfId="2284" totalsRowDxfId="2283"/>
    <tableColumn id="15478" xr3:uid="{2159FE44-9795-4CAA-8D7B-E206E5F936A3}" name="Column15464" dataDxfId="2282" totalsRowDxfId="2281"/>
    <tableColumn id="15479" xr3:uid="{1405FDCA-9FFA-4A44-9D20-4B3CB5201C9B}" name="Column15465" dataDxfId="2280" totalsRowDxfId="2279"/>
    <tableColumn id="15480" xr3:uid="{1FB51BE7-FF65-4D09-B33B-929CCFFA6B9D}" name="Column15466" dataDxfId="2278" totalsRowDxfId="2277"/>
    <tableColumn id="15481" xr3:uid="{639D1E4B-0CAA-481F-A51D-E690E5A76F6C}" name="Column15467" dataDxfId="2276" totalsRowDxfId="2275"/>
    <tableColumn id="15482" xr3:uid="{40DDA620-1A4F-4B03-95AB-0B3F21F63E17}" name="Column15468" dataDxfId="2274" totalsRowDxfId="2273"/>
    <tableColumn id="15483" xr3:uid="{642008D5-3DD0-4D2D-92DF-E9D556A277AD}" name="Column15469" dataDxfId="2272" totalsRowDxfId="2271"/>
    <tableColumn id="15484" xr3:uid="{DB53C9C0-EA5B-48E8-A14F-EA93A9C4E442}" name="Column15470" dataDxfId="2270" totalsRowDxfId="2269"/>
    <tableColumn id="15485" xr3:uid="{A8770519-BF49-4BAA-ACDE-5FE929B99F7A}" name="Column15471" dataDxfId="2268" totalsRowDxfId="2267"/>
    <tableColumn id="15486" xr3:uid="{91F42562-4826-4E60-A713-C5066F0FC2E1}" name="Column15472" dataDxfId="2266" totalsRowDxfId="2265"/>
    <tableColumn id="15487" xr3:uid="{DAAB26AB-3CA7-45E3-A965-66A73A448533}" name="Column15473" dataDxfId="2264" totalsRowDxfId="2263"/>
    <tableColumn id="15488" xr3:uid="{1DA1CA67-C8A0-4FF8-B647-5A67AB7FEBA2}" name="Column15474" dataDxfId="2262" totalsRowDxfId="2261"/>
    <tableColumn id="15489" xr3:uid="{8EF66F16-3A3F-412C-8A85-405DC748C393}" name="Column15475" dataDxfId="2260" totalsRowDxfId="2259"/>
    <tableColumn id="15490" xr3:uid="{652B6B1E-12D1-42B1-90A8-7F246D16B259}" name="Column15476" dataDxfId="2258" totalsRowDxfId="2257"/>
    <tableColumn id="15491" xr3:uid="{A66B2F38-9C74-4F8F-87E6-B115AA66B7CB}" name="Column15477" dataDxfId="2256" totalsRowDxfId="2255"/>
    <tableColumn id="15492" xr3:uid="{F994309A-C28F-4F09-BA18-12D54A30DF44}" name="Column15478" dataDxfId="2254" totalsRowDxfId="2253"/>
    <tableColumn id="15493" xr3:uid="{80FA0B00-8644-45C7-82C0-A4910F013664}" name="Column15479" dataDxfId="2252" totalsRowDxfId="2251"/>
    <tableColumn id="15494" xr3:uid="{702509EC-9B5D-429F-9B19-45AD96103468}" name="Column15480" dataDxfId="2250" totalsRowDxfId="2249"/>
    <tableColumn id="15495" xr3:uid="{F646C4A3-F222-43B7-AF7C-D2A93B479402}" name="Column15481" dataDxfId="2248" totalsRowDxfId="2247"/>
    <tableColumn id="15496" xr3:uid="{53BD9D7B-2014-4D80-A77A-857143A8394B}" name="Column15482" dataDxfId="2246" totalsRowDxfId="2245"/>
    <tableColumn id="15497" xr3:uid="{85BCE5AC-B560-4E7A-977C-5D0FD9B31BDB}" name="Column15483" dataDxfId="2244" totalsRowDxfId="2243"/>
    <tableColumn id="15498" xr3:uid="{DF454900-A606-4692-961C-2A8A38520A8D}" name="Column15484" dataDxfId="2242" totalsRowDxfId="2241"/>
    <tableColumn id="15499" xr3:uid="{3FB136D2-618C-4360-964F-C1F17F60F885}" name="Column15485" dataDxfId="2240" totalsRowDxfId="2239"/>
    <tableColumn id="15500" xr3:uid="{9471BCC3-CB98-45B6-99BA-623FD65881BB}" name="Column15486" dataDxfId="2238" totalsRowDxfId="2237"/>
    <tableColumn id="15501" xr3:uid="{BB9DDB80-C308-45A6-AD4E-E35E9578D92B}" name="Column15487" dataDxfId="2236" totalsRowDxfId="2235"/>
    <tableColumn id="15502" xr3:uid="{F26A2F05-C612-437A-B46E-305E6BD6E715}" name="Column15488" dataDxfId="2234" totalsRowDxfId="2233"/>
    <tableColumn id="15503" xr3:uid="{E9625935-D493-4B29-8B58-66D37A311E2C}" name="Column15489" dataDxfId="2232" totalsRowDxfId="2231"/>
    <tableColumn id="15504" xr3:uid="{9ED57ECA-8D1F-40A6-8160-331F25FFFC01}" name="Column15490" dataDxfId="2230" totalsRowDxfId="2229"/>
    <tableColumn id="15505" xr3:uid="{AEBD0D39-33AA-41BF-B490-890A88146BEA}" name="Column15491" dataDxfId="2228" totalsRowDxfId="2227"/>
    <tableColumn id="15506" xr3:uid="{3925E173-9C03-472C-9991-018951F88748}" name="Column15492" dataDxfId="2226" totalsRowDxfId="2225"/>
    <tableColumn id="15507" xr3:uid="{5F56D2B7-871A-4268-8D6A-9D4C7AF4D534}" name="Column15493" dataDxfId="2224" totalsRowDxfId="2223"/>
    <tableColumn id="15508" xr3:uid="{C0E889E9-BBC3-4C92-84A8-3565AC685138}" name="Column15494" dataDxfId="2222" totalsRowDxfId="2221"/>
    <tableColumn id="15509" xr3:uid="{75D584FA-73E9-4219-AEB0-E27C68537189}" name="Column15495" dataDxfId="2220" totalsRowDxfId="2219"/>
    <tableColumn id="15510" xr3:uid="{033C3281-509F-42C4-92A6-8935B5535F1D}" name="Column15496" dataDxfId="2218" totalsRowDxfId="2217"/>
    <tableColumn id="15511" xr3:uid="{133C7D8D-2BEC-4904-B5A5-52EA8CE1BC05}" name="Column15497" dataDxfId="2216" totalsRowDxfId="2215"/>
    <tableColumn id="15512" xr3:uid="{22E055A6-EA0A-4A1A-85ED-F5B77E5C53BB}" name="Column15498" dataDxfId="2214" totalsRowDxfId="2213"/>
    <tableColumn id="15513" xr3:uid="{85892614-E3DA-4726-B52D-03346E73A5D2}" name="Column15499" dataDxfId="2212" totalsRowDxfId="2211"/>
    <tableColumn id="15514" xr3:uid="{8152322F-39E3-4F8E-9516-AB371E983545}" name="Column15500" dataDxfId="2210" totalsRowDxfId="2209"/>
    <tableColumn id="15515" xr3:uid="{29510FAC-9B05-4963-A0EB-B1E8130DCE82}" name="Column15501" dataDxfId="2208" totalsRowDxfId="2207"/>
    <tableColumn id="15516" xr3:uid="{35DA3337-D22E-47F7-A475-72E729414B8A}" name="Column15502" dataDxfId="2206" totalsRowDxfId="2205"/>
    <tableColumn id="15517" xr3:uid="{712128C4-D837-4CA2-AD99-5B6081B1F779}" name="Column15503" dataDxfId="2204" totalsRowDxfId="2203"/>
    <tableColumn id="15518" xr3:uid="{BD8FC0C6-4FDA-4DB4-9ADD-C968BDADCE90}" name="Column15504" dataDxfId="2202" totalsRowDxfId="2201"/>
    <tableColumn id="15519" xr3:uid="{8950A53C-840B-4C2A-BA01-7BF37073AA91}" name="Column15505" dataDxfId="2200" totalsRowDxfId="2199"/>
    <tableColumn id="15520" xr3:uid="{B9212E1A-9FAC-4AA9-BB92-C29A996559EB}" name="Column15506" dataDxfId="2198" totalsRowDxfId="2197"/>
    <tableColumn id="15521" xr3:uid="{965186C2-95EE-485C-95D6-15A7588E45BC}" name="Column15507" dataDxfId="2196" totalsRowDxfId="2195"/>
    <tableColumn id="15522" xr3:uid="{22144900-C249-4552-ABD4-1CC020F297C0}" name="Column15508" dataDxfId="2194" totalsRowDxfId="2193"/>
    <tableColumn id="15523" xr3:uid="{E9687998-5D33-49B6-A817-A8AB42B59C48}" name="Column15509" dataDxfId="2192" totalsRowDxfId="2191"/>
    <tableColumn id="15524" xr3:uid="{6E636C6F-EDC0-4EB4-9F37-7F1EF89525CA}" name="Column15510" dataDxfId="2190" totalsRowDxfId="2189"/>
    <tableColumn id="15525" xr3:uid="{4C8289A5-E28F-4355-8496-60A4E0648530}" name="Column15511" dataDxfId="2188" totalsRowDxfId="2187"/>
    <tableColumn id="15526" xr3:uid="{A88575F1-4773-45D8-BD92-1A898D5514F7}" name="Column15512" dataDxfId="2186" totalsRowDxfId="2185"/>
    <tableColumn id="15527" xr3:uid="{A762C8B1-5942-4625-981E-E477065D81DC}" name="Column15513" dataDxfId="2184" totalsRowDxfId="2183"/>
    <tableColumn id="15528" xr3:uid="{BE7894B1-AE1C-4EAF-83FA-6B9F7CB270B1}" name="Column15514" dataDxfId="2182" totalsRowDxfId="2181"/>
    <tableColumn id="15529" xr3:uid="{62DD1CA1-4179-4032-B48D-CA999E3BA527}" name="Column15515" dataDxfId="2180" totalsRowDxfId="2179"/>
    <tableColumn id="15530" xr3:uid="{2EF1EC39-E158-41FA-A762-3F6A0951C88C}" name="Column15516" dataDxfId="2178" totalsRowDxfId="2177"/>
    <tableColumn id="15531" xr3:uid="{7D08DCC0-E6F2-4158-8AFE-DC44CDF9E283}" name="Column15517" dataDxfId="2176" totalsRowDxfId="2175"/>
    <tableColumn id="15532" xr3:uid="{5B6BE230-306B-4E4E-9A36-B305129289AA}" name="Column15518" dataDxfId="2174" totalsRowDxfId="2173"/>
    <tableColumn id="15533" xr3:uid="{62B2AD1D-0D65-468B-A49B-66F9BC9CFBE8}" name="Column15519" dataDxfId="2172" totalsRowDxfId="2171"/>
    <tableColumn id="15534" xr3:uid="{9ED4257E-E5F5-4786-96AA-AA89876F5769}" name="Column15520" dataDxfId="2170" totalsRowDxfId="2169"/>
    <tableColumn id="15535" xr3:uid="{B49E6CAE-6D11-4F86-B552-A9C7B6A3D4E2}" name="Column15521" dataDxfId="2168" totalsRowDxfId="2167"/>
    <tableColumn id="15536" xr3:uid="{8DFD09C3-A43F-4D85-8FEB-200BEF5743EE}" name="Column15522" dataDxfId="2166" totalsRowDxfId="2165"/>
    <tableColumn id="15537" xr3:uid="{6FC94A5E-554A-42DD-B28B-7F90A5BF79F0}" name="Column15523" dataDxfId="2164" totalsRowDxfId="2163"/>
    <tableColumn id="15538" xr3:uid="{399949C7-A75C-4324-96B6-DEDFB4AE4D4A}" name="Column15524" dataDxfId="2162" totalsRowDxfId="2161"/>
    <tableColumn id="15539" xr3:uid="{7C1E2253-0674-4D2D-B522-3A6F558AE15C}" name="Column15525" dataDxfId="2160" totalsRowDxfId="2159"/>
    <tableColumn id="15540" xr3:uid="{AD367196-EFAD-4A0C-AD3C-F34DA1F4F9EE}" name="Column15526" dataDxfId="2158" totalsRowDxfId="2157"/>
    <tableColumn id="15541" xr3:uid="{C4CBF7AF-B199-4A3C-958B-E5547EC57FAA}" name="Column15527" dataDxfId="2156" totalsRowDxfId="2155"/>
    <tableColumn id="15542" xr3:uid="{EEA69A3F-82B8-4102-B742-48D14F7515BF}" name="Column15528" dataDxfId="2154" totalsRowDxfId="2153"/>
    <tableColumn id="15543" xr3:uid="{DDA11C41-CD15-4690-8A1B-FAA7F61FF835}" name="Column15529" dataDxfId="2152" totalsRowDxfId="2151"/>
    <tableColumn id="15544" xr3:uid="{A8D73137-52BE-4B78-88B4-01A0DC893122}" name="Column15530" dataDxfId="2150" totalsRowDxfId="2149"/>
    <tableColumn id="15545" xr3:uid="{D1601882-41C2-4902-850E-F58F9AC768C3}" name="Column15531" dataDxfId="2148" totalsRowDxfId="2147"/>
    <tableColumn id="15546" xr3:uid="{DC6E66A7-6543-4952-826D-9DDAF43416AF}" name="Column15532" dataDxfId="2146" totalsRowDxfId="2145"/>
    <tableColumn id="15547" xr3:uid="{0ED031AE-CC5F-4EE0-9CF5-1AC28340BACD}" name="Column15533" dataDxfId="2144" totalsRowDxfId="2143"/>
    <tableColumn id="15548" xr3:uid="{B01C077A-C765-436B-B92F-76B41DF570E5}" name="Column15534" dataDxfId="2142" totalsRowDxfId="2141"/>
    <tableColumn id="15549" xr3:uid="{33F32361-3D99-4A29-BD3A-18C28A87B434}" name="Column15535" dataDxfId="2140" totalsRowDxfId="2139"/>
    <tableColumn id="15550" xr3:uid="{C4F1629A-D538-450C-8FCA-00A9270A23F1}" name="Column15536" dataDxfId="2138" totalsRowDxfId="2137"/>
    <tableColumn id="15551" xr3:uid="{0C7E0083-C9EE-4F33-975A-A3AED772E277}" name="Column15537" dataDxfId="2136" totalsRowDxfId="2135"/>
    <tableColumn id="15552" xr3:uid="{AC6E69BE-DA8D-4CE7-9E02-5371D1173E54}" name="Column15538" dataDxfId="2134" totalsRowDxfId="2133"/>
    <tableColumn id="15553" xr3:uid="{0D2732E7-5109-4458-8D03-128CE9A2A403}" name="Column15539" dataDxfId="2132" totalsRowDxfId="2131"/>
    <tableColumn id="15554" xr3:uid="{7CBABCF2-6A8F-4E5F-9D3C-6C71C2530322}" name="Column15540" dataDxfId="2130" totalsRowDxfId="2129"/>
    <tableColumn id="15555" xr3:uid="{2F4A12A7-084D-419F-9372-614A703E4EB3}" name="Column15541" dataDxfId="2128" totalsRowDxfId="2127"/>
    <tableColumn id="15556" xr3:uid="{3CC914C0-AECB-4269-A8B1-46EFC0986DBF}" name="Column15542" dataDxfId="2126" totalsRowDxfId="2125"/>
    <tableColumn id="15557" xr3:uid="{D059BFEF-64CC-4C61-931C-6F11630291ED}" name="Column15543" dataDxfId="2124" totalsRowDxfId="2123"/>
    <tableColumn id="15558" xr3:uid="{B888AF04-4ACC-4461-957A-14A1989A44D0}" name="Column15544" dataDxfId="2122" totalsRowDxfId="2121"/>
    <tableColumn id="15559" xr3:uid="{E0947E30-2F68-45A7-A7DA-6023B8C6DDD2}" name="Column15545" dataDxfId="2120" totalsRowDxfId="2119"/>
    <tableColumn id="15560" xr3:uid="{61765D78-D350-4DDD-BAC5-BE2F5506C099}" name="Column15546" dataDxfId="2118" totalsRowDxfId="2117"/>
    <tableColumn id="15561" xr3:uid="{44A711FC-A2CC-4B1E-BA76-6865BCC3732A}" name="Column15547" dataDxfId="2116" totalsRowDxfId="2115"/>
    <tableColumn id="15562" xr3:uid="{CF3C84EE-8AA9-42F8-8F15-D44EE8B90E0E}" name="Column15548" dataDxfId="2114" totalsRowDxfId="2113"/>
    <tableColumn id="15563" xr3:uid="{CFE49D93-FA43-45E8-88E1-0DF892ED1039}" name="Column15549" dataDxfId="2112" totalsRowDxfId="2111"/>
    <tableColumn id="15564" xr3:uid="{F348911D-C9E5-4BEA-B859-675F200B6930}" name="Column15550" dataDxfId="2110" totalsRowDxfId="2109"/>
    <tableColumn id="15565" xr3:uid="{F8B0D494-6666-418A-8F94-18F1985D621F}" name="Column15551" dataDxfId="2108" totalsRowDxfId="2107"/>
    <tableColumn id="15566" xr3:uid="{CF4384C0-C46A-4FBB-A916-1DBC2BDE1097}" name="Column15552" dataDxfId="2106" totalsRowDxfId="2105"/>
    <tableColumn id="15567" xr3:uid="{1B3A98B8-863C-4CCE-B601-0F1D32CE3934}" name="Column15553" dataDxfId="2104" totalsRowDxfId="2103"/>
    <tableColumn id="15568" xr3:uid="{349D7A49-FA2D-4685-B47C-D2CCB024123C}" name="Column15554" dataDxfId="2102" totalsRowDxfId="2101"/>
    <tableColumn id="15569" xr3:uid="{9B306DA1-D3F4-4AF8-9CA5-7C5CD72F5C36}" name="Column15555" dataDxfId="2100" totalsRowDxfId="2099"/>
    <tableColumn id="15570" xr3:uid="{B4C071B9-D4AF-4760-A318-91F75DF67AA0}" name="Column15556" dataDxfId="2098" totalsRowDxfId="2097"/>
    <tableColumn id="15571" xr3:uid="{63915E96-3111-45E9-9A32-3DBEE2001A80}" name="Column15557" dataDxfId="2096" totalsRowDxfId="2095"/>
    <tableColumn id="15572" xr3:uid="{D974FD35-7B44-48F8-BBE1-E489ABB2F225}" name="Column15558" dataDxfId="2094" totalsRowDxfId="2093"/>
    <tableColumn id="15573" xr3:uid="{6E3FEB2A-A187-4A0B-ADA4-EB89BD835386}" name="Column15559" dataDxfId="2092" totalsRowDxfId="2091"/>
    <tableColumn id="15574" xr3:uid="{F6E423A2-8529-4B7A-80E7-D96470A587D7}" name="Column15560" dataDxfId="2090" totalsRowDxfId="2089"/>
    <tableColumn id="15575" xr3:uid="{4FD8357A-D440-4EE6-8F6B-FD65793BF9F4}" name="Column15561" dataDxfId="2088" totalsRowDxfId="2087"/>
    <tableColumn id="15576" xr3:uid="{37D81E5D-9691-4C79-9D08-3CCB3BF3F432}" name="Column15562" dataDxfId="2086" totalsRowDxfId="2085"/>
    <tableColumn id="15577" xr3:uid="{23774ABA-C81C-432F-8476-E673CA35B35B}" name="Column15563" dataDxfId="2084" totalsRowDxfId="2083"/>
    <tableColumn id="15578" xr3:uid="{35595648-7185-4815-8917-BD5FB113F629}" name="Column15564" dataDxfId="2082" totalsRowDxfId="2081"/>
    <tableColumn id="15579" xr3:uid="{FEDA4338-B6F4-4DE5-A47E-E2ABADC9B6A0}" name="Column15565" dataDxfId="2080" totalsRowDxfId="2079"/>
    <tableColumn id="15580" xr3:uid="{9D448E4C-E817-441D-821B-A1DBC8D47BE8}" name="Column15566" dataDxfId="2078" totalsRowDxfId="2077"/>
    <tableColumn id="15581" xr3:uid="{15F5E78E-1C27-4020-A31D-A9230AF94E01}" name="Column15567" dataDxfId="2076" totalsRowDxfId="2075"/>
    <tableColumn id="15582" xr3:uid="{298A819B-7620-498F-BB5C-BDFE7290E6A8}" name="Column15568" dataDxfId="2074" totalsRowDxfId="2073"/>
    <tableColumn id="15583" xr3:uid="{9E8F6EFD-6625-49D3-9CD8-9A5080E58D3F}" name="Column15569" dataDxfId="2072" totalsRowDxfId="2071"/>
    <tableColumn id="15584" xr3:uid="{9AF92D3D-DD35-4E09-A203-7422387C9C3E}" name="Column15570" dataDxfId="2070" totalsRowDxfId="2069"/>
    <tableColumn id="15585" xr3:uid="{013C9958-28B4-4B4C-AE4F-2DFFDEDAF0A4}" name="Column15571" dataDxfId="2068" totalsRowDxfId="2067"/>
    <tableColumn id="15586" xr3:uid="{DB960ACC-4DFC-470C-9EA9-5C18B5E54617}" name="Column15572" dataDxfId="2066" totalsRowDxfId="2065"/>
    <tableColumn id="15587" xr3:uid="{8330D971-F4E4-4D66-A1F2-5B58FB07FBE4}" name="Column15573" dataDxfId="2064" totalsRowDxfId="2063"/>
    <tableColumn id="15588" xr3:uid="{859D7CDA-764F-4EBC-84A2-4C8DFCC2D2AC}" name="Column15574" dataDxfId="2062" totalsRowDxfId="2061"/>
    <tableColumn id="15589" xr3:uid="{BB56A430-8746-4547-B584-6BEC6A355737}" name="Column15575" dataDxfId="2060" totalsRowDxfId="2059"/>
    <tableColumn id="15590" xr3:uid="{38317917-9696-4112-BF9A-7C309F1841C3}" name="Column15576" dataDxfId="2058" totalsRowDxfId="2057"/>
    <tableColumn id="15591" xr3:uid="{6394E4A9-0A1F-4F6D-ADA1-D09C50F441FC}" name="Column15577" dataDxfId="2056" totalsRowDxfId="2055"/>
    <tableColumn id="15592" xr3:uid="{C5BFF5FA-8FF7-4BDF-A352-19340CB3E561}" name="Column15578" dataDxfId="2054" totalsRowDxfId="2053"/>
    <tableColumn id="15593" xr3:uid="{D67BFFB5-42CF-49AF-BED5-1899B48A07F4}" name="Column15579" dataDxfId="2052" totalsRowDxfId="2051"/>
    <tableColumn id="15594" xr3:uid="{E8D5EA6A-AA12-492F-8091-8005A0AE209F}" name="Column15580" dataDxfId="2050" totalsRowDxfId="2049"/>
    <tableColumn id="15595" xr3:uid="{1593EAC8-357F-467F-8CD8-20368534DBC5}" name="Column15581" dataDxfId="2048" totalsRowDxfId="2047"/>
    <tableColumn id="15596" xr3:uid="{0C0FAAAC-F210-4FD1-ACF4-6D31274A8966}" name="Column15582" dataDxfId="2046" totalsRowDxfId="2045"/>
    <tableColumn id="15597" xr3:uid="{ABD6BBC7-3806-438C-9148-330F6692E5E1}" name="Column15583" dataDxfId="2044" totalsRowDxfId="2043"/>
    <tableColumn id="15598" xr3:uid="{EC177CC1-5E68-4AA0-AAC3-4F2DC408821F}" name="Column15584" dataDxfId="2042" totalsRowDxfId="2041"/>
    <tableColumn id="15599" xr3:uid="{8B52EAC0-522F-45E9-A08E-E02F51B3A52C}" name="Column15585" dataDxfId="2040" totalsRowDxfId="2039"/>
    <tableColumn id="15600" xr3:uid="{D39FCC54-ABFA-4250-8B53-84BFBF4A875E}" name="Column15586" dataDxfId="2038" totalsRowDxfId="2037"/>
    <tableColumn id="15601" xr3:uid="{C4424943-437C-4B58-A18A-E487324FA25E}" name="Column15587" dataDxfId="2036" totalsRowDxfId="2035"/>
    <tableColumn id="15602" xr3:uid="{3DC8AEE2-A49B-4E87-85C9-C04F814D1DBD}" name="Column15588" dataDxfId="2034" totalsRowDxfId="2033"/>
    <tableColumn id="15603" xr3:uid="{DEE51634-A789-4E33-9055-0299BADA04FE}" name="Column15589" dataDxfId="2032" totalsRowDxfId="2031"/>
    <tableColumn id="15604" xr3:uid="{463CCCC8-0E0C-40FE-8772-2C1D0D9D7F10}" name="Column15590" dataDxfId="2030" totalsRowDxfId="2029"/>
    <tableColumn id="15605" xr3:uid="{A4211300-3734-4DD6-925A-67473AF25B78}" name="Column15591" dataDxfId="2028" totalsRowDxfId="2027"/>
    <tableColumn id="15606" xr3:uid="{44579381-2DC3-43A5-A526-16236C969B8A}" name="Column15592" dataDxfId="2026" totalsRowDxfId="2025"/>
    <tableColumn id="15607" xr3:uid="{8790E102-19FA-462A-967A-52A16EFBAF1C}" name="Column15593" dataDxfId="2024" totalsRowDxfId="2023"/>
    <tableColumn id="15608" xr3:uid="{C890F67A-D9A4-4444-AE0A-ACE5BB84409D}" name="Column15594" dataDxfId="2022" totalsRowDxfId="2021"/>
    <tableColumn id="15609" xr3:uid="{6FAC9E29-3995-4A3D-87EA-FA6F42590B76}" name="Column15595" dataDxfId="2020" totalsRowDxfId="2019"/>
    <tableColumn id="15610" xr3:uid="{EA29BAF1-DE0D-4003-AC1C-E45379A7BC19}" name="Column15596" dataDxfId="2018" totalsRowDxfId="2017"/>
    <tableColumn id="15611" xr3:uid="{992BDEDD-5F8D-4CA1-979C-F0F382CF95D3}" name="Column15597" dataDxfId="2016" totalsRowDxfId="2015"/>
    <tableColumn id="15612" xr3:uid="{73AFC472-BAFE-4E3B-86C7-ECBE33A27BD2}" name="Column15598" dataDxfId="2014" totalsRowDxfId="2013"/>
    <tableColumn id="15613" xr3:uid="{F4DC5859-D73D-41A6-BF91-154A59E52B53}" name="Column15599" dataDxfId="2012" totalsRowDxfId="2011"/>
    <tableColumn id="15614" xr3:uid="{5DCBC19D-A7A4-4D34-AE99-4878C08EC22D}" name="Column15600" dataDxfId="2010" totalsRowDxfId="2009"/>
    <tableColumn id="15615" xr3:uid="{3BD86620-6F2E-4976-BC87-25F55AFFF57E}" name="Column15601" dataDxfId="2008" totalsRowDxfId="2007"/>
    <tableColumn id="15616" xr3:uid="{8513C15D-854A-41B9-8E4D-A24A51B58380}" name="Column15602" dataDxfId="2006" totalsRowDxfId="2005"/>
    <tableColumn id="15617" xr3:uid="{E1C676C9-42A6-478C-83B9-DCCCA0ADF8B7}" name="Column15603" dataDxfId="2004" totalsRowDxfId="2003"/>
    <tableColumn id="15618" xr3:uid="{5F48F2B2-6A53-445E-89F9-4CF6737A46DC}" name="Column15604" dataDxfId="2002" totalsRowDxfId="2001"/>
    <tableColumn id="15619" xr3:uid="{9D44B9B3-160B-4634-B1A0-86CA9AE8061A}" name="Column15605" dataDxfId="2000" totalsRowDxfId="1999"/>
    <tableColumn id="15620" xr3:uid="{FF9EE459-8E3D-4B42-ADA5-C59EFCAEFD00}" name="Column15606" dataDxfId="1998" totalsRowDxfId="1997"/>
    <tableColumn id="15621" xr3:uid="{4C89C077-F35D-44F8-9798-2D2201D1DF8F}" name="Column15607" dataDxfId="1996" totalsRowDxfId="1995"/>
    <tableColumn id="15622" xr3:uid="{0C5178A1-67F3-43E4-B940-CE9E56EAC91C}" name="Column15608" dataDxfId="1994" totalsRowDxfId="1993"/>
    <tableColumn id="15623" xr3:uid="{D6808AAE-5954-469E-9B0B-91B46E1BCB9D}" name="Column15609" dataDxfId="1992" totalsRowDxfId="1991"/>
    <tableColumn id="15624" xr3:uid="{FE1FDEF8-89EA-4E3D-8450-B4BD5D9D130A}" name="Column15610" dataDxfId="1990" totalsRowDxfId="1989"/>
    <tableColumn id="15625" xr3:uid="{723D7154-66E3-460D-9597-EFA6046C5F43}" name="Column15611" dataDxfId="1988" totalsRowDxfId="1987"/>
    <tableColumn id="15626" xr3:uid="{E07BC62B-7BD1-46A4-BAFA-B5FCF31CF71A}" name="Column15612" dataDxfId="1986" totalsRowDxfId="1985"/>
    <tableColumn id="15627" xr3:uid="{580CB3B3-8355-4391-AB6F-8CE35F7B0666}" name="Column15613" dataDxfId="1984" totalsRowDxfId="1983"/>
    <tableColumn id="15628" xr3:uid="{EA990D56-1664-4922-8DC2-69E42117380C}" name="Column15614" dataDxfId="1982" totalsRowDxfId="1981"/>
    <tableColumn id="15629" xr3:uid="{33329206-C196-41E4-9012-8D64D5B7D8E1}" name="Column15615" dataDxfId="1980" totalsRowDxfId="1979"/>
    <tableColumn id="15630" xr3:uid="{E9CFCE98-049A-4832-A9AC-3259EF928086}" name="Column15616" dataDxfId="1978" totalsRowDxfId="1977"/>
    <tableColumn id="15631" xr3:uid="{9BB20209-0C99-431F-AEB4-8B065A430654}" name="Column15617" dataDxfId="1976" totalsRowDxfId="1975"/>
    <tableColumn id="15632" xr3:uid="{7B7F8D92-951F-4BB0-A5B0-17B9EC1DCC6B}" name="Column15618" dataDxfId="1974" totalsRowDxfId="1973"/>
    <tableColumn id="15633" xr3:uid="{61C633A2-C271-4164-B5F5-E6FD466C422B}" name="Column15619" dataDxfId="1972" totalsRowDxfId="1971"/>
    <tableColumn id="15634" xr3:uid="{7A2229A8-0FED-41F4-8028-88A3BEBCE1E9}" name="Column15620" dataDxfId="1970" totalsRowDxfId="1969"/>
    <tableColumn id="15635" xr3:uid="{E5F85186-751F-41A6-91F2-263DE37E3286}" name="Column15621" dataDxfId="1968" totalsRowDxfId="1967"/>
    <tableColumn id="15636" xr3:uid="{95AB71EC-C496-4671-A480-5EC48C1E285F}" name="Column15622" dataDxfId="1966" totalsRowDxfId="1965"/>
    <tableColumn id="15637" xr3:uid="{A5AE34AB-CC8F-41C5-94A0-101EFFC3A83C}" name="Column15623" dataDxfId="1964" totalsRowDxfId="1963"/>
    <tableColumn id="15638" xr3:uid="{DC6B5898-CFF5-4D02-A192-89CCEDAA8BB5}" name="Column15624" dataDxfId="1962" totalsRowDxfId="1961"/>
    <tableColumn id="15639" xr3:uid="{521A91E4-EA0F-490B-83C3-1CD8EAA6F612}" name="Column15625" dataDxfId="1960" totalsRowDxfId="1959"/>
    <tableColumn id="15640" xr3:uid="{6C9CAE57-8C2C-4C6F-A5D5-4951A81C7C47}" name="Column15626" dataDxfId="1958" totalsRowDxfId="1957"/>
    <tableColumn id="15641" xr3:uid="{7C8F80EE-57A4-4914-9B40-F14904592F58}" name="Column15627" dataDxfId="1956" totalsRowDxfId="1955"/>
    <tableColumn id="15642" xr3:uid="{7E9B6593-6832-4041-88E5-EC6152FDD3FE}" name="Column15628" dataDxfId="1954" totalsRowDxfId="1953"/>
    <tableColumn id="15643" xr3:uid="{5156524D-48F7-499F-912B-16DD8E86BFF8}" name="Column15629" dataDxfId="1952" totalsRowDxfId="1951"/>
    <tableColumn id="15644" xr3:uid="{865E0524-E5D2-4D7D-AE19-242DECE6307B}" name="Column15630" dataDxfId="1950" totalsRowDxfId="1949"/>
    <tableColumn id="15645" xr3:uid="{5B49B415-256C-4E65-B169-2DF1B9C62019}" name="Column15631" dataDxfId="1948" totalsRowDxfId="1947"/>
    <tableColumn id="15646" xr3:uid="{88547FBB-3418-4FBA-A756-B70A92725B11}" name="Column15632" dataDxfId="1946" totalsRowDxfId="1945"/>
    <tableColumn id="15647" xr3:uid="{202F6B63-CA74-4E9C-9332-E863740A0706}" name="Column15633" dataDxfId="1944" totalsRowDxfId="1943"/>
    <tableColumn id="15648" xr3:uid="{F48890C3-DEBB-4FF0-917D-062B279A8E6B}" name="Column15634" dataDxfId="1942" totalsRowDxfId="1941"/>
    <tableColumn id="15649" xr3:uid="{1978751D-D231-43D0-A723-70152D11BC87}" name="Column15635" dataDxfId="1940" totalsRowDxfId="1939"/>
    <tableColumn id="15650" xr3:uid="{A6A7997B-E7E5-4895-B4B7-3F89E11F187D}" name="Column15636" dataDxfId="1938" totalsRowDxfId="1937"/>
    <tableColumn id="15651" xr3:uid="{519B7A0C-F704-41E4-8894-F72A8469624F}" name="Column15637" dataDxfId="1936" totalsRowDxfId="1935"/>
    <tableColumn id="15652" xr3:uid="{622FA28A-5C2E-4C82-B3FB-B45CC1FBC530}" name="Column15638" dataDxfId="1934" totalsRowDxfId="1933"/>
    <tableColumn id="15653" xr3:uid="{890D6D67-142F-4327-A69A-41EEC88D5E6E}" name="Column15639" dataDxfId="1932" totalsRowDxfId="1931"/>
    <tableColumn id="15654" xr3:uid="{FB4B469F-8C93-4B97-B7C1-59F0A24E19AE}" name="Column15640" dataDxfId="1930" totalsRowDxfId="1929"/>
    <tableColumn id="15655" xr3:uid="{8EE54F7B-7D30-42CE-94E6-721D3EBD7A0E}" name="Column15641" dataDxfId="1928" totalsRowDxfId="1927"/>
    <tableColumn id="15656" xr3:uid="{F300A2A2-CBD8-475E-BE5C-BC963C3268D3}" name="Column15642" dataDxfId="1926" totalsRowDxfId="1925"/>
    <tableColumn id="15657" xr3:uid="{0CB76D88-9249-43DF-8746-EEAD980546A0}" name="Column15643" dataDxfId="1924" totalsRowDxfId="1923"/>
    <tableColumn id="15658" xr3:uid="{B6409DCB-8298-41C8-8A26-F0AEB8107188}" name="Column15644" dataDxfId="1922" totalsRowDxfId="1921"/>
    <tableColumn id="15659" xr3:uid="{E6F1C024-66E2-4EBA-A9AC-F9D24758F3FE}" name="Column15645" dataDxfId="1920" totalsRowDxfId="1919"/>
    <tableColumn id="15660" xr3:uid="{4482C538-152E-46D9-BA6F-DD28DBC2B896}" name="Column15646" dataDxfId="1918" totalsRowDxfId="1917"/>
    <tableColumn id="15661" xr3:uid="{5ECD2030-4225-4211-9506-E02C2BB8DC8A}" name="Column15647" dataDxfId="1916" totalsRowDxfId="1915"/>
    <tableColumn id="15662" xr3:uid="{0BD043E4-2F32-46A7-9809-C70BEA50AD7E}" name="Column15648" dataDxfId="1914" totalsRowDxfId="1913"/>
    <tableColumn id="15663" xr3:uid="{0B84902C-6EAE-4704-A689-90241FAD29F8}" name="Column15649" dataDxfId="1912" totalsRowDxfId="1911"/>
    <tableColumn id="15664" xr3:uid="{92502A0F-C211-41B3-A399-2FC08384BA2D}" name="Column15650" dataDxfId="1910" totalsRowDxfId="1909"/>
    <tableColumn id="15665" xr3:uid="{B22E050E-8E10-44C7-90D2-45744D8A8C52}" name="Column15651" dataDxfId="1908" totalsRowDxfId="1907"/>
    <tableColumn id="15666" xr3:uid="{E1A2A572-D08B-4E6A-9639-DB0D7C6C6779}" name="Column15652" dataDxfId="1906" totalsRowDxfId="1905"/>
    <tableColumn id="15667" xr3:uid="{9B8E0902-64C4-4E2E-839F-8D50CDFD21FA}" name="Column15653" dataDxfId="1904" totalsRowDxfId="1903"/>
    <tableColumn id="15668" xr3:uid="{661009C9-E154-411B-9384-DB263C5BD6F9}" name="Column15654" dataDxfId="1902" totalsRowDxfId="1901"/>
    <tableColumn id="15669" xr3:uid="{B9F91313-1DA1-4350-B54F-243729A55B5F}" name="Column15655" dataDxfId="1900" totalsRowDxfId="1899"/>
    <tableColumn id="15670" xr3:uid="{88CAC9B0-177B-45DC-BA00-A1EE0F992509}" name="Column15656" dataDxfId="1898" totalsRowDxfId="1897"/>
    <tableColumn id="15671" xr3:uid="{9FA22187-7201-4F20-B6E3-A09EA0762B67}" name="Column15657" dataDxfId="1896" totalsRowDxfId="1895"/>
    <tableColumn id="15672" xr3:uid="{A61C1E9C-B098-44C3-9D81-E7AA47A074FE}" name="Column15658" dataDxfId="1894" totalsRowDxfId="1893"/>
    <tableColumn id="15673" xr3:uid="{78E48FF7-2E9C-49D5-9E20-62C3C6B27907}" name="Column15659" dataDxfId="1892" totalsRowDxfId="1891"/>
    <tableColumn id="15674" xr3:uid="{C2D6456F-3E64-4F81-BA66-2F065014FFA1}" name="Column15660" dataDxfId="1890" totalsRowDxfId="1889"/>
    <tableColumn id="15675" xr3:uid="{68861C73-7B81-44A6-8DDD-AEDFC1005CF1}" name="Column15661" dataDxfId="1888" totalsRowDxfId="1887"/>
    <tableColumn id="15676" xr3:uid="{A75B67A2-DCE7-4303-9DB4-56DA71CE5138}" name="Column15662" dataDxfId="1886" totalsRowDxfId="1885"/>
    <tableColumn id="15677" xr3:uid="{2EA25934-5F93-4A77-8AAC-4F564D9DBEFE}" name="Column15663" dataDxfId="1884" totalsRowDxfId="1883"/>
    <tableColumn id="15678" xr3:uid="{CDC9526F-E370-4EA3-B54D-97558E8D0E9B}" name="Column15664" dataDxfId="1882" totalsRowDxfId="1881"/>
    <tableColumn id="15679" xr3:uid="{1BCBA7C5-31BD-4F6D-A28A-22F1202EF978}" name="Column15665" dataDxfId="1880" totalsRowDxfId="1879"/>
    <tableColumn id="15680" xr3:uid="{225E39BF-576B-4DC8-BFB1-4BEC25863F96}" name="Column15666" dataDxfId="1878" totalsRowDxfId="1877"/>
    <tableColumn id="15681" xr3:uid="{D76A3293-56E5-4083-B244-F5E9BCB0947C}" name="Column15667" dataDxfId="1876" totalsRowDxfId="1875"/>
    <tableColumn id="15682" xr3:uid="{BE543059-B0D8-474A-97D1-2E123263D454}" name="Column15668" dataDxfId="1874" totalsRowDxfId="1873"/>
    <tableColumn id="15683" xr3:uid="{0351DC18-DBB1-4378-A2BD-10E3C05D7DD9}" name="Column15669" dataDxfId="1872" totalsRowDxfId="1871"/>
    <tableColumn id="15684" xr3:uid="{2CE4784B-0885-43D1-AED3-55228C630BAE}" name="Column15670" dataDxfId="1870" totalsRowDxfId="1869"/>
    <tableColumn id="15685" xr3:uid="{FE5F8370-49E9-45E2-BCD0-51E79B847915}" name="Column15671" dataDxfId="1868" totalsRowDxfId="1867"/>
    <tableColumn id="15686" xr3:uid="{29A902A0-1170-41A3-8CF3-AABFAC21FBDD}" name="Column15672" dataDxfId="1866" totalsRowDxfId="1865"/>
    <tableColumn id="15687" xr3:uid="{2390586C-2D3E-46D0-81E8-2DDC2BBC2E33}" name="Column15673" dataDxfId="1864" totalsRowDxfId="1863"/>
    <tableColumn id="15688" xr3:uid="{DC8D8A0A-6D5A-4AF0-838F-301566F8702C}" name="Column15674" dataDxfId="1862" totalsRowDxfId="1861"/>
    <tableColumn id="15689" xr3:uid="{5FF62D85-AAAB-479C-A177-6D12295D46AA}" name="Column15675" dataDxfId="1860" totalsRowDxfId="1859"/>
    <tableColumn id="15690" xr3:uid="{9A152B5E-2B8E-4C44-A422-1A26A727A69B}" name="Column15676" dataDxfId="1858" totalsRowDxfId="1857"/>
    <tableColumn id="15691" xr3:uid="{3B4CF2DC-23F9-421E-B7F2-948821148921}" name="Column15677" dataDxfId="1856" totalsRowDxfId="1855"/>
    <tableColumn id="15692" xr3:uid="{504681B4-E485-48B8-B7CE-EA7A166A6310}" name="Column15678" dataDxfId="1854" totalsRowDxfId="1853"/>
    <tableColumn id="15693" xr3:uid="{0C0A3142-09FC-4785-81A8-AA30CBACC778}" name="Column15679" dataDxfId="1852" totalsRowDxfId="1851"/>
    <tableColumn id="15694" xr3:uid="{951973E1-DA94-40BE-8883-FBB247219D2F}" name="Column15680" dataDxfId="1850" totalsRowDxfId="1849"/>
    <tableColumn id="15695" xr3:uid="{E0263109-1925-4392-AABF-2FC31CF6E352}" name="Column15681" dataDxfId="1848" totalsRowDxfId="1847"/>
    <tableColumn id="15696" xr3:uid="{AC0D5AC2-C850-454D-AE5E-6227C590DBAB}" name="Column15682" dataDxfId="1846" totalsRowDxfId="1845"/>
    <tableColumn id="15697" xr3:uid="{37ECCDE3-1CC0-4455-8A5F-A0293A257211}" name="Column15683" dataDxfId="1844" totalsRowDxfId="1843"/>
    <tableColumn id="15698" xr3:uid="{635789B4-5449-4CD4-9041-DC2D2913C9E6}" name="Column15684" dataDxfId="1842" totalsRowDxfId="1841"/>
    <tableColumn id="15699" xr3:uid="{6295B62D-9FF2-422F-B160-EC2AD000B7A8}" name="Column15685" dataDxfId="1840" totalsRowDxfId="1839"/>
    <tableColumn id="15700" xr3:uid="{2CDCD70B-E65E-41FA-A825-FD7DA5718E40}" name="Column15686" dataDxfId="1838" totalsRowDxfId="1837"/>
    <tableColumn id="15701" xr3:uid="{25D893EC-8C1E-49E5-97D8-97C59F6D7070}" name="Column15687" dataDxfId="1836" totalsRowDxfId="1835"/>
    <tableColumn id="15702" xr3:uid="{7EF17C53-1921-4E7B-868C-7D820250954D}" name="Column15688" dataDxfId="1834" totalsRowDxfId="1833"/>
    <tableColumn id="15703" xr3:uid="{B33E8F70-664C-4829-8F9E-F97E4366A563}" name="Column15689" dataDxfId="1832" totalsRowDxfId="1831"/>
    <tableColumn id="15704" xr3:uid="{486FEA04-F37D-4091-BA46-691F298C80FC}" name="Column15690" dataDxfId="1830" totalsRowDxfId="1829"/>
    <tableColumn id="15705" xr3:uid="{0CCF8116-C0D1-422D-8EEF-C99C116D95AA}" name="Column15691" dataDxfId="1828" totalsRowDxfId="1827"/>
    <tableColumn id="15706" xr3:uid="{E6FCF4C5-EA5C-404C-B81C-D08B3F15C76A}" name="Column15692" dataDxfId="1826" totalsRowDxfId="1825"/>
    <tableColumn id="15707" xr3:uid="{DFB6FB9A-81DE-4DFC-99A2-AF0B8180F9FF}" name="Column15693" dataDxfId="1824" totalsRowDxfId="1823"/>
    <tableColumn id="15708" xr3:uid="{24EA9A86-B990-4E45-B483-71DCCE7C9503}" name="Column15694" dataDxfId="1822" totalsRowDxfId="1821"/>
    <tableColumn id="15709" xr3:uid="{0AC73856-1B1A-404D-AB0C-5FA946F5431F}" name="Column15695" dataDxfId="1820" totalsRowDxfId="1819"/>
    <tableColumn id="15710" xr3:uid="{9400EB33-DACA-40E7-9B2E-14DC96A933D2}" name="Column15696" dataDxfId="1818" totalsRowDxfId="1817"/>
    <tableColumn id="15711" xr3:uid="{D024818D-E1AD-4A92-B5D8-BF0462054224}" name="Column15697" dataDxfId="1816" totalsRowDxfId="1815"/>
    <tableColumn id="15712" xr3:uid="{F7EEE1EE-C60F-446B-8443-EF86632FC7AD}" name="Column15698" dataDxfId="1814" totalsRowDxfId="1813"/>
    <tableColumn id="15713" xr3:uid="{D611F753-9499-4755-9568-D61A93EB339D}" name="Column15699" dataDxfId="1812" totalsRowDxfId="1811"/>
    <tableColumn id="15714" xr3:uid="{C2C53738-CEAD-4E6E-AB1A-7851E8A1E68B}" name="Column15700" dataDxfId="1810" totalsRowDxfId="1809"/>
    <tableColumn id="15715" xr3:uid="{F7A4B07C-E8FB-46A7-B4F9-5D4F7A32A988}" name="Column15701" dataDxfId="1808" totalsRowDxfId="1807"/>
    <tableColumn id="15716" xr3:uid="{5A73A81B-4047-4B1A-B149-25334C747663}" name="Column15702" dataDxfId="1806" totalsRowDxfId="1805"/>
    <tableColumn id="15717" xr3:uid="{9EF573E9-69DC-454F-A0A9-FBD1FE45269A}" name="Column15703" dataDxfId="1804" totalsRowDxfId="1803"/>
    <tableColumn id="15718" xr3:uid="{999EFE55-D1EB-441E-A1B3-0BA555141305}" name="Column15704" dataDxfId="1802" totalsRowDxfId="1801"/>
    <tableColumn id="15719" xr3:uid="{735CBD26-5949-4CA5-ACEC-B827A9A8B6E1}" name="Column15705" dataDxfId="1800" totalsRowDxfId="1799"/>
    <tableColumn id="15720" xr3:uid="{1B8D1F95-B067-4C7E-B4C5-763A00BA58E3}" name="Column15706" dataDxfId="1798" totalsRowDxfId="1797"/>
    <tableColumn id="15721" xr3:uid="{D5E1377B-3080-4577-A7D8-63D8609B33E5}" name="Column15707" dataDxfId="1796" totalsRowDxfId="1795"/>
    <tableColumn id="15722" xr3:uid="{B1E2D0AF-D1BA-4053-A675-45BC400F2D81}" name="Column15708" dataDxfId="1794" totalsRowDxfId="1793"/>
    <tableColumn id="15723" xr3:uid="{1BBDA286-DD23-4F57-9EF5-E01844B9D101}" name="Column15709" dataDxfId="1792" totalsRowDxfId="1791"/>
    <tableColumn id="15724" xr3:uid="{41A46FD0-D129-497B-B7F4-63E673D24847}" name="Column15710" dataDxfId="1790" totalsRowDxfId="1789"/>
    <tableColumn id="15725" xr3:uid="{66261343-B638-475B-B9BB-4DD701CCB6DA}" name="Column15711" dataDxfId="1788" totalsRowDxfId="1787"/>
    <tableColumn id="15726" xr3:uid="{471CA73E-00F3-4E16-8979-45E1C0024E2D}" name="Column15712" dataDxfId="1786" totalsRowDxfId="1785"/>
    <tableColumn id="15727" xr3:uid="{002CD2C5-C56A-453B-82A3-D46F5FDC492D}" name="Column15713" dataDxfId="1784" totalsRowDxfId="1783"/>
    <tableColumn id="15728" xr3:uid="{BBE61064-C48B-4A8C-B9EA-9E4786226438}" name="Column15714" dataDxfId="1782" totalsRowDxfId="1781"/>
    <tableColumn id="15729" xr3:uid="{9FA4D934-16FB-4D5C-8C4C-C145AA17B536}" name="Column15715" dataDxfId="1780" totalsRowDxfId="1779"/>
    <tableColumn id="15730" xr3:uid="{ADEC1ABF-C668-4ECF-AE53-9D9589BBEF91}" name="Column15716" dataDxfId="1778" totalsRowDxfId="1777"/>
    <tableColumn id="15731" xr3:uid="{6B30D1B5-EB33-413D-A740-4D14D6F7E576}" name="Column15717" dataDxfId="1776" totalsRowDxfId="1775"/>
    <tableColumn id="15732" xr3:uid="{2852B120-C2C1-4907-A48C-0FB8BDE4A74A}" name="Column15718" dataDxfId="1774" totalsRowDxfId="1773"/>
    <tableColumn id="15733" xr3:uid="{1ABE943D-5F81-4E07-AC7B-BEA397D647D1}" name="Column15719" dataDxfId="1772" totalsRowDxfId="1771"/>
    <tableColumn id="15734" xr3:uid="{DB23DA8A-F1D1-4A6C-85B3-6F2C688C7555}" name="Column15720" dataDxfId="1770" totalsRowDxfId="1769"/>
    <tableColumn id="15735" xr3:uid="{125C0180-1FCF-4115-9135-C15A7BD042E1}" name="Column15721" dataDxfId="1768" totalsRowDxfId="1767"/>
    <tableColumn id="15736" xr3:uid="{67255D5B-D00E-4BD4-9F29-CAA1204AA2B9}" name="Column15722" dataDxfId="1766" totalsRowDxfId="1765"/>
    <tableColumn id="15737" xr3:uid="{F554B387-A491-477B-B7CF-A7A760456AA1}" name="Column15723" dataDxfId="1764" totalsRowDxfId="1763"/>
    <tableColumn id="15738" xr3:uid="{1DA7CA5C-C3BA-4CF3-AFF6-553D6285ED9B}" name="Column15724" dataDxfId="1762" totalsRowDxfId="1761"/>
    <tableColumn id="15739" xr3:uid="{FE8821D7-010D-46D9-96D5-288AB6FD5501}" name="Column15725" dataDxfId="1760" totalsRowDxfId="1759"/>
    <tableColumn id="15740" xr3:uid="{97C30872-E6A1-4647-BFED-F63F37ACE52A}" name="Column15726" dataDxfId="1758" totalsRowDxfId="1757"/>
    <tableColumn id="15741" xr3:uid="{445F7AAC-F7E2-4D41-9673-4C7FF76B3ECA}" name="Column15727" dataDxfId="1756" totalsRowDxfId="1755"/>
    <tableColumn id="15742" xr3:uid="{378A2BE5-F0C7-47BC-AC1F-6CECADBFABFF}" name="Column15728" dataDxfId="1754" totalsRowDxfId="1753"/>
    <tableColumn id="15743" xr3:uid="{1BB0F31B-C398-4200-9454-0556515D0D23}" name="Column15729" dataDxfId="1752" totalsRowDxfId="1751"/>
    <tableColumn id="15744" xr3:uid="{EA790266-EAF2-47E8-80CC-D712266F97E1}" name="Column15730" dataDxfId="1750" totalsRowDxfId="1749"/>
    <tableColumn id="15745" xr3:uid="{E04D9435-9181-4B9F-A1BF-6C9DCD9A68BD}" name="Column15731" dataDxfId="1748" totalsRowDxfId="1747"/>
    <tableColumn id="15746" xr3:uid="{6AFD6F02-5BEA-49BF-BF0C-0EA625E4B040}" name="Column15732" dataDxfId="1746" totalsRowDxfId="1745"/>
    <tableColumn id="15747" xr3:uid="{EB69C0D1-33A5-461A-8231-6457116E8166}" name="Column15733" dataDxfId="1744" totalsRowDxfId="1743"/>
    <tableColumn id="15748" xr3:uid="{61D27604-E1E9-4B01-AEE4-C4A7C05CC152}" name="Column15734" dataDxfId="1742" totalsRowDxfId="1741"/>
    <tableColumn id="15749" xr3:uid="{1681C12F-8AF2-4B93-9721-4F50C2268FCA}" name="Column15735" dataDxfId="1740" totalsRowDxfId="1739"/>
    <tableColumn id="15750" xr3:uid="{E9CC4CD2-50CB-4A07-AD09-5667B7186B3C}" name="Column15736" dataDxfId="1738" totalsRowDxfId="1737"/>
    <tableColumn id="15751" xr3:uid="{BB8F2050-6294-4CE0-939D-53BDD0699685}" name="Column15737" dataDxfId="1736" totalsRowDxfId="1735"/>
    <tableColumn id="15752" xr3:uid="{3FB0CD87-751B-423E-B3C4-0992BCCCE8B4}" name="Column15738" dataDxfId="1734" totalsRowDxfId="1733"/>
    <tableColumn id="15753" xr3:uid="{3E218AA3-6035-40D4-AC53-76E31C9DE4E2}" name="Column15739" dataDxfId="1732" totalsRowDxfId="1731"/>
    <tableColumn id="15754" xr3:uid="{26D37FA5-1277-43E4-A0F8-5BA0423A1DD7}" name="Column15740" dataDxfId="1730" totalsRowDxfId="1729"/>
    <tableColumn id="15755" xr3:uid="{19462ABF-502D-46AB-96F4-5B4FABE6DEB0}" name="Column15741" dataDxfId="1728" totalsRowDxfId="1727"/>
    <tableColumn id="15756" xr3:uid="{D5F7CF16-B95D-47F5-AC30-C9C75D16E7B9}" name="Column15742" dataDxfId="1726" totalsRowDxfId="1725"/>
    <tableColumn id="15757" xr3:uid="{703BF6AF-3202-4669-AF9B-6CA50C4CED7E}" name="Column15743" dataDxfId="1724" totalsRowDxfId="1723"/>
    <tableColumn id="15758" xr3:uid="{93770D8E-FB8F-4339-A766-90F3E2E5A8D6}" name="Column15744" dataDxfId="1722" totalsRowDxfId="1721"/>
    <tableColumn id="15759" xr3:uid="{6E33FBDF-FB0E-4B53-9058-0880F356DEB1}" name="Column15745" dataDxfId="1720" totalsRowDxfId="1719"/>
    <tableColumn id="15760" xr3:uid="{9F22812D-63F5-4A55-A92A-7DDFA32AA61F}" name="Column15746" dataDxfId="1718" totalsRowDxfId="1717"/>
    <tableColumn id="15761" xr3:uid="{1ED31AA3-119A-460B-B345-06B4345E9F6E}" name="Column15747" dataDxfId="1716" totalsRowDxfId="1715"/>
    <tableColumn id="15762" xr3:uid="{195618F2-C874-4E0A-AE9B-B415D5309405}" name="Column15748" dataDxfId="1714" totalsRowDxfId="1713"/>
    <tableColumn id="15763" xr3:uid="{EC0DD4F6-CA65-4D28-9B90-CDC918900F20}" name="Column15749" dataDxfId="1712" totalsRowDxfId="1711"/>
    <tableColumn id="15764" xr3:uid="{D9DCDBFB-9DC3-48AA-B99C-03F7003E7FE3}" name="Column15750" dataDxfId="1710" totalsRowDxfId="1709"/>
    <tableColumn id="15765" xr3:uid="{BB7CDE7A-69F2-48F6-A98E-0F09C5F1487E}" name="Column15751" dataDxfId="1708" totalsRowDxfId="1707"/>
    <tableColumn id="15766" xr3:uid="{1668AA90-3D90-4AA5-84D3-C7E46FCDAFD3}" name="Column15752" dataDxfId="1706" totalsRowDxfId="1705"/>
    <tableColumn id="15767" xr3:uid="{24C96B78-19D3-4A25-9A83-E19E66646020}" name="Column15753" dataDxfId="1704" totalsRowDxfId="1703"/>
    <tableColumn id="15768" xr3:uid="{1722D217-67D4-47A0-8112-21B6E58C5CAB}" name="Column15754" dataDxfId="1702" totalsRowDxfId="1701"/>
    <tableColumn id="15769" xr3:uid="{1720778F-FDE7-424F-AD12-3CFFE7823D5F}" name="Column15755" dataDxfId="1700" totalsRowDxfId="1699"/>
    <tableColumn id="15770" xr3:uid="{9C1D4A61-A2CB-4019-A555-082C1A2719ED}" name="Column15756" dataDxfId="1698" totalsRowDxfId="1697"/>
    <tableColumn id="15771" xr3:uid="{E13999EC-4B09-4842-9426-C892811420D2}" name="Column15757" dataDxfId="1696" totalsRowDxfId="1695"/>
    <tableColumn id="15772" xr3:uid="{9813984E-CA43-4A4D-8AC6-1BC0F72381B2}" name="Column15758" dataDxfId="1694" totalsRowDxfId="1693"/>
    <tableColumn id="15773" xr3:uid="{B7E67581-D6F0-4588-87AD-B333EB4B2835}" name="Column15759" dataDxfId="1692" totalsRowDxfId="1691"/>
    <tableColumn id="15774" xr3:uid="{E9624A3C-96DB-43D6-BF3A-BDC6EF68B4DC}" name="Column15760" dataDxfId="1690" totalsRowDxfId="1689"/>
    <tableColumn id="15775" xr3:uid="{708F938D-F1A4-4BCD-9002-6C6A3D045CAD}" name="Column15761" dataDxfId="1688" totalsRowDxfId="1687"/>
    <tableColumn id="15776" xr3:uid="{98505D50-92E9-4E41-B586-7C457ED312E3}" name="Column15762" dataDxfId="1686" totalsRowDxfId="1685"/>
    <tableColumn id="15777" xr3:uid="{0238E2E7-C249-4588-A62B-D13E8E973471}" name="Column15763" dataDxfId="1684" totalsRowDxfId="1683"/>
    <tableColumn id="15778" xr3:uid="{42E4127F-1CDF-4600-A868-7257B8DA62EB}" name="Column15764" dataDxfId="1682" totalsRowDxfId="1681"/>
    <tableColumn id="15779" xr3:uid="{9C923556-BDE2-4CD9-8588-33C856083D9A}" name="Column15765" dataDxfId="1680" totalsRowDxfId="1679"/>
    <tableColumn id="15780" xr3:uid="{1D71294E-5BEF-4D4F-87A9-701757844C05}" name="Column15766" dataDxfId="1678" totalsRowDxfId="1677"/>
    <tableColumn id="15781" xr3:uid="{D623F9D2-B082-45E5-9BC2-129CC18E145C}" name="Column15767" dataDxfId="1676" totalsRowDxfId="1675"/>
    <tableColumn id="15782" xr3:uid="{1143799E-1F31-4152-8A6D-B58D6843B228}" name="Column15768" dataDxfId="1674" totalsRowDxfId="1673"/>
    <tableColumn id="15783" xr3:uid="{63391FAE-A18D-4BB3-B52A-471FDCDFB8BB}" name="Column15769" dataDxfId="1672" totalsRowDxfId="1671"/>
    <tableColumn id="15784" xr3:uid="{28B47A28-6ADB-4587-9608-8212296C908E}" name="Column15770" dataDxfId="1670" totalsRowDxfId="1669"/>
    <tableColumn id="15785" xr3:uid="{FC0C673C-E96D-49A1-99BC-21B08256A06B}" name="Column15771" dataDxfId="1668" totalsRowDxfId="1667"/>
    <tableColumn id="15786" xr3:uid="{EAA2853F-1CED-4B30-A917-DDBA17862358}" name="Column15772" dataDxfId="1666" totalsRowDxfId="1665"/>
    <tableColumn id="15787" xr3:uid="{D85A7BE3-39BE-423E-951B-5F9DF8408AC2}" name="Column15773" dataDxfId="1664" totalsRowDxfId="1663"/>
    <tableColumn id="15788" xr3:uid="{6DFCBE65-3CCA-4636-A234-4334F7E52AAF}" name="Column15774" dataDxfId="1662" totalsRowDxfId="1661"/>
    <tableColumn id="15789" xr3:uid="{C16A9765-34F6-4F96-954C-D6D3ACAAADC6}" name="Column15775" dataDxfId="1660" totalsRowDxfId="1659"/>
    <tableColumn id="15790" xr3:uid="{549932B8-EA4F-4A48-8374-6F2F96C551B7}" name="Column15776" dataDxfId="1658" totalsRowDxfId="1657"/>
    <tableColumn id="15791" xr3:uid="{5E2FCEE4-76FF-4867-9934-9CB892C11609}" name="Column15777" dataDxfId="1656" totalsRowDxfId="1655"/>
    <tableColumn id="15792" xr3:uid="{CB789E4D-A314-4D48-BF92-353F457803CD}" name="Column15778" dataDxfId="1654" totalsRowDxfId="1653"/>
    <tableColumn id="15793" xr3:uid="{F940C748-CDD3-4F2A-A45E-C71FA188E52D}" name="Column15779" dataDxfId="1652" totalsRowDxfId="1651"/>
    <tableColumn id="15794" xr3:uid="{06F60864-6245-4323-A742-D97A9BA13A04}" name="Column15780" dataDxfId="1650" totalsRowDxfId="1649"/>
    <tableColumn id="15795" xr3:uid="{2F8B4BD3-5E28-499E-BF54-9B3C7928492F}" name="Column15781" dataDxfId="1648" totalsRowDxfId="1647"/>
    <tableColumn id="15796" xr3:uid="{B947B76D-D7AC-4BD6-9B30-5EA2AF04477A}" name="Column15782" dataDxfId="1646" totalsRowDxfId="1645"/>
    <tableColumn id="15797" xr3:uid="{E93F2679-9FB6-4A51-957B-4C747854D721}" name="Column15783" dataDxfId="1644" totalsRowDxfId="1643"/>
    <tableColumn id="15798" xr3:uid="{5AF67CEC-63EB-4678-BA78-FD5A22FFA668}" name="Column15784" dataDxfId="1642" totalsRowDxfId="1641"/>
    <tableColumn id="15799" xr3:uid="{373FB11D-23D1-4256-9940-7842834728CB}" name="Column15785" dataDxfId="1640" totalsRowDxfId="1639"/>
    <tableColumn id="15800" xr3:uid="{5AB8FF24-CABD-4DF9-929A-BA28DF2DD3C3}" name="Column15786" dataDxfId="1638" totalsRowDxfId="1637"/>
    <tableColumn id="15801" xr3:uid="{E3E9B009-33FF-4D7E-86ED-EFEF71907CE7}" name="Column15787" dataDxfId="1636" totalsRowDxfId="1635"/>
    <tableColumn id="15802" xr3:uid="{40D896DB-1606-4F23-A107-B24A698D8515}" name="Column15788" dataDxfId="1634" totalsRowDxfId="1633"/>
    <tableColumn id="15803" xr3:uid="{1A5E31F6-0A72-4E02-8AA1-34CA34CEC424}" name="Column15789" dataDxfId="1632" totalsRowDxfId="1631"/>
    <tableColumn id="15804" xr3:uid="{08E573BA-01EB-4CD6-89F3-46E0793AD4A7}" name="Column15790" dataDxfId="1630" totalsRowDxfId="1629"/>
    <tableColumn id="15805" xr3:uid="{88110F16-CCB7-4768-9A34-802CAE35F6D3}" name="Column15791" dataDxfId="1628" totalsRowDxfId="1627"/>
    <tableColumn id="15806" xr3:uid="{5FE2FEC8-A083-400C-BCCD-03C67983A6C3}" name="Column15792" dataDxfId="1626" totalsRowDxfId="1625"/>
    <tableColumn id="15807" xr3:uid="{19C9D465-3B4B-4C9E-B08C-1A196A9F3FBE}" name="Column15793" dataDxfId="1624" totalsRowDxfId="1623"/>
    <tableColumn id="15808" xr3:uid="{A81D7331-5D5C-403E-931B-02B8E95DEB8A}" name="Column15794" dataDxfId="1622" totalsRowDxfId="1621"/>
    <tableColumn id="15809" xr3:uid="{29628049-48FD-41E3-A583-8103FF882E1B}" name="Column15795" dataDxfId="1620" totalsRowDxfId="1619"/>
    <tableColumn id="15810" xr3:uid="{91C9B42C-6F63-43E0-9290-88709F3ABA5D}" name="Column15796" dataDxfId="1618" totalsRowDxfId="1617"/>
    <tableColumn id="15811" xr3:uid="{82FE4E7A-65A1-49E8-AA33-7E25AAA52F7C}" name="Column15797" dataDxfId="1616" totalsRowDxfId="1615"/>
    <tableColumn id="15812" xr3:uid="{493878FB-7B69-487C-ADE4-131FF3BA4CF6}" name="Column15798" dataDxfId="1614" totalsRowDxfId="1613"/>
    <tableColumn id="15813" xr3:uid="{CBE17C26-A1ED-43E3-8352-377A726CCC01}" name="Column15799" dataDxfId="1612" totalsRowDxfId="1611"/>
    <tableColumn id="15814" xr3:uid="{685CD284-F52B-4874-B32B-90D446CEA841}" name="Column15800" dataDxfId="1610" totalsRowDxfId="1609"/>
    <tableColumn id="15815" xr3:uid="{35950A44-B440-410A-8D3F-1C5EF59C7A82}" name="Column15801" dataDxfId="1608" totalsRowDxfId="1607"/>
    <tableColumn id="15816" xr3:uid="{474F471E-E4C9-495B-B775-4861563E40B4}" name="Column15802" dataDxfId="1606" totalsRowDxfId="1605"/>
    <tableColumn id="15817" xr3:uid="{6FDF642A-703E-4019-AA27-A07D086B075A}" name="Column15803" dataDxfId="1604" totalsRowDxfId="1603"/>
    <tableColumn id="15818" xr3:uid="{B00E9D86-07E8-4578-8DD8-79D5B5CA5E0F}" name="Column15804" dataDxfId="1602" totalsRowDxfId="1601"/>
    <tableColumn id="15819" xr3:uid="{0301F8A1-6902-4D67-AE48-7DB187313AF8}" name="Column15805" dataDxfId="1600" totalsRowDxfId="1599"/>
    <tableColumn id="15820" xr3:uid="{06D7DAF8-B14E-47DB-A999-217E45E5626B}" name="Column15806" dataDxfId="1598" totalsRowDxfId="1597"/>
    <tableColumn id="15821" xr3:uid="{134DD93E-931E-4FDA-8FEA-211212C369A2}" name="Column15807" dataDxfId="1596" totalsRowDxfId="1595"/>
    <tableColumn id="15822" xr3:uid="{C2DD4AE1-B2A8-41D2-9F6B-66DFF5DCFE21}" name="Column15808" dataDxfId="1594" totalsRowDxfId="1593"/>
    <tableColumn id="15823" xr3:uid="{4FF77CD5-782A-47FF-967F-7B483292297E}" name="Column15809" dataDxfId="1592" totalsRowDxfId="1591"/>
    <tableColumn id="15824" xr3:uid="{B50E2C76-F17F-40E2-912F-8B3653E31DD4}" name="Column15810" dataDxfId="1590" totalsRowDxfId="1589"/>
    <tableColumn id="15825" xr3:uid="{29297831-537C-4BF6-82E4-1050EE0B57E1}" name="Column15811" dataDxfId="1588" totalsRowDxfId="1587"/>
    <tableColumn id="15826" xr3:uid="{CCC1B567-99B4-4480-8BDF-DA38177C8AD3}" name="Column15812" dataDxfId="1586" totalsRowDxfId="1585"/>
    <tableColumn id="15827" xr3:uid="{256380B3-8F29-4D91-BB96-9B07ED4BB04F}" name="Column15813" dataDxfId="1584" totalsRowDxfId="1583"/>
    <tableColumn id="15828" xr3:uid="{76615A69-316F-4261-A5F3-B94AD843A1A5}" name="Column15814" dataDxfId="1582" totalsRowDxfId="1581"/>
    <tableColumn id="15829" xr3:uid="{685E6969-252B-478D-B4B4-D5CEF6A096ED}" name="Column15815" dataDxfId="1580" totalsRowDxfId="1579"/>
    <tableColumn id="15830" xr3:uid="{CCEFD389-C9D0-4E03-A6AC-98CE721C91C3}" name="Column15816" dataDxfId="1578" totalsRowDxfId="1577"/>
    <tableColumn id="15831" xr3:uid="{AB88A8F3-9130-4158-9E16-B41E77EDEE26}" name="Column15817" dataDxfId="1576" totalsRowDxfId="1575"/>
    <tableColumn id="15832" xr3:uid="{4242CB6B-03E5-49E7-A823-030D35820349}" name="Column15818" dataDxfId="1574" totalsRowDxfId="1573"/>
    <tableColumn id="15833" xr3:uid="{581E4970-8B83-497F-9D92-F96AF9E65009}" name="Column15819" dataDxfId="1572" totalsRowDxfId="1571"/>
    <tableColumn id="15834" xr3:uid="{EDAAA0EE-FDF9-4A93-8F20-0163A02FE91A}" name="Column15820" dataDxfId="1570" totalsRowDxfId="1569"/>
    <tableColumn id="15835" xr3:uid="{3D8C3EC5-0697-4367-BEA9-D9E8DA10DDC6}" name="Column15821" dataDxfId="1568" totalsRowDxfId="1567"/>
    <tableColumn id="15836" xr3:uid="{1AB0A9D1-801F-41AA-AB10-EEAD32F34138}" name="Column15822" dataDxfId="1566" totalsRowDxfId="1565"/>
    <tableColumn id="15837" xr3:uid="{1E2E32FE-90B5-4FCB-AB20-C49A4EE658A9}" name="Column15823" dataDxfId="1564" totalsRowDxfId="1563"/>
    <tableColumn id="15838" xr3:uid="{FFA0D169-935D-40B5-A183-EA15C69AA1EC}" name="Column15824" dataDxfId="1562" totalsRowDxfId="1561"/>
    <tableColumn id="15839" xr3:uid="{91D1B22E-C4BF-4A64-B7AB-D79145AAEF82}" name="Column15825" dataDxfId="1560" totalsRowDxfId="1559"/>
    <tableColumn id="15840" xr3:uid="{F57FF779-7572-4267-8FC4-CAB8E8AC272A}" name="Column15826" dataDxfId="1558" totalsRowDxfId="1557"/>
    <tableColumn id="15841" xr3:uid="{40F09DD6-C64F-45A1-8646-E18801406E20}" name="Column15827" dataDxfId="1556" totalsRowDxfId="1555"/>
    <tableColumn id="15842" xr3:uid="{6CC94A4A-79C6-4F33-92AD-E5C9D6563115}" name="Column15828" dataDxfId="1554" totalsRowDxfId="1553"/>
    <tableColumn id="15843" xr3:uid="{1888F393-CADF-41D0-8B24-5B66F67BCC81}" name="Column15829" dataDxfId="1552" totalsRowDxfId="1551"/>
    <tableColumn id="15844" xr3:uid="{AD2531AB-F3DD-4BF3-8320-C0756FCF7EEE}" name="Column15830" dataDxfId="1550" totalsRowDxfId="1549"/>
    <tableColumn id="15845" xr3:uid="{04F6A26E-260D-4698-8926-3785128CD1A8}" name="Column15831" dataDxfId="1548" totalsRowDxfId="1547"/>
    <tableColumn id="15846" xr3:uid="{C3486F6A-F137-4F2C-8AB7-21A403D9EC12}" name="Column15832" dataDxfId="1546" totalsRowDxfId="1545"/>
    <tableColumn id="15847" xr3:uid="{AB9BD9C1-11D9-4989-A87D-A35AEC2B16D0}" name="Column15833" dataDxfId="1544" totalsRowDxfId="1543"/>
    <tableColumn id="15848" xr3:uid="{AA18E668-16A2-47DB-AFC3-EF49D9BDC3FC}" name="Column15834" dataDxfId="1542" totalsRowDxfId="1541"/>
    <tableColumn id="15849" xr3:uid="{2507140A-0152-4F7E-BE3D-A2503E8F2536}" name="Column15835" dataDxfId="1540" totalsRowDxfId="1539"/>
    <tableColumn id="15850" xr3:uid="{E6F8A83C-0E77-40D3-B3DE-66139C1CB241}" name="Column15836" dataDxfId="1538" totalsRowDxfId="1537"/>
    <tableColumn id="15851" xr3:uid="{AB7DAAC0-0992-400C-9975-31B48A8DBC47}" name="Column15837" dataDxfId="1536" totalsRowDxfId="1535"/>
    <tableColumn id="15852" xr3:uid="{C1FF7D13-89D4-4122-A288-31631BC85E9E}" name="Column15838" dataDxfId="1534" totalsRowDxfId="1533"/>
    <tableColumn id="15853" xr3:uid="{8C9052F0-7745-4BF0-A800-DA759B88C3F7}" name="Column15839" dataDxfId="1532" totalsRowDxfId="1531"/>
    <tableColumn id="15854" xr3:uid="{8418A228-D6FF-49BB-981E-A71EF3C8D95A}" name="Column15840" dataDxfId="1530" totalsRowDxfId="1529"/>
    <tableColumn id="15855" xr3:uid="{86F66E1E-B601-4BC0-8ACE-830DE52E7A91}" name="Column15841" dataDxfId="1528" totalsRowDxfId="1527"/>
    <tableColumn id="15856" xr3:uid="{0AF3D6DB-C560-4141-97E7-AD5399C51660}" name="Column15842" dataDxfId="1526" totalsRowDxfId="1525"/>
    <tableColumn id="15857" xr3:uid="{451716D7-A2A6-499C-BAAD-52D4DD9D2B8D}" name="Column15843" dataDxfId="1524" totalsRowDxfId="1523"/>
    <tableColumn id="15858" xr3:uid="{64C54899-7247-4523-B57D-DAFD0F3A6046}" name="Column15844" dataDxfId="1522" totalsRowDxfId="1521"/>
    <tableColumn id="15859" xr3:uid="{7488C7D1-0920-472E-BF45-1080AAF301DD}" name="Column15845" dataDxfId="1520" totalsRowDxfId="1519"/>
    <tableColumn id="15860" xr3:uid="{5ED3A52B-BEA2-4851-8150-03E0BAF912BB}" name="Column15846" dataDxfId="1518" totalsRowDxfId="1517"/>
    <tableColumn id="15861" xr3:uid="{1EE1790A-44BF-451A-BF80-B9EE29E3FA90}" name="Column15847" dataDxfId="1516" totalsRowDxfId="1515"/>
    <tableColumn id="15862" xr3:uid="{CC8A689A-8BCC-4B8F-9DAC-DE032D19B234}" name="Column15848" dataDxfId="1514" totalsRowDxfId="1513"/>
    <tableColumn id="15863" xr3:uid="{9A6CC4E0-93BE-4139-B4E8-C0D8A176F65B}" name="Column15849" dataDxfId="1512" totalsRowDxfId="1511"/>
    <tableColumn id="15864" xr3:uid="{B2145D85-BA81-496E-B4F8-86CC78E45998}" name="Column15850" dataDxfId="1510" totalsRowDxfId="1509"/>
    <tableColumn id="15865" xr3:uid="{4D4578F4-69C8-4BB8-8FEF-DCF05B83FB64}" name="Column15851" dataDxfId="1508" totalsRowDxfId="1507"/>
    <tableColumn id="15866" xr3:uid="{9C0EADF4-CF8A-4842-8A0A-AA8FDB03E9A4}" name="Column15852" dataDxfId="1506" totalsRowDxfId="1505"/>
    <tableColumn id="15867" xr3:uid="{D5025A1F-DDDD-4AB7-8D7F-6A24C02446A3}" name="Column15853" dataDxfId="1504" totalsRowDxfId="1503"/>
    <tableColumn id="15868" xr3:uid="{1C7B135D-413A-46FC-B3D4-A6A8434C8A4E}" name="Column15854" dataDxfId="1502" totalsRowDxfId="1501"/>
    <tableColumn id="15869" xr3:uid="{F61DF10C-0F57-4FC8-8734-EF9584129CD5}" name="Column15855" dataDxfId="1500" totalsRowDxfId="1499"/>
    <tableColumn id="15870" xr3:uid="{D22BB2BC-6793-4A97-B606-4982417006F1}" name="Column15856" dataDxfId="1498" totalsRowDxfId="1497"/>
    <tableColumn id="15871" xr3:uid="{C7D74557-4392-4F49-99F6-DC47153A37AC}" name="Column15857" dataDxfId="1496" totalsRowDxfId="1495"/>
    <tableColumn id="15872" xr3:uid="{12A98C29-FB8A-4B69-A2B3-A2C007770CF4}" name="Column15858" dataDxfId="1494" totalsRowDxfId="1493"/>
    <tableColumn id="15873" xr3:uid="{F852391F-9A8E-48EE-B814-309386406219}" name="Column15859" dataDxfId="1492" totalsRowDxfId="1491"/>
    <tableColumn id="15874" xr3:uid="{4031168B-CDAA-42F2-872D-17A693D8DE52}" name="Column15860" dataDxfId="1490" totalsRowDxfId="1489"/>
    <tableColumn id="15875" xr3:uid="{FA77D5BE-D5AC-43DF-921E-7923049CB9B7}" name="Column15861" dataDxfId="1488" totalsRowDxfId="1487"/>
    <tableColumn id="15876" xr3:uid="{59D66939-B390-4033-9B5F-97E10E580938}" name="Column15862" dataDxfId="1486" totalsRowDxfId="1485"/>
    <tableColumn id="15877" xr3:uid="{86C95181-4CB9-473E-B6D7-03D20AE1A5BB}" name="Column15863" dataDxfId="1484" totalsRowDxfId="1483"/>
    <tableColumn id="15878" xr3:uid="{BF26CD27-DD12-4667-8B8C-41407D243981}" name="Column15864" dataDxfId="1482" totalsRowDxfId="1481"/>
    <tableColumn id="15879" xr3:uid="{B8AC4A59-B110-4049-8165-6806CF41C481}" name="Column15865" dataDxfId="1480" totalsRowDxfId="1479"/>
    <tableColumn id="15880" xr3:uid="{1DED6EDA-6888-4893-B004-62C1CF53E053}" name="Column15866" dataDxfId="1478" totalsRowDxfId="1477"/>
    <tableColumn id="15881" xr3:uid="{2FCD95B5-0F3A-46DD-BEB4-E6F3D4B1E368}" name="Column15867" dataDxfId="1476" totalsRowDxfId="1475"/>
    <tableColumn id="15882" xr3:uid="{F3C9A787-48D4-45A1-BAF4-A8EB0C5BF5E2}" name="Column15868" dataDxfId="1474" totalsRowDxfId="1473"/>
    <tableColumn id="15883" xr3:uid="{0CA9CBB7-E0E7-4FF0-BEBD-010A2FDD12C6}" name="Column15869" dataDxfId="1472" totalsRowDxfId="1471"/>
    <tableColumn id="15884" xr3:uid="{1650C3DE-FA35-4DC0-9371-DE3C31746BA4}" name="Column15870" dataDxfId="1470" totalsRowDxfId="1469"/>
    <tableColumn id="15885" xr3:uid="{D3D754D7-9B09-4DFF-A82B-52272466A8C6}" name="Column15871" dataDxfId="1468" totalsRowDxfId="1467"/>
    <tableColumn id="15886" xr3:uid="{7D65DE8C-D9A5-4424-AB99-E47F4846E938}" name="Column15872" dataDxfId="1466" totalsRowDxfId="1465"/>
    <tableColumn id="15887" xr3:uid="{29B59724-C50A-4768-85D5-BC2F7CAEA90B}" name="Column15873" dataDxfId="1464" totalsRowDxfId="1463"/>
    <tableColumn id="15888" xr3:uid="{B9805D9C-444D-4F38-AB6A-EB2F67AF46E5}" name="Column15874" dataDxfId="1462" totalsRowDxfId="1461"/>
    <tableColumn id="15889" xr3:uid="{7600B40A-3CA6-4EEF-A87A-270CC7F57489}" name="Column15875" dataDxfId="1460" totalsRowDxfId="1459"/>
    <tableColumn id="15890" xr3:uid="{4B205323-F673-4F10-9392-7039992CE6BB}" name="Column15876" dataDxfId="1458" totalsRowDxfId="1457"/>
    <tableColumn id="15891" xr3:uid="{144B36CB-F58C-4955-A168-C075670904EE}" name="Column15877" dataDxfId="1456" totalsRowDxfId="1455"/>
    <tableColumn id="15892" xr3:uid="{A27C8061-27C4-4262-A760-877BCC7CC4E9}" name="Column15878" dataDxfId="1454" totalsRowDxfId="1453"/>
    <tableColumn id="15893" xr3:uid="{18EEDA2E-CC22-4094-9A53-E2A8725735A0}" name="Column15879" dataDxfId="1452" totalsRowDxfId="1451"/>
    <tableColumn id="15894" xr3:uid="{53A4BD77-04D5-4EA8-9149-A42247AC502A}" name="Column15880" dataDxfId="1450" totalsRowDxfId="1449"/>
    <tableColumn id="15895" xr3:uid="{F13606F2-21ED-47DF-9FBE-41B3CDD37354}" name="Column15881" dataDxfId="1448" totalsRowDxfId="1447"/>
    <tableColumn id="15896" xr3:uid="{697FC87D-443C-4BCA-A8D8-24FEF649A7B4}" name="Column15882" dataDxfId="1446" totalsRowDxfId="1445"/>
    <tableColumn id="15897" xr3:uid="{DB3AE6FA-27D2-4BC7-9C52-FAF8579BC939}" name="Column15883" dataDxfId="1444" totalsRowDxfId="1443"/>
    <tableColumn id="15898" xr3:uid="{1AE932D6-4E84-4516-BE8B-3D9A8DA254D2}" name="Column15884" dataDxfId="1442" totalsRowDxfId="1441"/>
    <tableColumn id="15899" xr3:uid="{86ED333B-1010-42BF-98D6-4C3EFA4BFA1A}" name="Column15885" dataDxfId="1440" totalsRowDxfId="1439"/>
    <tableColumn id="15900" xr3:uid="{A8117429-1466-430A-A852-34AF5643ED5D}" name="Column15886" dataDxfId="1438" totalsRowDxfId="1437"/>
    <tableColumn id="15901" xr3:uid="{41184C03-50D7-418A-AF7F-986E1FFA068D}" name="Column15887" dataDxfId="1436" totalsRowDxfId="1435"/>
    <tableColumn id="15902" xr3:uid="{81BA4193-DCFB-4ADC-B11C-DD735A20A984}" name="Column15888" dataDxfId="1434" totalsRowDxfId="1433"/>
    <tableColumn id="15903" xr3:uid="{946111A2-955D-430C-9A2D-D0DDD49A2F68}" name="Column15889" dataDxfId="1432" totalsRowDxfId="1431"/>
    <tableColumn id="15904" xr3:uid="{AB52436E-9C4A-4405-9105-7769C603B492}" name="Column15890" dataDxfId="1430" totalsRowDxfId="1429"/>
    <tableColumn id="15905" xr3:uid="{2275B6CC-7B39-4A28-84F4-72E00DB7761E}" name="Column15891" dataDxfId="1428" totalsRowDxfId="1427"/>
    <tableColumn id="15906" xr3:uid="{AD748E49-19E5-4832-98C8-9E5748F04CF8}" name="Column15892" dataDxfId="1426" totalsRowDxfId="1425"/>
    <tableColumn id="15907" xr3:uid="{A457EA53-4D11-4634-B68B-89C10ECD0840}" name="Column15893" dataDxfId="1424" totalsRowDxfId="1423"/>
    <tableColumn id="15908" xr3:uid="{165BCA55-D978-453D-BC2C-E9D6B4C21509}" name="Column15894" dataDxfId="1422" totalsRowDxfId="1421"/>
    <tableColumn id="15909" xr3:uid="{25244F11-67C1-4A6C-869B-874DA7751B11}" name="Column15895" dataDxfId="1420" totalsRowDxfId="1419"/>
    <tableColumn id="15910" xr3:uid="{8D27BDBB-38B2-4C84-A88B-BB048EC3C28F}" name="Column15896" dataDxfId="1418" totalsRowDxfId="1417"/>
    <tableColumn id="15911" xr3:uid="{717C87E2-D3B7-4D2D-BDD7-81B613465830}" name="Column15897" dataDxfId="1416" totalsRowDxfId="1415"/>
    <tableColumn id="15912" xr3:uid="{853F3295-2D54-40D3-9BDF-2BBF9310DCEF}" name="Column15898" dataDxfId="1414" totalsRowDxfId="1413"/>
    <tableColumn id="15913" xr3:uid="{D14863AF-92DD-46C7-8E7D-F6F85E1AAD01}" name="Column15899" dataDxfId="1412" totalsRowDxfId="1411"/>
    <tableColumn id="15914" xr3:uid="{88ED5C93-796B-46E6-97FD-061290B382B4}" name="Column15900" dataDxfId="1410" totalsRowDxfId="1409"/>
    <tableColumn id="15915" xr3:uid="{38DE3A09-74F2-489A-8649-E81EDC5F03F7}" name="Column15901" dataDxfId="1408" totalsRowDxfId="1407"/>
    <tableColumn id="15916" xr3:uid="{DDD3E715-39A8-44D0-B057-A757E2226928}" name="Column15902" dataDxfId="1406" totalsRowDxfId="1405"/>
    <tableColumn id="15917" xr3:uid="{8D83182A-C5BC-4246-9D7B-8055586010BC}" name="Column15903" dataDxfId="1404" totalsRowDxfId="1403"/>
    <tableColumn id="15918" xr3:uid="{2C2FF1C2-70B0-4B5A-81A7-EEC3F45359A8}" name="Column15904" dataDxfId="1402" totalsRowDxfId="1401"/>
    <tableColumn id="15919" xr3:uid="{AF3D07A1-0705-420B-9721-55004339E259}" name="Column15905" dataDxfId="1400" totalsRowDxfId="1399"/>
    <tableColumn id="15920" xr3:uid="{A675DC25-DBFA-4912-8DD6-283E89048661}" name="Column15906" dataDxfId="1398" totalsRowDxfId="1397"/>
    <tableColumn id="15921" xr3:uid="{219EDE21-8723-46B5-BBA4-4AA2529A3B5C}" name="Column15907" dataDxfId="1396" totalsRowDxfId="1395"/>
    <tableColumn id="15922" xr3:uid="{08A60A10-1389-486F-9FA6-90B9A46F7181}" name="Column15908" dataDxfId="1394" totalsRowDxfId="1393"/>
    <tableColumn id="15923" xr3:uid="{8A5D0BEF-15F1-424B-BEA0-3D7B30EF66B3}" name="Column15909" dataDxfId="1392" totalsRowDxfId="1391"/>
    <tableColumn id="15924" xr3:uid="{E44A8E20-36C2-4233-B640-7223F76C3DA3}" name="Column15910" dataDxfId="1390" totalsRowDxfId="1389"/>
    <tableColumn id="15925" xr3:uid="{C78576F1-D5E8-42B1-BC92-6941C153B389}" name="Column15911" dataDxfId="1388" totalsRowDxfId="1387"/>
    <tableColumn id="15926" xr3:uid="{A624AADB-B058-4CC5-8504-5895A2525971}" name="Column15912" dataDxfId="1386" totalsRowDxfId="1385"/>
    <tableColumn id="15927" xr3:uid="{FE440887-DCF5-4612-8648-934E1DB4E35D}" name="Column15913" dataDxfId="1384" totalsRowDxfId="1383"/>
    <tableColumn id="15928" xr3:uid="{CE082135-C59F-48FF-B030-3CA4D4E4176A}" name="Column15914" dataDxfId="1382" totalsRowDxfId="1381"/>
    <tableColumn id="15929" xr3:uid="{2D2B2FB0-AAE4-4314-971C-614CED7D65CF}" name="Column15915" dataDxfId="1380" totalsRowDxfId="1379"/>
    <tableColumn id="15930" xr3:uid="{0F8ECE20-D1E7-4041-893F-E54230E35B31}" name="Column15916" dataDxfId="1378" totalsRowDxfId="1377"/>
    <tableColumn id="15931" xr3:uid="{8080EC54-71D1-44DC-820E-5C2A315E3815}" name="Column15917" dataDxfId="1376" totalsRowDxfId="1375"/>
    <tableColumn id="15932" xr3:uid="{CC0D2EC1-1CE0-4D21-AC7C-811C79E81323}" name="Column15918" dataDxfId="1374" totalsRowDxfId="1373"/>
    <tableColumn id="15933" xr3:uid="{3812D87E-DEF8-4A71-BD92-04B343C2C7CB}" name="Column15919" dataDxfId="1372" totalsRowDxfId="1371"/>
    <tableColumn id="15934" xr3:uid="{56D90F13-F6D5-48A1-A5CF-05831CD712CF}" name="Column15920" dataDxfId="1370" totalsRowDxfId="1369"/>
    <tableColumn id="15935" xr3:uid="{1B1639AC-C3F7-4CFB-B0D8-EAA90C667028}" name="Column15921" dataDxfId="1368" totalsRowDxfId="1367"/>
    <tableColumn id="15936" xr3:uid="{6AEAD2A1-6214-4050-B9F9-171F1FA6D5D7}" name="Column15922" dataDxfId="1366" totalsRowDxfId="1365"/>
    <tableColumn id="15937" xr3:uid="{72F0BD24-EB55-4C19-9401-E41FE847C9A8}" name="Column15923" dataDxfId="1364" totalsRowDxfId="1363"/>
    <tableColumn id="15938" xr3:uid="{6B9826C9-3FD8-4A27-A46B-037508B16821}" name="Column15924" dataDxfId="1362" totalsRowDxfId="1361"/>
    <tableColumn id="15939" xr3:uid="{1D24D46C-896B-4216-BF9C-537726651AC6}" name="Column15925" dataDxfId="1360" totalsRowDxfId="1359"/>
    <tableColumn id="15940" xr3:uid="{693A250F-1BA4-4473-90BA-7B6D4FFED448}" name="Column15926" dataDxfId="1358" totalsRowDxfId="1357"/>
    <tableColumn id="15941" xr3:uid="{3B802FB2-9182-438A-BFDD-07F843D0F272}" name="Column15927" dataDxfId="1356" totalsRowDxfId="1355"/>
    <tableColumn id="15942" xr3:uid="{8292F4AD-4A60-491F-A844-EFDB83911523}" name="Column15928" dataDxfId="1354" totalsRowDxfId="1353"/>
    <tableColumn id="15943" xr3:uid="{8B456CDB-5C32-4D26-A8E8-1FE75D978E3B}" name="Column15929" dataDxfId="1352" totalsRowDxfId="1351"/>
    <tableColumn id="15944" xr3:uid="{8834900A-79A1-4413-B931-FB9DEC5D41A5}" name="Column15930" dataDxfId="1350" totalsRowDxfId="1349"/>
    <tableColumn id="15945" xr3:uid="{5E02A8EB-A1DB-4D17-8C9E-40C04ECD4ED9}" name="Column15931" dataDxfId="1348" totalsRowDxfId="1347"/>
    <tableColumn id="15946" xr3:uid="{2DE43DB6-841C-4858-AC9E-E63E6500C501}" name="Column15932" dataDxfId="1346" totalsRowDxfId="1345"/>
    <tableColumn id="15947" xr3:uid="{20C6AA4F-BE7B-4646-B73F-D37D72965C9F}" name="Column15933" dataDxfId="1344" totalsRowDxfId="1343"/>
    <tableColumn id="15948" xr3:uid="{F3B937F4-3000-4996-BC97-DC63C662D651}" name="Column15934" dataDxfId="1342" totalsRowDxfId="1341"/>
    <tableColumn id="15949" xr3:uid="{B4940D09-6F8E-4429-AFF3-9E40EADAED8E}" name="Column15935" dataDxfId="1340" totalsRowDxfId="1339"/>
    <tableColumn id="15950" xr3:uid="{28AD3E6B-A7F9-4918-BDD1-4BEFA2044550}" name="Column15936" dataDxfId="1338" totalsRowDxfId="1337"/>
    <tableColumn id="15951" xr3:uid="{C6610CE4-3E00-4BF8-879F-CDB6F1BA50DC}" name="Column15937" dataDxfId="1336" totalsRowDxfId="1335"/>
    <tableColumn id="15952" xr3:uid="{AFBE1C83-A865-49C9-A166-76F141E2664D}" name="Column15938" dataDxfId="1334" totalsRowDxfId="1333"/>
    <tableColumn id="15953" xr3:uid="{EBF20598-FF7B-4DF2-BCB3-0CFC013B8DF3}" name="Column15939" dataDxfId="1332" totalsRowDxfId="1331"/>
    <tableColumn id="15954" xr3:uid="{534BD8EF-CE3E-4535-89D3-2D404044D6B8}" name="Column15940" dataDxfId="1330" totalsRowDxfId="1329"/>
    <tableColumn id="15955" xr3:uid="{87FB7A3E-2409-4687-B531-145381633D6A}" name="Column15941" dataDxfId="1328" totalsRowDxfId="1327"/>
    <tableColumn id="15956" xr3:uid="{3B87E65D-8AA6-4A98-B552-D54A834A1C07}" name="Column15942" dataDxfId="1326" totalsRowDxfId="1325"/>
    <tableColumn id="15957" xr3:uid="{B1C16DF3-0876-4C64-B354-1D24661068F4}" name="Column15943" dataDxfId="1324" totalsRowDxfId="1323"/>
    <tableColumn id="15958" xr3:uid="{9085F748-0BFF-4B93-960E-168CFD236A58}" name="Column15944" dataDxfId="1322" totalsRowDxfId="1321"/>
    <tableColumn id="15959" xr3:uid="{3991AA59-246E-4EC6-9E6B-6724DC863743}" name="Column15945" dataDxfId="1320" totalsRowDxfId="1319"/>
    <tableColumn id="15960" xr3:uid="{A36ABAB2-73FF-434F-8299-9D9FDBBA9A5A}" name="Column15946" dataDxfId="1318" totalsRowDxfId="1317"/>
    <tableColumn id="15961" xr3:uid="{5A57CF3A-751A-4568-BF29-A8E4E5040981}" name="Column15947" dataDxfId="1316" totalsRowDxfId="1315"/>
    <tableColumn id="15962" xr3:uid="{73DDA82A-94FE-4EF9-B050-70E27FE570A8}" name="Column15948" dataDxfId="1314" totalsRowDxfId="1313"/>
    <tableColumn id="15963" xr3:uid="{7B1689F0-8C4E-4336-96C0-BBDCC3355C65}" name="Column15949" dataDxfId="1312" totalsRowDxfId="1311"/>
    <tableColumn id="15964" xr3:uid="{67D8623A-1F5B-4FE7-AFA5-615C1790530D}" name="Column15950" dataDxfId="1310" totalsRowDxfId="1309"/>
    <tableColumn id="15965" xr3:uid="{8AFABAC5-570E-462D-9753-8C9D3E188687}" name="Column15951" dataDxfId="1308" totalsRowDxfId="1307"/>
    <tableColumn id="15966" xr3:uid="{2C14433C-6F5C-4147-9461-D51144F5B9E3}" name="Column15952" dataDxfId="1306" totalsRowDxfId="1305"/>
    <tableColumn id="15967" xr3:uid="{A0F68540-591F-4AAA-8D66-B89AAF59C6B6}" name="Column15953" dataDxfId="1304" totalsRowDxfId="1303"/>
    <tableColumn id="15968" xr3:uid="{682ED3E0-1694-4786-9FED-EC2E8AE2DD5B}" name="Column15954" dataDxfId="1302" totalsRowDxfId="1301"/>
    <tableColumn id="15969" xr3:uid="{7C8B925A-D8CE-4CFE-A641-9A3EFE0A6A20}" name="Column15955" dataDxfId="1300" totalsRowDxfId="1299"/>
    <tableColumn id="15970" xr3:uid="{2A687B54-08FB-4623-96F4-EA461ABCDE48}" name="Column15956" dataDxfId="1298" totalsRowDxfId="1297"/>
    <tableColumn id="15971" xr3:uid="{AC13CB82-B41C-4014-BF55-D60FA6FCE220}" name="Column15957" dataDxfId="1296" totalsRowDxfId="1295"/>
    <tableColumn id="15972" xr3:uid="{90F9615D-901A-4E21-8243-AFE549EF9996}" name="Column15958" dataDxfId="1294" totalsRowDxfId="1293"/>
    <tableColumn id="15973" xr3:uid="{8E6DAA59-287F-41BB-B85E-68EC04E1E264}" name="Column15959" dataDxfId="1292" totalsRowDxfId="1291"/>
    <tableColumn id="15974" xr3:uid="{E73C7D4B-4353-4F89-8EDC-5D6A7964E086}" name="Column15960" dataDxfId="1290" totalsRowDxfId="1289"/>
    <tableColumn id="15975" xr3:uid="{07D087DD-043F-4BD3-A4D3-80C9E431EC61}" name="Column15961" dataDxfId="1288" totalsRowDxfId="1287"/>
    <tableColumn id="15976" xr3:uid="{70ED7356-605C-4F6F-98E4-90A488B1892B}" name="Column15962" dataDxfId="1286" totalsRowDxfId="1285"/>
    <tableColumn id="15977" xr3:uid="{1B3F426E-C4E2-4D7D-94BB-B29850F7BC01}" name="Column15963" dataDxfId="1284" totalsRowDxfId="1283"/>
    <tableColumn id="15978" xr3:uid="{2458DEDC-8790-49D2-A941-C8259C4601A5}" name="Column15964" dataDxfId="1282" totalsRowDxfId="1281"/>
    <tableColumn id="15979" xr3:uid="{7C7F34BC-8BF6-4BC2-8EC6-C7613BE4A37B}" name="Column15965" dataDxfId="1280" totalsRowDxfId="1279"/>
    <tableColumn id="15980" xr3:uid="{6F03BDD5-144F-4045-83E4-A955AC5ACA8E}" name="Column15966" dataDxfId="1278" totalsRowDxfId="1277"/>
    <tableColumn id="15981" xr3:uid="{FF5ED8D0-3E40-47E0-BDF0-DA792760E8A3}" name="Column15967" dataDxfId="1276" totalsRowDxfId="1275"/>
    <tableColumn id="15982" xr3:uid="{E2995EEE-E9DD-4FE3-B941-2955EE444854}" name="Column15968" dataDxfId="1274" totalsRowDxfId="1273"/>
    <tableColumn id="15983" xr3:uid="{77B83AB8-F6D6-4140-9E04-BFF8B49E851C}" name="Column15969" dataDxfId="1272" totalsRowDxfId="1271"/>
    <tableColumn id="15984" xr3:uid="{D825B12A-6F78-4FFE-B8E6-497A565C8CD3}" name="Column15970" dataDxfId="1270" totalsRowDxfId="1269"/>
    <tableColumn id="15985" xr3:uid="{C4392418-E2DF-4CF5-92B0-6CE45AA53982}" name="Column15971" dataDxfId="1268" totalsRowDxfId="1267"/>
    <tableColumn id="15986" xr3:uid="{2F6F1131-DC1E-42B6-8818-49D278191390}" name="Column15972" dataDxfId="1266" totalsRowDxfId="1265"/>
    <tableColumn id="15987" xr3:uid="{2D167A57-E855-482D-9F17-0265C81AF490}" name="Column15973" dataDxfId="1264" totalsRowDxfId="1263"/>
    <tableColumn id="15988" xr3:uid="{19EE3351-D3F2-4588-ACFB-269B80DA8CC6}" name="Column15974" dataDxfId="1262" totalsRowDxfId="1261"/>
    <tableColumn id="15989" xr3:uid="{90265601-2A5C-430E-BDEE-C42FF3B6956C}" name="Column15975" dataDxfId="1260" totalsRowDxfId="1259"/>
    <tableColumn id="15990" xr3:uid="{062B1CFD-26FC-4CDC-992E-09BAB215655A}" name="Column15976" dataDxfId="1258" totalsRowDxfId="1257"/>
    <tableColumn id="15991" xr3:uid="{559ABD81-476E-409C-9A18-1A44027A8C8D}" name="Column15977" dataDxfId="1256" totalsRowDxfId="1255"/>
    <tableColumn id="15992" xr3:uid="{AEB8DB10-AF2C-47AF-94F3-23AD2FCDA15B}" name="Column15978" dataDxfId="1254" totalsRowDxfId="1253"/>
    <tableColumn id="15993" xr3:uid="{37CE5183-4FE5-4951-AEBF-148A72BB38DA}" name="Column15979" dataDxfId="1252" totalsRowDxfId="1251"/>
    <tableColumn id="15994" xr3:uid="{AF9E29AE-E814-4243-B863-F062AD70AF6D}" name="Column15980" dataDxfId="1250" totalsRowDxfId="1249"/>
    <tableColumn id="15995" xr3:uid="{1D36F8AF-8E70-459A-93AF-8BD22FDBD77C}" name="Column15981" dataDxfId="1248" totalsRowDxfId="1247"/>
    <tableColumn id="15996" xr3:uid="{8C92FC58-32BD-4863-B574-9CF132CB42EF}" name="Column15982" dataDxfId="1246" totalsRowDxfId="1245"/>
    <tableColumn id="15997" xr3:uid="{57131B13-9BFC-49CB-9A38-173C425B4506}" name="Column15983" dataDxfId="1244" totalsRowDxfId="1243"/>
    <tableColumn id="15998" xr3:uid="{C17C4147-C589-4565-9FC2-45C0722D40A6}" name="Column15984" dataDxfId="1242" totalsRowDxfId="1241"/>
    <tableColumn id="15999" xr3:uid="{AF9BA352-DA11-498C-B801-341F53A3BEFC}" name="Column15985" dataDxfId="1240" totalsRowDxfId="1239"/>
    <tableColumn id="16000" xr3:uid="{45DBB335-B1BC-438D-AAD2-D012B7A43E22}" name="Column15986" dataDxfId="1238" totalsRowDxfId="1237"/>
    <tableColumn id="16001" xr3:uid="{F657949A-D4AD-4792-9843-4C72E4FA6BCD}" name="Column15987" dataDxfId="1236" totalsRowDxfId="1235"/>
    <tableColumn id="16002" xr3:uid="{8A7FD87A-FE0D-41AD-9FB0-2FF9F0B5AC1D}" name="Column15988" dataDxfId="1234" totalsRowDxfId="1233"/>
    <tableColumn id="16003" xr3:uid="{96B04868-BDB9-4A1D-9397-7BFCA5ACCB56}" name="Column15989" dataDxfId="1232" totalsRowDxfId="1231"/>
    <tableColumn id="16004" xr3:uid="{A8BD3D45-B95F-4E86-B252-EEF6E29BF259}" name="Column15990" dataDxfId="1230" totalsRowDxfId="1229"/>
    <tableColumn id="16005" xr3:uid="{297E976D-70E9-4E63-8AB7-018E2AA70624}" name="Column15991" dataDxfId="1228" totalsRowDxfId="1227"/>
    <tableColumn id="16006" xr3:uid="{F5486EDD-5107-49DF-B555-27C2CD98647A}" name="Column15992" dataDxfId="1226" totalsRowDxfId="1225"/>
    <tableColumn id="16007" xr3:uid="{63A54E60-188D-48DB-A6E5-D311BCD45250}" name="Column15993" dataDxfId="1224" totalsRowDxfId="1223"/>
    <tableColumn id="16008" xr3:uid="{D91B37AB-9E26-45CF-BC5B-2BB4056A501E}" name="Column15994" dataDxfId="1222" totalsRowDxfId="1221"/>
    <tableColumn id="16009" xr3:uid="{98E5F983-24E2-4B1A-8027-89866E5B5ED6}" name="Column15995" dataDxfId="1220" totalsRowDxfId="1219"/>
    <tableColumn id="16010" xr3:uid="{E0A3FF8C-39B5-4DCC-A6F9-DE10AC7EF9C0}" name="Column15996" dataDxfId="1218" totalsRowDxfId="1217"/>
    <tableColumn id="16011" xr3:uid="{F7B8FACE-AE1F-4DE3-B838-E102BB9E22A6}" name="Column15997" dataDxfId="1216" totalsRowDxfId="1215"/>
    <tableColumn id="16012" xr3:uid="{B80D37F2-E5CC-4192-B205-54526BE52143}" name="Column15998" dataDxfId="1214" totalsRowDxfId="1213"/>
    <tableColumn id="16013" xr3:uid="{CAB26D79-152C-46D6-9D1E-561B10604CE2}" name="Column15999" dataDxfId="1212" totalsRowDxfId="1211"/>
    <tableColumn id="16014" xr3:uid="{EBF87191-DD39-431B-ACFD-EE306CF942AB}" name="Column16000" dataDxfId="1210" totalsRowDxfId="1209"/>
    <tableColumn id="16015" xr3:uid="{62A82575-1617-4FDB-8556-9515E73C9AC3}" name="Column16001" dataDxfId="1208" totalsRowDxfId="1207"/>
    <tableColumn id="16016" xr3:uid="{A6706EA9-AD49-4B49-9BB2-1B44828FDF9E}" name="Column16002" dataDxfId="1206" totalsRowDxfId="1205"/>
    <tableColumn id="16017" xr3:uid="{671B37BC-1748-4650-A289-86A59D62D775}" name="Column16003" dataDxfId="1204" totalsRowDxfId="1203"/>
    <tableColumn id="16018" xr3:uid="{4D54174F-B7A3-4164-881F-2791F29F9D08}" name="Column16004" dataDxfId="1202" totalsRowDxfId="1201"/>
    <tableColumn id="16019" xr3:uid="{93779416-96C5-440E-8353-3903C744463E}" name="Column16005" dataDxfId="1200" totalsRowDxfId="1199"/>
    <tableColumn id="16020" xr3:uid="{36CCDC00-3647-4E63-A2BE-A62CD296A3B5}" name="Column16006" dataDxfId="1198" totalsRowDxfId="1197"/>
    <tableColumn id="16021" xr3:uid="{CCFCB9D9-11D4-44A5-B695-AFA4876BC7A9}" name="Column16007" dataDxfId="1196" totalsRowDxfId="1195"/>
    <tableColumn id="16022" xr3:uid="{95A89F40-3935-4A8A-989C-842DF928E67C}" name="Column16008" dataDxfId="1194" totalsRowDxfId="1193"/>
    <tableColumn id="16023" xr3:uid="{CDE8EF19-4ADF-4CA3-9B8D-E81F35CB4B0E}" name="Column16009" dataDxfId="1192" totalsRowDxfId="1191"/>
    <tableColumn id="16024" xr3:uid="{B39D531B-52EA-4EB8-B584-68B844D8F2D1}" name="Column16010" dataDxfId="1190" totalsRowDxfId="1189"/>
    <tableColumn id="16025" xr3:uid="{DA6C6A99-528F-43A6-95A9-D1EA0742F8D9}" name="Column16011" dataDxfId="1188" totalsRowDxfId="1187"/>
    <tableColumn id="16026" xr3:uid="{2FF087CF-E34C-4C4B-9665-2183EE2F2DDF}" name="Column16012" dataDxfId="1186" totalsRowDxfId="1185"/>
    <tableColumn id="16027" xr3:uid="{47368700-4161-4719-A303-B091376DC349}" name="Column16013" dataDxfId="1184" totalsRowDxfId="1183"/>
    <tableColumn id="16028" xr3:uid="{984C292D-DFE3-4A97-9E18-E2CE4446F95D}" name="Column16014" dataDxfId="1182" totalsRowDxfId="1181"/>
    <tableColumn id="16029" xr3:uid="{EF5E88AD-DD7C-4D0F-81C4-07E2F402309C}" name="Column16015" dataDxfId="1180" totalsRowDxfId="1179"/>
    <tableColumn id="16030" xr3:uid="{D78A0BB8-8F95-424F-ACC4-4151FC397802}" name="Column16016" dataDxfId="1178" totalsRowDxfId="1177"/>
    <tableColumn id="16031" xr3:uid="{C99C615C-B25D-4C4A-A165-7B4866D42CEC}" name="Column16017" dataDxfId="1176" totalsRowDxfId="1175"/>
    <tableColumn id="16032" xr3:uid="{40730B0D-F4C0-4A58-840A-3005266C7C26}" name="Column16018" dataDxfId="1174" totalsRowDxfId="1173"/>
    <tableColumn id="16033" xr3:uid="{C9D7A9CF-A906-403F-AE9A-D0CED11A47CC}" name="Column16019" dataDxfId="1172" totalsRowDxfId="1171"/>
    <tableColumn id="16034" xr3:uid="{99146034-627E-4DD9-B257-439518DD1967}" name="Column16020" dataDxfId="1170" totalsRowDxfId="1169"/>
    <tableColumn id="16035" xr3:uid="{B17A132D-DBB3-48F3-ADFC-61F6D08108E1}" name="Column16021" dataDxfId="1168" totalsRowDxfId="1167"/>
    <tableColumn id="16036" xr3:uid="{F07A951E-FFAD-465B-A835-4027C4826CEB}" name="Column16022" dataDxfId="1166" totalsRowDxfId="1165"/>
    <tableColumn id="16037" xr3:uid="{827A0D00-5D8F-400C-B3B3-69EF8B6B7284}" name="Column16023" dataDxfId="1164" totalsRowDxfId="1163"/>
    <tableColumn id="16038" xr3:uid="{901CC7B4-2C88-4FF0-BF74-6B69ADB4F1C6}" name="Column16024" dataDxfId="1162" totalsRowDxfId="1161"/>
    <tableColumn id="16039" xr3:uid="{C8E7BFEC-328E-44E3-A8D4-8AE883A574B3}" name="Column16025" dataDxfId="1160" totalsRowDxfId="1159"/>
    <tableColumn id="16040" xr3:uid="{EB924FA0-B245-405C-AFF7-082CB624715A}" name="Column16026" dataDxfId="1158" totalsRowDxfId="1157"/>
    <tableColumn id="16041" xr3:uid="{7E04361D-9D63-40A8-A5CE-1EA4941B8FC3}" name="Column16027" dataDxfId="1156" totalsRowDxfId="1155"/>
    <tableColumn id="16042" xr3:uid="{0CE9215E-74D2-4E22-A800-D43DC33E2205}" name="Column16028" dataDxfId="1154" totalsRowDxfId="1153"/>
    <tableColumn id="16043" xr3:uid="{A9A29658-EFC5-4176-9AD9-AB8AD3C88529}" name="Column16029" dataDxfId="1152" totalsRowDxfId="1151"/>
    <tableColumn id="16044" xr3:uid="{4F0DA387-D0EC-4147-898D-4C09D6B9DAB8}" name="Column16030" dataDxfId="1150" totalsRowDxfId="1149"/>
    <tableColumn id="16045" xr3:uid="{67CD4899-0BDC-492E-8C0C-5DFB4443DE1F}" name="Column16031" dataDxfId="1148" totalsRowDxfId="1147"/>
    <tableColumn id="16046" xr3:uid="{473899F1-3D29-452B-A95A-EA92ADB3F4B6}" name="Column16032" dataDxfId="1146" totalsRowDxfId="1145"/>
    <tableColumn id="16047" xr3:uid="{0A598306-925B-40F5-92AC-77B59DF516AF}" name="Column16033" dataDxfId="1144" totalsRowDxfId="1143"/>
    <tableColumn id="16048" xr3:uid="{5BEBE55F-D43B-44D6-8539-C1BB92F4B785}" name="Column16034" dataDxfId="1142" totalsRowDxfId="1141"/>
    <tableColumn id="16049" xr3:uid="{0B9829DC-C246-42CA-AD8D-E3145C9DEA67}" name="Column16035" dataDxfId="1140" totalsRowDxfId="1139"/>
    <tableColumn id="16050" xr3:uid="{3EB10FF3-9AD2-41DF-B407-AE7AA79384D5}" name="Column16036" dataDxfId="1138" totalsRowDxfId="1137"/>
    <tableColumn id="16051" xr3:uid="{9F9E4A84-0DDB-419B-808A-C943C1C8F821}" name="Column16037" dataDxfId="1136" totalsRowDxfId="1135"/>
    <tableColumn id="16052" xr3:uid="{7E8ACCDB-7109-4835-A1A1-2DE7D46DFBBA}" name="Column16038" dataDxfId="1134" totalsRowDxfId="1133"/>
    <tableColumn id="16053" xr3:uid="{950B1E65-F8D4-496A-9E1F-EDA8F1E7925F}" name="Column16039" dataDxfId="1132" totalsRowDxfId="1131"/>
    <tableColumn id="16054" xr3:uid="{33451429-6EDD-4E8D-B3DE-A84D88911FD6}" name="Column16040" dataDxfId="1130" totalsRowDxfId="1129"/>
    <tableColumn id="16055" xr3:uid="{849D2F76-4D72-4267-9B5B-D9FC539CE356}" name="Column16041" dataDxfId="1128" totalsRowDxfId="1127"/>
    <tableColumn id="16056" xr3:uid="{8F561773-B33C-43F1-8268-522491B7ED92}" name="Column16042" dataDxfId="1126" totalsRowDxfId="1125"/>
    <tableColumn id="16057" xr3:uid="{2F70038E-3347-492F-BB65-CD6D63E0F528}" name="Column16043" dataDxfId="1124" totalsRowDxfId="1123"/>
    <tableColumn id="16058" xr3:uid="{6A20A180-4280-4286-A65E-5BB1B3BC3952}" name="Column16044" dataDxfId="1122" totalsRowDxfId="1121"/>
    <tableColumn id="16059" xr3:uid="{DB42747F-363B-431F-9A9E-A38C82F7FD29}" name="Column16045" dataDxfId="1120" totalsRowDxfId="1119"/>
    <tableColumn id="16060" xr3:uid="{9E9CF5AF-D314-4C98-9B7C-C8D466C9E985}" name="Column16046" dataDxfId="1118" totalsRowDxfId="1117"/>
    <tableColumn id="16061" xr3:uid="{CBCD0DF9-0250-4630-B31A-BFFBDD30CC5B}" name="Column16047" dataDxfId="1116" totalsRowDxfId="1115"/>
    <tableColumn id="16062" xr3:uid="{01AE1DA2-F1A5-4A8D-8FF4-2A4948591794}" name="Column16048" dataDxfId="1114" totalsRowDxfId="1113"/>
    <tableColumn id="16063" xr3:uid="{7CBB4123-1B81-4F5A-9342-806BB3129A5D}" name="Column16049" dataDxfId="1112" totalsRowDxfId="1111"/>
    <tableColumn id="16064" xr3:uid="{2FF1CDB2-D063-4640-841C-6D27923858B6}" name="Column16050" dataDxfId="1110" totalsRowDxfId="1109"/>
    <tableColumn id="16065" xr3:uid="{2D3BDFAB-83F1-498F-9D3B-BE8F056156B2}" name="Column16051" dataDxfId="1108" totalsRowDxfId="1107"/>
    <tableColumn id="16066" xr3:uid="{D49A38DF-C61D-4104-8F5A-48DA74FED358}" name="Column16052" dataDxfId="1106" totalsRowDxfId="1105"/>
    <tableColumn id="16067" xr3:uid="{BB9A489E-1CE5-4FB6-95DC-D7E9F85853AD}" name="Column16053" dataDxfId="1104" totalsRowDxfId="1103"/>
    <tableColumn id="16068" xr3:uid="{1CAAFB59-2D13-42EA-B928-84024A15936F}" name="Column16054" dataDxfId="1102" totalsRowDxfId="1101"/>
    <tableColumn id="16069" xr3:uid="{161C5846-D0F0-4CEB-873C-5563578CAFBC}" name="Column16055" dataDxfId="1100" totalsRowDxfId="1099"/>
    <tableColumn id="16070" xr3:uid="{B45241A7-4EE4-41ED-912F-B7EAE1DC83EE}" name="Column16056" dataDxfId="1098" totalsRowDxfId="1097"/>
    <tableColumn id="16071" xr3:uid="{390182A4-6893-4D66-B80F-2A10F83CF3D1}" name="Column16057" dataDxfId="1096" totalsRowDxfId="1095"/>
    <tableColumn id="16072" xr3:uid="{0CDC9F4B-55A7-4CD0-9EC2-BBB79C8373BA}" name="Column16058" dataDxfId="1094" totalsRowDxfId="1093"/>
    <tableColumn id="16073" xr3:uid="{FCB97F13-3A4F-44AD-B9C6-39C2C80D1835}" name="Column16059" dataDxfId="1092" totalsRowDxfId="1091"/>
    <tableColumn id="16074" xr3:uid="{E456A422-ED06-40DB-8A65-88814DB18BED}" name="Column16060" dataDxfId="1090" totalsRowDxfId="1089"/>
    <tableColumn id="16075" xr3:uid="{EA65E22D-F099-4B04-84B4-F4EA7D3F67D6}" name="Column16061" dataDxfId="1088" totalsRowDxfId="1087"/>
    <tableColumn id="16076" xr3:uid="{C2E876A4-ED0B-4465-B6ED-A44E3E8E34B2}" name="Column16062" dataDxfId="1086" totalsRowDxfId="1085"/>
    <tableColumn id="16077" xr3:uid="{0EEF349D-F39B-4869-9F27-858D40F41DF3}" name="Column16063" dataDxfId="1084" totalsRowDxfId="1083"/>
    <tableColumn id="16078" xr3:uid="{B510C310-B6CD-4BB5-9C57-EA53209F86CB}" name="Column16064" dataDxfId="1082" totalsRowDxfId="1081"/>
    <tableColumn id="16079" xr3:uid="{532B532C-1224-4956-A40B-A6B9652F13F8}" name="Column16065" dataDxfId="1080" totalsRowDxfId="1079"/>
    <tableColumn id="16080" xr3:uid="{BA95EC4F-E9BB-49A9-B35D-2554536A8669}" name="Column16066" dataDxfId="1078" totalsRowDxfId="1077"/>
    <tableColumn id="16081" xr3:uid="{DDA5971E-72C6-4BF3-9D4A-3DDF3437BE0E}" name="Column16067" dataDxfId="1076" totalsRowDxfId="1075"/>
    <tableColumn id="16082" xr3:uid="{3B100F05-99CD-4B58-9CB5-2CE62639E0B4}" name="Column16068" dataDxfId="1074" totalsRowDxfId="1073"/>
    <tableColumn id="16083" xr3:uid="{68258566-A93A-4C2D-A04A-D3EFB739B002}" name="Column16069" dataDxfId="1072" totalsRowDxfId="1071"/>
    <tableColumn id="16084" xr3:uid="{1E7EBEE5-2E18-4FE3-A86C-5516E0E68306}" name="Column16070" dataDxfId="1070" totalsRowDxfId="1069"/>
    <tableColumn id="16085" xr3:uid="{1E0FA9D9-D22A-42A2-8A2C-E65BAE9CA428}" name="Column16071" dataDxfId="1068" totalsRowDxfId="1067"/>
    <tableColumn id="16086" xr3:uid="{EB9658A7-3347-4949-8B11-40C48F17FAD8}" name="Column16072" dataDxfId="1066" totalsRowDxfId="1065"/>
    <tableColumn id="16087" xr3:uid="{7B9B6501-4504-400B-BEBF-C8A5D038FC9B}" name="Column16073" dataDxfId="1064" totalsRowDxfId="1063"/>
    <tableColumn id="16088" xr3:uid="{80C01059-A72F-4614-9002-4DA7181871F7}" name="Column16074" dataDxfId="1062" totalsRowDxfId="1061"/>
    <tableColumn id="16089" xr3:uid="{9E6253FB-8380-464C-8413-8C61EB55C125}" name="Column16075" dataDxfId="1060" totalsRowDxfId="1059"/>
    <tableColumn id="16090" xr3:uid="{49EFA420-0A9E-4B37-A7E9-9A7BCF67A6FE}" name="Column16076" dataDxfId="1058" totalsRowDxfId="1057"/>
    <tableColumn id="16091" xr3:uid="{79C418B3-F28B-4757-B973-C63564D901AF}" name="Column16077" dataDxfId="1056" totalsRowDxfId="1055"/>
    <tableColumn id="16092" xr3:uid="{64320B7C-3577-4BE4-9952-23A86ABC5424}" name="Column16078" dataDxfId="1054" totalsRowDxfId="1053"/>
    <tableColumn id="16093" xr3:uid="{98429FE5-6334-457A-BBD8-566579059212}" name="Column16079" dataDxfId="1052" totalsRowDxfId="1051"/>
    <tableColumn id="16094" xr3:uid="{52D38892-9B0A-42FF-BC0D-D3781D45D5DC}" name="Column16080" dataDxfId="1050" totalsRowDxfId="1049"/>
    <tableColumn id="16095" xr3:uid="{1E5F0D1D-BC58-4F5C-85B4-5760FC62B322}" name="Column16081" dataDxfId="1048" totalsRowDxfId="1047"/>
    <tableColumn id="16096" xr3:uid="{67D57825-932A-4E34-92BC-292FB5E3ED0A}" name="Column16082" dataDxfId="1046" totalsRowDxfId="1045"/>
    <tableColumn id="16097" xr3:uid="{A47A5749-6149-435E-99F0-80DA0191FD1E}" name="Column16083" dataDxfId="1044" totalsRowDxfId="1043"/>
    <tableColumn id="16098" xr3:uid="{7EEB06CD-22C9-43B9-A761-4CC4F80A3F43}" name="Column16084" dataDxfId="1042" totalsRowDxfId="1041"/>
    <tableColumn id="16099" xr3:uid="{3A3EAEEE-659A-49FD-A91B-F36AF96701C5}" name="Column16085" dataDxfId="1040" totalsRowDxfId="1039"/>
    <tableColumn id="16100" xr3:uid="{7E824D28-0A9B-46DF-9086-67DA0C25E738}" name="Column16086" dataDxfId="1038" totalsRowDxfId="1037"/>
    <tableColumn id="16101" xr3:uid="{61B6216A-FA4F-401F-9AA3-AFDED7C38AF7}" name="Column16087" dataDxfId="1036" totalsRowDxfId="1035"/>
    <tableColumn id="16102" xr3:uid="{D7AF16BC-66A1-4A9F-B861-A179AA37D0A0}" name="Column16088" dataDxfId="1034" totalsRowDxfId="1033"/>
    <tableColumn id="16103" xr3:uid="{94A40E06-FBF8-43BD-A89F-9889F8790B8E}" name="Column16089" dataDxfId="1032" totalsRowDxfId="1031"/>
    <tableColumn id="16104" xr3:uid="{38F9FB0C-7678-473F-858B-A8359F1F81B9}" name="Column16090" dataDxfId="1030" totalsRowDxfId="1029"/>
    <tableColumn id="16105" xr3:uid="{BC9DAD71-FFDE-4027-BA10-934E17CC721A}" name="Column16091" dataDxfId="1028" totalsRowDxfId="1027"/>
    <tableColumn id="16106" xr3:uid="{A9C78460-E389-4138-97F3-588CFFAFDEEB}" name="Column16092" dataDxfId="1026" totalsRowDxfId="1025"/>
    <tableColumn id="16107" xr3:uid="{338FC54E-B326-4173-A3D7-2E2C8C7243DD}" name="Column16093" dataDxfId="1024" totalsRowDxfId="1023"/>
    <tableColumn id="16108" xr3:uid="{E5F776A7-03E7-4CB8-B5B3-B5CAC6A83DFF}" name="Column16094" dataDxfId="1022" totalsRowDxfId="1021"/>
    <tableColumn id="16109" xr3:uid="{B9EB66DB-FA73-4F64-AC5C-84D8F466D510}" name="Column16095" dataDxfId="1020" totalsRowDxfId="1019"/>
    <tableColumn id="16110" xr3:uid="{6099851C-7554-4CC4-B135-83F9CA61C2D4}" name="Column16096" dataDxfId="1018" totalsRowDxfId="1017"/>
    <tableColumn id="16111" xr3:uid="{A450BEF8-9264-4310-A87E-72C132FE04AD}" name="Column16097" dataDxfId="1016" totalsRowDxfId="1015"/>
    <tableColumn id="16112" xr3:uid="{D654EDEE-554E-46E8-BADD-A2210BDC4E09}" name="Column16098" dataDxfId="1014" totalsRowDxfId="1013"/>
    <tableColumn id="16113" xr3:uid="{66A2B744-504F-484C-8572-336FA0322F07}" name="Column16099" dataDxfId="1012" totalsRowDxfId="1011"/>
    <tableColumn id="16114" xr3:uid="{576C0EC5-93A2-4CD5-BD76-D6A7DBBFBE1C}" name="Column16100" dataDxfId="1010" totalsRowDxfId="1009"/>
    <tableColumn id="16115" xr3:uid="{A0F42C53-11DB-4CD8-9BD4-62D23FA3D7B3}" name="Column16101" dataDxfId="1008" totalsRowDxfId="1007"/>
    <tableColumn id="16116" xr3:uid="{59D4A470-14D1-4FC0-BD2B-C6AFEDF23A2E}" name="Column16102" dataDxfId="1006" totalsRowDxfId="1005"/>
    <tableColumn id="16117" xr3:uid="{B66600A7-1CBC-4F35-95EA-26FD6CF4880F}" name="Column16103" dataDxfId="1004" totalsRowDxfId="1003"/>
    <tableColumn id="16118" xr3:uid="{4C7FA78C-2744-4051-8F48-F658990E5532}" name="Column16104" dataDxfId="1002" totalsRowDxfId="1001"/>
    <tableColumn id="16119" xr3:uid="{73760F33-B979-4E7A-A0F9-D8166E3997F2}" name="Column16105" dataDxfId="1000" totalsRowDxfId="999"/>
    <tableColumn id="16120" xr3:uid="{A15018CB-C156-433C-A7FC-C66B39D8C1EE}" name="Column16106" dataDxfId="998" totalsRowDxfId="997"/>
    <tableColumn id="16121" xr3:uid="{89E2FC57-73A4-40D6-A84E-98481C632FF7}" name="Column16107" dataDxfId="996" totalsRowDxfId="995"/>
    <tableColumn id="16122" xr3:uid="{6478F5BA-27BA-4B9A-94AC-6231AC6832DF}" name="Column16108" dataDxfId="994" totalsRowDxfId="993"/>
    <tableColumn id="16123" xr3:uid="{60B03E58-A8DE-4EE2-B7EE-96D7D34228E9}" name="Column16109" dataDxfId="992" totalsRowDxfId="991"/>
    <tableColumn id="16124" xr3:uid="{BC455464-E7E7-420C-B9EF-342ECCBF6FB1}" name="Column16110" dataDxfId="990" totalsRowDxfId="989"/>
    <tableColumn id="16125" xr3:uid="{CE355D86-D21C-4928-AD4D-6584564813CE}" name="Column16111" dataDxfId="988" totalsRowDxfId="987"/>
    <tableColumn id="16126" xr3:uid="{6DAC57C2-31DD-4265-A963-15D177718237}" name="Column16112" dataDxfId="986" totalsRowDxfId="985"/>
    <tableColumn id="16127" xr3:uid="{182318C2-A107-44AD-AEF5-2B93832E3FFA}" name="Column16113" dataDxfId="984" totalsRowDxfId="983"/>
    <tableColumn id="16128" xr3:uid="{2DA09266-CBD2-44DB-8CE2-BBC416D54B98}" name="Column16114" dataDxfId="982" totalsRowDxfId="981"/>
    <tableColumn id="16129" xr3:uid="{00350C4D-4F70-42EB-AE11-BE4596974E6C}" name="Column16115" dataDxfId="980" totalsRowDxfId="979"/>
    <tableColumn id="16130" xr3:uid="{C324E15A-C3EC-45C0-B779-4AE8E01912D9}" name="Column16116" dataDxfId="978" totalsRowDxfId="977"/>
    <tableColumn id="16131" xr3:uid="{70D238A1-2F43-4AFA-8FA4-66C18DF08EC6}" name="Column16117" dataDxfId="976" totalsRowDxfId="975"/>
    <tableColumn id="16132" xr3:uid="{C444ABD1-BAB2-4CDE-8C1C-905F9BF5609E}" name="Column16118" dataDxfId="974" totalsRowDxfId="973"/>
    <tableColumn id="16133" xr3:uid="{493DFE1D-3AB2-4745-812E-795CAF8A4CAA}" name="Column16119" dataDxfId="972" totalsRowDxfId="971"/>
    <tableColumn id="16134" xr3:uid="{E1E969DC-CF08-4286-813E-C522E760F3CC}" name="Column16120" dataDxfId="970" totalsRowDxfId="969"/>
    <tableColumn id="16135" xr3:uid="{066A9B28-8812-4332-9A7F-68C1FA25D56A}" name="Column16121" dataDxfId="968" totalsRowDxfId="967"/>
    <tableColumn id="16136" xr3:uid="{01EA6AA8-ED1E-4DDD-AAF8-57D65EDF6DD5}" name="Column16122" dataDxfId="966" totalsRowDxfId="965"/>
    <tableColumn id="16137" xr3:uid="{FBA4E9FA-ADAD-4568-B3D3-57314EE4D12A}" name="Column16123" dataDxfId="964" totalsRowDxfId="963"/>
    <tableColumn id="16138" xr3:uid="{0D41D294-883A-4158-9D4D-5DD1D13B188E}" name="Column16124" dataDxfId="962" totalsRowDxfId="961"/>
    <tableColumn id="16139" xr3:uid="{95054341-DD67-43D8-B198-136C9F5B3AA6}" name="Column16125" dataDxfId="960" totalsRowDxfId="959"/>
    <tableColumn id="16140" xr3:uid="{E2096D00-33B7-454A-B0B4-694AE7EA8C66}" name="Column16126" dataDxfId="958" totalsRowDxfId="957"/>
    <tableColumn id="16141" xr3:uid="{9C6BBA39-3AEA-4BB6-83D7-52E37FA9B93F}" name="Column16127" dataDxfId="956" totalsRowDxfId="955"/>
    <tableColumn id="16142" xr3:uid="{E2C5AD28-4F77-4B78-A643-2631D201CD6C}" name="Column16128" dataDxfId="954" totalsRowDxfId="953"/>
    <tableColumn id="16143" xr3:uid="{5F906BEB-B8A2-44D9-8F67-48A9044B8FBD}" name="Column16129" dataDxfId="952" totalsRowDxfId="951"/>
    <tableColumn id="16144" xr3:uid="{F6885B5F-37BE-4E5C-98F9-806867B478AB}" name="Column16130" dataDxfId="950" totalsRowDxfId="949"/>
    <tableColumn id="16145" xr3:uid="{6332EC76-BA84-4A21-843D-CF8693382374}" name="Column16131" dataDxfId="948" totalsRowDxfId="947"/>
    <tableColumn id="16146" xr3:uid="{6A022798-2B5F-40DD-A618-9842D40FD401}" name="Column16132" dataDxfId="946" totalsRowDxfId="945"/>
    <tableColumn id="16147" xr3:uid="{301CDC84-6D0E-4387-9E8A-A7F38F80F248}" name="Column16133" dataDxfId="944" totalsRowDxfId="943"/>
    <tableColumn id="16148" xr3:uid="{A9488C78-C143-4B17-A65C-B96AF7582956}" name="Column16134" dataDxfId="942" totalsRowDxfId="941"/>
    <tableColumn id="16149" xr3:uid="{0B1BF263-00B8-4ED1-84E1-B5E2755A916A}" name="Column16135" dataDxfId="940" totalsRowDxfId="939"/>
    <tableColumn id="16150" xr3:uid="{11501608-D32F-494E-A954-EF6E80BBD28D}" name="Column16136" dataDxfId="938" totalsRowDxfId="937"/>
    <tableColumn id="16151" xr3:uid="{1BD8622F-2218-411C-B685-BE4F4FD990D9}" name="Column16137" dataDxfId="936" totalsRowDxfId="935"/>
    <tableColumn id="16152" xr3:uid="{3CB9FB6E-16AF-4E06-ADC2-9DEBCF9D9AC3}" name="Column16138" dataDxfId="934" totalsRowDxfId="933"/>
    <tableColumn id="16153" xr3:uid="{5F9A8E97-B0FF-4EB9-A388-87980472AA2B}" name="Column16139" dataDxfId="932" totalsRowDxfId="931"/>
    <tableColumn id="16154" xr3:uid="{BD2CB864-2C69-42B3-8379-8FCC74E7BCEF}" name="Column16140" dataDxfId="930" totalsRowDxfId="929"/>
    <tableColumn id="16155" xr3:uid="{C4DA175F-60AB-4A28-84EE-2E1E5F8D09F9}" name="Column16141" dataDxfId="928" totalsRowDxfId="927"/>
    <tableColumn id="16156" xr3:uid="{9E3947F0-C3C7-42A0-A35F-D8C735D0AA91}" name="Column16142" dataDxfId="926" totalsRowDxfId="925"/>
    <tableColumn id="16157" xr3:uid="{AF46F53D-E6D8-4626-A139-21379E20E17B}" name="Column16143" dataDxfId="924" totalsRowDxfId="923"/>
    <tableColumn id="16158" xr3:uid="{897A76C4-8BD8-4BB3-B8C4-9B60FF5D2B54}" name="Column16144" dataDxfId="922" totalsRowDxfId="921"/>
    <tableColumn id="16159" xr3:uid="{880A42C2-009F-4272-A286-B82184D062C7}" name="Column16145" dataDxfId="920" totalsRowDxfId="919"/>
    <tableColumn id="16160" xr3:uid="{631A433A-E4A2-4C69-A3D3-2CA8AC4C9278}" name="Column16146" dataDxfId="918" totalsRowDxfId="917"/>
    <tableColumn id="16161" xr3:uid="{5970A766-C3C1-4C32-9A98-EAF229DF4EFA}" name="Column16147" dataDxfId="916" totalsRowDxfId="915"/>
    <tableColumn id="16162" xr3:uid="{DE6B7688-5E87-4364-82CA-DEF624E4C4CA}" name="Column16148" dataDxfId="914" totalsRowDxfId="913"/>
    <tableColumn id="16163" xr3:uid="{C548901F-0A97-4B4F-9234-2FE3C170F978}" name="Column16149" dataDxfId="912" totalsRowDxfId="911"/>
    <tableColumn id="16164" xr3:uid="{1BC9BE61-23B7-4AED-AA25-B53A03E51382}" name="Column16150" dataDxfId="910" totalsRowDxfId="909"/>
    <tableColumn id="16165" xr3:uid="{3C43322C-7A30-472F-BB4E-662F5871245E}" name="Column16151" dataDxfId="908" totalsRowDxfId="907"/>
    <tableColumn id="16166" xr3:uid="{7DBD488D-A7E7-41D6-B8E2-8838150CAEB0}" name="Column16152" dataDxfId="906" totalsRowDxfId="905"/>
    <tableColumn id="16167" xr3:uid="{6A44D45D-5BEC-40E6-A416-FB5FE0346694}" name="Column16153" dataDxfId="904" totalsRowDxfId="903"/>
    <tableColumn id="16168" xr3:uid="{2915BC19-F897-4313-971B-AD0F248C459F}" name="Column16154" dataDxfId="902" totalsRowDxfId="901"/>
    <tableColumn id="16169" xr3:uid="{5D09F57A-C97F-4F79-8D81-D7C4E2F4828C}" name="Column16155" dataDxfId="900" totalsRowDxfId="899"/>
    <tableColumn id="16170" xr3:uid="{FA5C0066-07A2-4B2E-8897-8582FE2B3004}" name="Column16156" dataDxfId="898" totalsRowDxfId="897"/>
    <tableColumn id="16171" xr3:uid="{3C555557-B10B-4D32-A34D-2E72092EB3BE}" name="Column16157" dataDxfId="896" totalsRowDxfId="895"/>
    <tableColumn id="16172" xr3:uid="{D41DB49F-EAFC-4A69-8A1A-404AD48F6362}" name="Column16158" dataDxfId="894" totalsRowDxfId="893"/>
    <tableColumn id="16173" xr3:uid="{A6F01DA7-D0D5-4D61-A789-4F42EC5520F0}" name="Column16159" dataDxfId="892" totalsRowDxfId="891"/>
    <tableColumn id="16174" xr3:uid="{5241A08D-3A73-4D5D-917D-B58A767A75DC}" name="Column16160" dataDxfId="890" totalsRowDxfId="889"/>
    <tableColumn id="16175" xr3:uid="{D01676BC-D68E-4B1C-995C-D2B90580B48F}" name="Column16161" dataDxfId="888" totalsRowDxfId="887"/>
    <tableColumn id="16176" xr3:uid="{CF1CEBF0-50CA-48F6-A5A6-E4939A2F05D1}" name="Column16162" dataDxfId="886" totalsRowDxfId="885"/>
    <tableColumn id="16177" xr3:uid="{DE3E3FB8-6738-4BE2-89D9-BE9DDA369725}" name="Column16163" dataDxfId="884" totalsRowDxfId="883"/>
    <tableColumn id="16178" xr3:uid="{49F0ED29-98F1-405A-932F-C6C4CFAB5308}" name="Column16164" dataDxfId="882" totalsRowDxfId="881"/>
    <tableColumn id="16179" xr3:uid="{E3A6AE20-B697-4A4B-BC77-899868C35C43}" name="Column16165" dataDxfId="880" totalsRowDxfId="879"/>
    <tableColumn id="16180" xr3:uid="{A3DF1C28-2BAF-41A5-AF32-120AC78681BF}" name="Column16166" dataDxfId="878" totalsRowDxfId="877"/>
    <tableColumn id="16181" xr3:uid="{C17B28DA-A7E4-4DF2-A0CE-E273B4B9AAD3}" name="Column16167" dataDxfId="876" totalsRowDxfId="875"/>
    <tableColumn id="16182" xr3:uid="{FB9D77F1-C485-4506-A5AE-BF669076CC92}" name="Column16168" dataDxfId="874" totalsRowDxfId="873"/>
    <tableColumn id="16183" xr3:uid="{7CCA200A-E811-414D-AF3E-D23DCB2AB1E6}" name="Column16169" dataDxfId="872" totalsRowDxfId="871"/>
    <tableColumn id="16184" xr3:uid="{700AC4FD-793B-4201-8804-E7FFCC52568A}" name="Column16170" dataDxfId="870" totalsRowDxfId="869"/>
    <tableColumn id="16185" xr3:uid="{32430941-3AD0-4988-95B2-F2BB19A837F2}" name="Column16171" dataDxfId="868" totalsRowDxfId="867"/>
    <tableColumn id="16186" xr3:uid="{B7A7A0B6-81D3-486E-80A0-3CE55B33841D}" name="Column16172" dataDxfId="866" totalsRowDxfId="865"/>
    <tableColumn id="16187" xr3:uid="{783071C8-90BE-4A0A-9D29-9B4BC07DB7B7}" name="Column16173" dataDxfId="864" totalsRowDxfId="863"/>
    <tableColumn id="16188" xr3:uid="{54F9C745-3D13-4461-BE1C-0B893F4A5E72}" name="Column16174" dataDxfId="862" totalsRowDxfId="861"/>
    <tableColumn id="16189" xr3:uid="{0D6AA394-02D0-4056-8381-9F74DBADABBE}" name="Column16175" dataDxfId="860" totalsRowDxfId="859"/>
    <tableColumn id="16190" xr3:uid="{B3E09DE7-4153-4725-B110-D908F17E3524}" name="Column16176" dataDxfId="858" totalsRowDxfId="857"/>
    <tableColumn id="16191" xr3:uid="{148D1AB1-9706-4C1C-9C87-99D98EE2C11E}" name="Column16177" dataDxfId="856" totalsRowDxfId="855"/>
    <tableColumn id="16192" xr3:uid="{BA819D8F-A3E5-4501-85F3-8F450A9DE5BA}" name="Column16178" dataDxfId="854" totalsRowDxfId="853"/>
    <tableColumn id="16193" xr3:uid="{93142346-E2BF-46F2-84D5-8997D4C15947}" name="Column16179" dataDxfId="852" totalsRowDxfId="851"/>
    <tableColumn id="16194" xr3:uid="{03CB9626-E889-4766-B9E6-70437992F2A1}" name="Column16180" dataDxfId="850" totalsRowDxfId="849"/>
    <tableColumn id="16195" xr3:uid="{5C95385D-467C-4CA3-9E59-63153C9E544D}" name="Column16181" dataDxfId="848" totalsRowDxfId="847"/>
    <tableColumn id="16196" xr3:uid="{4E260740-0660-4BB1-BD19-8E487D0AE7B4}" name="Column16182" dataDxfId="846" totalsRowDxfId="845"/>
    <tableColumn id="16197" xr3:uid="{32ABA1F5-1D4D-44D8-8874-69DFE6B9E0B4}" name="Column16183" dataDxfId="844" totalsRowDxfId="843"/>
    <tableColumn id="16198" xr3:uid="{7267CC46-ADDE-4953-97F1-50CF6B104C0D}" name="Column16184" dataDxfId="842" totalsRowDxfId="841"/>
    <tableColumn id="16199" xr3:uid="{7E658603-5173-41E9-9ED6-C174DDB28D07}" name="Column16185" dataDxfId="840" totalsRowDxfId="839"/>
    <tableColumn id="16200" xr3:uid="{E71BB9E9-9057-489A-A49D-AEB9B30175C2}" name="Column16186" dataDxfId="838" totalsRowDxfId="837"/>
    <tableColumn id="16201" xr3:uid="{BF1D8CDD-6441-45ED-92FB-DE8540AF94E8}" name="Column16187" dataDxfId="836" totalsRowDxfId="835"/>
    <tableColumn id="16202" xr3:uid="{1E57A0CD-B7BC-4316-9066-ADFE6F3DAC67}" name="Column16188" dataDxfId="834" totalsRowDxfId="833"/>
    <tableColumn id="16203" xr3:uid="{C74E4F59-55A1-46C6-AECD-0C4BA2598E83}" name="Column16189" dataDxfId="832" totalsRowDxfId="831"/>
    <tableColumn id="16204" xr3:uid="{71058A7C-F933-4AE7-97DE-6BFE9AD1AD93}" name="Column16190" dataDxfId="830" totalsRowDxfId="829"/>
    <tableColumn id="16205" xr3:uid="{C9C1DBF0-E79E-4E9E-BFFA-FBD44515A7C0}" name="Column16191" dataDxfId="828" totalsRowDxfId="827"/>
    <tableColumn id="16206" xr3:uid="{5A3DA732-AA37-4C5F-A5FA-D6C738379AAE}" name="Column16192" dataDxfId="826" totalsRowDxfId="825"/>
    <tableColumn id="16207" xr3:uid="{0ECD4FC2-BF61-4FBC-B094-4923B84E07DE}" name="Column16193" dataDxfId="824" totalsRowDxfId="823"/>
    <tableColumn id="16208" xr3:uid="{4A25513B-680F-440B-AF82-0E49DBF9A2FE}" name="Column16194" dataDxfId="822" totalsRowDxfId="821"/>
    <tableColumn id="16209" xr3:uid="{AF6994A0-3264-4353-98C8-117DADDFB78D}" name="Column16195" dataDxfId="820" totalsRowDxfId="819"/>
    <tableColumn id="16210" xr3:uid="{E9582233-78D1-4EBB-AE81-EBD4FA1B46CC}" name="Column16196" dataDxfId="818" totalsRowDxfId="817"/>
    <tableColumn id="16211" xr3:uid="{5A47CE4E-716C-4B7D-9454-EDA2DF69CDD2}" name="Column16197" dataDxfId="816" totalsRowDxfId="815"/>
    <tableColumn id="16212" xr3:uid="{F0087B26-C3DA-4029-AC8C-552817D89F3B}" name="Column16198" dataDxfId="814" totalsRowDxfId="813"/>
    <tableColumn id="16213" xr3:uid="{4E946EFB-9E6E-432E-8FE7-9C0B58C049A1}" name="Column16199" dataDxfId="812" totalsRowDxfId="811"/>
    <tableColumn id="16214" xr3:uid="{617FB3E4-0BC6-41DF-8530-69C77BC2C768}" name="Column16200" dataDxfId="810" totalsRowDxfId="809"/>
    <tableColumn id="16215" xr3:uid="{5A7F6855-C0FA-4CEA-B186-81A8D588E0F1}" name="Column16201" dataDxfId="808" totalsRowDxfId="807"/>
    <tableColumn id="16216" xr3:uid="{5F0483F4-6536-42D0-ADF2-1BB2D9D27AA8}" name="Column16202" dataDxfId="806" totalsRowDxfId="805"/>
    <tableColumn id="16217" xr3:uid="{5528CFEB-CA6A-4889-AA0B-875640D3B3DF}" name="Column16203" dataDxfId="804" totalsRowDxfId="803"/>
    <tableColumn id="16218" xr3:uid="{DC56AEC6-E3EC-4E51-93CF-D2F33394C2F9}" name="Column16204" dataDxfId="802" totalsRowDxfId="801"/>
    <tableColumn id="16219" xr3:uid="{6EEF8C5E-F5E7-45D0-9ABD-E2E550F5987E}" name="Column16205" dataDxfId="800" totalsRowDxfId="799"/>
    <tableColumn id="16220" xr3:uid="{04189917-C65E-432B-B17C-A92CA172FD7C}" name="Column16206" dataDxfId="798" totalsRowDxfId="797"/>
    <tableColumn id="16221" xr3:uid="{4384C9B3-406B-4A28-9DF2-F1DE00DBD89C}" name="Column16207" dataDxfId="796" totalsRowDxfId="795"/>
    <tableColumn id="16222" xr3:uid="{6384A619-A8F8-4527-A38B-2CCCA2F8F93E}" name="Column16208" dataDxfId="794" totalsRowDxfId="793"/>
    <tableColumn id="16223" xr3:uid="{A2A20D4D-E8CC-45C0-AB4E-C2A5CD217B90}" name="Column16209" dataDxfId="792" totalsRowDxfId="791"/>
    <tableColumn id="16224" xr3:uid="{55C6A847-696B-4680-879C-E921DF1CEE30}" name="Column16210" dataDxfId="790" totalsRowDxfId="789"/>
    <tableColumn id="16225" xr3:uid="{32385D0D-4A3C-4AC3-9FFC-61872438F1C4}" name="Column16211" dataDxfId="788" totalsRowDxfId="787"/>
    <tableColumn id="16226" xr3:uid="{912CD4EC-F802-443A-8EAF-5C796EBC6621}" name="Column16212" dataDxfId="786" totalsRowDxfId="785"/>
    <tableColumn id="16227" xr3:uid="{A4A3C71C-654B-427C-ABF5-9D2C3447AE73}" name="Column16213" dataDxfId="784" totalsRowDxfId="783"/>
    <tableColumn id="16228" xr3:uid="{39648FC6-6653-432E-A479-5BDB61B0B4D2}" name="Column16214" dataDxfId="782" totalsRowDxfId="781"/>
    <tableColumn id="16229" xr3:uid="{E9D81B83-7F98-4C4A-942C-0439A2C3DD2E}" name="Column16215" dataDxfId="780" totalsRowDxfId="779"/>
    <tableColumn id="16230" xr3:uid="{22CED640-C202-4747-A9B3-A35C79FB07FF}" name="Column16216" dataDxfId="778" totalsRowDxfId="777"/>
    <tableColumn id="16231" xr3:uid="{E2BF5A33-918F-4305-9B46-00BC403AB6CB}" name="Column16217" dataDxfId="776" totalsRowDxfId="775"/>
    <tableColumn id="16232" xr3:uid="{EE8D8731-B33D-4651-8132-0128E33D525B}" name="Column16218" dataDxfId="774" totalsRowDxfId="773"/>
    <tableColumn id="16233" xr3:uid="{6876BCC5-5297-4418-A485-BD2BC8708309}" name="Column16219" dataDxfId="772" totalsRowDxfId="771"/>
    <tableColumn id="16234" xr3:uid="{1F368EA8-1B4E-4A17-88CC-A3F58DDD8617}" name="Column16220" dataDxfId="770" totalsRowDxfId="769"/>
    <tableColumn id="16235" xr3:uid="{013C1374-D2A1-494D-92C9-EA769C5C111B}" name="Column16221" dataDxfId="768" totalsRowDxfId="767"/>
    <tableColumn id="16236" xr3:uid="{0569946F-B106-4BC7-98DB-30192991C316}" name="Column16222" dataDxfId="766" totalsRowDxfId="765"/>
    <tableColumn id="16237" xr3:uid="{66BD343A-DFE5-420D-A078-5008510D4299}" name="Column16223" dataDxfId="764" totalsRowDxfId="763"/>
    <tableColumn id="16238" xr3:uid="{1AF8DA8B-79DD-4037-9B9F-1790AAF37399}" name="Column16224" dataDxfId="762" totalsRowDxfId="761"/>
    <tableColumn id="16239" xr3:uid="{83EBF2A7-4687-4764-941E-34ED3CAA9A5B}" name="Column16225" dataDxfId="760" totalsRowDxfId="759"/>
    <tableColumn id="16240" xr3:uid="{A94449A9-2FA9-42ED-ADB4-6203BDB6BC38}" name="Column16226" dataDxfId="758" totalsRowDxfId="757"/>
    <tableColumn id="16241" xr3:uid="{666D3341-42FD-4167-999B-060271C9577E}" name="Column16227" dataDxfId="756" totalsRowDxfId="755"/>
    <tableColumn id="16242" xr3:uid="{FA3C7338-AD77-43EC-A8E2-14D61C18D288}" name="Column16228" dataDxfId="754" totalsRowDxfId="753"/>
    <tableColumn id="16243" xr3:uid="{1911325A-BFF5-4275-B216-E9618621F0CF}" name="Column16229" dataDxfId="752" totalsRowDxfId="751"/>
    <tableColumn id="16244" xr3:uid="{3F6EED01-A7E1-4012-8B66-DE598849629B}" name="Column16230" dataDxfId="750" totalsRowDxfId="749"/>
    <tableColumn id="16245" xr3:uid="{745793FE-9A6A-4383-9995-23555C097E08}" name="Column16231" dataDxfId="748" totalsRowDxfId="747"/>
    <tableColumn id="16246" xr3:uid="{13CFD6F7-ED90-4A59-8932-DCCBC1627197}" name="Column16232" dataDxfId="746" totalsRowDxfId="745"/>
    <tableColumn id="16247" xr3:uid="{819021B9-165C-44FC-A5FB-FB7B59B0D4BB}" name="Column16233" dataDxfId="744" totalsRowDxfId="743"/>
    <tableColumn id="16248" xr3:uid="{03593929-81F9-4D3F-9541-EE720AB2AC08}" name="Column16234" dataDxfId="742" totalsRowDxfId="741"/>
    <tableColumn id="16249" xr3:uid="{38260EF1-98FC-462C-B883-573093EFF397}" name="Column16235" dataDxfId="740" totalsRowDxfId="739"/>
    <tableColumn id="16250" xr3:uid="{2ECC2757-1AFA-42B8-87F5-E6EA7E74028B}" name="Column16236" dataDxfId="738" totalsRowDxfId="737"/>
    <tableColumn id="16251" xr3:uid="{57304780-E578-4B2C-9E0A-82074A4FE9A8}" name="Column16237" dataDxfId="736" totalsRowDxfId="735"/>
    <tableColumn id="16252" xr3:uid="{93F17BC9-38BC-4FA6-984F-037683F191B3}" name="Column16238" dataDxfId="734" totalsRowDxfId="733"/>
    <tableColumn id="16253" xr3:uid="{3CE96FFC-1076-439A-9403-3F79405612C3}" name="Column16239" dataDxfId="732" totalsRowDxfId="731"/>
    <tableColumn id="16254" xr3:uid="{A245FC84-05C2-4245-9E0F-30DFC91943FD}" name="Column16240" dataDxfId="730" totalsRowDxfId="729"/>
    <tableColumn id="16255" xr3:uid="{82C8DCE6-A52D-48C0-8DE9-0F72E8597CDD}" name="Column16241" dataDxfId="728" totalsRowDxfId="727"/>
    <tableColumn id="16256" xr3:uid="{04E0EEBA-1478-41AE-BE24-97D5CBA44550}" name="Column16242" dataDxfId="726" totalsRowDxfId="725"/>
    <tableColumn id="16257" xr3:uid="{54B3AFC8-1757-4792-BC8B-8C981D94C14E}" name="Column16243" dataDxfId="724" totalsRowDxfId="723"/>
    <tableColumn id="16258" xr3:uid="{87A974EB-EE65-48F4-A4DC-C706B732A9BF}" name="Column16244" dataDxfId="722" totalsRowDxfId="721"/>
    <tableColumn id="16259" xr3:uid="{87BCE535-3AAA-44C9-80B9-73AE58B06350}" name="Column16245" dataDxfId="720" totalsRowDxfId="719"/>
    <tableColumn id="16260" xr3:uid="{583BE372-8610-4622-A374-13939C5A6211}" name="Column16246" dataDxfId="718" totalsRowDxfId="717"/>
    <tableColumn id="16261" xr3:uid="{71F7877E-7C27-4C90-BC59-DE01F0184F0E}" name="Column16247" dataDxfId="716" totalsRowDxfId="715"/>
    <tableColumn id="16262" xr3:uid="{7711AB8D-E7F7-457A-BE84-C5E350B058D6}" name="Column16248" dataDxfId="714" totalsRowDxfId="713"/>
    <tableColumn id="16263" xr3:uid="{70F3C888-05D3-4D6D-AAF8-AF70462B5E9E}" name="Column16249" dataDxfId="712" totalsRowDxfId="711"/>
    <tableColumn id="16264" xr3:uid="{3D09B2C9-C2F3-49FC-B529-1A8D468CE5DD}" name="Column16250" dataDxfId="710" totalsRowDxfId="709"/>
    <tableColumn id="16265" xr3:uid="{A0666257-D644-4536-B008-40E6DC53B5AD}" name="Column16251" dataDxfId="708" totalsRowDxfId="707"/>
    <tableColumn id="16266" xr3:uid="{A946D55D-ADA5-447A-92DE-9A1F74C8969F}" name="Column16252" dataDxfId="706" totalsRowDxfId="705"/>
    <tableColumn id="16267" xr3:uid="{A1F2B5F6-D595-451F-84BA-51BC9250D72E}" name="Column16253" dataDxfId="704" totalsRowDxfId="703"/>
    <tableColumn id="16268" xr3:uid="{A19A75E2-51E0-4AE8-994E-DEB6EDD77617}" name="Column16254" dataDxfId="702" totalsRowDxfId="701"/>
    <tableColumn id="16269" xr3:uid="{F1BD57A0-3B03-4892-A619-F9F188D8B4FA}" name="Column16255" dataDxfId="700" totalsRowDxfId="699"/>
    <tableColumn id="16270" xr3:uid="{BF34068A-4447-4861-A3C2-E74A015E3EB2}" name="Column16256" dataDxfId="698" totalsRowDxfId="697"/>
    <tableColumn id="16271" xr3:uid="{275D85FF-4025-4F83-8CD8-B40BAFDFB741}" name="Column16257" dataDxfId="696" totalsRowDxfId="695"/>
    <tableColumn id="16272" xr3:uid="{D0416052-FDC7-4C2B-8F75-AF638DF9A631}" name="Column16258" dataDxfId="694" totalsRowDxfId="693"/>
    <tableColumn id="16273" xr3:uid="{A7B0D9C2-CAAB-4263-BCEC-981D57605FED}" name="Column16259" dataDxfId="692" totalsRowDxfId="691"/>
    <tableColumn id="16274" xr3:uid="{CBEA8A9B-521A-4F73-AD94-0D411E3D547B}" name="Column16260" dataDxfId="690" totalsRowDxfId="689"/>
    <tableColumn id="16275" xr3:uid="{35F1A784-BF67-4970-8FC6-D351D97AD235}" name="Column16261" dataDxfId="688" totalsRowDxfId="687"/>
    <tableColumn id="16276" xr3:uid="{FF7B080D-5A32-4B16-8A5D-9E28CCAD3F24}" name="Column16262" dataDxfId="686" totalsRowDxfId="685"/>
    <tableColumn id="16277" xr3:uid="{E273A368-ED8C-4F80-A316-932F84DFBF43}" name="Column16263" dataDxfId="684" totalsRowDxfId="683"/>
    <tableColumn id="16278" xr3:uid="{3A4CB91F-9293-4E85-9EA2-2B2E75FA97A2}" name="Column16264" dataDxfId="682" totalsRowDxfId="681"/>
    <tableColumn id="16279" xr3:uid="{70888387-491A-4C4D-B4B2-725789761A4C}" name="Column16265" dataDxfId="680" totalsRowDxfId="679"/>
    <tableColumn id="16280" xr3:uid="{A8ECC8BD-0DF7-4292-A05E-580D81582CD4}" name="Column16266" dataDxfId="678" totalsRowDxfId="677"/>
    <tableColumn id="16281" xr3:uid="{1253131C-CD04-4131-B7AF-635A12E1A768}" name="Column16267" dataDxfId="676" totalsRowDxfId="675"/>
    <tableColumn id="16282" xr3:uid="{198EBA64-9E80-4B4E-9ECF-027D524B31AA}" name="Column16268" dataDxfId="674" totalsRowDxfId="673"/>
    <tableColumn id="16283" xr3:uid="{4A7C0F78-7DB1-48F3-B1D0-9977EB21215A}" name="Column16269" dataDxfId="672" totalsRowDxfId="671"/>
    <tableColumn id="16284" xr3:uid="{9BCFAC06-300B-46F1-ADF0-A6D2C44B20D5}" name="Column16270" dataDxfId="670" totalsRowDxfId="669"/>
    <tableColumn id="16285" xr3:uid="{9D6CAE77-60EE-4832-83F3-1839DE2C0497}" name="Column16271" dataDxfId="668" totalsRowDxfId="667"/>
    <tableColumn id="16286" xr3:uid="{10FEFD1C-EDD9-4377-936B-4142B8589C17}" name="Column16272" dataDxfId="666" totalsRowDxfId="665"/>
    <tableColumn id="16287" xr3:uid="{8F94ADA2-923D-485E-A903-6ED8F12F0FF4}" name="Column16273" dataDxfId="664" totalsRowDxfId="663"/>
    <tableColumn id="16288" xr3:uid="{01127FDE-F97A-46E9-A7E2-EEB880EDCB49}" name="Column16274" dataDxfId="662" totalsRowDxfId="661"/>
    <tableColumn id="16289" xr3:uid="{7F259ED2-E5B7-43F5-9B58-91FD4D9881F3}" name="Column16275" dataDxfId="660" totalsRowDxfId="659"/>
    <tableColumn id="16290" xr3:uid="{0A84D0C4-42E2-4E0E-8F91-EBF1B61D8409}" name="Column16276" dataDxfId="658" totalsRowDxfId="657"/>
    <tableColumn id="16291" xr3:uid="{B2ABFC62-7059-42A7-A75B-CE54A1CBAB23}" name="Column16277" dataDxfId="656" totalsRowDxfId="655"/>
    <tableColumn id="16292" xr3:uid="{452CB66B-691B-4362-97E8-C23E17A6327C}" name="Column16278" dataDxfId="654" totalsRowDxfId="653"/>
    <tableColumn id="16293" xr3:uid="{BE8A9FBA-8F01-4FEB-B000-67C305B1120A}" name="Column16279" dataDxfId="652" totalsRowDxfId="651"/>
    <tableColumn id="16294" xr3:uid="{57DE31A7-4A23-47B8-91CF-EA66106AFB47}" name="Column16280" dataDxfId="650" totalsRowDxfId="649"/>
    <tableColumn id="16295" xr3:uid="{7301ECAF-E2D6-4286-BCFE-80CE495129EE}" name="Column16281" dataDxfId="648" totalsRowDxfId="647"/>
    <tableColumn id="16296" xr3:uid="{38DD26FA-4CA7-49BD-8FA7-742140029D60}" name="Column16282" dataDxfId="646" totalsRowDxfId="645"/>
    <tableColumn id="16297" xr3:uid="{B3D24DFD-BB92-4B62-AED6-201E1BEA6A16}" name="Column16283" dataDxfId="644" totalsRowDxfId="643"/>
    <tableColumn id="16298" xr3:uid="{F68B548D-263A-4B1F-AAC3-7EDD74D5074F}" name="Column16284" dataDxfId="642" totalsRowDxfId="641"/>
    <tableColumn id="16299" xr3:uid="{D85B1BEA-33EC-4DDF-B2C5-C5AE782AFFCA}" name="Column16285" dataDxfId="640" totalsRowDxfId="639"/>
    <tableColumn id="16300" xr3:uid="{F655FC91-AC49-41E0-94B2-2D79A974F827}" name="Column16286" dataDxfId="638" totalsRowDxfId="637"/>
    <tableColumn id="16301" xr3:uid="{5DAC16B3-9671-4545-B94F-01F0A8C8A7AA}" name="Column16287" dataDxfId="636" totalsRowDxfId="635"/>
    <tableColumn id="16302" xr3:uid="{5F0CBA5A-F657-48C4-8682-1A5123E154CD}" name="Column16288" dataDxfId="634" totalsRowDxfId="633"/>
    <tableColumn id="16303" xr3:uid="{5B658F48-4C4E-4847-B826-16925E5BDD4D}" name="Column16289" dataDxfId="632" totalsRowDxfId="631"/>
    <tableColumn id="16304" xr3:uid="{EF799AF7-81AE-441E-8DC9-63142DFE479B}" name="Column16290" dataDxfId="630" totalsRowDxfId="629"/>
    <tableColumn id="16305" xr3:uid="{6E4B6DAC-E271-4993-B241-E021B7B20A75}" name="Column16291" dataDxfId="628" totalsRowDxfId="627"/>
    <tableColumn id="16306" xr3:uid="{7A966A8E-5F79-435A-8B78-BBCBEE5963B0}" name="Column16292" dataDxfId="626" totalsRowDxfId="625"/>
    <tableColumn id="16307" xr3:uid="{F221584E-B998-48CC-AB6C-DCF447DD85ED}" name="Column16293" dataDxfId="624" totalsRowDxfId="623"/>
    <tableColumn id="16308" xr3:uid="{ECF6F22D-8592-4FA5-97CE-F5CB4D7FC477}" name="Column16294" dataDxfId="622" totalsRowDxfId="621"/>
    <tableColumn id="16309" xr3:uid="{92496DCA-7A37-466C-A968-4BD1CDD00504}" name="Column16295" dataDxfId="620" totalsRowDxfId="619"/>
    <tableColumn id="16310" xr3:uid="{0FB4DD28-4957-44EE-A558-B196B829E5C0}" name="Column16296" dataDxfId="618" totalsRowDxfId="617"/>
    <tableColumn id="16311" xr3:uid="{C89810FA-441B-490F-85F1-FE29D1F51D52}" name="Column16297" dataDxfId="616" totalsRowDxfId="615"/>
    <tableColumn id="16312" xr3:uid="{5DE1523C-8D3F-43E5-AE8F-D305FFF7A30F}" name="Column16298" dataDxfId="614" totalsRowDxfId="613"/>
    <tableColumn id="16313" xr3:uid="{D4354B86-9127-458E-A67F-A2173D771FA4}" name="Column16299" dataDxfId="612" totalsRowDxfId="611"/>
    <tableColumn id="16314" xr3:uid="{6C4215B8-9497-4906-BEF6-8DEB63CF0815}" name="Column16300" dataDxfId="610" totalsRowDxfId="609"/>
    <tableColumn id="16315" xr3:uid="{C62B6684-5C70-43CA-8609-984D4BC698CB}" name="Column16301" dataDxfId="608" totalsRowDxfId="607"/>
    <tableColumn id="16316" xr3:uid="{D8E23A28-EBBC-484B-B150-D47A6E5448F5}" name="Column16302" dataDxfId="606" totalsRowDxfId="605"/>
    <tableColumn id="16317" xr3:uid="{D538D056-B86D-4E1C-91D5-9EC2FA4EEF6B}" name="Column16303" dataDxfId="604" totalsRowDxfId="603"/>
    <tableColumn id="16318" xr3:uid="{F182D32D-12BD-424F-94B1-01DAE499C98E}" name="Column16304" dataDxfId="602" totalsRowDxfId="601"/>
    <tableColumn id="16319" xr3:uid="{321349AA-5023-4BDE-A179-BCA28C421FE9}" name="Column16305" dataDxfId="600" totalsRowDxfId="599"/>
    <tableColumn id="16320" xr3:uid="{418477EE-E688-412E-B739-F7594CA83387}" name="Column16306" dataDxfId="598" totalsRowDxfId="597"/>
    <tableColumn id="16321" xr3:uid="{F4C11500-4626-4004-8D99-92F23E3F5CC6}" name="Column16307" dataDxfId="596" totalsRowDxfId="595"/>
    <tableColumn id="16322" xr3:uid="{B39761FE-6A86-44DD-BDD7-89980719D295}" name="Column16308" dataDxfId="594" totalsRowDxfId="593"/>
    <tableColumn id="16323" xr3:uid="{5E65D5BA-A865-43DD-8517-5A20A21D101B}" name="Column16309" dataDxfId="592" totalsRowDxfId="591"/>
    <tableColumn id="16324" xr3:uid="{EA163BE6-592E-408E-900E-76BD49BFE77C}" name="Column16310" dataDxfId="590" totalsRowDxfId="589"/>
    <tableColumn id="16325" xr3:uid="{C5CC6169-0F02-4866-9B6A-71F3E36501C3}" name="Column16311" dataDxfId="588" totalsRowDxfId="587"/>
    <tableColumn id="16326" xr3:uid="{89BAF02B-9323-4555-B808-421DB06CC276}" name="Column16312" dataDxfId="586" totalsRowDxfId="585"/>
    <tableColumn id="16327" xr3:uid="{2E18F35A-535E-4141-BD9F-41A95323291D}" name="Column16313" dataDxfId="584" totalsRowDxfId="583"/>
    <tableColumn id="16328" xr3:uid="{E751B544-1DA1-4064-B14C-C9EFD928F491}" name="Column16314" dataDxfId="582" totalsRowDxfId="581"/>
    <tableColumn id="16329" xr3:uid="{4B57782B-AD55-4401-A829-BD22E773333E}" name="Column16315" dataDxfId="580" totalsRowDxfId="579"/>
    <tableColumn id="16330" xr3:uid="{7F2419CE-7340-4F2D-87A9-F86F168BB2D2}" name="Column16316" dataDxfId="578" totalsRowDxfId="577"/>
    <tableColumn id="16331" xr3:uid="{39387CE0-BFEA-4C0B-8ABD-EB29272FA3D4}" name="Column16317" dataDxfId="576" totalsRowDxfId="575"/>
    <tableColumn id="16332" xr3:uid="{1533C0CA-A9CE-4ED5-841F-40360F05C577}" name="Column16318" dataDxfId="574" totalsRowDxfId="573"/>
    <tableColumn id="16333" xr3:uid="{1B613BA2-9CEF-48A8-9BD1-76B01A62C6BE}" name="Column16319" dataDxfId="572" totalsRowDxfId="571"/>
    <tableColumn id="16334" xr3:uid="{6B3FEB3E-666B-4089-B753-C434AAAB6659}" name="Column16320" dataDxfId="570" totalsRowDxfId="569"/>
    <tableColumn id="16335" xr3:uid="{D5105CE9-31C0-4ACC-A815-DBC8CD2C889C}" name="Column16321" dataDxfId="568" totalsRowDxfId="567"/>
    <tableColumn id="16336" xr3:uid="{6F98C96C-FC58-4ADB-82D1-7414E97C16AD}" name="Column16322" dataDxfId="566" totalsRowDxfId="565"/>
    <tableColumn id="16337" xr3:uid="{7C777596-AF6F-475E-8782-3894FDF41175}" name="Column16323" dataDxfId="564" totalsRowDxfId="563"/>
    <tableColumn id="16338" xr3:uid="{31DFA71B-AF0A-4EC0-B17E-EF4DA47DEB00}" name="Column16324" dataDxfId="562" totalsRowDxfId="561"/>
    <tableColumn id="16339" xr3:uid="{5793209F-2A13-4F9F-9625-B5CB89696BD0}" name="Column16325" dataDxfId="560" totalsRowDxfId="559"/>
    <tableColumn id="16340" xr3:uid="{6E808383-B51E-4555-B32B-3A199A4D605C}" name="Column16326" dataDxfId="558" totalsRowDxfId="557"/>
    <tableColumn id="16341" xr3:uid="{490E5498-A955-43CC-8C9C-D4E91B8CADAA}" name="Column16327" dataDxfId="556" totalsRowDxfId="555"/>
    <tableColumn id="16342" xr3:uid="{7E3D55D8-CF93-4629-9F87-C887292382D5}" name="Column16328" dataDxfId="554" totalsRowDxfId="553"/>
    <tableColumn id="16343" xr3:uid="{743913AF-BD27-48B2-99F3-BF7F98ABFF76}" name="Column16329" dataDxfId="552" totalsRowDxfId="551"/>
    <tableColumn id="16344" xr3:uid="{54DAB3FF-73DA-4008-B60A-5299DA16C084}" name="Column16330" dataDxfId="550" totalsRowDxfId="549"/>
    <tableColumn id="16345" xr3:uid="{0403D44C-DE2D-4AD2-ACDC-77F3D71EAF21}" name="Column16331" dataDxfId="548" totalsRowDxfId="547"/>
    <tableColumn id="16346" xr3:uid="{2677C7B3-4B8C-440B-B1B0-6345298C2C9E}" name="Column16332" dataDxfId="546" totalsRowDxfId="545"/>
    <tableColumn id="16347" xr3:uid="{42745988-F985-4BB5-A791-748C7089C312}" name="Column16333" dataDxfId="544" totalsRowDxfId="543"/>
    <tableColumn id="16348" xr3:uid="{58BF84BD-98A4-4ECD-B4BB-09D4FAFEBC57}" name="Column16334" dataDxfId="542" totalsRowDxfId="541"/>
    <tableColumn id="16349" xr3:uid="{A5A6E36E-6310-496C-95EB-730AC3A9D095}" name="Column16335" dataDxfId="540" totalsRowDxfId="539"/>
    <tableColumn id="16350" xr3:uid="{3DBE55C4-FE1D-4EC0-9757-F5B6ED4655B7}" name="Column16336" dataDxfId="538" totalsRowDxfId="537"/>
    <tableColumn id="16351" xr3:uid="{9518FA55-73C6-470B-8ADA-07CBC001991C}" name="Column16337" dataDxfId="536" totalsRowDxfId="535"/>
    <tableColumn id="16352" xr3:uid="{3B8DE69E-FC50-4F77-B5D1-E725029203F9}" name="Column16338" dataDxfId="534" totalsRowDxfId="533"/>
    <tableColumn id="16353" xr3:uid="{8130CAEA-8CA2-4B7F-B12D-CB5105C171ED}" name="Column16339" dataDxfId="532" totalsRowDxfId="531"/>
    <tableColumn id="16354" xr3:uid="{AA9B9AE5-EB96-4B57-9AAA-74B9F1A79EE6}" name="Column16340" dataDxfId="530" totalsRowDxfId="529"/>
    <tableColumn id="16355" xr3:uid="{81E859BD-0F64-4C0C-A370-B525B9A1854B}" name="Column16341" dataDxfId="528" totalsRowDxfId="527"/>
    <tableColumn id="16356" xr3:uid="{1E01109D-ACC4-4D2D-B156-F27A07045344}" name="Column16342" dataDxfId="526" totalsRowDxfId="525"/>
    <tableColumn id="16357" xr3:uid="{9018832B-F89B-4147-8567-117375BA313F}" name="Column16343" dataDxfId="524" totalsRowDxfId="523"/>
    <tableColumn id="16358" xr3:uid="{E5739422-FA40-4781-9A36-DD39C80A14BB}" name="Column16344" dataDxfId="522" totalsRowDxfId="521"/>
    <tableColumn id="16359" xr3:uid="{65F2DF21-1BD8-4093-B4E6-8E97FD7F82F7}" name="Column16345" dataDxfId="520" totalsRowDxfId="519"/>
    <tableColumn id="16360" xr3:uid="{4E7C7051-6FC3-41AD-B11C-BEF8EEA16143}" name="Column16346" dataDxfId="518" totalsRowDxfId="517"/>
    <tableColumn id="16361" xr3:uid="{825444F0-6B8E-4E07-AA5B-00472C9289CB}" name="Column16347" dataDxfId="516" totalsRowDxfId="515"/>
    <tableColumn id="16362" xr3:uid="{5614A0A7-CCAA-41B3-B9B8-C04BD000F1A3}" name="Column16348" dataDxfId="514" totalsRowDxfId="513"/>
    <tableColumn id="16363" xr3:uid="{17E12FCB-6D12-424E-84F8-A76EB451ED76}" name="Column16349" dataDxfId="512" totalsRowDxfId="511"/>
    <tableColumn id="16364" xr3:uid="{982739A0-8446-42E1-87F1-0BB54B770A10}" name="Column16350" dataDxfId="510" totalsRowDxfId="509"/>
    <tableColumn id="16365" xr3:uid="{103C074C-EC7C-45CC-9E00-B9180F849DEE}" name="Column16351" dataDxfId="508" totalsRowDxfId="507"/>
    <tableColumn id="16366" xr3:uid="{8E4FC2A8-69F7-42BB-9760-05FEDB7B0E43}" name="Column16352" dataDxfId="506" totalsRowDxfId="505"/>
    <tableColumn id="16367" xr3:uid="{F717A443-5598-4482-978E-780D161FC485}" name="Column16353" dataDxfId="504" totalsRowDxfId="503"/>
    <tableColumn id="16368" xr3:uid="{DBAD2238-EC32-4C89-97DD-AE139ABEC0B7}" name="Column16354" dataDxfId="502" totalsRowDxfId="501"/>
    <tableColumn id="16369" xr3:uid="{292784F8-1221-4AC0-997D-C8575FB087B4}" name="Column16355" dataDxfId="500" totalsRowDxfId="499"/>
    <tableColumn id="16370" xr3:uid="{A2D130DD-964C-402C-A4DB-29E92471F64E}" name="Column16356" dataDxfId="498" totalsRowDxfId="497"/>
    <tableColumn id="16371" xr3:uid="{1DD8E83A-CAC2-4E8C-9C92-4FBF249E9B3F}" name="Column16357" dataDxfId="496" totalsRowDxfId="495"/>
    <tableColumn id="16372" xr3:uid="{4C842749-F114-4D85-8E7C-C2C805CEB6F8}" name="Column16358" dataDxfId="494" totalsRowDxfId="493"/>
    <tableColumn id="16373" xr3:uid="{4CD4A467-89E9-407C-AB5E-5EC233E78269}" name="Column16359" dataDxfId="492" totalsRowDxfId="491"/>
    <tableColumn id="16374" xr3:uid="{1413F756-D97B-45A8-9F91-8A87EDB3BD98}" name="Column16360" dataDxfId="490" totalsRowDxfId="489"/>
    <tableColumn id="16375" xr3:uid="{713C609D-FFB7-4B72-AB7A-9E5FCE11BF2C}" name="Column16361" dataDxfId="488" totalsRowDxfId="487"/>
    <tableColumn id="16376" xr3:uid="{4FEFFAE8-D2DE-4F45-ADEF-51D84401F43C}" name="Column16362" dataDxfId="486" totalsRowDxfId="485"/>
    <tableColumn id="16377" xr3:uid="{6DF88AE7-4444-46CE-9ED4-B35861124F09}" name="Column16363" dataDxfId="484" totalsRowDxfId="483"/>
    <tableColumn id="16378" xr3:uid="{F55EFD14-0AAF-48B8-BABE-CE7F5BFCA28C}" name="Column16364" dataDxfId="482" totalsRowDxfId="481"/>
    <tableColumn id="16379" xr3:uid="{60A955E1-3EC7-467B-A146-F410F3844E04}" name="Column16365" dataDxfId="480" totalsRowDxfId="479"/>
    <tableColumn id="16380" xr3:uid="{1357AD96-1C6F-4C33-8A28-FA901AFB6A91}" name="Column16366" dataDxfId="478" totalsRowDxfId="477"/>
    <tableColumn id="16381" xr3:uid="{AB05C83E-F064-45F2-940D-56B78D0AA648}" name="Column16367" dataDxfId="476" totalsRowDxfId="475"/>
    <tableColumn id="16382" xr3:uid="{00E05302-CE38-49F7-AA7E-3B8076E9DAB3}" name="Column16368" dataDxfId="474" totalsRowDxfId="473"/>
    <tableColumn id="16383" xr3:uid="{CE12D282-DA89-4A1B-954A-C2080CE31B50}" name="Column16369" dataDxfId="472" totalsRowDxfId="471"/>
    <tableColumn id="16384" xr3:uid="{68CA3FDB-FB7F-4C87-9E66-D0249903B6FE}" name="Column16370" dataDxfId="470" totalsRowDxfId="469"/>
  </tableColumns>
  <tableStyleInfo name="Home Inventory" showFirstColumn="1" showLastColumn="1"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81E5535-8BFB-4D5E-9749-B52D78969250}" name="MouserListTable" displayName="MouserListTable" ref="A13:T603" totalsRowCount="1" headerRowDxfId="468" dataDxfId="467">
  <autoFilter ref="A13:T602" xr:uid="{57EB1AFC-8A68-452F-A434-FB6A37C6CCD1}"/>
  <tableColumns count="20">
    <tableColumn id="1" xr3:uid="{0E5414AA-49E7-4BA9-BBB2-6D5CE266EDAB}" name="Type" totalsRowLabel="Total" dataDxfId="466" totalsRowDxfId="402"/>
    <tableColumn id="2" xr3:uid="{698AAB64-82B7-4A6A-9CF8-104DCD4C3794}" name="Category" totalsRowFunction="count" dataDxfId="465" totalsRowDxfId="401"/>
    <tableColumn id="12" xr3:uid="{92A0CED8-71D6-41E4-9E26-B9209891566B}" name="Vendor" dataDxfId="464" totalsRowDxfId="400"/>
    <tableColumn id="3" xr3:uid="{B3404BB2-92CD-4041-AF2C-AC61C8CB8A35}" name="SKU" dataDxfId="463" totalsRowDxfId="399">
      <calculatedColumnFormula>IF(MouserListTable[[#This Row],[Vendor]]=FilterSpecs!$A$8,MouserListTable[[#This Row],[Mouser SKU]], MouserListTable[[#This Row],[SKU2]])</calculatedColumnFormula>
    </tableColumn>
    <tableColumn id="4" xr3:uid="{A3A6020C-8FDE-48FF-AE27-F9246D8C7340}" name="Qty." totalsRowFunction="sum" dataDxfId="462" totalsRowDxfId="398"/>
    <tableColumn id="19" xr3:uid="{05FD4AB7-C660-4C7F-8147-E7ACBF4FBB57}" name="Initial" dataDxfId="461" totalsRowDxfId="397"/>
    <tableColumn id="5" xr3:uid="{A7D7F1F2-6771-43F8-8AFB-AAF0A2DAD81C}" name="URL" dataDxfId="460" totalsRowDxfId="396"/>
    <tableColumn id="6" xr3:uid="{F7D85B92-E12D-437D-B7CB-A64BD03DD0EA}" name="Thumbnail Image" dataDxfId="459" totalsRowDxfId="395"/>
    <tableColumn id="7" xr3:uid="{6B196959-EB28-4075-8320-179CC7F10C7C}" name="Name" dataDxfId="458" totalsRowDxfId="394"/>
    <tableColumn id="8" xr3:uid="{8630EABB-D7BD-427A-8418-F33C82BA526B}" name="RoHS Compliance" dataDxfId="457" totalsRowDxfId="393"/>
    <tableColumn id="9" xr3:uid="{9289D9C4-6F07-4F82-96FF-38607DBA6B4F}" name="Price (USD)" totalsRowFunction="average" dataDxfId="456" totalsRowDxfId="392"/>
    <tableColumn id="13" xr3:uid="{54D25FAB-677D-4249-B957-F9A6046DC3C8}" name="Tag" dataDxfId="455" totalsRowDxfId="391">
      <calculatedColumnFormula>Primary!K2</calculatedColumnFormula>
    </tableColumn>
    <tableColumn id="10" xr3:uid="{AEC624FE-60A8-4358-B1D0-6670C691A152}" name="Description/Comments" totalsRowFunction="count" dataDxfId="454" totalsRowDxfId="390"/>
    <tableColumn id="11" xr3:uid="{F093CA7A-59FB-4907-ABAE-E5771548391C}" name="Total Price" totalsRowFunction="sum" dataDxfId="453" totalsRowDxfId="389">
      <calculatedColumnFormula>MouserListTable[[#This Row],[Qty.]]*MouserListTable[[#This Row],[Price (USD)]]</calculatedColumnFormula>
    </tableColumn>
    <tableColumn id="15" xr3:uid="{957A2DCF-B647-4F13-A44E-26EF4E66C664}" name="SKU2" totalsRowFunction="count" dataDxfId="452" totalsRowDxfId="388"/>
    <tableColumn id="17" xr3:uid="{9E2E892A-44FF-4694-8607-CBB58F873438}" name="List #" totalsRowFunction="max" dataDxfId="451" totalsRowDxfId="387">
      <calculatedColumnFormula>IF($P13="List #",1,$P13+1)</calculatedColumnFormula>
    </tableColumn>
    <tableColumn id="16" xr3:uid="{8B4AF79B-913B-4E69-AFD2-AE6C9A1B694C}" name="Sku Copy Check" totalsRowFunction="min" dataDxfId="450" totalsRowDxfId="386">
      <calculatedColumnFormula>IF($D14=$O14,1,0)</calculatedColumnFormula>
    </tableColumn>
    <tableColumn id="14" xr3:uid="{3C38D9FE-8BD1-4D08-B084-7DE57FF04696}" name="Column1" dataDxfId="449" totalsRowDxfId="385"/>
    <tableColumn id="18" xr3:uid="{3102C1DC-669C-4EBA-BD26-1399EDEBA377}" name="Mouser SKU Prefix" dataDxfId="448" totalsRowDxfId="384">
      <calculatedColumnFormula>_xlfn.IFS(MouserListTable[[#This Row],[Column1]]=FilterSpecs!$A$6, FilterSpecs!$B$6,MouserListTable[[#This Row],[Column1]]=FilterSpecs!$A$7,FilterSpecs!$B$7,MouserListTable[[#This Row],[Column1]]=FilterSpecs!$A$8,FilterSpecs!$B$8,MouserListTable[[#This Row],[Column1]]=FilterSpecs!$A$9,FilterSpecs!$B$9)</calculatedColumnFormula>
    </tableColumn>
    <tableColumn id="20" xr3:uid="{D3896D6D-BAAD-4B43-AC40-90694BD50D4E}" name="Mouser SKU" dataDxfId="447" totalsRowDxfId="383">
      <calculatedColumnFormula>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calculatedColumnFormula>
    </tableColumn>
  </tableColumns>
  <tableStyleInfo name="Home Inventory" showFirstColumn="1" showLastColumn="1"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B229423-4E1F-414A-A0B3-679F69832E83}" name="MouserListTable12" displayName="MouserListTable12" ref="A13:Z609" totalsRowCount="1" headerRowDxfId="382" dataDxfId="381">
  <autoFilter ref="A13:Z608" xr:uid="{57EB1AFC-8A68-452F-A434-FB6A37C6CCD1}">
    <filterColumn colId="5">
      <filters>
        <filter val="1"/>
        <filter val="10"/>
        <filter val="15"/>
        <filter val="2"/>
        <filter val="20"/>
        <filter val="3"/>
        <filter val="4"/>
        <filter val="5"/>
        <filter val="6"/>
      </filters>
    </filterColumn>
  </autoFilter>
  <tableColumns count="26">
    <tableColumn id="1" xr3:uid="{96F92A1A-3779-4AA7-ACA7-F290E44AAD82}" name="Type" totalsRowLabel="Total" dataDxfId="380" totalsRowDxfId="354"/>
    <tableColumn id="2" xr3:uid="{5CC344E8-E6CC-4ADB-896E-26A3C4FFE79A}" name="Category" totalsRowFunction="count" dataDxfId="379" totalsRowDxfId="353"/>
    <tableColumn id="12" xr3:uid="{5416F2AE-182D-404A-B126-FE9D871097F0}" name="Vendor" dataDxfId="378" totalsRowDxfId="352"/>
    <tableColumn id="3" xr3:uid="{1AF7E4FC-0769-4D61-91A3-5E358BC64891}" name="SKU" dataDxfId="377" totalsRowDxfId="351">
      <calculatedColumnFormula>IF(MouserListTable12[[#This Row],[Vendor]]=FilterSpecs!$A$8,MouserListTable12[[#This Row],[Mouser SKU]], MouserListTable12[[#This Row],[SKU2]])</calculatedColumnFormula>
    </tableColumn>
    <tableColumn id="4" xr3:uid="{34F0A8B8-CCF3-4F52-8355-243E5166B0E4}" name="# Left" totalsRowFunction="sum" dataDxfId="376" totalsRowDxfId="350">
      <calculatedColumnFormula>MouserListTable12[[#This Row],[Tot '#]]-MouserListTable12[[#This Row],['# Initial]]</calculatedColumnFormula>
    </tableColumn>
    <tableColumn id="19" xr3:uid="{E29BD363-C542-4687-86D3-72C38867DF9D}" name="# Initial" dataDxfId="375" totalsRowDxfId="349">
      <calculatedColumnFormula>MouserListTable12[[#This Row],['#/Unit]]*FilterSpecs!$B$3+MouserListTable12[[#This Row],[Extra Initial]]</calculatedColumnFormula>
    </tableColumn>
    <tableColumn id="5" xr3:uid="{93E49FE3-0B18-4377-932B-17B2BDB77624}" name="URL" dataDxfId="374" totalsRowDxfId="348"/>
    <tableColumn id="6" xr3:uid="{5FF3ED26-80FB-410A-8900-C0CB453C113D}" name="Thumbnail Image" dataDxfId="373" totalsRowDxfId="347"/>
    <tableColumn id="7" xr3:uid="{A76FB469-81AD-4F64-8F8F-FF8EB7045804}" name="Name" dataDxfId="372" totalsRowDxfId="346"/>
    <tableColumn id="8" xr3:uid="{DA645A51-9EE0-420D-97AF-93B883C60F5F}" name="RoHS Compliance" dataDxfId="371" totalsRowDxfId="345"/>
    <tableColumn id="9" xr3:uid="{DF5DCB91-AC13-4004-BA13-665B698C4998}" name="Price (USD)" totalsRowFunction="average" dataDxfId="370" totalsRowDxfId="344"/>
    <tableColumn id="13" xr3:uid="{CBC54524-D441-465D-9B0F-C0D85FDA44D3}" name="Tag" dataDxfId="369" totalsRowDxfId="343">
      <calculatedColumnFormula>Primary!K2</calculatedColumnFormula>
    </tableColumn>
    <tableColumn id="10" xr3:uid="{9CB617C5-523C-4AAD-A2A1-3A0142461544}" name="Description/Comments" totalsRowFunction="count" dataDxfId="368" totalsRowDxfId="342"/>
    <tableColumn id="11" xr3:uid="{42CB7044-5E6E-4336-9AB4-BC97D2C948A0}" name="Total Price" totalsRowFunction="sum" dataDxfId="367" totalsRowDxfId="341">
      <calculatedColumnFormula>MouserListTable12[[#This Row],['# Initial]]*MouserListTable12[[#This Row],[Price (USD)]]</calculatedColumnFormula>
    </tableColumn>
    <tableColumn id="15" xr3:uid="{52FE682D-7148-4B04-BB71-2D5F54A9ACC5}" name="SKU2" totalsRowFunction="count" dataDxfId="366" totalsRowDxfId="340"/>
    <tableColumn id="17" xr3:uid="{41B570B7-57D0-442B-97A7-00ABB990D83F}" name="List #" totalsRowFunction="max" dataDxfId="365" totalsRowDxfId="339">
      <calculatedColumnFormula>IF($P13="List #",1,$P13+1)</calculatedColumnFormula>
    </tableColumn>
    <tableColumn id="16" xr3:uid="{E8AE1EDD-CAB3-4F2B-8BDA-782310F05B2A}" name="Sku Copy Check" totalsRowFunction="min" dataDxfId="364" totalsRowDxfId="338">
      <calculatedColumnFormula>IF($D14=$O14,1,0)</calculatedColumnFormula>
    </tableColumn>
    <tableColumn id="14" xr3:uid="{76EF8363-36F3-4B77-90B1-D640A2BF9C8E}" name="Supplier" dataDxfId="363" totalsRowDxfId="337"/>
    <tableColumn id="18" xr3:uid="{73021BE5-AF4C-403C-B8F2-026A50F8C29B}" name="Mouser SKU Prefix" dataDxfId="362" totalsRowDxfId="336">
      <calculatedColumnFormula>_xlfn.IFS(MouserListTable12[[#This Row],[Supplier]]=FilterSpecs!$A$6, FilterSpecs!$B$6,MouserListTable12[[#This Row],[Supplier]]=FilterSpecs!$A$7,FilterSpecs!$B$7,MouserListTable12[[#This Row],[Supplier]]=FilterSpecs!$A$8,FilterSpecs!$B$8,MouserListTable12[[#This Row],[Supplier]]=FilterSpecs!$A$9,FilterSpecs!$B$9)</calculatedColumnFormula>
    </tableColumn>
    <tableColumn id="20" xr3:uid="{150A8BC2-1B29-4C2C-9121-930221899E0E}" name="Mouser SKU" dataDxfId="361" totalsRowDxfId="335">
      <calculatedColumnFormula>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calculatedColumnFormula>
    </tableColumn>
    <tableColumn id="22" xr3:uid="{695F525D-7304-4AF4-8FA9-C84455865511}" name="#/Unit" dataDxfId="360" totalsRowDxfId="334"/>
    <tableColumn id="23" xr3:uid="{AB09758A-497F-46C5-8D06-A8BA09533026}" name="Extra" dataDxfId="359" totalsRowDxfId="333"/>
    <tableColumn id="26" xr3:uid="{A1902C37-AD2D-4A47-8409-9A2489E93A26}" name="Extra Initial" dataDxfId="358" totalsRowDxfId="332"/>
    <tableColumn id="27" xr3:uid="{EBE042F8-1A36-4459-90C5-6116B231F7FC}" name="Tot #" dataDxfId="357" totalsRowDxfId="331">
      <calculatedColumnFormula>MouserListTable12[[#This Row],['#/Unit]]*FilterSpecs!$C$3+MouserListTable12[[#This Row],[Extra]]</calculatedColumnFormula>
    </tableColumn>
    <tableColumn id="28" xr3:uid="{F7248F43-2557-4412-8BEF-599E0C160EF4}" name="$/Unit" totalsRowFunction="sum" dataDxfId="356" totalsRowDxfId="330">
      <calculatedColumnFormula>IF(MouserListTable12[[#This Row],[Tag]]=FilterSpecs!$F$7,MouserListTable12[[#This Row],[Price (USD)]],0)</calculatedColumnFormula>
    </tableColumn>
    <tableColumn id="29" xr3:uid="{281DD742-64B3-4128-B34C-240F0FBDD8B8}" name="Total $" dataDxfId="355" totalsRowDxfId="329">
      <calculatedColumnFormula>MouserListTable12[[#This Row],[Tot '#]]*MouserListTable12[[#This Row],[Price (USD)]]</calculatedColumnFormula>
    </tableColumn>
  </tableColumns>
  <tableStyleInfo name="Home Inventory" showFirstColumn="1" showLastColumn="1"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37053E4-9A19-4B6C-854B-D30E96D35970}" name="Table12" displayName="Table12" ref="A612:C620" totalsRowShown="0" headerRowDxfId="4" dataDxfId="2" tableBorderDxfId="5">
  <autoFilter ref="A612:C620" xr:uid="{B02009A6-E19B-4996-8A7A-F9E6B408B03E}"/>
  <tableColumns count="3">
    <tableColumn id="1" xr3:uid="{F4C33379-D6E9-4EBE-920E-D5D7AE09B29B}" name="Cost Breakdown" dataDxfId="3" dataCellStyle="Heading 1">
      <calculatedColumnFormula>FilterSpecs!C6</calculatedColumnFormula>
    </tableColumn>
    <tableColumn id="2" xr3:uid="{F65F03DE-4605-4C1F-AD90-B905CFCD69A2}" name="Initial Order" dataDxfId="1" dataCellStyle="Heading 1">
      <calculatedColumnFormula>SUMIF(MouserListTable12[Type],"=" &amp; FilterSpecs!$C6,MouserListTable12[Total Price])</calculatedColumnFormula>
    </tableColumn>
    <tableColumn id="3" xr3:uid="{1202E549-D89C-41A0-85DC-3482D97E1145}" name="Total Order" dataDxfId="0" dataCellStyle="Heading 1">
      <calculatedColumnFormula>SUMIF(MouserListTable12[Type],"=" &amp; FilterSpecs!$C6,MouserListTable12[Total $])</calculatedColumnFormula>
    </tableColumn>
  </tableColumns>
  <tableStyleInfo name="Home Inventory"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AB43C84-A7F0-4D59-B6D8-79EEC732B9F1}" name="Table16" displayName="Table16" ref="A2:W81" totalsRowCount="1">
  <autoFilter ref="A2:W80" xr:uid="{DF691FD7-187C-4337-BF8D-DFD26896D8E2}"/>
  <tableColumns count="23">
    <tableColumn id="1" xr3:uid="{D24DB0F2-08E4-49AB-A37B-99D57B69AAEB}" name="Type"/>
    <tableColumn id="2" xr3:uid="{4FBD9E19-3D8F-40B8-A1CF-C47FD4715284}" name="Category" totalsRowFunction="custom">
      <totalsRowFormula>COUNTA(B3:B80)</totalsRowFormula>
    </tableColumn>
    <tableColumn id="25" xr3:uid="{9BAB0D84-3250-413B-A048-4C1C5FBE932F}" name="Qty"/>
    <tableColumn id="3" xr3:uid="{894B739A-D496-4384-AE18-CB830AE7A0B0}" name="BarrelJack" totalsRowFunction="custom">
      <totalsRowFormula>SUMPRODUCT(Table16[Qty],Table16[BarrelJack])</totalsRowFormula>
    </tableColumn>
    <tableColumn id="4" xr3:uid="{9114DB9A-DBCB-40B3-B469-83B3D0D72F13}" name="USB" totalsRowFunction="custom">
      <totalsRowFormula>SUMPRODUCT(Table16[Qty],Table16[USB])</totalsRowFormula>
    </tableColumn>
    <tableColumn id="5" xr3:uid="{DB4B9A9D-5753-4163-8E13-361534197529}" name="LiPO Battery" totalsRowFunction="custom">
      <totalsRowFormula>SUMPRODUCT(Table16[Qty],Table16[LiPO Battery])</totalsRowFormula>
    </tableColumn>
    <tableColumn id="24" xr3:uid="{FC9A0C4B-C5DD-43BD-A635-B9AA2A007D89}" name="3.3V/5V" totalsRowFunction="custom">
      <totalsRowFormula>SUMPRODUCT(Table16[Qty],Table16[3.3V/5V])</totalsRowFormula>
    </tableColumn>
    <tableColumn id="8" xr3:uid="{EE291367-FE2E-4551-8ED1-83FA92788085}" name="uSD" totalsRowFunction="custom">
      <totalsRowFormula>SUMPRODUCT(Table16[Qty],Table16[uSD])</totalsRowFormula>
    </tableColumn>
    <tableColumn id="9" xr3:uid="{C3CF0C1B-6279-4E6E-87C5-E7172C292570}" name="WiFi" totalsRowFunction="custom">
      <totalsRowFormula>SUMPRODUCT(Table16[Qty],Table16[WiFi])</totalsRowFormula>
    </tableColumn>
    <tableColumn id="10" xr3:uid="{5B4F817A-C840-4A53-9663-658A716D7642}" name="Bluetooth" totalsRowFunction="custom">
      <totalsRowFormula>SUMPRODUCT(Table16[Qty],Table16[Bluetooth])</totalsRowFormula>
    </tableColumn>
    <tableColumn id="11" xr3:uid="{B9082B10-6994-4889-8629-2762B18F2B98}" name="Column5"/>
    <tableColumn id="12" xr3:uid="{FC53A817-B52F-4F9D-8A1D-64D3C1BA6F8C}" name="Column6"/>
    <tableColumn id="13" xr3:uid="{274B0898-3586-4E15-B1EF-1874512A4D7A}" name="Column7"/>
    <tableColumn id="14" xr3:uid="{6D9FF19E-A32F-44A4-936D-80D62C6FD32D}" name="Column8"/>
    <tableColumn id="15" xr3:uid="{93A236B1-028B-46EF-B287-0068AE09024D}" name="Column9"/>
    <tableColumn id="16" xr3:uid="{E373B686-BFEE-4614-82EC-0BCAAFEA0664}" name="Column10"/>
    <tableColumn id="17" xr3:uid="{2A4C4EBC-93A4-4778-A02D-388B8394F927}" name="Column11"/>
    <tableColumn id="18" xr3:uid="{7B9BD62C-0D28-4EE9-9B10-98D67A2D91D4}" name="Column12"/>
    <tableColumn id="19" xr3:uid="{9A524BE7-176E-4EAD-9BC8-3AEA170A7234}" name="Column13"/>
    <tableColumn id="20" xr3:uid="{638042E7-3E14-4AFC-90B5-F6ED99F03735}" name="Column14"/>
    <tableColumn id="21" xr3:uid="{AAE92B1B-5C64-41C9-9DFD-3D49374BF8EF}" name="Column15"/>
    <tableColumn id="22" xr3:uid="{9B32E269-8119-49CE-B57B-015F21B8F0A0}" name="Column16"/>
    <tableColumn id="23" xr3:uid="{07F39DDC-2F76-4F70-8005-35962056E065}" name="Column17"/>
  </tableColumns>
  <tableStyleInfo name="Home Inventory"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BCCB956-C45C-49FF-9BBA-892896C4E93F}" name="Table9" displayName="Table9" ref="A1:J19" totalsRowShown="0" headerRowDxfId="446">
  <autoFilter ref="A1:J19" xr:uid="{CBF8D447-B235-443D-8CE0-1E2112163157}"/>
  <tableColumns count="10">
    <tableColumn id="1" xr3:uid="{F78A8889-C402-4A37-8708-058A5CBFFBAC}" name="Cost" dataDxfId="445"/>
    <tableColumn id="10" xr3:uid="{D97E43B4-A313-4E84-8285-539E3B56CF8E}" name="Column1" dataDxfId="444"/>
    <tableColumn id="2" xr3:uid="{B6F035D8-87F6-49CA-A416-904E5A839967}" name="Object Detection Component" dataDxfId="443"/>
    <tableColumn id="3" xr3:uid="{0CD9F61D-3BE9-4678-BCC6-A62062BE76D0}" name="Detection Axis" dataDxfId="442"/>
    <tableColumn id="4" xr3:uid="{0019C839-C201-4473-84EB-EB5E8D5118FB}" name="Nominal Range" dataDxfId="441"/>
    <tableColumn id="5" xr3:uid="{9BEB30B9-2AC0-4215-9234-3A7ED928AE19}" name="User Purported Range" dataDxfId="440"/>
    <tableColumn id="6" xr3:uid="{27963C66-F409-409E-8E5C-5117950BA0F9}" name="Precision" dataDxfId="439"/>
    <tableColumn id="7" xr3:uid="{37537BA9-D838-4C15-B5E9-6B7D0B7246F7}" name="Detection Method" dataDxfId="438"/>
    <tableColumn id="8" xr3:uid="{0AB048B2-EF33-4815-B59C-063B4959A642}" name="Header Pin #s" dataDxfId="437"/>
    <tableColumn id="9" xr3:uid="{6C2B27EC-160F-49A9-B1B7-73A7E19655CF}" name="Comments/Notes" dataDxfId="436"/>
  </tableColumns>
  <tableStyleInfo name="Home Inventory"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490C9D7-AEE0-4407-B521-3F0E4EF5C128}" name="Table10" displayName="Table10" ref="C21:F42" totalsRowShown="0" headerRowDxfId="435" dataDxfId="434">
  <autoFilter ref="C21:F42" xr:uid="{70429E11-B104-400C-B525-DB62E9F749FC}"/>
  <tableColumns count="4">
    <tableColumn id="1" xr3:uid="{0C4EAA43-1DEC-467E-BC8C-55107834F54D}" name="Component" dataDxfId="433"/>
    <tableColumn id="2" xr3:uid="{9E2DAA65-0C80-4691-9564-D3C7BF7B1728}" name="Header/Pin Configs" dataDxfId="432"/>
    <tableColumn id="3" xr3:uid="{8D51F1BB-E845-4BFF-A8B6-7E04448FC0D0}" name="Pre-Populated" dataDxfId="431"/>
    <tableColumn id="4" xr3:uid="{752CFF2C-EC3D-4385-8818-F5C1D91822AE}" name="M/F" dataDxfId="430"/>
  </tableColumns>
  <tableStyleInfo name="Home Inventory"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quipment" displayName="Equipment" ref="B6:M39" totalsRowCount="1" headerRowDxfId="429" dataDxfId="428" totalsRowDxfId="427">
  <autoFilter ref="B6:M38" xr:uid="{00000000-0009-0000-0100-000001000000}">
    <filterColumn colId="3">
      <filters>
        <filter val="Touch/Vibration"/>
      </filters>
    </filterColumn>
  </autoFilter>
  <tableColumns count="12">
    <tableColumn id="21" xr3:uid="{00000000-0010-0000-0000-000015000000}" name="Item #" totalsRowLabel="TOTALS" dataDxfId="426" totalsRowDxfId="414" dataCellStyle="Comma">
      <calculatedColumnFormula>ROW($A1)</calculatedColumnFormula>
    </tableColumn>
    <tableColumn id="2" xr3:uid="{0EA8163A-C93D-42D0-9DD0-7848FDC5BFC4}" name="Vendor" totalsRowFunction="custom" dataDxfId="425" totalsRowDxfId="413" dataCellStyle="Comma">
      <totalsRowFormula>"PO ITEMS: "&amp;SUBTOTAL(103,Equipment[Equipment Category])</totalsRowFormula>
    </tableColumn>
    <tableColumn id="12" xr3:uid="{CFF049F1-71B3-4FE8-9295-A454426C55EF}" name="Type" dataDxfId="424" totalsRowDxfId="412"/>
    <tableColumn id="3" xr3:uid="{00000000-0010-0000-0000-000003000000}" name="Equipment Category" dataDxfId="423" totalsRowDxfId="411"/>
    <tableColumn id="4" xr3:uid="{00000000-0010-0000-0000-000004000000}" name="Item/Description" dataDxfId="422" totalsRowDxfId="410"/>
    <tableColumn id="6" xr3:uid="{00000000-0010-0000-0000-000006000000}" name="Item SKU" dataDxfId="421" totalsRowDxfId="409" dataCellStyle="Seriel Number"/>
    <tableColumn id="8" xr3:uid="{00000000-0010-0000-0000-000008000000}" name="Units" dataDxfId="420" totalsRowDxfId="408" dataCellStyle="Currency [0]"/>
    <tableColumn id="9" xr3:uid="{00000000-0010-0000-0000-000009000000}" name="Unit_x000a_ Price" dataDxfId="419" totalsRowDxfId="407" dataCellStyle="Currency [0]"/>
    <tableColumn id="10" xr3:uid="{00000000-0010-0000-0000-00000A000000}" name="Price" totalsRowFunction="sum" dataDxfId="418" totalsRowDxfId="406" dataCellStyle="Currency [0]">
      <calculatedColumnFormula>Equipment[[#This Row],[Unit
 Price]]*Equipment[[#This Row],[Units]]</calculatedColumnFormula>
    </tableColumn>
    <tableColumn id="13" xr3:uid="{00000000-0010-0000-0000-00000D000000}" name="Thumb URL" dataDxfId="417" totalsRowDxfId="405"/>
    <tableColumn id="1" xr3:uid="{45BD6886-C728-435A-833E-B165B206C43F}" name="Thumbnail" dataDxfId="416" totalsRowDxfId="404"/>
    <tableColumn id="14" xr3:uid="{00000000-0010-0000-0000-00000E000000}" name="Link" dataDxfId="415" totalsRowDxfId="403"/>
  </tableColumns>
  <tableStyleInfo name="Home Inventory" showFirstColumn="1" showLastColumn="1" showRowStripes="1" showColumnStripes="0"/>
  <extLst>
    <ext xmlns:x14="http://schemas.microsoft.com/office/spreadsheetml/2009/9/main" uri="{504A1905-F514-4f6f-8877-14C23A59335A}">
      <x14:table altTextSummary="List of household inventory items such as, Item # (calculated field), Room/area, item information, Purchase information, Estimated Current Value, Notes, and Photo (Yes/No field)"/>
    </ext>
  </extLst>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E76AF6-F69A-41A2-9078-BFB0C1BAC158}" name="Table13" displayName="Table13" ref="A1:D20" totalsRowShown="0">
  <autoFilter ref="A1:D20" xr:uid="{3FCC085E-B25F-4E9D-A68D-CA0179142FF6}"/>
  <tableColumns count="4">
    <tableColumn id="1" xr3:uid="{5DFD31E0-6CE1-4344-B739-8E05F878C995}" name="Breadboard/Protoboard">
      <calculatedColumnFormula>OrganizedList!P1</calculatedColumnFormula>
    </tableColumn>
    <tableColumn id="2" xr3:uid="{2A80ABFA-2B61-4A7C-BC7B-68FC1EF6913C}" name="FALSE">
      <calculatedColumnFormula>OrganizedList!P1</calculatedColumnFormula>
    </tableColumn>
    <tableColumn id="3" xr3:uid="{9862BFB8-9E69-4E37-808A-6B1D2E022460}" name="Value=Breadboard/Protoboard"/>
    <tableColumn id="4" xr3:uid="{3F2F9D8C-DD44-4F75-A6B2-97EEB16BC456}" name="0">
      <calculatedColumnFormula>SplitAllFunc()</calculatedColumnFormula>
    </tableColumn>
  </tableColumns>
  <tableStyleInfo name="Home Inventory"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Median">
  <a:themeElements>
    <a:clrScheme name="Home Inventory">
      <a:dk1>
        <a:sysClr val="windowText" lastClr="000000"/>
      </a:dk1>
      <a:lt1>
        <a:sysClr val="window" lastClr="FFFFFF"/>
      </a:lt1>
      <a:dk2>
        <a:srgbClr val="4F998E"/>
      </a:dk2>
      <a:lt2>
        <a:srgbClr val="CCEBE8"/>
      </a:lt2>
      <a:accent1>
        <a:srgbClr val="CC3104"/>
      </a:accent1>
      <a:accent2>
        <a:srgbClr val="FF931E"/>
      </a:accent2>
      <a:accent3>
        <a:srgbClr val="E59881"/>
      </a:accent3>
      <a:accent4>
        <a:srgbClr val="A49B8D"/>
      </a:accent4>
      <a:accent5>
        <a:srgbClr val="A8AD6C"/>
      </a:accent5>
      <a:accent6>
        <a:srgbClr val="CC3104"/>
      </a:accent6>
      <a:hlink>
        <a:srgbClr val="FF931E"/>
      </a:hlink>
      <a:folHlink>
        <a:srgbClr val="FFC000"/>
      </a:folHlink>
    </a:clrScheme>
    <a:fontScheme name="Home Inventory">
      <a:majorFont>
        <a:latin typeface="Corbel"/>
        <a:ea typeface=""/>
        <a:cs typeface=""/>
      </a:majorFont>
      <a:minorFont>
        <a:latin typeface="Calibri"/>
        <a:ea typeface=""/>
        <a:cs typeface=""/>
      </a:minorFont>
    </a:fontScheme>
    <a:fmtScheme name="Median">
      <a:fillStyleLst>
        <a:solidFill>
          <a:schemeClr val="phClr"/>
        </a:solidFill>
        <a:solidFill>
          <a:schemeClr val="phClr">
            <a:tint val="50000"/>
          </a:schemeClr>
        </a:solidFill>
        <a:solidFill>
          <a:schemeClr val="phClr"/>
        </a:solidFill>
      </a:fillStyleLst>
      <a:lnStyleLst>
        <a:ln w="10000" cap="flat" cmpd="sng" algn="ctr">
          <a:solidFill>
            <a:schemeClr val="phClr"/>
          </a:solidFill>
          <a:prstDash val="solid"/>
        </a:ln>
        <a:ln w="19050" cap="flat" cmpd="sng" algn="ctr">
          <a:solidFill>
            <a:schemeClr val="phClr"/>
          </a:solidFill>
          <a:prstDash val="solid"/>
        </a:ln>
        <a:ln w="47625" cap="flat" cmpd="dbl" algn="ctr">
          <a:solidFill>
            <a:schemeClr val="phClr"/>
          </a:solidFill>
          <a:prstDash val="solid"/>
        </a:ln>
      </a:lnStyleLst>
      <a:effectStyleLst>
        <a:effectStyle>
          <a:effectLst>
            <a:outerShdw blurRad="38100" dist="30000" dir="5400000" rotWithShape="0">
              <a:srgbClr val="000000">
                <a:alpha val="45000"/>
              </a:srgbClr>
            </a:outerShdw>
          </a:effectLst>
        </a:effectStyle>
        <a:effectStyle>
          <a:effectLst>
            <a:outerShdw blurRad="38100" dist="30000" dir="5400000" rotWithShape="0">
              <a:srgbClr val="000000">
                <a:alpha val="45000"/>
              </a:srgbClr>
            </a:outerShdw>
          </a:effectLst>
        </a:effectStyle>
        <a:effectStyle>
          <a:effectLst>
            <a:outerShdw blurRad="38100" dist="25400" dir="5400000" rotWithShape="0">
              <a:srgbClr val="000000">
                <a:alpha val="35000"/>
              </a:srgbClr>
            </a:outerShdw>
          </a:effectLst>
          <a:scene3d>
            <a:camera prst="isometricTopDown" fov="0">
              <a:rot lat="0" lon="0" rev="0"/>
            </a:camera>
            <a:lightRig rig="balanced" dir="t">
              <a:rot lat="0" lon="0" rev="13800000"/>
            </a:lightRig>
          </a:scene3d>
          <a:sp3d extrusionH="12700" prstMaterial="plastic">
            <a:bevelT w="38100" h="25400" prst="softRound"/>
            <a:contourClr>
              <a:schemeClr val="phClr"/>
            </a:contourClr>
          </a:sp3d>
        </a:effectStyle>
      </a:effectStyleLst>
      <a:bgFillStyleLst>
        <a:solidFill>
          <a:schemeClr val="phClr"/>
        </a:solidFill>
        <a:blipFill>
          <a:blip xmlns:r="http://schemas.openxmlformats.org/officeDocument/2006/relationships" r:embed="rId1">
            <a:duotone>
              <a:schemeClr val="phClr">
                <a:shade val="90000"/>
                <a:satMod val="140000"/>
              </a:schemeClr>
              <a:schemeClr val="phClr">
                <a:satMod val="120000"/>
              </a:schemeClr>
            </a:duotone>
          </a:blip>
          <a:tile tx="0" ty="0" sx="100000" sy="100000" flip="none" algn="tl"/>
        </a:blipFill>
        <a:blipFill>
          <a:blip xmlns:r="http://schemas.openxmlformats.org/officeDocument/2006/relationships" r:embed="rId2">
            <a:duotone>
              <a:schemeClr val="phClr">
                <a:shade val="90000"/>
                <a:satMod val="140000"/>
              </a:schemeClr>
              <a:schemeClr val="phClr">
                <a:satMod val="12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3.xml"/><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0.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microsoft.com/office/2007/relationships/slicer" Target="../slicers/slicer4.xml"/><Relationship Id="rId4" Type="http://schemas.openxmlformats.org/officeDocument/2006/relationships/table" Target="../tables/table1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hyperlink" Target="https://www.sparkfun.com/products/12009"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www.sparkfun.com/products/11697" TargetMode="External"/><Relationship Id="rId13" Type="http://schemas.openxmlformats.org/officeDocument/2006/relationships/hyperlink" Target="https://www.sparkfun.com/products/13968" TargetMode="External"/><Relationship Id="rId18" Type="http://schemas.openxmlformats.org/officeDocument/2006/relationships/hyperlink" Target="https://www.sparkfun.com/products/14343" TargetMode="External"/><Relationship Id="rId26" Type="http://schemas.openxmlformats.org/officeDocument/2006/relationships/hyperlink" Target="https://www.sparkfun.com/products/8674" TargetMode="External"/><Relationship Id="rId3" Type="http://schemas.openxmlformats.org/officeDocument/2006/relationships/hyperlink" Target="https://www.sparkfun.com/products/12711" TargetMode="External"/><Relationship Id="rId21" Type="http://schemas.openxmlformats.org/officeDocument/2006/relationships/hyperlink" Target="https://www.sparkfun.com/products/14111" TargetMode="External"/><Relationship Id="rId34" Type="http://schemas.openxmlformats.org/officeDocument/2006/relationships/drawing" Target="../drawings/drawing7.xml"/><Relationship Id="rId7" Type="http://schemas.openxmlformats.org/officeDocument/2006/relationships/hyperlink" Target="https://www.sparkfun.com/products/11373" TargetMode="External"/><Relationship Id="rId12" Type="http://schemas.openxmlformats.org/officeDocument/2006/relationships/hyperlink" Target="https://www.sparkfun.com/products/241" TargetMode="External"/><Relationship Id="rId17" Type="http://schemas.openxmlformats.org/officeDocument/2006/relationships/hyperlink" Target="https://www.sparkfun.com/products/12787" TargetMode="External"/><Relationship Id="rId25" Type="http://schemas.openxmlformats.org/officeDocument/2006/relationships/hyperlink" Target="https://www.sparkfun.com/products/9906" TargetMode="External"/><Relationship Id="rId33" Type="http://schemas.openxmlformats.org/officeDocument/2006/relationships/printerSettings" Target="../printerSettings/printerSettings7.bin"/><Relationship Id="rId2" Type="http://schemas.openxmlformats.org/officeDocument/2006/relationships/hyperlink" Target="https://www.sparkfun.com/products/13158" TargetMode="External"/><Relationship Id="rId16" Type="http://schemas.openxmlformats.org/officeDocument/2006/relationships/hyperlink" Target="https://www.sparkfun.com/products/13162" TargetMode="External"/><Relationship Id="rId20" Type="http://schemas.openxmlformats.org/officeDocument/2006/relationships/hyperlink" Target="https://www.sparkfun.com/products/9196" TargetMode="External"/><Relationship Id="rId29" Type="http://schemas.openxmlformats.org/officeDocument/2006/relationships/hyperlink" Target="https://www.sparkfun.com/products/12642" TargetMode="External"/><Relationship Id="rId1" Type="http://schemas.openxmlformats.org/officeDocument/2006/relationships/hyperlink" Target="https://www.sparkfun.com/products/11061" TargetMode="External"/><Relationship Id="rId6" Type="http://schemas.openxmlformats.org/officeDocument/2006/relationships/hyperlink" Target="https://www.sparkfun.com/products/13856" TargetMode="External"/><Relationship Id="rId11" Type="http://schemas.openxmlformats.org/officeDocument/2006/relationships/hyperlink" Target="https://www.sparkfun.com/products/246" TargetMode="External"/><Relationship Id="rId24" Type="http://schemas.openxmlformats.org/officeDocument/2006/relationships/hyperlink" Target="https://www.sparkfun.com/products/9637" TargetMode="External"/><Relationship Id="rId32" Type="http://schemas.openxmlformats.org/officeDocument/2006/relationships/hyperlink" Target="https://www.sparkfun.com/products/11145" TargetMode="External"/><Relationship Id="rId5" Type="http://schemas.openxmlformats.org/officeDocument/2006/relationships/hyperlink" Target="https://www.sparkfun.com/products/13777" TargetMode="External"/><Relationship Id="rId15" Type="http://schemas.openxmlformats.org/officeDocument/2006/relationships/hyperlink" Target="https://www.sparkfun.com/products/12785" TargetMode="External"/><Relationship Id="rId23" Type="http://schemas.openxmlformats.org/officeDocument/2006/relationships/hyperlink" Target="https://www.sparkfun.com/products/12661" TargetMode="External"/><Relationship Id="rId28" Type="http://schemas.openxmlformats.org/officeDocument/2006/relationships/hyperlink" Target="https://www.sparkfun.com/products/11711" TargetMode="External"/><Relationship Id="rId36" Type="http://schemas.microsoft.com/office/2007/relationships/slicer" Target="../slicers/slicer5.xml"/><Relationship Id="rId10" Type="http://schemas.openxmlformats.org/officeDocument/2006/relationships/hyperlink" Target="https://www.sparkfun.com/products/11601" TargetMode="External"/><Relationship Id="rId19" Type="http://schemas.openxmlformats.org/officeDocument/2006/relationships/hyperlink" Target="https://www.sparkfun.com/products/242" TargetMode="External"/><Relationship Id="rId31" Type="http://schemas.openxmlformats.org/officeDocument/2006/relationships/hyperlink" Target="https://www.sparkfun.com/products/9151" TargetMode="External"/><Relationship Id="rId4" Type="http://schemas.openxmlformats.org/officeDocument/2006/relationships/hyperlink" Target="https://www.sparkfun.com/products/13032" TargetMode="External"/><Relationship Id="rId9" Type="http://schemas.openxmlformats.org/officeDocument/2006/relationships/hyperlink" Target="https://www.sparkfun.com/products/9434" TargetMode="External"/><Relationship Id="rId14" Type="http://schemas.openxmlformats.org/officeDocument/2006/relationships/hyperlink" Target="https://www.sparkfun.com/products/13959" TargetMode="External"/><Relationship Id="rId22" Type="http://schemas.openxmlformats.org/officeDocument/2006/relationships/hyperlink" Target="https://www.sparkfun.com/products/13293" TargetMode="External"/><Relationship Id="rId27" Type="http://schemas.openxmlformats.org/officeDocument/2006/relationships/hyperlink" Target="https://www.sparkfun.com/products/13660" TargetMode="External"/><Relationship Id="rId30" Type="http://schemas.openxmlformats.org/officeDocument/2006/relationships/hyperlink" Target="https://www.sparkfun.com/products/14023" TargetMode="External"/><Relationship Id="rId35" Type="http://schemas.openxmlformats.org/officeDocument/2006/relationships/table" Target="../tables/table1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F6090-FFC3-4118-9140-8EEDC01FB4BB}">
  <sheetPr codeName="Sheet22">
    <tabColor rgb="FF1F4E49"/>
  </sheetPr>
  <dimension ref="B1:S627"/>
  <sheetViews>
    <sheetView zoomScale="70" zoomScaleNormal="70" workbookViewId="0">
      <selection activeCell="E1" sqref="E1"/>
    </sheetView>
  </sheetViews>
  <sheetFormatPr defaultRowHeight="14.4" x14ac:dyDescent="0.3"/>
  <cols>
    <col min="1" max="1" width="3.88671875" customWidth="1"/>
    <col min="2" max="2" width="43.21875" bestFit="1" customWidth="1"/>
    <col min="3" max="3" width="44.109375" bestFit="1" customWidth="1"/>
    <col min="4" max="4" width="14.88671875" customWidth="1"/>
    <col min="5" max="5" width="68.6640625" customWidth="1"/>
    <col min="6" max="6" width="12" customWidth="1"/>
    <col min="7" max="7" width="9.109375" customWidth="1"/>
    <col min="8" max="8" width="14.109375" hidden="1" customWidth="1"/>
    <col min="9" max="9" width="13.33203125" style="58" bestFit="1" customWidth="1"/>
    <col min="10" max="10" width="12.109375" style="58" customWidth="1"/>
    <col min="11" max="11" width="0.21875" customWidth="1"/>
    <col min="12" max="12" width="0.44140625" hidden="1" customWidth="1"/>
    <col min="13" max="13" width="42.88671875" customWidth="1"/>
    <col min="14" max="14" width="13" customWidth="1"/>
    <col min="15" max="15" width="27.21875" customWidth="1"/>
    <col min="16" max="16" width="38" customWidth="1"/>
    <col min="17" max="17" width="21.33203125" customWidth="1"/>
    <col min="19" max="19" width="22.21875" customWidth="1"/>
  </cols>
  <sheetData>
    <row r="1" spans="2:19" ht="65.099999999999994" customHeight="1" thickBot="1" x14ac:dyDescent="0.35">
      <c r="B1" s="159" t="s">
        <v>994</v>
      </c>
      <c r="C1" s="159"/>
      <c r="D1" s="63"/>
      <c r="E1" s="59"/>
      <c r="F1" s="163" t="s">
        <v>1440</v>
      </c>
      <c r="G1" s="163"/>
      <c r="H1" s="163"/>
      <c r="I1" s="163"/>
      <c r="J1" s="163"/>
      <c r="K1" s="10"/>
      <c r="L1" s="3"/>
      <c r="M1" s="9"/>
      <c r="O1" s="3"/>
      <c r="P1" s="3"/>
      <c r="Q1" s="3"/>
      <c r="R1" s="3"/>
      <c r="S1" s="3"/>
    </row>
    <row r="2" spans="2:19" ht="30" customHeight="1" thickTop="1" thickBot="1" x14ac:dyDescent="0.35">
      <c r="B2" s="65" t="s">
        <v>891</v>
      </c>
      <c r="C2" s="62">
        <f>SUM(EquipmentTable[[#Totals],[Price]])</f>
        <v>4345.7699999999904</v>
      </c>
      <c r="D2" s="135"/>
      <c r="E2" s="59"/>
      <c r="F2" s="160" t="s">
        <v>20</v>
      </c>
      <c r="G2" s="161"/>
      <c r="H2" s="162"/>
      <c r="I2" s="164">
        <f ca="1">TODAY()</f>
        <v>43064</v>
      </c>
      <c r="J2" s="165"/>
      <c r="K2" s="10"/>
      <c r="L2" s="3"/>
    </row>
    <row r="3" spans="2:19" ht="49.8" customHeight="1" thickTop="1" x14ac:dyDescent="0.3">
      <c r="B3" s="3"/>
      <c r="C3" s="30"/>
      <c r="D3" s="30"/>
      <c r="E3" s="3"/>
      <c r="H3" s="3"/>
      <c r="I3"/>
      <c r="J3"/>
      <c r="K3" s="10"/>
      <c r="L3" s="3"/>
      <c r="M3" s="3"/>
    </row>
    <row r="37" spans="2:15" ht="15" thickBot="1" x14ac:dyDescent="0.35"/>
    <row r="38" spans="2:15" ht="7.8" customHeight="1" thickTop="1" x14ac:dyDescent="0.3">
      <c r="B38" s="36"/>
      <c r="C38" s="36"/>
      <c r="D38" s="36"/>
      <c r="E38" s="36"/>
      <c r="F38" s="36"/>
      <c r="G38" s="36"/>
      <c r="H38" s="36"/>
      <c r="I38" s="36"/>
      <c r="J38" s="36"/>
      <c r="K38" s="36"/>
      <c r="L38" s="36"/>
      <c r="M38" s="36"/>
    </row>
    <row r="39" spans="2:15" x14ac:dyDescent="0.3">
      <c r="B39" s="19" t="s">
        <v>2021</v>
      </c>
      <c r="C39" s="53" t="s">
        <v>23</v>
      </c>
      <c r="D39" s="53" t="s">
        <v>7</v>
      </c>
      <c r="E39" s="54" t="s">
        <v>22</v>
      </c>
      <c r="F39" s="54" t="s">
        <v>161</v>
      </c>
      <c r="G39" s="54" t="s">
        <v>6</v>
      </c>
      <c r="H39" s="54" t="s">
        <v>1211</v>
      </c>
      <c r="I39" s="55" t="s">
        <v>4</v>
      </c>
      <c r="J39" s="56" t="s">
        <v>5</v>
      </c>
      <c r="K39" s="54" t="s">
        <v>160</v>
      </c>
      <c r="L39" s="54" t="s">
        <v>24</v>
      </c>
      <c r="M39" s="54" t="s">
        <v>21</v>
      </c>
    </row>
    <row r="40" spans="2:15" ht="14.4" hidden="1" customHeight="1" x14ac:dyDescent="0.3">
      <c r="B40" s="50" t="str">
        <f>RawList!A4</f>
        <v>Primary Component</v>
      </c>
      <c r="C40" s="50" t="str">
        <f>RawList!B4</f>
        <v>Audible Notification/Queuing</v>
      </c>
      <c r="D40" s="50" t="str">
        <f>RawList!C4</f>
        <v>SparkFun</v>
      </c>
      <c r="E40" s="50" t="str">
        <f>RawList!H4</f>
        <v>WAV Trigger</v>
      </c>
      <c r="F40" s="50" t="str">
        <f>RawList!D4</f>
        <v>WIG-13660</v>
      </c>
      <c r="G40" s="137">
        <f>RawList!E4</f>
        <v>1</v>
      </c>
      <c r="H40" s="50" t="str">
        <f>IF(EquipmentTable[[#This Row],[Units]]&gt;0,"Quantity &gt; 0 Items","Quantity = 0 Items")</f>
        <v>Quantity &gt; 0 Items</v>
      </c>
      <c r="I40" s="141">
        <f>RawList!J4</f>
        <v>49.95</v>
      </c>
      <c r="J40" s="24">
        <f>VALUE(EquipmentTable[[#This Row],[Units]]*EquipmentTable[[#This Row],[Unit
 Price]])</f>
        <v>49.95</v>
      </c>
      <c r="K40" s="50" t="str">
        <f>RawList!G4</f>
        <v>https://cdn.sparkfun.com/r/92-92/assets/parts/1/1/0/7/3/12897-02.jpg</v>
      </c>
      <c r="L40" s="50"/>
      <c r="M40" s="50" t="str">
        <f>RawList!F4</f>
        <v>https://www.sparkfun.com/products/13660</v>
      </c>
      <c r="O40" s="3"/>
    </row>
    <row r="41" spans="2:15" ht="14.4" hidden="1" customHeight="1" x14ac:dyDescent="0.3">
      <c r="B41" s="50" t="str">
        <f>RawList!A5</f>
        <v>Primary Component</v>
      </c>
      <c r="C41" s="50" t="str">
        <f>RawList!B5</f>
        <v>Audible Notification/Queuing</v>
      </c>
      <c r="D41" s="50" t="str">
        <f>RawList!C5</f>
        <v>SparkFun</v>
      </c>
      <c r="E41" s="50" t="str">
        <f>RawList!H5</f>
        <v>Hamburger Mini Speaker</v>
      </c>
      <c r="F41" s="50" t="str">
        <f>RawList!D5</f>
        <v>COM-14023</v>
      </c>
      <c r="G41" s="137">
        <f>RawList!E5</f>
        <v>1</v>
      </c>
      <c r="H41" s="50" t="str">
        <f>IF(EquipmentTable[[#This Row],[Units]]&gt;0,"Quantity &gt; 0 Items","Quantity = 0 Items")</f>
        <v>Quantity &gt; 0 Items</v>
      </c>
      <c r="I41" s="141">
        <f>RawList!J5</f>
        <v>4.95</v>
      </c>
      <c r="J41" s="24">
        <f>VALUE(EquipmentTable[[#This Row],[Units]]*EquipmentTable[[#This Row],[Unit
 Price]])</f>
        <v>4.95</v>
      </c>
      <c r="K41" s="50" t="str">
        <f>RawList!G5</f>
        <v>https://cdn.sparkfun.com/r/92-92/assets/parts/1/1/8/3/1/14023-01.jpg</v>
      </c>
      <c r="L41" s="50"/>
      <c r="M41" s="50" t="str">
        <f>RawList!F5</f>
        <v>https://www.sparkfun.com/products/14023</v>
      </c>
      <c r="O41" s="3"/>
    </row>
    <row r="42" spans="2:15" ht="14.4" hidden="1" customHeight="1" x14ac:dyDescent="0.3">
      <c r="B42" s="50" t="str">
        <f>RawList!A6</f>
        <v>Primary Component</v>
      </c>
      <c r="C42" s="50" t="str">
        <f>RawList!B6</f>
        <v>Audible Notification/Queuing</v>
      </c>
      <c r="D42" s="50" t="str">
        <f>RawList!C6</f>
        <v>SparkFun</v>
      </c>
      <c r="E42" s="50" t="str">
        <f>RawList!H6</f>
        <v>Speaker - 0.5W (8 Ohm)</v>
      </c>
      <c r="F42" s="50" t="str">
        <f>RawList!D6</f>
        <v>COM-09151</v>
      </c>
      <c r="G42" s="137">
        <f>RawList!E6</f>
        <v>2</v>
      </c>
      <c r="H42" s="50" t="str">
        <f>IF(EquipmentTable[[#This Row],[Units]]&gt;0,"Quantity &gt; 0 Items","Quantity = 0 Items")</f>
        <v>Quantity &gt; 0 Items</v>
      </c>
      <c r="I42" s="141">
        <f>RawList!J6</f>
        <v>1.95</v>
      </c>
      <c r="J42" s="24">
        <f>VALUE(EquipmentTable[[#This Row],[Units]]*EquipmentTable[[#This Row],[Unit
 Price]])</f>
        <v>3.9</v>
      </c>
      <c r="K42" s="50" t="str">
        <f>RawList!G6</f>
        <v>https://cdn.sparkfun.com/r/92-92/assets/parts/2/5/7/0/09151-03-L.jpg</v>
      </c>
      <c r="L42" s="50"/>
      <c r="M42" s="50" t="str">
        <f>RawList!F6</f>
        <v>https://www.sparkfun.com/products/9151</v>
      </c>
    </row>
    <row r="43" spans="2:15" ht="14.4" hidden="1" customHeight="1" x14ac:dyDescent="0.3">
      <c r="B43" s="50" t="str">
        <f>RawList!A7</f>
        <v>Primary Component</v>
      </c>
      <c r="C43" s="50" t="str">
        <f>RawList!B7</f>
        <v>Audible Notification/Queuing</v>
      </c>
      <c r="D43" s="50" t="str">
        <f>RawList!C7</f>
        <v>SparkFun</v>
      </c>
      <c r="E43" s="50" t="str">
        <f>RawList!H7</f>
        <v>Speaker Terminal - 4 Spring</v>
      </c>
      <c r="F43" s="50" t="str">
        <f>RawList!D7</f>
        <v>COM-11145</v>
      </c>
      <c r="G43" s="137">
        <f>RawList!E7</f>
        <v>1</v>
      </c>
      <c r="H43" s="50" t="str">
        <f>IF(EquipmentTable[[#This Row],[Units]]&gt;0,"Quantity &gt; 0 Items","Quantity = 0 Items")</f>
        <v>Quantity &gt; 0 Items</v>
      </c>
      <c r="I43" s="141">
        <f>RawList!J7</f>
        <v>0.75</v>
      </c>
      <c r="J43" s="24">
        <f>VALUE(EquipmentTable[[#This Row],[Units]]*EquipmentTable[[#This Row],[Unit
 Price]])</f>
        <v>0.75</v>
      </c>
      <c r="K43" s="50" t="str">
        <f>RawList!G7</f>
        <v>https://cdn.sparkfun.com/r/92-92/assets/parts/6/6/0/6/11145-01.jpg</v>
      </c>
      <c r="L43" s="50"/>
      <c r="M43" s="50" t="str">
        <f>RawList!F7</f>
        <v>https://www.sparkfun.com/products/11145</v>
      </c>
    </row>
    <row r="44" spans="2:15" ht="14.4" hidden="1" customHeight="1" x14ac:dyDescent="0.3">
      <c r="B44" s="50" t="str">
        <f>RawList!A8</f>
        <v>Primary Component</v>
      </c>
      <c r="C44" s="50" t="str">
        <f>RawList!B8</f>
        <v>Audible Notification/Queuing</v>
      </c>
      <c r="D44" s="50" t="str">
        <f>RawList!C8</f>
        <v>SparkFun</v>
      </c>
      <c r="E44" s="50" t="str">
        <f>RawList!H8</f>
        <v>Vibration Motor</v>
      </c>
      <c r="F44" s="50" t="str">
        <f>RawList!D8</f>
        <v>ROB-08449</v>
      </c>
      <c r="G44" s="137">
        <f>RawList!E8</f>
        <v>2</v>
      </c>
      <c r="H44" s="50" t="str">
        <f>IF(EquipmentTable[[#This Row],[Units]]&gt;0,"Quantity &gt; 0 Items","Quantity = 0 Items")</f>
        <v>Quantity &gt; 0 Items</v>
      </c>
      <c r="I44" s="141">
        <f>RawList!J8</f>
        <v>4.95</v>
      </c>
      <c r="J44" s="24">
        <f>VALUE(EquipmentTable[[#This Row],[Units]]*EquipmentTable[[#This Row],[Unit
 Price]])</f>
        <v>9.9</v>
      </c>
      <c r="K44" s="50" t="str">
        <f>RawList!G8</f>
        <v>https://cdn.sparkfun.com/r/92-92/assets/parts/8/8/6/VibrationMotor-01-L.jpg</v>
      </c>
      <c r="L44" s="50"/>
      <c r="M44" s="50" t="str">
        <f>RawList!F8</f>
        <v>https://www.sparkfun.com/products/8449</v>
      </c>
    </row>
    <row r="45" spans="2:15" ht="14.4" hidden="1" customHeight="1" x14ac:dyDescent="0.3">
      <c r="B45" s="50" t="str">
        <f>RawList!A9</f>
        <v>Primary Component</v>
      </c>
      <c r="C45" s="50" t="str">
        <f>RawList!B9</f>
        <v>Audible Notification/Queuing</v>
      </c>
      <c r="D45" s="50" t="str">
        <f>RawList!C9</f>
        <v>SparkFun</v>
      </c>
      <c r="E45" s="50" t="str">
        <f>RawList!H9</f>
        <v>Text-to-Speech Module - Emic 2</v>
      </c>
      <c r="F45" s="50" t="str">
        <f>RawList!D9</f>
        <v>DEV-11711</v>
      </c>
      <c r="G45" s="137">
        <f>RawList!E9</f>
        <v>1</v>
      </c>
      <c r="H45" s="50" t="str">
        <f>IF(EquipmentTable[[#This Row],[Units]]&gt;0,"Quantity &gt; 0 Items","Quantity = 0 Items")</f>
        <v>Quantity &gt; 0 Items</v>
      </c>
      <c r="I45" s="141">
        <f>RawList!J9</f>
        <v>59.95</v>
      </c>
      <c r="J45" s="24">
        <f>VALUE(EquipmentTable[[#This Row],[Units]]*EquipmentTable[[#This Row],[Unit
 Price]])</f>
        <v>59.95</v>
      </c>
      <c r="K45" s="50" t="str">
        <f>RawList!G9</f>
        <v>https://cdn.sparkfun.com/r/92-92/assets/parts/7/8/9/4/11711-01.jpg</v>
      </c>
      <c r="L45" s="50"/>
      <c r="M45" s="50" t="str">
        <f>RawList!F9</f>
        <v>https://www.sparkfun.com/products/11711</v>
      </c>
    </row>
    <row r="46" spans="2:15" ht="14.4" hidden="1" customHeight="1" x14ac:dyDescent="0.3">
      <c r="B46" s="50" t="str">
        <f>RawList!A10</f>
        <v>Primary Component</v>
      </c>
      <c r="C46" s="50" t="str">
        <f>RawList!B10</f>
        <v>Audible Notification/Queuing</v>
      </c>
      <c r="D46" s="50" t="str">
        <f>RawList!C10</f>
        <v>SparkFun</v>
      </c>
      <c r="E46" s="50" t="str">
        <f>RawList!H10</f>
        <v>SparkFun MEMS Microphone Breakout - INMP401 (ADMP401)</v>
      </c>
      <c r="F46" s="50" t="str">
        <f>RawList!D10</f>
        <v>BOB-09868</v>
      </c>
      <c r="G46" s="137">
        <f>RawList!E10</f>
        <v>1</v>
      </c>
      <c r="H46" s="50" t="str">
        <f>IF(EquipmentTable[[#This Row],[Units]]&gt;0,"Quantity &gt; 0 Items","Quantity = 0 Items")</f>
        <v>Quantity &gt; 0 Items</v>
      </c>
      <c r="I46" s="141">
        <f>RawList!J10</f>
        <v>9.9499999999999993</v>
      </c>
      <c r="J46" s="24">
        <f>VALUE(EquipmentTable[[#This Row],[Units]]*EquipmentTable[[#This Row],[Unit
 Price]])</f>
        <v>9.9499999999999993</v>
      </c>
      <c r="K46" s="50" t="str">
        <f>RawList!G10</f>
        <v>https://cdn.sparkfun.com/r/92-92/assets/parts/3/9/5/1/09868-01a.jpg</v>
      </c>
      <c r="L46" s="50"/>
      <c r="M46" s="50" t="str">
        <f>RawList!F10</f>
        <v>https://www.sparkfun.com/products/9868</v>
      </c>
    </row>
    <row r="47" spans="2:15" ht="14.4" hidden="1" customHeight="1" x14ac:dyDescent="0.3">
      <c r="B47" s="50" t="str">
        <f>RawList!A11</f>
        <v>Primary Component</v>
      </c>
      <c r="C47" s="50" t="str">
        <f>RawList!B11</f>
        <v>Audible Notification/Queuing</v>
      </c>
      <c r="D47" s="50" t="str">
        <f>RawList!C11</f>
        <v>SparkFun</v>
      </c>
      <c r="E47" s="50" t="str">
        <f>RawList!H11</f>
        <v>Electret Microphone</v>
      </c>
      <c r="F47" s="50" t="str">
        <f>RawList!D11</f>
        <v>COM-08635</v>
      </c>
      <c r="G47" s="137">
        <f>RawList!E11</f>
        <v>1</v>
      </c>
      <c r="H47" s="50" t="str">
        <f>IF(EquipmentTable[[#This Row],[Units]]&gt;0,"Quantity &gt; 0 Items","Quantity = 0 Items")</f>
        <v>Quantity &gt; 0 Items</v>
      </c>
      <c r="I47" s="141">
        <f>RawList!J11</f>
        <v>0.95</v>
      </c>
      <c r="J47" s="24">
        <f>VALUE(EquipmentTable[[#This Row],[Units]]*EquipmentTable[[#This Row],[Unit
 Price]])</f>
        <v>0.95</v>
      </c>
      <c r="K47" s="50" t="str">
        <f>RawList!G11</f>
        <v>https://cdn.sparkfun.com/r/92-92/assets/parts/1/7/6/9/08635-03-L.jpg</v>
      </c>
      <c r="L47" s="50"/>
      <c r="M47" s="50" t="str">
        <f>RawList!F11</f>
        <v>https://www.sparkfun.com/products/8635</v>
      </c>
    </row>
    <row r="48" spans="2:15" ht="14.4" hidden="1" customHeight="1" x14ac:dyDescent="0.3">
      <c r="B48" s="50" t="str">
        <f>RawList!A12</f>
        <v>Primary Component</v>
      </c>
      <c r="C48" s="50" t="str">
        <f>RawList!B12</f>
        <v>Audible Notification/Queuing</v>
      </c>
      <c r="D48" s="50" t="str">
        <f>RawList!C12</f>
        <v>SparkFun</v>
      </c>
      <c r="E48" s="50" t="str">
        <f>RawList!H12</f>
        <v>SparkFun Electret Microphone Breakout</v>
      </c>
      <c r="F48" s="50" t="str">
        <f>RawList!D12</f>
        <v>BOB-12758</v>
      </c>
      <c r="G48" s="137">
        <f>RawList!E12</f>
        <v>1</v>
      </c>
      <c r="H48" s="50" t="str">
        <f>IF(EquipmentTable[[#This Row],[Units]]&gt;0,"Quantity &gt; 0 Items","Quantity = 0 Items")</f>
        <v>Quantity &gt; 0 Items</v>
      </c>
      <c r="I48" s="141">
        <f>RawList!J12</f>
        <v>5.95</v>
      </c>
      <c r="J48" s="24">
        <f>VALUE(EquipmentTable[[#This Row],[Units]]*EquipmentTable[[#This Row],[Unit
 Price]])</f>
        <v>5.95</v>
      </c>
      <c r="K48" s="50" t="str">
        <f>RawList!G12</f>
        <v>https://cdn.sparkfun.com/r/92-92/assets/parts/9/5/2/0/12758-02.jpg</v>
      </c>
      <c r="L48" s="50"/>
      <c r="M48" s="50" t="str">
        <f>RawList!F12</f>
        <v>https://www.sparkfun.com/products/12758</v>
      </c>
    </row>
    <row r="49" spans="2:13" ht="14.4" hidden="1" customHeight="1" x14ac:dyDescent="0.3">
      <c r="B49" s="50" t="str">
        <f>RawList!A13</f>
        <v>Primary Component</v>
      </c>
      <c r="C49" s="50" t="str">
        <f>RawList!B13</f>
        <v>Audible Notification/Queuing</v>
      </c>
      <c r="D49" s="50" t="str">
        <f>RawList!C13</f>
        <v>SparkFun</v>
      </c>
      <c r="E49" s="50" t="str">
        <f>RawList!H13</f>
        <v>SparkFun Sound Detector</v>
      </c>
      <c r="F49" s="50" t="str">
        <f>RawList!D13</f>
        <v>SEN-12642</v>
      </c>
      <c r="G49" s="137">
        <f>RawList!E13</f>
        <v>0</v>
      </c>
      <c r="H49" s="50" t="str">
        <f>IF(EquipmentTable[[#This Row],[Units]]&gt;0,"Quantity &gt; 0 Items","Quantity = 0 Items")</f>
        <v>Quantity = 0 Items</v>
      </c>
      <c r="I49" s="141">
        <f>RawList!J13</f>
        <v>10.95</v>
      </c>
      <c r="J49" s="24">
        <f>VALUE(EquipmentTable[[#This Row],[Units]]*EquipmentTable[[#This Row],[Unit
 Price]])</f>
        <v>0</v>
      </c>
      <c r="K49" s="50" t="str">
        <f>RawList!G13</f>
        <v>https://cdn.sparkfun.com/r/92-92/assets/parts/9/3/3/0/12642-01.jpg</v>
      </c>
      <c r="L49" s="50"/>
      <c r="M49" s="50" t="str">
        <f>RawList!F13</f>
        <v>https://www.sparkfun.com/products/12642</v>
      </c>
    </row>
    <row r="50" spans="2:13" ht="14.4" hidden="1" customHeight="1" x14ac:dyDescent="0.3">
      <c r="B50" s="50" t="str">
        <f>RawList!A14</f>
        <v>Primary Component</v>
      </c>
      <c r="C50" s="50" t="str">
        <f>RawList!B14</f>
        <v>Audible Notification/Queuing</v>
      </c>
      <c r="D50" s="50" t="str">
        <f>RawList!C14</f>
        <v>Adafruit</v>
      </c>
      <c r="E50" s="50" t="str">
        <f>RawList!H14</f>
        <v xml:space="preserve">Adafruit Wave Shield for Arduino Kit - v1.1 </v>
      </c>
      <c r="F50" s="50" t="str">
        <f>RawList!D14</f>
        <v>94</v>
      </c>
      <c r="G50" s="137">
        <f>RawList!E14</f>
        <v>0</v>
      </c>
      <c r="H50" s="50" t="str">
        <f>IF(EquipmentTable[[#This Row],[Units]]&gt;0,"Quantity &gt; 0 Items","Quantity = 0 Items")</f>
        <v>Quantity = 0 Items</v>
      </c>
      <c r="I50" s="141">
        <f>RawList!J14</f>
        <v>22</v>
      </c>
      <c r="J50" s="24">
        <f>VALUE(EquipmentTable[[#This Row],[Units]]*EquipmentTable[[#This Row],[Unit
 Price]])</f>
        <v>0</v>
      </c>
      <c r="K50" s="50">
        <f>RawList!G14</f>
        <v>0</v>
      </c>
      <c r="L50" s="50"/>
      <c r="M50" s="50">
        <f>RawList!F14</f>
        <v>0</v>
      </c>
    </row>
    <row r="51" spans="2:13" ht="14.4" hidden="1" customHeight="1" x14ac:dyDescent="0.3">
      <c r="B51" s="50" t="str">
        <f>RawList!A15</f>
        <v>Primary Component</v>
      </c>
      <c r="C51" s="50" t="str">
        <f>RawList!B15</f>
        <v>Audible Notification/Queuing</v>
      </c>
      <c r="D51" s="50" t="str">
        <f>RawList!C15</f>
        <v>Adafruit</v>
      </c>
      <c r="E51" s="50" t="str">
        <f>RawList!H15</f>
        <v xml:space="preserve">Mini External USB Stereo Speaker </v>
      </c>
      <c r="F51" s="50" t="str">
        <f>RawList!D15</f>
        <v>3369</v>
      </c>
      <c r="G51" s="137">
        <f>RawList!E15</f>
        <v>0</v>
      </c>
      <c r="H51" s="50" t="str">
        <f>IF(EquipmentTable[[#This Row],[Units]]&gt;0,"Quantity &gt; 0 Items","Quantity = 0 Items")</f>
        <v>Quantity = 0 Items</v>
      </c>
      <c r="I51" s="141">
        <f>RawList!J15</f>
        <v>12.5</v>
      </c>
      <c r="J51" s="24">
        <f>VALUE(EquipmentTable[[#This Row],[Units]]*EquipmentTable[[#This Row],[Unit
 Price]])</f>
        <v>0</v>
      </c>
      <c r="K51" s="50">
        <f>RawList!G15</f>
        <v>0</v>
      </c>
      <c r="L51" s="50"/>
      <c r="M51" s="50">
        <f>RawList!F15</f>
        <v>0</v>
      </c>
    </row>
    <row r="52" spans="2:13" ht="14.4" hidden="1" customHeight="1" x14ac:dyDescent="0.3">
      <c r="B52" s="50" t="str">
        <f>RawList!A16</f>
        <v>Primary Component</v>
      </c>
      <c r="C52" s="50" t="str">
        <f>RawList!B16</f>
        <v>Audible Notification/Queuing</v>
      </c>
      <c r="D52" s="50" t="str">
        <f>RawList!C16</f>
        <v>Adafruit</v>
      </c>
      <c r="E52" s="50" t="str">
        <f>RawList!H16</f>
        <v xml:space="preserve">Mini USB Microphone </v>
      </c>
      <c r="F52" s="50" t="str">
        <f>RawList!D16</f>
        <v>3367</v>
      </c>
      <c r="G52" s="137">
        <f>RawList!E16</f>
        <v>0</v>
      </c>
      <c r="H52" s="50" t="str">
        <f>IF(EquipmentTable[[#This Row],[Units]]&gt;0,"Quantity &gt; 0 Items","Quantity = 0 Items")</f>
        <v>Quantity = 0 Items</v>
      </c>
      <c r="I52" s="141">
        <f>RawList!J16</f>
        <v>5.95</v>
      </c>
      <c r="J52" s="24">
        <f>VALUE(EquipmentTable[[#This Row],[Units]]*EquipmentTable[[#This Row],[Unit
 Price]])</f>
        <v>0</v>
      </c>
      <c r="K52" s="50">
        <f>RawList!G16</f>
        <v>0</v>
      </c>
      <c r="L52" s="50"/>
      <c r="M52" s="50">
        <f>RawList!F16</f>
        <v>0</v>
      </c>
    </row>
    <row r="53" spans="2:13" ht="14.4" hidden="1" customHeight="1" x14ac:dyDescent="0.3">
      <c r="B53" s="50" t="str">
        <f>RawList!A17</f>
        <v>Primary Component</v>
      </c>
      <c r="C53" s="50" t="str">
        <f>RawList!B17</f>
        <v>Audible Notification/Queuing</v>
      </c>
      <c r="D53" s="50" t="str">
        <f>RawList!C17</f>
        <v>Adafruit</v>
      </c>
      <c r="E53" s="50" t="str">
        <f>RawList!H17</f>
        <v xml:space="preserve">Mono Enclosed Speaker - 3W 4 Ohm </v>
      </c>
      <c r="F53" s="50" t="str">
        <f>RawList!D17</f>
        <v>3351</v>
      </c>
      <c r="G53" s="137">
        <f>RawList!E17</f>
        <v>0</v>
      </c>
      <c r="H53" s="50" t="str">
        <f>IF(EquipmentTable[[#This Row],[Units]]&gt;0,"Quantity &gt; 0 Items","Quantity = 0 Items")</f>
        <v>Quantity = 0 Items</v>
      </c>
      <c r="I53" s="141">
        <f>RawList!J17</f>
        <v>3.95</v>
      </c>
      <c r="J53" s="24">
        <f>VALUE(EquipmentTable[[#This Row],[Units]]*EquipmentTable[[#This Row],[Unit
 Price]])</f>
        <v>0</v>
      </c>
      <c r="K53" s="50">
        <f>RawList!G17</f>
        <v>0</v>
      </c>
      <c r="L53" s="50"/>
      <c r="M53" s="50">
        <f>RawList!F17</f>
        <v>0</v>
      </c>
    </row>
    <row r="54" spans="2:13" ht="14.4" hidden="1" customHeight="1" x14ac:dyDescent="0.3">
      <c r="B54" s="50" t="str">
        <f>RawList!A18</f>
        <v>Primary Component</v>
      </c>
      <c r="C54" s="50" t="str">
        <f>RawList!B18</f>
        <v>Audible Notification/Queuing</v>
      </c>
      <c r="D54" s="50" t="str">
        <f>RawList!C18</f>
        <v>Adafruit</v>
      </c>
      <c r="E54" s="50" t="str">
        <f>RawList!H18</f>
        <v xml:space="preserve">Speaker - 3" Diameter - 4 Ohm 3 Watt </v>
      </c>
      <c r="F54" s="50" t="str">
        <f>RawList!D18</f>
        <v>1314</v>
      </c>
      <c r="G54" s="137">
        <f>RawList!E18</f>
        <v>0</v>
      </c>
      <c r="H54" s="50" t="str">
        <f>IF(EquipmentTable[[#This Row],[Units]]&gt;0,"Quantity &gt; 0 Items","Quantity = 0 Items")</f>
        <v>Quantity = 0 Items</v>
      </c>
      <c r="I54" s="141">
        <f>RawList!J18</f>
        <v>1.95</v>
      </c>
      <c r="J54" s="24">
        <f>VALUE(EquipmentTable[[#This Row],[Units]]*EquipmentTable[[#This Row],[Unit
 Price]])</f>
        <v>0</v>
      </c>
      <c r="K54" s="50">
        <f>RawList!G18</f>
        <v>0</v>
      </c>
      <c r="L54" s="50"/>
      <c r="M54" s="50">
        <f>RawList!F18</f>
        <v>0</v>
      </c>
    </row>
    <row r="55" spans="2:13" ht="14.4" hidden="1" customHeight="1" x14ac:dyDescent="0.3">
      <c r="B55" s="50" t="str">
        <f>RawList!A19</f>
        <v>Primary Component</v>
      </c>
      <c r="C55" s="50" t="str">
        <f>RawList!B19</f>
        <v>Audible Notification/Queuing</v>
      </c>
      <c r="D55" s="50" t="str">
        <f>RawList!C19</f>
        <v>Adafruit</v>
      </c>
      <c r="E55" s="50" t="str">
        <f>RawList!H19</f>
        <v xml:space="preserve">Speaker - 3" Diameter - 8 Ohm 1 Watt </v>
      </c>
      <c r="F55" s="50" t="str">
        <f>RawList!D19</f>
        <v>1313</v>
      </c>
      <c r="G55" s="137">
        <f>RawList!E19</f>
        <v>0</v>
      </c>
      <c r="H55" s="50" t="str">
        <f>IF(EquipmentTable[[#This Row],[Units]]&gt;0,"Quantity &gt; 0 Items","Quantity = 0 Items")</f>
        <v>Quantity = 0 Items</v>
      </c>
      <c r="I55" s="141">
        <f>RawList!J19</f>
        <v>1.95</v>
      </c>
      <c r="J55" s="24">
        <f>VALUE(EquipmentTable[[#This Row],[Units]]*EquipmentTable[[#This Row],[Unit
 Price]])</f>
        <v>0</v>
      </c>
      <c r="K55" s="50">
        <f>RawList!G19</f>
        <v>0</v>
      </c>
      <c r="L55" s="50"/>
      <c r="M55" s="50">
        <f>RawList!F19</f>
        <v>0</v>
      </c>
    </row>
    <row r="56" spans="2:13" ht="14.4" hidden="1" customHeight="1" x14ac:dyDescent="0.3">
      <c r="B56" s="50" t="str">
        <f>RawList!A20</f>
        <v>Primary Component</v>
      </c>
      <c r="C56" s="50" t="str">
        <f>RawList!B20</f>
        <v>Audible Notification/Queuing</v>
      </c>
      <c r="D56" s="50" t="str">
        <f>RawList!C20</f>
        <v>Adafruit</v>
      </c>
      <c r="E56" s="50" t="str">
        <f>RawList!H20</f>
        <v xml:space="preserve">Stereo Enclosed Speaker Set - 3W 4 Ohm </v>
      </c>
      <c r="F56" s="50" t="str">
        <f>RawList!D20</f>
        <v>1669</v>
      </c>
      <c r="G56" s="137">
        <f>RawList!E20</f>
        <v>0</v>
      </c>
      <c r="H56" s="50" t="str">
        <f>IF(EquipmentTable[[#This Row],[Units]]&gt;0,"Quantity &gt; 0 Items","Quantity = 0 Items")</f>
        <v>Quantity = 0 Items</v>
      </c>
      <c r="I56" s="141">
        <f>RawList!J20</f>
        <v>7.5</v>
      </c>
      <c r="J56" s="24">
        <f>VALUE(EquipmentTable[[#This Row],[Units]]*EquipmentTable[[#This Row],[Unit
 Price]])</f>
        <v>0</v>
      </c>
      <c r="K56" s="50">
        <f>RawList!G20</f>
        <v>0</v>
      </c>
      <c r="L56" s="50"/>
      <c r="M56" s="50">
        <f>RawList!F20</f>
        <v>0</v>
      </c>
    </row>
    <row r="57" spans="2:13" ht="14.4" hidden="1" customHeight="1" x14ac:dyDescent="0.3">
      <c r="B57" s="50" t="str">
        <f>RawList!A21</f>
        <v>Primary Component</v>
      </c>
      <c r="C57" s="50" t="str">
        <f>RawList!B21</f>
        <v>Audible Notification/Queuing</v>
      </c>
      <c r="D57" s="50" t="str">
        <f>RawList!C21</f>
        <v>Adafruit</v>
      </c>
      <c r="E57" s="50" t="str">
        <f>RawList!H21</f>
        <v xml:space="preserve">USB Powered Speakers </v>
      </c>
      <c r="F57" s="50" t="str">
        <f>RawList!D21</f>
        <v>1363</v>
      </c>
      <c r="G57" s="137">
        <f>RawList!E21</f>
        <v>0</v>
      </c>
      <c r="H57" s="50" t="str">
        <f>IF(EquipmentTable[[#This Row],[Units]]&gt;0,"Quantity &gt; 0 Items","Quantity = 0 Items")</f>
        <v>Quantity = 0 Items</v>
      </c>
      <c r="I57" s="141">
        <f>RawList!J21</f>
        <v>9.9499999999999993</v>
      </c>
      <c r="J57" s="24">
        <f>VALUE(EquipmentTable[[#This Row],[Units]]*EquipmentTable[[#This Row],[Unit
 Price]])</f>
        <v>0</v>
      </c>
      <c r="K57" s="50">
        <f>RawList!G21</f>
        <v>0</v>
      </c>
      <c r="L57" s="50"/>
      <c r="M57" s="50">
        <f>RawList!F21</f>
        <v>0</v>
      </c>
    </row>
    <row r="58" spans="2:13" ht="14.4" customHeight="1" x14ac:dyDescent="0.3">
      <c r="B58" s="50" t="str">
        <f>RawList!A22</f>
        <v>Primary Component</v>
      </c>
      <c r="C58" s="50" t="str">
        <f>RawList!B22</f>
        <v>Bluetooth</v>
      </c>
      <c r="D58" s="50" t="str">
        <f>RawList!C22</f>
        <v>SparkFun</v>
      </c>
      <c r="E58" s="50" t="str">
        <f>RawList!H22</f>
        <v>SparkFun XBee Explorer Regulated</v>
      </c>
      <c r="F58" s="50" t="str">
        <f>RawList!D22</f>
        <v>WRL-11373</v>
      </c>
      <c r="G58" s="137">
        <f>RawList!E22</f>
        <v>5</v>
      </c>
      <c r="H58" s="50" t="str">
        <f>IF(EquipmentTable[[#This Row],[Units]]&gt;0,"Quantity &gt; 0 Items","Quantity = 0 Items")</f>
        <v>Quantity &gt; 0 Items</v>
      </c>
      <c r="I58" s="141">
        <f>RawList!J22</f>
        <v>9.9499999999999993</v>
      </c>
      <c r="J58" s="24">
        <f>VALUE(EquipmentTable[[#This Row],[Units]]*EquipmentTable[[#This Row],[Unit
 Price]])</f>
        <v>49.75</v>
      </c>
      <c r="K58" s="50" t="str">
        <f>RawList!G22</f>
        <v>https://cdn.sparkfun.com/r/92-92/assets/parts/7/1/1/5/11373-01.jpg</v>
      </c>
      <c r="L58" s="50"/>
      <c r="M58" s="50" t="str">
        <f>RawList!F22</f>
        <v>https://www.sparkfun.com/products/11373</v>
      </c>
    </row>
    <row r="59" spans="2:13" ht="14.4" customHeight="1" x14ac:dyDescent="0.3">
      <c r="B59" s="50" t="str">
        <f>RawList!A23</f>
        <v>Primary Component</v>
      </c>
      <c r="C59" s="50" t="str">
        <f>RawList!B23</f>
        <v>Bluetooth</v>
      </c>
      <c r="D59" s="50" t="str">
        <f>RawList!C23</f>
        <v>SparkFun</v>
      </c>
      <c r="E59" s="50" t="str">
        <f>RawList!H23</f>
        <v>SparkFun XBee Explorer Dongle</v>
      </c>
      <c r="F59" s="50" t="str">
        <f>RawList!D23</f>
        <v>WRL-11697</v>
      </c>
      <c r="G59" s="137">
        <f>RawList!E23</f>
        <v>5</v>
      </c>
      <c r="H59" s="50" t="str">
        <f>IF(EquipmentTable[[#This Row],[Units]]&gt;0,"Quantity &gt; 0 Items","Quantity = 0 Items")</f>
        <v>Quantity &gt; 0 Items</v>
      </c>
      <c r="I59" s="141">
        <f>RawList!J23</f>
        <v>24.95</v>
      </c>
      <c r="J59" s="24">
        <f>VALUE(EquipmentTable[[#This Row],[Units]]*EquipmentTable[[#This Row],[Unit
 Price]])</f>
        <v>124.75</v>
      </c>
      <c r="K59" s="50" t="str">
        <f>RawList!G23</f>
        <v>https://cdn.sparkfun.com/r/92-92/assets/parts/7/8/6/5/11697-01b.jpg</v>
      </c>
      <c r="L59" s="50"/>
      <c r="M59" s="50" t="str">
        <f>RawList!F23</f>
        <v>https://www.sparkfun.com/products/11697</v>
      </c>
    </row>
    <row r="60" spans="2:13" ht="14.4" customHeight="1" x14ac:dyDescent="0.3">
      <c r="B60" s="50" t="str">
        <f>RawList!A24</f>
        <v>Primary Component</v>
      </c>
      <c r="C60" s="50" t="str">
        <f>RawList!B24</f>
        <v>Bluetooth</v>
      </c>
      <c r="D60" s="50" t="str">
        <f>RawList!C24</f>
        <v>SparkFun</v>
      </c>
      <c r="E60" s="50" t="str">
        <f>RawList!H24</f>
        <v>Bluetooth USB Module Mini</v>
      </c>
      <c r="F60" s="50" t="str">
        <f>RawList!D24</f>
        <v>WRL-09434</v>
      </c>
      <c r="G60" s="137">
        <f>RawList!E24</f>
        <v>5</v>
      </c>
      <c r="H60" s="50" t="str">
        <f>IF(EquipmentTable[[#This Row],[Units]]&gt;0,"Quantity &gt; 0 Items","Quantity = 0 Items")</f>
        <v>Quantity &gt; 0 Items</v>
      </c>
      <c r="I60" s="141">
        <f>RawList!J24</f>
        <v>10.95</v>
      </c>
      <c r="J60" s="24">
        <f>VALUE(EquipmentTable[[#This Row],[Units]]*EquipmentTable[[#This Row],[Unit
 Price]])</f>
        <v>54.75</v>
      </c>
      <c r="K60" s="50" t="str">
        <f>RawList!G24</f>
        <v>https://cdn.sparkfun.com/r/92-92/assets/parts/3/1/0/7/09434-03.jpg</v>
      </c>
      <c r="L60" s="50"/>
      <c r="M60" s="50" t="str">
        <f>RawList!F24</f>
        <v>https://www.sparkfun.com/products/9434</v>
      </c>
    </row>
    <row r="61" spans="2:13" ht="14.4" customHeight="1" x14ac:dyDescent="0.3">
      <c r="B61" s="50" t="str">
        <f>RawList!A25</f>
        <v>Primary Component</v>
      </c>
      <c r="C61" s="50" t="str">
        <f>RawList!B25</f>
        <v>Bluetooth</v>
      </c>
      <c r="D61" s="50" t="str">
        <f>RawList!C25</f>
        <v>SparkFun</v>
      </c>
      <c r="E61" s="50" t="str">
        <f>RawList!H25</f>
        <v>RN42-XV Bluetooth Module - PCB Antenna</v>
      </c>
      <c r="F61" s="50" t="str">
        <f>RawList!D25</f>
        <v>WRL-11601</v>
      </c>
      <c r="G61" s="137">
        <f>RawList!E25</f>
        <v>10</v>
      </c>
      <c r="H61" s="50" t="str">
        <f>IF(EquipmentTable[[#This Row],[Units]]&gt;0,"Quantity &gt; 0 Items","Quantity = 0 Items")</f>
        <v>Quantity &gt; 0 Items</v>
      </c>
      <c r="I61" s="141">
        <f>RawList!J25</f>
        <v>24.95</v>
      </c>
      <c r="J61" s="24">
        <f>VALUE(EquipmentTable[[#This Row],[Units]]*EquipmentTable[[#This Row],[Unit
 Price]])</f>
        <v>249.5</v>
      </c>
      <c r="K61" s="50" t="str">
        <f>RawList!G25</f>
        <v>https://cdn.sparkfun.com/r/92-92/assets/parts/7/6/1/7/11601-01.jpg</v>
      </c>
      <c r="L61" s="50"/>
      <c r="M61" s="50" t="str">
        <f>RawList!F25</f>
        <v>https://www.sparkfun.com/products/11601</v>
      </c>
    </row>
    <row r="62" spans="2:13" x14ac:dyDescent="0.3">
      <c r="B62" s="50" t="str">
        <f>RawList!A26</f>
        <v>Primary Component</v>
      </c>
      <c r="C62" s="50" t="str">
        <f>RawList!B26</f>
        <v>Data &amp; Signal Logging/Monitoring</v>
      </c>
      <c r="D62" s="50" t="str">
        <f>RawList!C26</f>
        <v>SparkFun</v>
      </c>
      <c r="E62" s="50" t="str">
        <f>RawList!H26</f>
        <v>SparkFun Logomatic v2 - Serial SD Datalogger (FAT32)</v>
      </c>
      <c r="F62" s="50" t="str">
        <f>RawList!D26</f>
        <v>WIG-12772</v>
      </c>
      <c r="G62" s="137">
        <f>RawList!E26</f>
        <v>1</v>
      </c>
      <c r="H62" s="50" t="str">
        <f>IF(EquipmentTable[[#This Row],[Units]]&gt;0,"Quantity &gt; 0 Items","Quantity = 0 Items")</f>
        <v>Quantity &gt; 0 Items</v>
      </c>
      <c r="I62" s="141">
        <f>RawList!J26</f>
        <v>54.95</v>
      </c>
      <c r="J62" s="24">
        <f>VALUE(EquipmentTable[[#This Row],[Units]]*EquipmentTable[[#This Row],[Unit
 Price]])</f>
        <v>54.95</v>
      </c>
      <c r="K62" s="50" t="str">
        <f>RawList!G26</f>
        <v>https://cdn.sparkfun.com/r/92-92/assets/parts/9/5/4/5/12772-01.jpg</v>
      </c>
      <c r="L62" s="50"/>
      <c r="M62" s="50" t="str">
        <f>RawList!F26</f>
        <v>https://www.sparkfun.com/products/12772</v>
      </c>
    </row>
    <row r="63" spans="2:13" x14ac:dyDescent="0.3">
      <c r="B63" s="50" t="str">
        <f>RawList!A27</f>
        <v>Primary Component</v>
      </c>
      <c r="C63" s="50" t="str">
        <f>RawList!B27</f>
        <v>Data &amp; Signal Logging/Monitoring</v>
      </c>
      <c r="D63" s="50" t="str">
        <f>RawList!C27</f>
        <v>SparkFun</v>
      </c>
      <c r="E63" s="50" t="str">
        <f>RawList!H27</f>
        <v>SparkFun OpenLog</v>
      </c>
      <c r="F63" s="50" t="str">
        <f>RawList!D27</f>
        <v>DEV-13712</v>
      </c>
      <c r="G63" s="137">
        <f>RawList!E27</f>
        <v>1</v>
      </c>
      <c r="H63" s="50" t="str">
        <f>IF(EquipmentTable[[#This Row],[Units]]&gt;0,"Quantity &gt; 0 Items","Quantity = 0 Items")</f>
        <v>Quantity &gt; 0 Items</v>
      </c>
      <c r="I63" s="141">
        <f>RawList!J27</f>
        <v>14.95</v>
      </c>
      <c r="J63" s="24">
        <f>VALUE(EquipmentTable[[#This Row],[Units]]*EquipmentTable[[#This Row],[Unit
 Price]])</f>
        <v>14.95</v>
      </c>
      <c r="K63" s="50" t="str">
        <f>RawList!G27</f>
        <v>https://cdn.sparkfun.com/r/92-92/assets/parts/1/1/2/0/2/13712-01a.jpg</v>
      </c>
      <c r="L63" s="50"/>
      <c r="M63" s="50" t="str">
        <f>RawList!F27</f>
        <v>https://www.sparkfun.com/products/13712</v>
      </c>
    </row>
    <row r="64" spans="2:13" x14ac:dyDescent="0.3">
      <c r="B64" s="50" t="str">
        <f>RawList!A28</f>
        <v>Primary Component</v>
      </c>
      <c r="C64" s="50" t="str">
        <f>RawList!B28</f>
        <v>Data &amp; Signal Logging/Monitoring</v>
      </c>
      <c r="D64" s="50" t="str">
        <f>RawList!C28</f>
        <v>SparkFun</v>
      </c>
      <c r="E64" s="50" t="str">
        <f>RawList!H28</f>
        <v>SparkFun microSD Shield</v>
      </c>
      <c r="F64" s="50" t="str">
        <f>RawList!D28</f>
        <v>DEV-12761</v>
      </c>
      <c r="G64" s="137">
        <f>RawList!E28</f>
        <v>1</v>
      </c>
      <c r="H64" s="50" t="str">
        <f>IF(EquipmentTable[[#This Row],[Units]]&gt;0,"Quantity &gt; 0 Items","Quantity = 0 Items")</f>
        <v>Quantity &gt; 0 Items</v>
      </c>
      <c r="I64" s="141">
        <f>RawList!J28</f>
        <v>14.95</v>
      </c>
      <c r="J64" s="24">
        <f>VALUE(EquipmentTable[[#This Row],[Units]]*EquipmentTable[[#This Row],[Unit
 Price]])</f>
        <v>14.95</v>
      </c>
      <c r="K64" s="50" t="str">
        <f>RawList!G28</f>
        <v>https://cdn.sparkfun.com/r/92-92/assets/parts/9/5/2/8/12761-05.jpg</v>
      </c>
      <c r="L64" s="50"/>
      <c r="M64" s="50" t="str">
        <f>RawList!F28</f>
        <v>https://www.sparkfun.com/products/12761</v>
      </c>
    </row>
    <row r="65" spans="2:13" x14ac:dyDescent="0.3">
      <c r="B65" s="50" t="str">
        <f>RawList!A29</f>
        <v>Primary Component</v>
      </c>
      <c r="C65" s="50" t="str">
        <f>RawList!B29</f>
        <v>Data &amp; Signal Logging/Monitoring</v>
      </c>
      <c r="D65" s="50" t="str">
        <f>RawList!C29</f>
        <v>SparkFun</v>
      </c>
      <c r="E65" s="50" t="str">
        <f>RawList!H29</f>
        <v>SparkFun microSD Sniffer</v>
      </c>
      <c r="F65" s="50" t="str">
        <f>RawList!D29</f>
        <v>TOL-09419</v>
      </c>
      <c r="G65" s="137">
        <f>RawList!E29</f>
        <v>1</v>
      </c>
      <c r="H65" s="50" t="str">
        <f>IF(EquipmentTable[[#This Row],[Units]]&gt;0,"Quantity &gt; 0 Items","Quantity = 0 Items")</f>
        <v>Quantity &gt; 0 Items</v>
      </c>
      <c r="I65" s="141">
        <f>RawList!J29</f>
        <v>9.9499999999999993</v>
      </c>
      <c r="J65" s="24">
        <f>VALUE(EquipmentTable[[#This Row],[Units]]*EquipmentTable[[#This Row],[Unit
 Price]])</f>
        <v>9.9499999999999993</v>
      </c>
      <c r="K65" s="50" t="str">
        <f>RawList!G29</f>
        <v>https://cdn.sparkfun.com/r/92-92/assets/parts/3/0/5/9/09419-01a.jpg</v>
      </c>
      <c r="L65" s="50"/>
      <c r="M65" s="50" t="str">
        <f>RawList!F29</f>
        <v>https://www.sparkfun.com/products/9419</v>
      </c>
    </row>
    <row r="66" spans="2:13" x14ac:dyDescent="0.3">
      <c r="B66" s="50" t="str">
        <f>RawList!A30</f>
        <v>Primary Component</v>
      </c>
      <c r="C66" s="50" t="str">
        <f>RawList!B30</f>
        <v>Data &amp; Signal Logging/Monitoring</v>
      </c>
      <c r="D66" s="50" t="str">
        <f>RawList!C30</f>
        <v>SparkFun</v>
      </c>
      <c r="E66" s="50" t="str">
        <f>RawList!H30</f>
        <v>SparkFun SD/MMC Card Breakout</v>
      </c>
      <c r="F66" s="50" t="str">
        <f>RawList!D30</f>
        <v>BOB-12941</v>
      </c>
      <c r="G66" s="137">
        <f>RawList!E30</f>
        <v>0</v>
      </c>
      <c r="H66" s="50" t="str">
        <f>IF(EquipmentTable[[#This Row],[Units]]&gt;0,"Quantity &gt; 0 Items","Quantity = 0 Items")</f>
        <v>Quantity = 0 Items</v>
      </c>
      <c r="I66" s="141">
        <f>RawList!J30</f>
        <v>9.9499999999999993</v>
      </c>
      <c r="J66" s="24">
        <f>VALUE(EquipmentTable[[#This Row],[Units]]*EquipmentTable[[#This Row],[Unit
 Price]])</f>
        <v>0</v>
      </c>
      <c r="K66" s="50" t="str">
        <f>RawList!G30</f>
        <v>https://cdn.sparkfun.com/r/92-92/assets/parts/9/8/7/2/12941-01.jpg</v>
      </c>
      <c r="L66" s="50"/>
      <c r="M66" s="50" t="str">
        <f>RawList!F30</f>
        <v>https://www.sparkfun.com/products/12941</v>
      </c>
    </row>
    <row r="67" spans="2:13" x14ac:dyDescent="0.3">
      <c r="B67" s="50" t="str">
        <f>RawList!A31</f>
        <v>Primary Component</v>
      </c>
      <c r="C67" s="50" t="str">
        <f>RawList!B31</f>
        <v>Data &amp; Signal Logging/Monitoring</v>
      </c>
      <c r="D67" s="50" t="str">
        <f>RawList!C31</f>
        <v>SparkFun</v>
      </c>
      <c r="E67" s="50" t="str">
        <f>RawList!H31</f>
        <v>SparkFun Level Shifting microSD Breakout</v>
      </c>
      <c r="F67" s="50" t="str">
        <f>RawList!D31</f>
        <v>DEV-13743</v>
      </c>
      <c r="G67" s="137">
        <f>RawList!E31</f>
        <v>5</v>
      </c>
      <c r="H67" s="50" t="str">
        <f>IF(EquipmentTable[[#This Row],[Units]]&gt;0,"Quantity &gt; 0 Items","Quantity = 0 Items")</f>
        <v>Quantity &gt; 0 Items</v>
      </c>
      <c r="I67" s="141">
        <f>RawList!J31</f>
        <v>4.95</v>
      </c>
      <c r="J67" s="24">
        <f>VALUE(EquipmentTable[[#This Row],[Units]]*EquipmentTable[[#This Row],[Unit
 Price]])</f>
        <v>24.75</v>
      </c>
      <c r="K67" s="50" t="str">
        <f>RawList!G31</f>
        <v>https://cdn.sparkfun.com/r/92-92/assets/parts/1/1/2/6/7/13743-01.jpg</v>
      </c>
      <c r="L67" s="50"/>
      <c r="M67" s="50" t="str">
        <f>RawList!F31</f>
        <v>https://www.sparkfun.com/products/13743</v>
      </c>
    </row>
    <row r="68" spans="2:13" x14ac:dyDescent="0.3">
      <c r="B68" s="50" t="str">
        <f>RawList!A32</f>
        <v>Primary Component</v>
      </c>
      <c r="C68" s="50" t="str">
        <f>RawList!B32</f>
        <v>Data &amp; Signal Logging/Monitoring</v>
      </c>
      <c r="D68" s="50" t="str">
        <f>RawList!C32</f>
        <v>SparkFun</v>
      </c>
      <c r="E68" s="50" t="str">
        <f>RawList!H32</f>
        <v>microSD Card with Adapter - 16GB (Class 10)</v>
      </c>
      <c r="F68" s="50" t="str">
        <f>RawList!D32</f>
        <v>COM-13833</v>
      </c>
      <c r="G68" s="137">
        <f>RawList!E32</f>
        <v>6</v>
      </c>
      <c r="H68" s="50" t="str">
        <f>IF(EquipmentTable[[#This Row],[Units]]&gt;0,"Quantity &gt; 0 Items","Quantity = 0 Items")</f>
        <v>Quantity &gt; 0 Items</v>
      </c>
      <c r="I68" s="141">
        <f>RawList!J32</f>
        <v>19.95</v>
      </c>
      <c r="J68" s="24">
        <f>VALUE(EquipmentTable[[#This Row],[Units]]*EquipmentTable[[#This Row],[Unit
 Price]])</f>
        <v>119.69999999999999</v>
      </c>
      <c r="K68" s="50" t="str">
        <f>RawList!G32</f>
        <v>https://cdn.sparkfun.com/r/92-92/assets/parts/1/1/4/3/0/13833-02.jpg</v>
      </c>
      <c r="L68" s="50"/>
      <c r="M68" s="50" t="str">
        <f>RawList!F32</f>
        <v>https://www.sparkfun.com/products/13833</v>
      </c>
    </row>
    <row r="69" spans="2:13" x14ac:dyDescent="0.3">
      <c r="B69" s="50" t="str">
        <f>RawList!A33</f>
        <v>Primary Component</v>
      </c>
      <c r="C69" s="50" t="str">
        <f>RawList!B33</f>
        <v>Data &amp; Signal Logging/Monitoring</v>
      </c>
      <c r="D69" s="50" t="str">
        <f>RawList!C33</f>
        <v>Adafruit</v>
      </c>
      <c r="E69" s="50" t="str">
        <f>RawList!H33</f>
        <v xml:space="preserve">4GB Blank SD/MicroSD Memory Card </v>
      </c>
      <c r="F69" s="50" t="str">
        <f>RawList!D33</f>
        <v>102</v>
      </c>
      <c r="G69" s="137">
        <f>RawList!E33</f>
        <v>2</v>
      </c>
      <c r="H69" s="50" t="str">
        <f>IF(EquipmentTable[[#This Row],[Units]]&gt;0,"Quantity &gt; 0 Items","Quantity = 0 Items")</f>
        <v>Quantity &gt; 0 Items</v>
      </c>
      <c r="I69" s="141">
        <f>RawList!J33</f>
        <v>7.95</v>
      </c>
      <c r="J69" s="24">
        <f>VALUE(EquipmentTable[[#This Row],[Units]]*EquipmentTable[[#This Row],[Unit
 Price]])</f>
        <v>15.9</v>
      </c>
      <c r="K69" s="50">
        <f>RawList!G33</f>
        <v>0</v>
      </c>
      <c r="L69" s="50"/>
      <c r="M69" s="50">
        <f>RawList!F33</f>
        <v>0</v>
      </c>
    </row>
    <row r="70" spans="2:13" x14ac:dyDescent="0.3">
      <c r="B70" s="50" t="str">
        <f>RawList!A34</f>
        <v>Primary Component</v>
      </c>
      <c r="C70" s="50" t="str">
        <f>RawList!B34</f>
        <v>Data &amp; Signal Logging/Monitoring</v>
      </c>
      <c r="D70" s="50" t="str">
        <f>RawList!C34</f>
        <v>Adafruit</v>
      </c>
      <c r="E70" s="50" t="str">
        <f>RawList!H34</f>
        <v>Pogo Pin Probe Clip</v>
      </c>
      <c r="F70" s="50" t="str">
        <f>RawList!D34</f>
        <v>1969</v>
      </c>
      <c r="G70" s="137">
        <f>RawList!E34</f>
        <v>1</v>
      </c>
      <c r="H70" s="50" t="str">
        <f>IF(EquipmentTable[[#This Row],[Units]]&gt;0,"Quantity &gt; 0 Items","Quantity = 0 Items")</f>
        <v>Quantity &gt; 0 Items</v>
      </c>
      <c r="I70" s="141">
        <f>RawList!J34</f>
        <v>2.95</v>
      </c>
      <c r="J70" s="24">
        <f>VALUE(EquipmentTable[[#This Row],[Units]]*EquipmentTable[[#This Row],[Unit
 Price]])</f>
        <v>2.95</v>
      </c>
      <c r="K70" s="50">
        <f>RawList!G34</f>
        <v>0</v>
      </c>
      <c r="L70" s="50"/>
      <c r="M70" s="50">
        <f>RawList!F34</f>
        <v>0</v>
      </c>
    </row>
    <row r="71" spans="2:13" x14ac:dyDescent="0.3">
      <c r="B71" s="50" t="str">
        <f>RawList!A35</f>
        <v>Primary Component</v>
      </c>
      <c r="C71" s="50" t="str">
        <f>RawList!B35</f>
        <v>Data &amp; Signal Logging/Monitoring</v>
      </c>
      <c r="D71" s="50" t="str">
        <f>RawList!C35</f>
        <v>Adafruit</v>
      </c>
      <c r="E71" s="50" t="str">
        <f>RawList!H35</f>
        <v xml:space="preserve">SD/MicroSD Memory Card - 16GB Class 10 - Adapter Included </v>
      </c>
      <c r="F71" s="50" t="str">
        <f>RawList!D35</f>
        <v>2693</v>
      </c>
      <c r="G71" s="137">
        <f>RawList!E35</f>
        <v>0</v>
      </c>
      <c r="H71" s="50" t="str">
        <f>IF(EquipmentTable[[#This Row],[Units]]&gt;0,"Quantity &gt; 0 Items","Quantity = 0 Items")</f>
        <v>Quantity = 0 Items</v>
      </c>
      <c r="I71" s="141">
        <f>RawList!J35</f>
        <v>19.95</v>
      </c>
      <c r="J71" s="24">
        <f>VALUE(EquipmentTable[[#This Row],[Units]]*EquipmentTable[[#This Row],[Unit
 Price]])</f>
        <v>0</v>
      </c>
      <c r="K71" s="50">
        <f>RawList!G35</f>
        <v>0</v>
      </c>
      <c r="L71" s="50"/>
      <c r="M71" s="50">
        <f>RawList!F35</f>
        <v>0</v>
      </c>
    </row>
    <row r="72" spans="2:13" x14ac:dyDescent="0.3">
      <c r="B72" s="50" t="str">
        <f>RawList!A36</f>
        <v>Primary Component</v>
      </c>
      <c r="C72" s="50" t="str">
        <f>RawList!B36</f>
        <v>Data &amp; Signal Logging/Monitoring</v>
      </c>
      <c r="D72" s="50" t="str">
        <f>RawList!C36</f>
        <v>Adafruit</v>
      </c>
      <c r="E72" s="50" t="str">
        <f>RawList!H36</f>
        <v xml:space="preserve">SD/MicroSD Memory Card (8 GB SDHC) </v>
      </c>
      <c r="F72" s="50" t="str">
        <f>RawList!D36</f>
        <v>1294</v>
      </c>
      <c r="G72" s="137">
        <f>RawList!E36</f>
        <v>0</v>
      </c>
      <c r="H72" s="50" t="str">
        <f>IF(EquipmentTable[[#This Row],[Units]]&gt;0,"Quantity &gt; 0 Items","Quantity = 0 Items")</f>
        <v>Quantity = 0 Items</v>
      </c>
      <c r="I72" s="141">
        <f>RawList!J36</f>
        <v>9.9499999999999993</v>
      </c>
      <c r="J72" s="24">
        <f>VALUE(EquipmentTable[[#This Row],[Units]]*EquipmentTable[[#This Row],[Unit
 Price]])</f>
        <v>0</v>
      </c>
      <c r="K72" s="50">
        <f>RawList!G36</f>
        <v>0</v>
      </c>
      <c r="L72" s="50"/>
      <c r="M72" s="50">
        <f>RawList!F36</f>
        <v>0</v>
      </c>
    </row>
    <row r="73" spans="2:13" x14ac:dyDescent="0.3">
      <c r="B73" s="50" t="str">
        <f>RawList!A37</f>
        <v>Primary Component</v>
      </c>
      <c r="C73" s="50" t="str">
        <f>RawList!B37</f>
        <v>Data &amp; Signal Logging/Monitoring</v>
      </c>
      <c r="D73" s="50" t="str">
        <f>RawList!C37</f>
        <v>SparkFun</v>
      </c>
      <c r="E73" s="50" t="str">
        <f>RawList!H37</f>
        <v>XMEGA Xprotolab</v>
      </c>
      <c r="F73" s="50" t="str">
        <f>RawList!D37</f>
        <v>DEV-11643</v>
      </c>
      <c r="G73" s="137">
        <f>RawList!E37</f>
        <v>0</v>
      </c>
      <c r="H73" s="50" t="str">
        <f>IF(EquipmentTable[[#This Row],[Units]]&gt;0,"Quantity &gt; 0 Items","Quantity = 0 Items")</f>
        <v>Quantity = 0 Items</v>
      </c>
      <c r="I73" s="141">
        <f>RawList!J37</f>
        <v>54.95</v>
      </c>
      <c r="J73" s="24">
        <f>VALUE(EquipmentTable[[#This Row],[Units]]*EquipmentTable[[#This Row],[Unit
 Price]])</f>
        <v>0</v>
      </c>
      <c r="K73" s="50" t="str">
        <f>RawList!G37</f>
        <v>https://cdn.sparkfun.com/r/92-92/assets/parts/7/7/1/7/11643-01.jpg</v>
      </c>
      <c r="L73" s="50"/>
      <c r="M73" s="50" t="str">
        <f>RawList!F37</f>
        <v>https://www.sparkfun.com/products/11643</v>
      </c>
    </row>
    <row r="74" spans="2:13" x14ac:dyDescent="0.3">
      <c r="B74" s="50" t="str">
        <f>RawList!A38</f>
        <v>Primary Component</v>
      </c>
      <c r="C74" s="50" t="str">
        <f>RawList!B38</f>
        <v>Data &amp; Signal Logging/Monitoring</v>
      </c>
      <c r="D74" s="50" t="str">
        <f>RawList!C38</f>
        <v>SparkFun</v>
      </c>
      <c r="E74" s="50" t="str">
        <f>RawList!H38</f>
        <v>microSD USB Reader</v>
      </c>
      <c r="F74" s="50" t="str">
        <f>RawList!D38</f>
        <v>COM-13004</v>
      </c>
      <c r="G74" s="137">
        <f>RawList!E38</f>
        <v>5</v>
      </c>
      <c r="H74" s="50" t="str">
        <f>IF(EquipmentTable[[#This Row],[Units]]&gt;0,"Quantity &gt; 0 Items","Quantity = 0 Items")</f>
        <v>Quantity &gt; 0 Items</v>
      </c>
      <c r="I74" s="141">
        <f>RawList!J38</f>
        <v>4.95</v>
      </c>
      <c r="J74" s="24">
        <f>VALUE(EquipmentTable[[#This Row],[Units]]*EquipmentTable[[#This Row],[Unit
 Price]])</f>
        <v>24.75</v>
      </c>
      <c r="K74" s="50" t="str">
        <f>RawList!G38</f>
        <v>https://cdn.sparkfun.com/r/92-92/assets/parts/9/9/5/8/13004-01.jpg</v>
      </c>
      <c r="L74" s="50"/>
      <c r="M74" s="50" t="str">
        <f>RawList!F38</f>
        <v>https://www.sparkfun.com/products/13004</v>
      </c>
    </row>
    <row r="75" spans="2:13" x14ac:dyDescent="0.3">
      <c r="B75" s="50" t="str">
        <f>RawList!A39</f>
        <v>Primary Component</v>
      </c>
      <c r="C75" s="50" t="str">
        <f>RawList!B39</f>
        <v>Data &amp; Signal Logging/Monitoring</v>
      </c>
      <c r="D75" s="50" t="str">
        <f>RawList!C39</f>
        <v>SparkFun</v>
      </c>
      <c r="E75" s="50" t="str">
        <f>RawList!H39</f>
        <v>SparkFun DeadOn RTC Breakout - DS3234</v>
      </c>
      <c r="F75" s="50" t="str">
        <f>RawList!D39</f>
        <v>BOB-10160</v>
      </c>
      <c r="G75" s="137">
        <f>RawList!E39</f>
        <v>1</v>
      </c>
      <c r="H75" s="50" t="str">
        <f>IF(EquipmentTable[[#This Row],[Units]]&gt;0,"Quantity &gt; 0 Items","Quantity = 0 Items")</f>
        <v>Quantity &gt; 0 Items</v>
      </c>
      <c r="I75" s="141">
        <f>RawList!J39</f>
        <v>19.95</v>
      </c>
      <c r="J75" s="24">
        <f>VALUE(EquipmentTable[[#This Row],[Units]]*EquipmentTable[[#This Row],[Unit
 Price]])</f>
        <v>19.95</v>
      </c>
      <c r="K75" s="50" t="str">
        <f>RawList!G39</f>
        <v>https://cdn.sparkfun.com/r/92-92/assets/parts/4/4/5/5/10160b-01.jpg</v>
      </c>
      <c r="L75" s="50"/>
      <c r="M75" s="50" t="str">
        <f>RawList!F39</f>
        <v>https://www.sparkfun.com/products/10160</v>
      </c>
    </row>
    <row r="76" spans="2:13" x14ac:dyDescent="0.3">
      <c r="B76" s="50" t="str">
        <f>RawList!A40</f>
        <v>Primary Component</v>
      </c>
      <c r="C76" s="50" t="str">
        <f>RawList!B40</f>
        <v>LED Indicators/Lighting</v>
      </c>
      <c r="D76" s="50" t="str">
        <f>RawList!C40</f>
        <v>SparkFun</v>
      </c>
      <c r="E76" s="50" t="str">
        <f>RawList!H40</f>
        <v>LED Light Bar - White (SMD)</v>
      </c>
      <c r="F76" s="50" t="str">
        <f>RawList!D40</f>
        <v>COM-12014</v>
      </c>
      <c r="G76" s="137">
        <f>RawList!E40</f>
        <v>1</v>
      </c>
      <c r="H76" s="50" t="str">
        <f>IF(EquipmentTable[[#This Row],[Units]]&gt;0,"Quantity &gt; 0 Items","Quantity = 0 Items")</f>
        <v>Quantity &gt; 0 Items</v>
      </c>
      <c r="I76" s="141">
        <f>RawList!J40</f>
        <v>3.95</v>
      </c>
      <c r="J76" s="24">
        <f>VALUE(EquipmentTable[[#This Row],[Units]]*EquipmentTable[[#This Row],[Unit
 Price]])</f>
        <v>3.95</v>
      </c>
      <c r="K76" s="50" t="str">
        <f>RawList!G40</f>
        <v>https://cdn.sparkfun.com/r/92-92/assets/parts/8/5/3/5/12014-01.jpg</v>
      </c>
      <c r="L76" s="50"/>
      <c r="M76" s="50" t="str">
        <f>RawList!F40</f>
        <v>https://www.sparkfun.com/products/12014</v>
      </c>
    </row>
    <row r="77" spans="2:13" x14ac:dyDescent="0.3">
      <c r="B77" s="50" t="str">
        <f>RawList!A41</f>
        <v>Primary Component</v>
      </c>
      <c r="C77" s="50" t="str">
        <f>RawList!B41</f>
        <v>LED Indicators/Lighting</v>
      </c>
      <c r="D77" s="50" t="str">
        <f>RawList!C41</f>
        <v>SparkFun</v>
      </c>
      <c r="E77" s="50" t="str">
        <f>RawList!H41</f>
        <v>7-Segment Display - 20mm (Blue)</v>
      </c>
      <c r="F77" s="50" t="str">
        <f>RawList!D41</f>
        <v>COM-11408</v>
      </c>
      <c r="G77" s="137">
        <f>RawList!E41</f>
        <v>1</v>
      </c>
      <c r="H77" s="50" t="str">
        <f>IF(EquipmentTable[[#This Row],[Units]]&gt;0,"Quantity &gt; 0 Items","Quantity = 0 Items")</f>
        <v>Quantity &gt; 0 Items</v>
      </c>
      <c r="I77" s="141">
        <f>RawList!J41</f>
        <v>2.95</v>
      </c>
      <c r="J77" s="24">
        <f>VALUE(EquipmentTable[[#This Row],[Units]]*EquipmentTable[[#This Row],[Unit
 Price]])</f>
        <v>2.95</v>
      </c>
      <c r="K77" s="50" t="str">
        <f>RawList!G41</f>
        <v>https://cdn.sparkfun.com/r/92-92/assets/parts/7/1/9/9/11408-03.jpg</v>
      </c>
      <c r="L77" s="50"/>
      <c r="M77" s="50" t="str">
        <f>RawList!F41</f>
        <v>https://www.sparkfun.com/products/11408</v>
      </c>
    </row>
    <row r="78" spans="2:13" x14ac:dyDescent="0.3">
      <c r="B78" s="50" t="str">
        <f>RawList!A42</f>
        <v>Primary Component</v>
      </c>
      <c r="C78" s="50" t="str">
        <f>RawList!B42</f>
        <v>LED Indicators/Lighting</v>
      </c>
      <c r="D78" s="50" t="str">
        <f>RawList!C42</f>
        <v>SparkFun</v>
      </c>
      <c r="E78" s="50" t="str">
        <f>RawList!H42</f>
        <v>Dual 7-Segment Display - LED (RGB)</v>
      </c>
      <c r="F78" s="50" t="str">
        <f>RawList!D42</f>
        <v>COM-13999</v>
      </c>
      <c r="G78" s="137">
        <f>RawList!E42</f>
        <v>1</v>
      </c>
      <c r="H78" s="50" t="str">
        <f>IF(EquipmentTable[[#This Row],[Units]]&gt;0,"Quantity &gt; 0 Items","Quantity = 0 Items")</f>
        <v>Quantity &gt; 0 Items</v>
      </c>
      <c r="I78" s="141">
        <f>RawList!J42</f>
        <v>3.95</v>
      </c>
      <c r="J78" s="24">
        <f>VALUE(EquipmentTable[[#This Row],[Units]]*EquipmentTable[[#This Row],[Unit
 Price]])</f>
        <v>3.95</v>
      </c>
      <c r="K78" s="50" t="str">
        <f>RawList!G42</f>
        <v>https://cdn.sparkfun.com/r/92-92/assets/parts/1/1/7/7/2/13999-01.jpg</v>
      </c>
      <c r="L78" s="50"/>
      <c r="M78" s="50" t="str">
        <f>RawList!F42</f>
        <v>https://www.sparkfun.com/products/13999</v>
      </c>
    </row>
    <row r="79" spans="2:13" x14ac:dyDescent="0.3">
      <c r="B79" s="50" t="str">
        <f>RawList!A43</f>
        <v>Primary Component</v>
      </c>
      <c r="C79" s="50" t="str">
        <f>RawList!B43</f>
        <v>LED Indicators/Lighting</v>
      </c>
      <c r="D79" s="50" t="str">
        <f>RawList!C43</f>
        <v>SparkFun</v>
      </c>
      <c r="E79" s="50" t="str">
        <f>RawList!H43</f>
        <v>10 Segment LED Bar Graph - Green</v>
      </c>
      <c r="F79" s="50" t="str">
        <f>RawList!D43</f>
        <v>COM-09938</v>
      </c>
      <c r="G79" s="137">
        <f>RawList!E43</f>
        <v>10</v>
      </c>
      <c r="H79" s="50" t="str">
        <f>IF(EquipmentTable[[#This Row],[Units]]&gt;0,"Quantity &gt; 0 Items","Quantity = 0 Items")</f>
        <v>Quantity &gt; 0 Items</v>
      </c>
      <c r="I79" s="141">
        <f>RawList!J43</f>
        <v>1.95</v>
      </c>
      <c r="J79" s="24">
        <f>VALUE(EquipmentTable[[#This Row],[Units]]*EquipmentTable[[#This Row],[Unit
 Price]])</f>
        <v>19.5</v>
      </c>
      <c r="K79" s="50" t="str">
        <f>RawList!G43</f>
        <v>https://cdn.sparkfun.com/r/92-92/assets/parts/3/9/3/1/09935-01.jpg</v>
      </c>
      <c r="L79" s="50"/>
      <c r="M79" s="50" t="str">
        <f>RawList!F43</f>
        <v>https://www.sparkfun.com/products/9938</v>
      </c>
    </row>
    <row r="80" spans="2:13" x14ac:dyDescent="0.3">
      <c r="B80" s="50" t="str">
        <f>RawList!A44</f>
        <v>Primary Component</v>
      </c>
      <c r="C80" s="50" t="str">
        <f>RawList!B44</f>
        <v>LED Indicators/Lighting</v>
      </c>
      <c r="D80" s="50" t="str">
        <f>RawList!C44</f>
        <v>SparkFun</v>
      </c>
      <c r="E80" s="50" t="str">
        <f>RawList!H44</f>
        <v>SparkFun RGB LED Breakout - WS2812B</v>
      </c>
      <c r="F80" s="50" t="str">
        <f>RawList!D44</f>
        <v>BOB-13282</v>
      </c>
      <c r="G80" s="137">
        <f>RawList!E44</f>
        <v>2</v>
      </c>
      <c r="H80" s="50" t="str">
        <f>IF(EquipmentTable[[#This Row],[Units]]&gt;0,"Quantity &gt; 0 Items","Quantity = 0 Items")</f>
        <v>Quantity &gt; 0 Items</v>
      </c>
      <c r="I80" s="141">
        <f>RawList!J44</f>
        <v>2.95</v>
      </c>
      <c r="J80" s="24">
        <f>VALUE(EquipmentTable[[#This Row],[Units]]*EquipmentTable[[#This Row],[Unit
 Price]])</f>
        <v>5.9</v>
      </c>
      <c r="K80" s="50" t="str">
        <f>RawList!G44</f>
        <v>https://cdn.sparkfun.com/r/92-92/assets/parts/1/0/5/2/2/13282-03.jpg</v>
      </c>
      <c r="L80" s="50"/>
      <c r="M80" s="50" t="str">
        <f>RawList!F44</f>
        <v>https://www.sparkfun.com/products/13282</v>
      </c>
    </row>
    <row r="81" spans="2:13" x14ac:dyDescent="0.3">
      <c r="B81" s="50" t="str">
        <f>RawList!A45</f>
        <v>Primary Component</v>
      </c>
      <c r="C81" s="50" t="str">
        <f>RawList!B45</f>
        <v>LED Indicators/Lighting</v>
      </c>
      <c r="D81" s="50" t="str">
        <f>RawList!C45</f>
        <v>SparkFun</v>
      </c>
      <c r="E81" s="50" t="str">
        <f>RawList!H45</f>
        <v xml:space="preserve">SparkFun LED Driver Breakout - LP55231 </v>
      </c>
      <c r="F81" s="50" t="str">
        <f>RawList!D45</f>
        <v>BOB-13884</v>
      </c>
      <c r="G81" s="137">
        <f>RawList!E45</f>
        <v>5</v>
      </c>
      <c r="H81" s="50" t="str">
        <f>IF(EquipmentTable[[#This Row],[Units]]&gt;0,"Quantity &gt; 0 Items","Quantity = 0 Items")</f>
        <v>Quantity &gt; 0 Items</v>
      </c>
      <c r="I81" s="141">
        <f>RawList!J45</f>
        <v>7.95</v>
      </c>
      <c r="J81" s="24">
        <f>VALUE(EquipmentTable[[#This Row],[Units]]*EquipmentTable[[#This Row],[Unit
 Price]])</f>
        <v>39.75</v>
      </c>
      <c r="K81" s="50" t="str">
        <f>RawList!G45</f>
        <v>https://cdn.sparkfun.com/r/92-92/assets/parts/1/1/5/2/0/13884-02.jpg</v>
      </c>
      <c r="L81" s="50"/>
      <c r="M81" s="50" t="str">
        <f>RawList!F45</f>
        <v>https://www.sparkfun.com/products/13884</v>
      </c>
    </row>
    <row r="82" spans="2:13" x14ac:dyDescent="0.3">
      <c r="B82" s="50" t="str">
        <f>RawList!A46</f>
        <v>Primary Component</v>
      </c>
      <c r="C82" s="50" t="str">
        <f>RawList!B46</f>
        <v>LED Indicators/Lighting</v>
      </c>
      <c r="D82" s="50" t="str">
        <f>RawList!C46</f>
        <v>SparkFun</v>
      </c>
      <c r="E82" s="50" t="str">
        <f>RawList!H46</f>
        <v>NeoPixel Stick - 8 x WS2812 5050 RGB LED</v>
      </c>
      <c r="F82" s="50" t="str">
        <f>RawList!D46</f>
        <v>COM-12661</v>
      </c>
      <c r="G82" s="137">
        <f>RawList!E46</f>
        <v>1</v>
      </c>
      <c r="H82" s="50" t="str">
        <f>IF(EquipmentTable[[#This Row],[Units]]&gt;0,"Quantity &gt; 0 Items","Quantity = 0 Items")</f>
        <v>Quantity &gt; 0 Items</v>
      </c>
      <c r="I82" s="141">
        <f>RawList!J46</f>
        <v>5.95</v>
      </c>
      <c r="J82" s="24">
        <f>VALUE(EquipmentTable[[#This Row],[Units]]*EquipmentTable[[#This Row],[Unit
 Price]])</f>
        <v>5.95</v>
      </c>
      <c r="K82" s="50" t="str">
        <f>RawList!G46</f>
        <v>https://cdn.sparkfun.com/r/92-92/assets/parts/9/3/7/2/12661-01a.jpg</v>
      </c>
      <c r="L82" s="50"/>
      <c r="M82" s="50" t="str">
        <f>RawList!F46</f>
        <v>https://www.sparkfun.com/products/12661</v>
      </c>
    </row>
    <row r="83" spans="2:13" x14ac:dyDescent="0.3">
      <c r="B83" s="50" t="str">
        <f>RawList!A47</f>
        <v>Primary Component</v>
      </c>
      <c r="C83" s="50" t="str">
        <f>RawList!B47</f>
        <v>LED Indicators/Lighting</v>
      </c>
      <c r="D83" s="50" t="str">
        <f>RawList!C47</f>
        <v>SparkFun</v>
      </c>
      <c r="E83" s="50" t="str">
        <f>RawList!H47</f>
        <v>Luxeon Rebel High Power LED - Warm White</v>
      </c>
      <c r="F83" s="50" t="str">
        <f>RawList!D47</f>
        <v>COM-09637</v>
      </c>
      <c r="G83" s="137">
        <f>RawList!E47</f>
        <v>3</v>
      </c>
      <c r="H83" s="50" t="str">
        <f>IF(EquipmentTable[[#This Row],[Units]]&gt;0,"Quantity &gt; 0 Items","Quantity = 0 Items")</f>
        <v>Quantity &gt; 0 Items</v>
      </c>
      <c r="I83" s="141">
        <f>RawList!J47</f>
        <v>4.95</v>
      </c>
      <c r="J83" s="24">
        <f>VALUE(EquipmentTable[[#This Row],[Units]]*EquipmentTable[[#This Row],[Unit
 Price]])</f>
        <v>14.850000000000001</v>
      </c>
      <c r="K83" s="50" t="str">
        <f>RawList!G47</f>
        <v>https://cdn.sparkfun.com/r/92-92/assets/parts/3/4/8/3/09637-01.jpg</v>
      </c>
      <c r="L83" s="50"/>
      <c r="M83" s="50" t="str">
        <f>RawList!F47</f>
        <v>https://www.sparkfun.com/products/9637</v>
      </c>
    </row>
    <row r="84" spans="2:13" x14ac:dyDescent="0.3">
      <c r="B84" s="50" t="str">
        <f>RawList!A48</f>
        <v>Primary Component</v>
      </c>
      <c r="C84" s="50" t="str">
        <f>RawList!B48</f>
        <v>LED Indicators/Lighting</v>
      </c>
      <c r="D84" s="50" t="str">
        <f>RawList!C48</f>
        <v>Adafruit</v>
      </c>
      <c r="E84" s="50" t="str">
        <f>RawList!H48</f>
        <v xml:space="preserve">White LED Backlight Module - Large 45mm x 86mm </v>
      </c>
      <c r="F84" s="50" t="str">
        <f>RawList!D48</f>
        <v>1621</v>
      </c>
      <c r="G84" s="137">
        <f>RawList!E48</f>
        <v>0</v>
      </c>
      <c r="H84" s="50" t="str">
        <f>IF(EquipmentTable[[#This Row],[Units]]&gt;0,"Quantity &gt; 0 Items","Quantity = 0 Items")</f>
        <v>Quantity = 0 Items</v>
      </c>
      <c r="I84" s="141">
        <f>RawList!J48</f>
        <v>2.95</v>
      </c>
      <c r="J84" s="24">
        <f>VALUE(EquipmentTable[[#This Row],[Units]]*EquipmentTable[[#This Row],[Unit
 Price]])</f>
        <v>0</v>
      </c>
      <c r="K84" s="50">
        <f>RawList!G48</f>
        <v>0</v>
      </c>
      <c r="L84" s="50"/>
      <c r="M84" s="50">
        <f>RawList!F48</f>
        <v>0</v>
      </c>
    </row>
    <row r="85" spans="2:13" x14ac:dyDescent="0.3">
      <c r="B85" s="50" t="str">
        <f>RawList!A49</f>
        <v>Primary Component</v>
      </c>
      <c r="C85" s="50" t="str">
        <f>RawList!B49</f>
        <v>LED Indicators/Lighting</v>
      </c>
      <c r="D85" s="50" t="str">
        <f>RawList!C49</f>
        <v>Adafruit</v>
      </c>
      <c r="E85" s="50" t="str">
        <f>RawList!H49</f>
        <v xml:space="preserve">White LED Backlight Module - Medium 23mm x 75mm </v>
      </c>
      <c r="F85" s="50" t="str">
        <f>RawList!D49</f>
        <v>1622</v>
      </c>
      <c r="G85" s="137">
        <f>RawList!E49</f>
        <v>0</v>
      </c>
      <c r="H85" s="50" t="str">
        <f>IF(EquipmentTable[[#This Row],[Units]]&gt;0,"Quantity &gt; 0 Items","Quantity = 0 Items")</f>
        <v>Quantity = 0 Items</v>
      </c>
      <c r="I85" s="141">
        <f>RawList!J49</f>
        <v>2.5</v>
      </c>
      <c r="J85" s="24">
        <f>VALUE(EquipmentTable[[#This Row],[Units]]*EquipmentTable[[#This Row],[Unit
 Price]])</f>
        <v>0</v>
      </c>
      <c r="K85" s="50">
        <f>RawList!G49</f>
        <v>0</v>
      </c>
      <c r="L85" s="50"/>
      <c r="M85" s="50">
        <f>RawList!F49</f>
        <v>0</v>
      </c>
    </row>
    <row r="86" spans="2:13" x14ac:dyDescent="0.3">
      <c r="B86" s="50" t="str">
        <f>RawList!A50</f>
        <v>Primary Component</v>
      </c>
      <c r="C86" s="50" t="str">
        <f>RawList!B50</f>
        <v>MCU/Development Board</v>
      </c>
      <c r="D86" s="50" t="str">
        <f>RawList!C50</f>
        <v>SparkFun</v>
      </c>
      <c r="E86" s="50" t="str">
        <f>RawList!H50</f>
        <v>Arduino Mega 2560 R3</v>
      </c>
      <c r="F86" s="50" t="str">
        <f>RawList!D50</f>
        <v>DEV-11061</v>
      </c>
      <c r="G86" s="137">
        <f>RawList!E50</f>
        <v>5</v>
      </c>
      <c r="H86" s="50" t="str">
        <f>IF(EquipmentTable[[#This Row],[Units]]&gt;0,"Quantity &gt; 0 Items","Quantity = 0 Items")</f>
        <v>Quantity &gt; 0 Items</v>
      </c>
      <c r="I86" s="141">
        <f>RawList!J50</f>
        <v>45.95</v>
      </c>
      <c r="J86" s="24">
        <f>VALUE(EquipmentTable[[#This Row],[Units]]*EquipmentTable[[#This Row],[Unit
 Price]])</f>
        <v>229.75</v>
      </c>
      <c r="K86" s="50" t="str">
        <f>RawList!G50</f>
        <v>https://cdn.sparkfun.com/r/92-92/assets/parts/6/4/3/3/11061-01c.jpg</v>
      </c>
      <c r="L86" s="50"/>
      <c r="M86" s="50" t="str">
        <f>RawList!F50</f>
        <v>https://www.sparkfun.com/products/11061</v>
      </c>
    </row>
    <row r="87" spans="2:13" x14ac:dyDescent="0.3">
      <c r="B87" s="50" t="str">
        <f>RawList!A51</f>
        <v>Primary Component</v>
      </c>
      <c r="C87" s="50" t="str">
        <f>RawList!B51</f>
        <v>Power Supply, Barrel Jack Wall Wart</v>
      </c>
      <c r="D87" s="50" t="str">
        <f>RawList!C51</f>
        <v>SparkFun</v>
      </c>
      <c r="E87" s="50" t="str">
        <f>RawList!H51</f>
        <v>Wall Adapter Power Supply - 5V DC 2A (Barrel Jack)</v>
      </c>
      <c r="F87" s="50" t="str">
        <f>RawList!D51</f>
        <v>TOL-12889</v>
      </c>
      <c r="G87" s="137">
        <f>RawList!E51</f>
        <v>0</v>
      </c>
      <c r="H87" s="50" t="str">
        <f>IF(EquipmentTable[[#This Row],[Units]]&gt;0,"Quantity &gt; 0 Items","Quantity = 0 Items")</f>
        <v>Quantity = 0 Items</v>
      </c>
      <c r="I87" s="141">
        <f>RawList!J51</f>
        <v>5.95</v>
      </c>
      <c r="J87" s="24">
        <f>VALUE(EquipmentTable[[#This Row],[Units]]*EquipmentTable[[#This Row],[Unit
 Price]])</f>
        <v>0</v>
      </c>
      <c r="K87" s="50" t="str">
        <f>RawList!G51</f>
        <v>https://cdn.sparkfun.com/r/92-92/assets/parts/9/7/8/1/12889-01.jpg</v>
      </c>
      <c r="L87" s="50"/>
      <c r="M87" s="50" t="str">
        <f>RawList!F51</f>
        <v>https://www.sparkfun.com/products/12889</v>
      </c>
    </row>
    <row r="88" spans="2:13" x14ac:dyDescent="0.3">
      <c r="B88" s="50" t="str">
        <f>RawList!A52</f>
        <v>Primary Component</v>
      </c>
      <c r="C88" s="50" t="str">
        <f>RawList!B52</f>
        <v>Power Supply, Barrel Jack Wall Wart</v>
      </c>
      <c r="D88" s="50" t="str">
        <f>RawList!C52</f>
        <v>SparkFun</v>
      </c>
      <c r="E88" s="50" t="str">
        <f>RawList!H52</f>
        <v>Wall Adapter Power Supply - 12VDC 600mA</v>
      </c>
      <c r="F88" s="50" t="str">
        <f>RawList!D52</f>
        <v>TOL-09442</v>
      </c>
      <c r="G88" s="137">
        <f>RawList!E52</f>
        <v>0</v>
      </c>
      <c r="H88" s="50" t="str">
        <f>IF(EquipmentTable[[#This Row],[Units]]&gt;0,"Quantity &gt; 0 Items","Quantity = 0 Items")</f>
        <v>Quantity = 0 Items</v>
      </c>
      <c r="I88" s="141">
        <f>RawList!J52</f>
        <v>5.95</v>
      </c>
      <c r="J88" s="24">
        <f>VALUE(EquipmentTable[[#This Row],[Units]]*EquipmentTable[[#This Row],[Unit
 Price]])</f>
        <v>0</v>
      </c>
      <c r="K88" s="50" t="str">
        <f>RawList!G52</f>
        <v>https://cdn.sparkfun.com/r/92-92/assets/parts/3/1/2/4/09442-01.jpg</v>
      </c>
      <c r="L88" s="50"/>
      <c r="M88" s="50" t="str">
        <f>RawList!F52</f>
        <v>https://www.sparkfun.com/products/9442</v>
      </c>
    </row>
    <row r="89" spans="2:13" x14ac:dyDescent="0.3">
      <c r="B89" s="50" t="str">
        <f>RawList!A53</f>
        <v>Primary Component</v>
      </c>
      <c r="C89" s="50" t="str">
        <f>RawList!B53</f>
        <v>Power Supply, Barrel Jack Wall Wart</v>
      </c>
      <c r="D89" s="50" t="str">
        <f>RawList!C53</f>
        <v>Adafruit</v>
      </c>
      <c r="E89" s="50" t="str">
        <f>RawList!H53</f>
        <v>5V 2A (2000mA) switching power supply - UL Listed</v>
      </c>
      <c r="F89" s="50" t="str">
        <f>RawList!D53</f>
        <v>276</v>
      </c>
      <c r="G89" s="137">
        <f>RawList!E53</f>
        <v>0</v>
      </c>
      <c r="H89" s="50" t="str">
        <f>IF(EquipmentTable[[#This Row],[Units]]&gt;0,"Quantity &gt; 0 Items","Quantity = 0 Items")</f>
        <v>Quantity = 0 Items</v>
      </c>
      <c r="I89" s="141">
        <f>RawList!J53</f>
        <v>7.95</v>
      </c>
      <c r="J89" s="24">
        <f>VALUE(EquipmentTable[[#This Row],[Units]]*EquipmentTable[[#This Row],[Unit
 Price]])</f>
        <v>0</v>
      </c>
      <c r="K89" s="50">
        <f>RawList!G53</f>
        <v>0</v>
      </c>
      <c r="L89" s="50"/>
      <c r="M89" s="50">
        <f>RawList!F53</f>
        <v>0</v>
      </c>
    </row>
    <row r="90" spans="2:13" x14ac:dyDescent="0.3">
      <c r="B90" s="50" t="str">
        <f>RawList!A54</f>
        <v>Primary Component</v>
      </c>
      <c r="C90" s="50" t="str">
        <f>RawList!B54</f>
        <v>Power Supply, Barrel Jack Wall Wart</v>
      </c>
      <c r="D90" s="50" t="str">
        <f>RawList!C54</f>
        <v>Adafruit</v>
      </c>
      <c r="E90" s="50" t="str">
        <f>RawList!H54</f>
        <v>Compact Switching Power Supply - Selectable Output 3-12VDC</v>
      </c>
      <c r="F90" s="50" t="str">
        <f>RawList!D54</f>
        <v>1448</v>
      </c>
      <c r="G90" s="137">
        <f>RawList!E54</f>
        <v>0</v>
      </c>
      <c r="H90" s="50" t="str">
        <f>IF(EquipmentTable[[#This Row],[Units]]&gt;0,"Quantity &gt; 0 Items","Quantity = 0 Items")</f>
        <v>Quantity = 0 Items</v>
      </c>
      <c r="I90" s="141">
        <f>RawList!J54</f>
        <v>14.95</v>
      </c>
      <c r="J90" s="24">
        <f>VALUE(EquipmentTable[[#This Row],[Units]]*EquipmentTable[[#This Row],[Unit
 Price]])</f>
        <v>0</v>
      </c>
      <c r="K90" s="50">
        <f>RawList!G54</f>
        <v>0</v>
      </c>
      <c r="L90" s="50"/>
      <c r="M90" s="50">
        <f>RawList!F54</f>
        <v>0</v>
      </c>
    </row>
    <row r="91" spans="2:13" x14ac:dyDescent="0.3">
      <c r="B91" s="50" t="str">
        <f>RawList!A55</f>
        <v>Primary Component</v>
      </c>
      <c r="C91" s="50" t="str">
        <f>RawList!B55</f>
        <v>Power Supply, Barrel Jack Cables/Adapters</v>
      </c>
      <c r="D91" s="50" t="str">
        <f>RawList!C55</f>
        <v>SparkFun</v>
      </c>
      <c r="E91" s="50" t="str">
        <f>RawList!H55</f>
        <v>Barrel Jack Extension Cable - M-F (6 ft)</v>
      </c>
      <c r="F91" s="50" t="str">
        <f>RawList!D55</f>
        <v>COM-11707</v>
      </c>
      <c r="G91" s="137">
        <f>RawList!E55</f>
        <v>5</v>
      </c>
      <c r="H91" s="50" t="str">
        <f>IF(EquipmentTable[[#This Row],[Units]]&gt;0,"Quantity &gt; 0 Items","Quantity = 0 Items")</f>
        <v>Quantity &gt; 0 Items</v>
      </c>
      <c r="I91" s="141">
        <f>RawList!J55</f>
        <v>1.95</v>
      </c>
      <c r="J91" s="24">
        <f>VALUE(EquipmentTable[[#This Row],[Units]]*EquipmentTable[[#This Row],[Unit
 Price]])</f>
        <v>9.75</v>
      </c>
      <c r="K91" s="50" t="str">
        <f>RawList!G55</f>
        <v>https://cdn.sparkfun.com/r/92-92/assets/parts/7/8/8/8/11707-01.jpg</v>
      </c>
      <c r="L91" s="50"/>
      <c r="M91" s="50" t="str">
        <f>RawList!F55</f>
        <v>https://www.sparkfun.com/products/11707</v>
      </c>
    </row>
    <row r="92" spans="2:13" x14ac:dyDescent="0.3">
      <c r="B92" s="50" t="str">
        <f>RawList!A56</f>
        <v>Primary Component</v>
      </c>
      <c r="C92" s="50" t="str">
        <f>RawList!B56</f>
        <v>Power Supply, Barrel Jack Cables/Adapters</v>
      </c>
      <c r="D92" s="50" t="str">
        <f>RawList!C56</f>
        <v>SparkFun</v>
      </c>
      <c r="E92" s="50" t="str">
        <f>RawList!H56</f>
        <v>Barrel Jack to 2-pin JST</v>
      </c>
      <c r="F92" s="50" t="str">
        <f>RawList!D56</f>
        <v>TOL-08734</v>
      </c>
      <c r="G92" s="137">
        <f>RawList!E56</f>
        <v>5</v>
      </c>
      <c r="H92" s="50" t="str">
        <f>IF(EquipmentTable[[#This Row],[Units]]&gt;0,"Quantity &gt; 0 Items","Quantity = 0 Items")</f>
        <v>Quantity &gt; 0 Items</v>
      </c>
      <c r="I92" s="141">
        <f>RawList!J56</f>
        <v>2.95</v>
      </c>
      <c r="J92" s="24">
        <f>VALUE(EquipmentTable[[#This Row],[Units]]*EquipmentTable[[#This Row],[Unit
 Price]])</f>
        <v>14.75</v>
      </c>
      <c r="K92" s="50" t="str">
        <f>RawList!G56</f>
        <v>https://cdn.sparkfun.com/r/92-92/assets/parts/1/9/2/1/08734-03-L.jpg</v>
      </c>
      <c r="L92" s="50"/>
      <c r="M92" s="50" t="str">
        <f>RawList!F56</f>
        <v>https://www.sparkfun.com/products/8734</v>
      </c>
    </row>
    <row r="93" spans="2:13" x14ac:dyDescent="0.3">
      <c r="B93" s="50" t="str">
        <f>RawList!A57</f>
        <v>Primary Component</v>
      </c>
      <c r="C93" s="50" t="str">
        <f>RawList!B57</f>
        <v>Power Supply, Barrel Jack Cables/Adapters</v>
      </c>
      <c r="D93" s="50" t="str">
        <f>RawList!C57</f>
        <v>SparkFun</v>
      </c>
      <c r="E93" s="50" t="str">
        <f>RawList!H57</f>
        <v>Barrel Jack Adapter - USB to 5.5mm</v>
      </c>
      <c r="F93" s="50" t="str">
        <f>RawList!D57</f>
        <v>TOL-08639</v>
      </c>
      <c r="G93" s="137">
        <f>RawList!E57</f>
        <v>5</v>
      </c>
      <c r="H93" s="50" t="str">
        <f>IF(EquipmentTable[[#This Row],[Units]]&gt;0,"Quantity &gt; 0 Items","Quantity = 0 Items")</f>
        <v>Quantity &gt; 0 Items</v>
      </c>
      <c r="I93" s="141">
        <f>RawList!J57</f>
        <v>2.95</v>
      </c>
      <c r="J93" s="24">
        <f>VALUE(EquipmentTable[[#This Row],[Units]]*EquipmentTable[[#This Row],[Unit
 Price]])</f>
        <v>14.75</v>
      </c>
      <c r="K93" s="50" t="str">
        <f>RawList!G57</f>
        <v>https://cdn.sparkfun.com/r/92-92/assets/parts/1/7/7/8/08639-01.jpg</v>
      </c>
      <c r="L93" s="50"/>
      <c r="M93" s="50" t="str">
        <f>RawList!F57</f>
        <v>https://www.sparkfun.com/products/8639</v>
      </c>
    </row>
    <row r="94" spans="2:13" x14ac:dyDescent="0.3">
      <c r="B94" s="50" t="str">
        <f>RawList!A58</f>
        <v>Primary Component</v>
      </c>
      <c r="C94" s="50" t="str">
        <f>RawList!B58</f>
        <v>Power Supply, Barrel Jack Cables/Adapters</v>
      </c>
      <c r="D94" s="50" t="str">
        <f>RawList!C58</f>
        <v>SparkFun</v>
      </c>
      <c r="E94" s="50" t="str">
        <f>RawList!H58</f>
        <v>Barrel Jack Power Switch - M-F (3\")</v>
      </c>
      <c r="F94" s="50" t="str">
        <f>RawList!D58</f>
        <v>COM-11705</v>
      </c>
      <c r="G94" s="137">
        <f>RawList!E58</f>
        <v>5</v>
      </c>
      <c r="H94" s="50" t="str">
        <f>IF(EquipmentTable[[#This Row],[Units]]&gt;0,"Quantity &gt; 0 Items","Quantity = 0 Items")</f>
        <v>Quantity &gt; 0 Items</v>
      </c>
      <c r="I94" s="141">
        <f>RawList!J58</f>
        <v>2.5</v>
      </c>
      <c r="J94" s="24">
        <f>VALUE(EquipmentTable[[#This Row],[Units]]*EquipmentTable[[#This Row],[Unit
 Price]])</f>
        <v>12.5</v>
      </c>
      <c r="K94" s="50" t="str">
        <f>RawList!G58</f>
        <v>https://cdn.sparkfun.com/r/92-92/assets/parts/7/8/8/6/11705-01.jpg</v>
      </c>
      <c r="L94" s="50"/>
      <c r="M94" s="50" t="str">
        <f>RawList!F58</f>
        <v>https://www.sparkfun.com/products/11705</v>
      </c>
    </row>
    <row r="95" spans="2:13" x14ac:dyDescent="0.3">
      <c r="B95" s="50" t="str">
        <f>RawList!A59</f>
        <v>Primary Component</v>
      </c>
      <c r="C95" s="50" t="str">
        <f>RawList!B59</f>
        <v>Power Supply, Barrel Jack Cables/Adapters</v>
      </c>
      <c r="D95" s="50" t="str">
        <f>RawList!C59</f>
        <v>Adafruit</v>
      </c>
      <c r="E95" s="50" t="str">
        <f>RawList!H59</f>
        <v>2.1mm female/male barrel jack extension cable - 1.5m / 5 ft</v>
      </c>
      <c r="F95" s="50" t="str">
        <f>RawList!D59</f>
        <v>327</v>
      </c>
      <c r="G95" s="137">
        <f>RawList!E59</f>
        <v>0</v>
      </c>
      <c r="H95" s="50" t="str">
        <f>IF(EquipmentTable[[#This Row],[Units]]&gt;0,"Quantity &gt; 0 Items","Quantity = 0 Items")</f>
        <v>Quantity = 0 Items</v>
      </c>
      <c r="I95" s="141">
        <f>RawList!J59</f>
        <v>2.95</v>
      </c>
      <c r="J95" s="24">
        <f>VALUE(EquipmentTable[[#This Row],[Units]]*EquipmentTable[[#This Row],[Unit
 Price]])</f>
        <v>0</v>
      </c>
      <c r="K95" s="50">
        <f>RawList!G59</f>
        <v>0</v>
      </c>
      <c r="L95" s="50"/>
      <c r="M95" s="50">
        <f>RawList!F59</f>
        <v>0</v>
      </c>
    </row>
    <row r="96" spans="2:13" x14ac:dyDescent="0.3">
      <c r="B96" s="50" t="str">
        <f>RawList!A60</f>
        <v>Primary Component</v>
      </c>
      <c r="C96" s="50" t="str">
        <f>RawList!B60</f>
        <v>Power Supply, Barrel Jack Cables/Adapters</v>
      </c>
      <c r="D96" s="50" t="str">
        <f>RawList!C60</f>
        <v>Adafruit</v>
      </c>
      <c r="E96" s="50" t="str">
        <f>RawList!H60</f>
        <v>2.1mm to 1.7mm DC jack adapter</v>
      </c>
      <c r="F96" s="50" t="str">
        <f>RawList!D60</f>
        <v>411</v>
      </c>
      <c r="G96" s="137">
        <f>RawList!E60</f>
        <v>1</v>
      </c>
      <c r="H96" s="50" t="str">
        <f>IF(EquipmentTable[[#This Row],[Units]]&gt;0,"Quantity &gt; 0 Items","Quantity = 0 Items")</f>
        <v>Quantity &gt; 0 Items</v>
      </c>
      <c r="I96" s="141">
        <f>RawList!J60</f>
        <v>2.5</v>
      </c>
      <c r="J96" s="24">
        <f>VALUE(EquipmentTable[[#This Row],[Units]]*EquipmentTable[[#This Row],[Unit
 Price]])</f>
        <v>2.5</v>
      </c>
      <c r="K96" s="50">
        <f>RawList!G60</f>
        <v>0</v>
      </c>
      <c r="L96" s="50"/>
      <c r="M96" s="50">
        <f>RawList!F60</f>
        <v>0</v>
      </c>
    </row>
    <row r="97" spans="2:13" x14ac:dyDescent="0.3">
      <c r="B97" s="50" t="str">
        <f>RawList!A61</f>
        <v>Primary Component</v>
      </c>
      <c r="C97" s="50" t="str">
        <f>RawList!B61</f>
        <v>Power Supply, Barrel Jack Cables/Adapters</v>
      </c>
      <c r="D97" s="50" t="str">
        <f>RawList!C61</f>
        <v>Adafruit</v>
      </c>
      <c r="E97" s="50" t="str">
        <f>RawList!H61</f>
        <v>2.1mm to 2.5mm DC Barrel Plug Adapter</v>
      </c>
      <c r="F97" s="50" t="str">
        <f>RawList!D61</f>
        <v>2897</v>
      </c>
      <c r="G97" s="137">
        <f>RawList!E61</f>
        <v>1</v>
      </c>
      <c r="H97" s="50" t="str">
        <f>IF(EquipmentTable[[#This Row],[Units]]&gt;0,"Quantity &gt; 0 Items","Quantity = 0 Items")</f>
        <v>Quantity &gt; 0 Items</v>
      </c>
      <c r="I97" s="141">
        <f>RawList!J61</f>
        <v>0.95</v>
      </c>
      <c r="J97" s="24">
        <f>VALUE(EquipmentTable[[#This Row],[Units]]*EquipmentTable[[#This Row],[Unit
 Price]])</f>
        <v>0.95</v>
      </c>
      <c r="K97" s="50">
        <f>RawList!G61</f>
        <v>0</v>
      </c>
      <c r="L97" s="50"/>
      <c r="M97" s="50">
        <f>RawList!F61</f>
        <v>0</v>
      </c>
    </row>
    <row r="98" spans="2:13" x14ac:dyDescent="0.3">
      <c r="B98" s="50" t="str">
        <f>RawList!A62</f>
        <v>Primary Component</v>
      </c>
      <c r="C98" s="50" t="str">
        <f>RawList!B62</f>
        <v>Power Supply, Barrel Jack Cables/Adapters</v>
      </c>
      <c r="D98" s="50" t="str">
        <f>RawList!C62</f>
        <v>Adafruit</v>
      </c>
      <c r="E98" s="50" t="str">
        <f>RawList!H62</f>
        <v>3.5 / 1.3mm or 3.8 / 1.1mm to 5.5 / 2.1mm DC Jack Adapter Cable</v>
      </c>
      <c r="F98" s="50" t="str">
        <f>RawList!D62</f>
        <v>2788</v>
      </c>
      <c r="G98" s="137">
        <f>RawList!E62</f>
        <v>1</v>
      </c>
      <c r="H98" s="50" t="str">
        <f>IF(EquipmentTable[[#This Row],[Units]]&gt;0,"Quantity &gt; 0 Items","Quantity = 0 Items")</f>
        <v>Quantity &gt; 0 Items</v>
      </c>
      <c r="I98" s="141">
        <f>RawList!J62</f>
        <v>0.95</v>
      </c>
      <c r="J98" s="24">
        <f>VALUE(EquipmentTable[[#This Row],[Units]]*EquipmentTable[[#This Row],[Unit
 Price]])</f>
        <v>0.95</v>
      </c>
      <c r="K98" s="50">
        <f>RawList!G62</f>
        <v>0</v>
      </c>
      <c r="L98" s="50"/>
      <c r="M98" s="50">
        <f>RawList!F62</f>
        <v>0</v>
      </c>
    </row>
    <row r="99" spans="2:13" x14ac:dyDescent="0.3">
      <c r="B99" s="50" t="str">
        <f>RawList!A63</f>
        <v>Primary Component</v>
      </c>
      <c r="C99" s="50" t="str">
        <f>RawList!B63</f>
        <v>Power Supply, USB Wall Wart</v>
      </c>
      <c r="D99" s="50" t="str">
        <f>RawList!C63</f>
        <v>SparkFun</v>
      </c>
      <c r="E99" s="50" t="str">
        <f>RawList!H63</f>
        <v>Wall Adapter Power Supply - 5V DC 2A (USB Micro-B)</v>
      </c>
      <c r="F99" s="50" t="str">
        <f>RawList!D63</f>
        <v>TOL-12890</v>
      </c>
      <c r="G99" s="137">
        <f>RawList!E63</f>
        <v>0</v>
      </c>
      <c r="H99" s="50" t="str">
        <f>IF(EquipmentTable[[#This Row],[Units]]&gt;0,"Quantity &gt; 0 Items","Quantity = 0 Items")</f>
        <v>Quantity = 0 Items</v>
      </c>
      <c r="I99" s="141">
        <f>RawList!J63</f>
        <v>5.95</v>
      </c>
      <c r="J99" s="24">
        <f>VALUE(EquipmentTable[[#This Row],[Units]]*EquipmentTable[[#This Row],[Unit
 Price]])</f>
        <v>0</v>
      </c>
      <c r="K99" s="50" t="str">
        <f>RawList!G63</f>
        <v>https://cdn.sparkfun.com/r/92-92/assets/parts/9/7/8/2/12890-01.jpg</v>
      </c>
      <c r="L99" s="50"/>
      <c r="M99" s="50" t="str">
        <f>RawList!F63</f>
        <v>https://www.sparkfun.com/products/12890</v>
      </c>
    </row>
    <row r="100" spans="2:13" x14ac:dyDescent="0.3">
      <c r="B100" s="50" t="str">
        <f>RawList!A64</f>
        <v>Primary Component</v>
      </c>
      <c r="C100" s="50" t="str">
        <f>RawList!B64</f>
        <v>Power Supply, USB Wall Wart</v>
      </c>
      <c r="D100" s="50" t="str">
        <f>RawList!C64</f>
        <v>Adafruit</v>
      </c>
      <c r="E100" s="50" t="str">
        <f>RawList!H64</f>
        <v>5V 1A (1000mA) USB port power supply - UL Listed</v>
      </c>
      <c r="F100" s="50" t="str">
        <f>RawList!D64</f>
        <v>501</v>
      </c>
      <c r="G100" s="137">
        <f>RawList!E64</f>
        <v>0</v>
      </c>
      <c r="H100" s="50" t="str">
        <f>IF(EquipmentTable[[#This Row],[Units]]&gt;0,"Quantity &gt; 0 Items","Quantity = 0 Items")</f>
        <v>Quantity = 0 Items</v>
      </c>
      <c r="I100" s="141">
        <f>RawList!J64</f>
        <v>5.95</v>
      </c>
      <c r="J100" s="24">
        <f>VALUE(EquipmentTable[[#This Row],[Units]]*EquipmentTable[[#This Row],[Unit
 Price]])</f>
        <v>0</v>
      </c>
      <c r="K100" s="50">
        <f>RawList!G64</f>
        <v>0</v>
      </c>
      <c r="L100" s="50"/>
      <c r="M100" s="50">
        <f>RawList!F64</f>
        <v>0</v>
      </c>
    </row>
    <row r="101" spans="2:13" x14ac:dyDescent="0.3">
      <c r="B101" s="50" t="str">
        <f>RawList!A65</f>
        <v>Primary Component</v>
      </c>
      <c r="C101" s="50" t="str">
        <f>RawList!B65</f>
        <v>Power Supply, USB Wall Wart</v>
      </c>
      <c r="D101" s="50" t="str">
        <f>RawList!C65</f>
        <v>Adafruit</v>
      </c>
      <c r="E101" s="50" t="str">
        <f>RawList!H65</f>
        <v>5V 2A Switching Power Supply w/ USB-A Connector</v>
      </c>
      <c r="F101" s="50" t="str">
        <f>RawList!D65</f>
        <v>1994</v>
      </c>
      <c r="G101" s="137">
        <f>RawList!E65</f>
        <v>5</v>
      </c>
      <c r="H101" s="50" t="str">
        <f>IF(EquipmentTable[[#This Row],[Units]]&gt;0,"Quantity &gt; 0 Items","Quantity = 0 Items")</f>
        <v>Quantity &gt; 0 Items</v>
      </c>
      <c r="I101" s="141">
        <f>RawList!J65</f>
        <v>6.95</v>
      </c>
      <c r="J101" s="24">
        <f>VALUE(EquipmentTable[[#This Row],[Units]]*EquipmentTable[[#This Row],[Unit
 Price]])</f>
        <v>34.75</v>
      </c>
      <c r="K101" s="50">
        <f>RawList!G65</f>
        <v>0</v>
      </c>
      <c r="L101" s="50"/>
      <c r="M101" s="50">
        <f>RawList!F65</f>
        <v>0</v>
      </c>
    </row>
    <row r="102" spans="2:13" x14ac:dyDescent="0.3">
      <c r="B102" s="50" t="str">
        <f>RawList!A66</f>
        <v>Primary Component</v>
      </c>
      <c r="C102" s="50" t="str">
        <f>RawList!B66</f>
        <v>Power Supply, USB Cables</v>
      </c>
      <c r="D102" s="50" t="str">
        <f>RawList!C66</f>
        <v>SparkFun</v>
      </c>
      <c r="E102" s="50" t="str">
        <f>RawList!H66</f>
        <v>USB Cable A to B - 6 Foot</v>
      </c>
      <c r="F102" s="50" t="str">
        <f>RawList!D66</f>
        <v>CAB-00512</v>
      </c>
      <c r="G102" s="137">
        <f>RawList!E66</f>
        <v>5</v>
      </c>
      <c r="H102" s="50" t="str">
        <f>IF(EquipmentTable[[#This Row],[Units]]&gt;0,"Quantity &gt; 0 Items","Quantity = 0 Items")</f>
        <v>Quantity &gt; 0 Items</v>
      </c>
      <c r="I102" s="141">
        <f>RawList!J66</f>
        <v>3.95</v>
      </c>
      <c r="J102" s="24">
        <f>VALUE(EquipmentTable[[#This Row],[Units]]*EquipmentTable[[#This Row],[Unit
 Price]])</f>
        <v>19.75</v>
      </c>
      <c r="K102" s="50" t="str">
        <f>RawList!G66</f>
        <v>https://cdn.sparkfun.com/r/92-92/assets/parts/2/7/7/00512-1.jpg</v>
      </c>
      <c r="L102" s="50"/>
      <c r="M102" s="50" t="str">
        <f>RawList!F66</f>
        <v>https://www.sparkfun.com/products/512</v>
      </c>
    </row>
    <row r="103" spans="2:13" x14ac:dyDescent="0.3">
      <c r="B103" s="50" t="str">
        <f>RawList!A67</f>
        <v>Primary Component</v>
      </c>
      <c r="C103" s="50" t="str">
        <f>RawList!B67</f>
        <v>Power Supply, USB Cables</v>
      </c>
      <c r="D103" s="50" t="str">
        <f>RawList!C67</f>
        <v>SparkFun</v>
      </c>
      <c r="E103" s="50" t="str">
        <f>RawList!H67</f>
        <v>SparkFun USB Mini-B Cable - 6 Foot</v>
      </c>
      <c r="F103" s="50" t="str">
        <f>RawList!D67</f>
        <v>CAB-11301</v>
      </c>
      <c r="G103" s="137">
        <f>RawList!E67</f>
        <v>5</v>
      </c>
      <c r="H103" s="50" t="str">
        <f>IF(EquipmentTable[[#This Row],[Units]]&gt;0,"Quantity &gt; 0 Items","Quantity = 0 Items")</f>
        <v>Quantity &gt; 0 Items</v>
      </c>
      <c r="I103" s="141">
        <f>RawList!J67</f>
        <v>3.95</v>
      </c>
      <c r="J103" s="24">
        <f>VALUE(EquipmentTable[[#This Row],[Units]]*EquipmentTable[[#This Row],[Unit
 Price]])</f>
        <v>19.75</v>
      </c>
      <c r="K103" s="50" t="str">
        <f>RawList!G67</f>
        <v>https://cdn.sparkfun.com/r/92-92/assets/parts/6/9/8/0/11301-01.jpg</v>
      </c>
      <c r="L103" s="50"/>
      <c r="M103" s="50" t="str">
        <f>RawList!F67</f>
        <v>https://www.sparkfun.com/products/11301</v>
      </c>
    </row>
    <row r="104" spans="2:13" x14ac:dyDescent="0.3">
      <c r="B104" s="50" t="str">
        <f>RawList!A68</f>
        <v>Primary Component</v>
      </c>
      <c r="C104" s="50" t="str">
        <f>RawList!B68</f>
        <v>Power Supply, USB Cables</v>
      </c>
      <c r="D104" s="50" t="str">
        <f>RawList!C68</f>
        <v>SparkFun</v>
      </c>
      <c r="E104" s="50" t="str">
        <f>RawList!H68</f>
        <v>USB Mini-B Cable - 6\"</v>
      </c>
      <c r="F104" s="50" t="str">
        <f>RawList!D68</f>
        <v>CAB-13243</v>
      </c>
      <c r="G104" s="137">
        <f>RawList!E68</f>
        <v>0</v>
      </c>
      <c r="H104" s="50" t="str">
        <f>IF(EquipmentTable[[#This Row],[Units]]&gt;0,"Quantity &gt; 0 Items","Quantity = 0 Items")</f>
        <v>Quantity = 0 Items</v>
      </c>
      <c r="I104" s="141">
        <f>RawList!J68</f>
        <v>1.95</v>
      </c>
      <c r="J104" s="24">
        <f>VALUE(EquipmentTable[[#This Row],[Units]]*EquipmentTable[[#This Row],[Unit
 Price]])</f>
        <v>0</v>
      </c>
      <c r="K104" s="50" t="str">
        <f>RawList!G68</f>
        <v>https://cdn.sparkfun.com/r/92-92/assets/parts/1/0/4/2/9/13243-01.jpg</v>
      </c>
      <c r="L104" s="50"/>
      <c r="M104" s="50" t="str">
        <f>RawList!F68</f>
        <v>https://www.sparkfun.com/products/13243</v>
      </c>
    </row>
    <row r="105" spans="2:13" x14ac:dyDescent="0.3">
      <c r="B105" s="50" t="str">
        <f>RawList!A69</f>
        <v>Primary Component</v>
      </c>
      <c r="C105" s="50" t="str">
        <f>RawList!B69</f>
        <v>Power Supply, USB Cables</v>
      </c>
      <c r="D105" s="50" t="str">
        <f>RawList!C69</f>
        <v>SparkFun</v>
      </c>
      <c r="E105" s="50" t="str">
        <f>RawList!H69</f>
        <v>Panel Mount USB to 4-pin Female Header Cable - 6\'</v>
      </c>
      <c r="F105" s="50" t="str">
        <f>RawList!D69</f>
        <v>CAB-10177</v>
      </c>
      <c r="G105" s="137">
        <f>RawList!E69</f>
        <v>1</v>
      </c>
      <c r="H105" s="50" t="str">
        <f>IF(EquipmentTable[[#This Row],[Units]]&gt;0,"Quantity &gt; 0 Items","Quantity = 0 Items")</f>
        <v>Quantity &gt; 0 Items</v>
      </c>
      <c r="I105" s="141">
        <f>RawList!J69</f>
        <v>2.95</v>
      </c>
      <c r="J105" s="24">
        <f>VALUE(EquipmentTable[[#This Row],[Units]]*EquipmentTable[[#This Row],[Unit
 Price]])</f>
        <v>2.95</v>
      </c>
      <c r="K105" s="50" t="str">
        <f>RawList!G69</f>
        <v>https://cdn.sparkfun.com/r/92-92/assets/parts/4/4/8/3/10177-01.jpg</v>
      </c>
      <c r="L105" s="50"/>
      <c r="M105" s="50" t="str">
        <f>RawList!F69</f>
        <v>https://www.sparkfun.com/products/10177</v>
      </c>
    </row>
    <row r="106" spans="2:13" x14ac:dyDescent="0.3">
      <c r="B106" s="50" t="str">
        <f>RawList!A70</f>
        <v>Primary Component</v>
      </c>
      <c r="C106" s="50" t="str">
        <f>RawList!B70</f>
        <v>Power Supply, USB Cables</v>
      </c>
      <c r="D106" s="50" t="str">
        <f>RawList!C70</f>
        <v>SparkFun</v>
      </c>
      <c r="E106" s="50" t="str">
        <f>RawList!H70</f>
        <v>USB micro-B Cable - 6 Foot</v>
      </c>
      <c r="F106" s="50" t="str">
        <f>RawList!D70</f>
        <v>CAB-10215</v>
      </c>
      <c r="G106" s="137">
        <f>RawList!E70</f>
        <v>5</v>
      </c>
      <c r="H106" s="50" t="str">
        <f>IF(EquipmentTable[[#This Row],[Units]]&gt;0,"Quantity &gt; 0 Items","Quantity = 0 Items")</f>
        <v>Quantity &gt; 0 Items</v>
      </c>
      <c r="I106" s="141">
        <f>RawList!J70</f>
        <v>4.95</v>
      </c>
      <c r="J106" s="24">
        <f>VALUE(EquipmentTable[[#This Row],[Units]]*EquipmentTable[[#This Row],[Unit
 Price]])</f>
        <v>24.75</v>
      </c>
      <c r="K106" s="50" t="str">
        <f>RawList!G70</f>
        <v>https://cdn.sparkfun.com/r/92-92/assets/parts/4/5/5/8/10215-01.jpg</v>
      </c>
      <c r="L106" s="50"/>
      <c r="M106" s="50" t="str">
        <f>RawList!F70</f>
        <v>https://www.sparkfun.com/products/10215</v>
      </c>
    </row>
    <row r="107" spans="2:13" x14ac:dyDescent="0.3">
      <c r="B107" s="50" t="str">
        <f>RawList!A71</f>
        <v>Primary Component</v>
      </c>
      <c r="C107" s="50" t="str">
        <f>RawList!B71</f>
        <v>Power Supply, USB Cables</v>
      </c>
      <c r="D107" s="50" t="str">
        <f>RawList!C71</f>
        <v>SparkFun</v>
      </c>
      <c r="E107" s="50" t="str">
        <f>RawList!H71</f>
        <v>USB Micro-B Cable - 6\"</v>
      </c>
      <c r="F107" s="50" t="str">
        <f>RawList!D71</f>
        <v>CAB-13244</v>
      </c>
      <c r="G107" s="137">
        <f>RawList!E71</f>
        <v>0</v>
      </c>
      <c r="H107" s="50" t="str">
        <f>IF(EquipmentTable[[#This Row],[Units]]&gt;0,"Quantity &gt; 0 Items","Quantity = 0 Items")</f>
        <v>Quantity = 0 Items</v>
      </c>
      <c r="I107" s="141">
        <f>RawList!J71</f>
        <v>1.95</v>
      </c>
      <c r="J107" s="24">
        <f>VALUE(EquipmentTable[[#This Row],[Units]]*EquipmentTable[[#This Row],[Unit
 Price]])</f>
        <v>0</v>
      </c>
      <c r="K107" s="50" t="str">
        <f>RawList!G71</f>
        <v>https://cdn.sparkfun.com/r/92-92/assets/parts/1/0/4/3/0/13244-01.jpg</v>
      </c>
      <c r="L107" s="50"/>
      <c r="M107" s="50" t="str">
        <f>RawList!F71</f>
        <v>https://www.sparkfun.com/products/13244</v>
      </c>
    </row>
    <row r="108" spans="2:13" x14ac:dyDescent="0.3">
      <c r="B108" s="50" t="str">
        <f>RawList!A72</f>
        <v>Primary Component</v>
      </c>
      <c r="C108" s="50" t="str">
        <f>RawList!B72</f>
        <v>Power Supply, USB Cables</v>
      </c>
      <c r="D108" s="50" t="str">
        <f>RawList!C72</f>
        <v>SparkFun</v>
      </c>
      <c r="E108" s="50" t="str">
        <f>RawList!H72</f>
        <v>SparkFun Hydra Power Cable - 6ft</v>
      </c>
      <c r="F108" s="50" t="str">
        <f>RawList!D72</f>
        <v>CAB-11579</v>
      </c>
      <c r="G108" s="137">
        <f>RawList!E72</f>
        <v>1</v>
      </c>
      <c r="H108" s="50" t="str">
        <f>IF(EquipmentTable[[#This Row],[Units]]&gt;0,"Quantity &gt; 0 Items","Quantity = 0 Items")</f>
        <v>Quantity &gt; 0 Items</v>
      </c>
      <c r="I108" s="141">
        <f>RawList!J72</f>
        <v>4.95</v>
      </c>
      <c r="J108" s="24">
        <f>VALUE(EquipmentTable[[#This Row],[Units]]*EquipmentTable[[#This Row],[Unit
 Price]])</f>
        <v>4.95</v>
      </c>
      <c r="K108" s="50" t="str">
        <f>RawList!G72</f>
        <v>https://cdn.sparkfun.com/r/92-92/assets/parts/7/5/6/8/11579-01.jpg</v>
      </c>
      <c r="L108" s="50"/>
      <c r="M108" s="50" t="str">
        <f>RawList!F72</f>
        <v>https://www.sparkfun.com/products/11579</v>
      </c>
    </row>
    <row r="109" spans="2:13" x14ac:dyDescent="0.3">
      <c r="B109" s="50" t="str">
        <f>RawList!A73</f>
        <v>Primary Component</v>
      </c>
      <c r="C109" s="50" t="str">
        <f>RawList!B73</f>
        <v>Power Supply, USB + Barrel Jack</v>
      </c>
      <c r="D109" s="50" t="str">
        <f>RawList!C73</f>
        <v>Adafruit</v>
      </c>
      <c r="E109" s="50" t="str">
        <f>RawList!H73</f>
        <v>MicroUSB Plug to 5.5/2.1mm DC Barrel Jack Adapter</v>
      </c>
      <c r="F109" s="50" t="str">
        <f>RawList!D73</f>
        <v>2727</v>
      </c>
      <c r="G109" s="137">
        <f>RawList!E73</f>
        <v>0</v>
      </c>
      <c r="H109" s="50" t="str">
        <f>IF(EquipmentTable[[#This Row],[Units]]&gt;0,"Quantity &gt; 0 Items","Quantity = 0 Items")</f>
        <v>Quantity = 0 Items</v>
      </c>
      <c r="I109" s="141">
        <f>RawList!J73</f>
        <v>1.95</v>
      </c>
      <c r="J109" s="24">
        <f>VALUE(EquipmentTable[[#This Row],[Units]]*EquipmentTable[[#This Row],[Unit
 Price]])</f>
        <v>0</v>
      </c>
      <c r="K109" s="50">
        <f>RawList!G73</f>
        <v>0</v>
      </c>
      <c r="L109" s="50"/>
      <c r="M109" s="50">
        <f>RawList!F73</f>
        <v>0</v>
      </c>
    </row>
    <row r="110" spans="2:13" x14ac:dyDescent="0.3">
      <c r="B110" s="50" t="str">
        <f>RawList!A74</f>
        <v>Primary Component</v>
      </c>
      <c r="C110" s="50" t="str">
        <f>RawList!B74</f>
        <v>Power Supply, USB + Barrel Jack</v>
      </c>
      <c r="D110" s="50" t="str">
        <f>RawList!C74</f>
        <v>Adafruit</v>
      </c>
      <c r="E110" s="50" t="str">
        <f>RawList!H74</f>
        <v>USB A Jack to 5.5/2.1mm jack adapter</v>
      </c>
      <c r="F110" s="50" t="str">
        <f>RawList!D74</f>
        <v>988</v>
      </c>
      <c r="G110" s="137">
        <f>RawList!E74</f>
        <v>0</v>
      </c>
      <c r="H110" s="50" t="str">
        <f>IF(EquipmentTable[[#This Row],[Units]]&gt;0,"Quantity &gt; 0 Items","Quantity = 0 Items")</f>
        <v>Quantity = 0 Items</v>
      </c>
      <c r="I110" s="141">
        <f>RawList!J74</f>
        <v>2.95</v>
      </c>
      <c r="J110" s="24">
        <f>VALUE(EquipmentTable[[#This Row],[Units]]*EquipmentTable[[#This Row],[Unit
 Price]])</f>
        <v>0</v>
      </c>
      <c r="K110" s="50">
        <f>RawList!G74</f>
        <v>0</v>
      </c>
      <c r="L110" s="50"/>
      <c r="M110" s="50">
        <f>RawList!F74</f>
        <v>0</v>
      </c>
    </row>
    <row r="111" spans="2:13" x14ac:dyDescent="0.3">
      <c r="B111" s="50" t="str">
        <f>RawList!A75</f>
        <v>Primary Component</v>
      </c>
      <c r="C111" s="50" t="str">
        <f>RawList!B75</f>
        <v>Power Supply, USB + Barrel Jack</v>
      </c>
      <c r="D111" s="50" t="str">
        <f>RawList!C75</f>
        <v>Adafruit</v>
      </c>
      <c r="E111" s="50" t="str">
        <f>RawList!H75</f>
        <v>USB to 2.1mm DC Booster Cable - 12V</v>
      </c>
      <c r="F111" s="50" t="str">
        <f>RawList!D75</f>
        <v>2778</v>
      </c>
      <c r="G111" s="137">
        <f>RawList!E75</f>
        <v>2</v>
      </c>
      <c r="H111" s="50" t="str">
        <f>IF(EquipmentTable[[#This Row],[Units]]&gt;0,"Quantity &gt; 0 Items","Quantity = 0 Items")</f>
        <v>Quantity &gt; 0 Items</v>
      </c>
      <c r="I111" s="141">
        <f>RawList!J75</f>
        <v>6.5</v>
      </c>
      <c r="J111" s="24">
        <f>VALUE(EquipmentTable[[#This Row],[Units]]*EquipmentTable[[#This Row],[Unit
 Price]])</f>
        <v>13</v>
      </c>
      <c r="K111" s="50">
        <f>RawList!G75</f>
        <v>0</v>
      </c>
      <c r="L111" s="50"/>
      <c r="M111" s="50">
        <f>RawList!F75</f>
        <v>0</v>
      </c>
    </row>
    <row r="112" spans="2:13" x14ac:dyDescent="0.3">
      <c r="B112" s="50" t="str">
        <f>RawList!A76</f>
        <v>Primary Component</v>
      </c>
      <c r="C112" s="50" t="str">
        <f>RawList!B76</f>
        <v>Power Supply, USB + Barrel Jack</v>
      </c>
      <c r="D112" s="50" t="str">
        <f>RawList!C76</f>
        <v>Adafruit</v>
      </c>
      <c r="E112" s="50" t="str">
        <f>RawList!H76</f>
        <v>USB to 2.1mm DC Booster Cable - 9V</v>
      </c>
      <c r="F112" s="50" t="str">
        <f>RawList!D76</f>
        <v>2777</v>
      </c>
      <c r="G112" s="137">
        <f>RawList!E76</f>
        <v>0</v>
      </c>
      <c r="H112" s="50" t="str">
        <f>IF(EquipmentTable[[#This Row],[Units]]&gt;0,"Quantity &gt; 0 Items","Quantity = 0 Items")</f>
        <v>Quantity = 0 Items</v>
      </c>
      <c r="I112" s="141">
        <f>RawList!J76</f>
        <v>6.5</v>
      </c>
      <c r="J112" s="24">
        <f>VALUE(EquipmentTable[[#This Row],[Units]]*EquipmentTable[[#This Row],[Unit
 Price]])</f>
        <v>0</v>
      </c>
      <c r="K112" s="50">
        <f>RawList!G76</f>
        <v>0</v>
      </c>
      <c r="L112" s="50"/>
      <c r="M112" s="50">
        <f>RawList!F76</f>
        <v>0</v>
      </c>
    </row>
    <row r="113" spans="2:13" x14ac:dyDescent="0.3">
      <c r="B113" s="50" t="str">
        <f>RawList!A77</f>
        <v>Primary Component</v>
      </c>
      <c r="C113" s="50" t="str">
        <f>RawList!B77</f>
        <v>Power Supply, USB + Barrel Jack</v>
      </c>
      <c r="D113" s="50" t="str">
        <f>RawList!C77</f>
        <v>Adafruit</v>
      </c>
      <c r="E113" s="50" t="str">
        <f>RawList!H77</f>
        <v>USB to 2.1mm Male Barrel Jack Cable - 22AWG &amp; 1 meter</v>
      </c>
      <c r="F113" s="50" t="str">
        <f>RawList!D77</f>
        <v>2697</v>
      </c>
      <c r="G113" s="137">
        <f>RawList!E77</f>
        <v>0</v>
      </c>
      <c r="H113" s="50" t="str">
        <f>IF(EquipmentTable[[#This Row],[Units]]&gt;0,"Quantity &gt; 0 Items","Quantity = 0 Items")</f>
        <v>Quantity = 0 Items</v>
      </c>
      <c r="I113" s="141">
        <f>RawList!J77</f>
        <v>2.75</v>
      </c>
      <c r="J113" s="24">
        <f>VALUE(EquipmentTable[[#This Row],[Units]]*EquipmentTable[[#This Row],[Unit
 Price]])</f>
        <v>0</v>
      </c>
      <c r="K113" s="50">
        <f>RawList!G77</f>
        <v>0</v>
      </c>
      <c r="L113" s="50"/>
      <c r="M113" s="50">
        <f>RawList!F77</f>
        <v>0</v>
      </c>
    </row>
    <row r="114" spans="2:13" x14ac:dyDescent="0.3">
      <c r="B114" s="50" t="str">
        <f>RawList!A78</f>
        <v>Primary Component</v>
      </c>
      <c r="C114" s="50" t="str">
        <f>RawList!B78</f>
        <v>Power Supply, USB + Barrel Jack</v>
      </c>
      <c r="D114" s="50" t="str">
        <f>RawList!C78</f>
        <v>Adafruit</v>
      </c>
      <c r="E114" s="50" t="str">
        <f>RawList!H78</f>
        <v>MicroUSB to 5.5/2.1mm DC Barrel Jack Adapter</v>
      </c>
      <c r="F114" s="50" t="str">
        <f>RawList!D78</f>
        <v>2789</v>
      </c>
      <c r="G114" s="137">
        <f>RawList!E78</f>
        <v>5</v>
      </c>
      <c r="H114" s="50" t="str">
        <f>IF(EquipmentTable[[#This Row],[Units]]&gt;0,"Quantity &gt; 0 Items","Quantity = 0 Items")</f>
        <v>Quantity &gt; 0 Items</v>
      </c>
      <c r="I114" s="141">
        <f>RawList!J78</f>
        <v>1.95</v>
      </c>
      <c r="J114" s="24">
        <f>VALUE(EquipmentTable[[#This Row],[Units]]*EquipmentTable[[#This Row],[Unit
 Price]])</f>
        <v>9.75</v>
      </c>
      <c r="K114" s="50">
        <f>RawList!G78</f>
        <v>0</v>
      </c>
      <c r="L114" s="50"/>
      <c r="M114" s="50">
        <f>RawList!F78</f>
        <v>0</v>
      </c>
    </row>
    <row r="115" spans="2:13" x14ac:dyDescent="0.3">
      <c r="B115" s="50" t="str">
        <f>RawList!A79</f>
        <v>Primary Component</v>
      </c>
      <c r="C115" s="50" t="str">
        <f>RawList!B79</f>
        <v>Power Supply, LiPO Battery Supply/Management</v>
      </c>
      <c r="D115" s="50" t="str">
        <f>RawList!C79</f>
        <v>SparkFun</v>
      </c>
      <c r="E115" s="50" t="str">
        <f>RawList!H79</f>
        <v>SparkFun LiPower Shield</v>
      </c>
      <c r="F115" s="50" t="str">
        <f>RawList!D79</f>
        <v>DEV-13158</v>
      </c>
      <c r="G115" s="137">
        <f>RawList!E79</f>
        <v>5</v>
      </c>
      <c r="H115" s="50" t="str">
        <f>IF(EquipmentTable[[#This Row],[Units]]&gt;0,"Quantity &gt; 0 Items","Quantity = 0 Items")</f>
        <v>Quantity &gt; 0 Items</v>
      </c>
      <c r="I115" s="141">
        <f>RawList!J79</f>
        <v>29.95</v>
      </c>
      <c r="J115" s="24">
        <f>VALUE(EquipmentTable[[#This Row],[Units]]*EquipmentTable[[#This Row],[Unit
 Price]])</f>
        <v>149.75</v>
      </c>
      <c r="K115" s="50" t="str">
        <f>RawList!G79</f>
        <v>https://cdn.sparkfun.com/r/92-92/assets/parts/1/0/2/7/0/13158-01.jpg</v>
      </c>
      <c r="L115" s="50"/>
      <c r="M115" s="50" t="str">
        <f>RawList!F79</f>
        <v>https://www.sparkfun.com/products/13158</v>
      </c>
    </row>
    <row r="116" spans="2:13" x14ac:dyDescent="0.3">
      <c r="B116" s="50" t="str">
        <f>RawList!A80</f>
        <v>Primary Component</v>
      </c>
      <c r="C116" s="50" t="str">
        <f>RawList!B80</f>
        <v>Power Supply, LiPO Battery Supply/Management</v>
      </c>
      <c r="D116" s="50" t="str">
        <f>RawList!C80</f>
        <v>SparkFun</v>
      </c>
      <c r="E116" s="50" t="str">
        <f>RawList!H80</f>
        <v>SparkFun USB LiPoly Charger - Single Cell</v>
      </c>
      <c r="F116" s="50" t="str">
        <f>RawList!D80</f>
        <v>PRT-12711</v>
      </c>
      <c r="G116" s="137">
        <f>RawList!E80</f>
        <v>5</v>
      </c>
      <c r="H116" s="50" t="str">
        <f>IF(EquipmentTable[[#This Row],[Units]]&gt;0,"Quantity &gt; 0 Items","Quantity = 0 Items")</f>
        <v>Quantity &gt; 0 Items</v>
      </c>
      <c r="I116" s="141">
        <f>RawList!J80</f>
        <v>14.95</v>
      </c>
      <c r="J116" s="24">
        <f>VALUE(EquipmentTable[[#This Row],[Units]]*EquipmentTable[[#This Row],[Unit
 Price]])</f>
        <v>74.75</v>
      </c>
      <c r="K116" s="50" t="str">
        <f>RawList!G80</f>
        <v>https://cdn.sparkfun.com/r/92-92/assets/parts/9/4/5/6/12711-01.jpg</v>
      </c>
      <c r="L116" s="50"/>
      <c r="M116" s="50" t="str">
        <f>RawList!F80</f>
        <v>https://www.sparkfun.com/products/12711</v>
      </c>
    </row>
    <row r="117" spans="2:13" x14ac:dyDescent="0.3">
      <c r="B117" s="50" t="str">
        <f>RawList!A81</f>
        <v>Primary Component</v>
      </c>
      <c r="C117" s="50" t="str">
        <f>RawList!B81</f>
        <v>Power Supply, LiPO Battery Supply/Management</v>
      </c>
      <c r="D117" s="50" t="str">
        <f>RawList!C81</f>
        <v>SparkFun</v>
      </c>
      <c r="E117" s="50" t="str">
        <f>RawList!H81</f>
        <v>SparkFun Battery Babysitter - LiPo Battery Manager</v>
      </c>
      <c r="F117" s="50" t="str">
        <f>RawList!D81</f>
        <v>PRT-13777</v>
      </c>
      <c r="G117" s="137">
        <f>RawList!E81</f>
        <v>1</v>
      </c>
      <c r="H117" s="50" t="str">
        <f>IF(EquipmentTable[[#This Row],[Units]]&gt;0,"Quantity &gt; 0 Items","Quantity = 0 Items")</f>
        <v>Quantity &gt; 0 Items</v>
      </c>
      <c r="I117" s="141">
        <f>RawList!J81</f>
        <v>19.95</v>
      </c>
      <c r="J117" s="24">
        <f>VALUE(EquipmentTable[[#This Row],[Units]]*EquipmentTable[[#This Row],[Unit
 Price]])</f>
        <v>19.95</v>
      </c>
      <c r="K117" s="50" t="str">
        <f>RawList!G81</f>
        <v>https://cdn.sparkfun.com/r/92-92/assets/parts/1/1/3/3/1/13777-01.jpg</v>
      </c>
      <c r="L117" s="50"/>
      <c r="M117" s="50" t="str">
        <f>RawList!F81</f>
        <v>https://www.sparkfun.com/products/13777</v>
      </c>
    </row>
    <row r="118" spans="2:13" x14ac:dyDescent="0.3">
      <c r="B118" s="50" t="str">
        <f>RawList!A82</f>
        <v>Primary Component</v>
      </c>
      <c r="C118" s="50" t="str">
        <f>RawList!B82</f>
        <v>Power Supply, LiPO Battery Supply/Management</v>
      </c>
      <c r="D118" s="50" t="str">
        <f>RawList!C82</f>
        <v>SparkFun</v>
      </c>
      <c r="E118" s="50" t="str">
        <f>RawList!H82</f>
        <v>Lithium Ion Battery - 6Ah</v>
      </c>
      <c r="F118" s="50" t="str">
        <f>RawList!D82</f>
        <v>PRT-13856</v>
      </c>
      <c r="G118" s="137">
        <f>RawList!E82</f>
        <v>5</v>
      </c>
      <c r="H118" s="50" t="str">
        <f>IF(EquipmentTable[[#This Row],[Units]]&gt;0,"Quantity &gt; 0 Items","Quantity = 0 Items")</f>
        <v>Quantity &gt; 0 Items</v>
      </c>
      <c r="I118" s="141">
        <f>RawList!J82</f>
        <v>29.95</v>
      </c>
      <c r="J118" s="24">
        <f>VALUE(EquipmentTable[[#This Row],[Units]]*EquipmentTable[[#This Row],[Unit
 Price]])</f>
        <v>149.75</v>
      </c>
      <c r="K118" s="50" t="str">
        <f>RawList!G82</f>
        <v>https://cdn.sparkfun.com/r/92-92/assets/parts/1/1/4/6/3/13856-01.jpg</v>
      </c>
      <c r="L118" s="50"/>
      <c r="M118" s="50" t="str">
        <f>RawList!F82</f>
        <v>https://www.sparkfun.com/products/13856</v>
      </c>
    </row>
    <row r="119" spans="2:13" x14ac:dyDescent="0.3">
      <c r="B119" s="50" t="str">
        <f>RawList!A83</f>
        <v>Primary Component</v>
      </c>
      <c r="C119" s="50" t="str">
        <f>RawList!B83</f>
        <v>Power Supply, LiPO Battery Supply/Management</v>
      </c>
      <c r="D119" s="50" t="str">
        <f>RawList!C83</f>
        <v>SparkFun</v>
      </c>
      <c r="E119" s="50" t="str">
        <f>RawList!H83</f>
        <v>Lithium Ion Battery - 2Ah</v>
      </c>
      <c r="F119" s="50" t="str">
        <f>RawList!D83</f>
        <v>PRT-13855</v>
      </c>
      <c r="G119" s="137">
        <f>RawList!E83</f>
        <v>2</v>
      </c>
      <c r="H119" s="50" t="str">
        <f>IF(EquipmentTable[[#This Row],[Units]]&gt;0,"Quantity &gt; 0 Items","Quantity = 0 Items")</f>
        <v>Quantity &gt; 0 Items</v>
      </c>
      <c r="I119" s="141">
        <f>RawList!J83</f>
        <v>12.95</v>
      </c>
      <c r="J119" s="24">
        <f>VALUE(EquipmentTable[[#This Row],[Units]]*EquipmentTable[[#This Row],[Unit
 Price]])</f>
        <v>25.9</v>
      </c>
      <c r="K119" s="50" t="str">
        <f>RawList!G83</f>
        <v>https://cdn.sparkfun.com/r/92-92/assets/parts/1/1/4/6/2/13855-01.jpg</v>
      </c>
      <c r="L119" s="50"/>
      <c r="M119" s="50" t="str">
        <f>RawList!F83</f>
        <v>https://www.sparkfun.com/products/13855</v>
      </c>
    </row>
    <row r="120" spans="2:13" x14ac:dyDescent="0.3">
      <c r="B120" s="50" t="str">
        <f>RawList!A84</f>
        <v>Primary Component</v>
      </c>
      <c r="C120" s="50" t="str">
        <f>RawList!B84</f>
        <v>Power Supply, Breadboard</v>
      </c>
      <c r="D120" s="50" t="str">
        <f>RawList!C84</f>
        <v>SparkFun</v>
      </c>
      <c r="E120" s="50" t="str">
        <f>RawList!H84</f>
        <v>SparkFun Breadboard Power Supply Stick - 5V/3.3V</v>
      </c>
      <c r="F120" s="50" t="str">
        <f>RawList!D84</f>
        <v>PRT-13032</v>
      </c>
      <c r="G120" s="137">
        <f>RawList!E84</f>
        <v>5</v>
      </c>
      <c r="H120" s="50" t="str">
        <f>IF(EquipmentTable[[#This Row],[Units]]&gt;0,"Quantity &gt; 0 Items","Quantity = 0 Items")</f>
        <v>Quantity &gt; 0 Items</v>
      </c>
      <c r="I120" s="141">
        <f>RawList!J84</f>
        <v>9.9499999999999993</v>
      </c>
      <c r="J120" s="24">
        <f>VALUE(EquipmentTable[[#This Row],[Units]]*EquipmentTable[[#This Row],[Unit
 Price]])</f>
        <v>49.75</v>
      </c>
      <c r="K120" s="50" t="str">
        <f>RawList!G84</f>
        <v>https://cdn.sparkfun.com/r/92-92/assets/parts/1/0/0/3/2/13032-01.jpg</v>
      </c>
      <c r="L120" s="50"/>
      <c r="M120" s="50" t="str">
        <f>RawList!F84</f>
        <v>https://www.sparkfun.com/products/13032</v>
      </c>
    </row>
    <row r="121" spans="2:13" x14ac:dyDescent="0.3">
      <c r="B121" s="50" t="str">
        <f>RawList!A85</f>
        <v>Primary Component</v>
      </c>
      <c r="C121" s="50" t="str">
        <f>RawList!B85</f>
        <v>Power Supply, Breadboard</v>
      </c>
      <c r="D121" s="50" t="str">
        <f>RawList!C85</f>
        <v>SparkFun</v>
      </c>
      <c r="E121" s="50" t="str">
        <f>RawList!H85</f>
        <v>SparkFun Breadboard Power Supply 5V/3.3V</v>
      </c>
      <c r="F121" s="50" t="str">
        <f>RawList!D85</f>
        <v>PRT-00114</v>
      </c>
      <c r="G121" s="137">
        <f>RawList!E85</f>
        <v>2</v>
      </c>
      <c r="H121" s="50" t="str">
        <f>IF(EquipmentTable[[#This Row],[Units]]&gt;0,"Quantity &gt; 0 Items","Quantity = 0 Items")</f>
        <v>Quantity &gt; 0 Items</v>
      </c>
      <c r="I121" s="141">
        <f>RawList!J85</f>
        <v>9.9499999999999993</v>
      </c>
      <c r="J121" s="24">
        <f>VALUE(EquipmentTable[[#This Row],[Units]]*EquipmentTable[[#This Row],[Unit
 Price]])</f>
        <v>19.899999999999999</v>
      </c>
      <c r="K121" s="50" t="str">
        <f>RawList!G85</f>
        <v>https://cdn.sparkfun.com/r/92-92/assets/parts/1/0/4/00114-05.jpg</v>
      </c>
      <c r="L121" s="50"/>
      <c r="M121" s="50" t="str">
        <f>RawList!F85</f>
        <v>https://www.sparkfun.com/products/114</v>
      </c>
    </row>
    <row r="122" spans="2:13" x14ac:dyDescent="0.3">
      <c r="B122" s="50" t="str">
        <f>RawList!A86</f>
        <v>Primary Component</v>
      </c>
      <c r="C122" s="50" t="str">
        <f>RawList!B86</f>
        <v>Power Supply, Breadboard</v>
      </c>
      <c r="D122" s="50" t="str">
        <f>RawList!C86</f>
        <v>Adafruit</v>
      </c>
      <c r="E122" s="50" t="str">
        <f>RawList!H86</f>
        <v>Adjustable breadboard power supply kit - v1.0</v>
      </c>
      <c r="F122" s="50" t="str">
        <f>RawList!D86</f>
        <v>184</v>
      </c>
      <c r="G122" s="137">
        <f>RawList!E86</f>
        <v>0</v>
      </c>
      <c r="H122" s="50" t="str">
        <f>IF(EquipmentTable[[#This Row],[Units]]&gt;0,"Quantity &gt; 0 Items","Quantity = 0 Items")</f>
        <v>Quantity = 0 Items</v>
      </c>
      <c r="I122" s="141">
        <f>RawList!J86</f>
        <v>14.95</v>
      </c>
      <c r="J122" s="24">
        <f>VALUE(EquipmentTable[[#This Row],[Units]]*EquipmentTable[[#This Row],[Unit
 Price]])</f>
        <v>0</v>
      </c>
      <c r="K122" s="50">
        <f>RawList!G86</f>
        <v>0</v>
      </c>
      <c r="L122" s="50"/>
      <c r="M122" s="50">
        <f>RawList!F86</f>
        <v>0</v>
      </c>
    </row>
    <row r="123" spans="2:13" x14ac:dyDescent="0.3">
      <c r="B123" s="50" t="str">
        <f>RawList!A87</f>
        <v>Primary Component</v>
      </c>
      <c r="C123" s="50" t="str">
        <f>RawList!B87</f>
        <v>Power Supply, Breadboard</v>
      </c>
      <c r="D123" s="50" t="str">
        <f>RawList!C87</f>
        <v>SparkFun</v>
      </c>
      <c r="E123" s="50" t="str">
        <f>RawList!H87</f>
        <v>DC Barrel Jack Adapter - Breadboard Compatible</v>
      </c>
      <c r="F123" s="50" t="str">
        <f>RawList!D87</f>
        <v>PRT-10811</v>
      </c>
      <c r="G123" s="137">
        <f>RawList!E87</f>
        <v>6</v>
      </c>
      <c r="H123" s="50" t="str">
        <f>IF(EquipmentTable[[#This Row],[Units]]&gt;0,"Quantity &gt; 0 Items","Quantity = 0 Items")</f>
        <v>Quantity &gt; 0 Items</v>
      </c>
      <c r="I123" s="141">
        <f>RawList!J87</f>
        <v>0.95</v>
      </c>
      <c r="J123" s="24">
        <f>VALUE(EquipmentTable[[#This Row],[Units]]*EquipmentTable[[#This Row],[Unit
 Price]])</f>
        <v>5.6999999999999993</v>
      </c>
      <c r="K123" s="50" t="str">
        <f>RawList!G87</f>
        <v>https://cdn.sparkfun.com/r/92-92/assets/parts/5/8/0/3/10811-01.jpg</v>
      </c>
      <c r="L123" s="50"/>
      <c r="M123" s="50" t="str">
        <f>RawList!F87</f>
        <v>https://www.sparkfun.com/products/10811</v>
      </c>
    </row>
    <row r="124" spans="2:13" x14ac:dyDescent="0.3">
      <c r="B124" s="50" t="str">
        <f>RawList!A88</f>
        <v>Primary Component</v>
      </c>
      <c r="C124" s="50" t="str">
        <f>RawList!B88</f>
        <v>Power Supply, Breadboard</v>
      </c>
      <c r="D124" s="50" t="str">
        <f>RawList!C88</f>
        <v>Adafruit</v>
      </c>
      <c r="E124" s="50" t="str">
        <f>RawList!H88</f>
        <v xml:space="preserve">Breadboard-friendly 2.1mm DC barrel jack </v>
      </c>
      <c r="F124" s="50" t="str">
        <f>RawList!D88</f>
        <v>373</v>
      </c>
      <c r="G124" s="137">
        <f>RawList!E88</f>
        <v>0</v>
      </c>
      <c r="H124" s="50" t="str">
        <f>IF(EquipmentTable[[#This Row],[Units]]&gt;0,"Quantity &gt; 0 Items","Quantity = 0 Items")</f>
        <v>Quantity = 0 Items</v>
      </c>
      <c r="I124" s="141">
        <f>RawList!J88</f>
        <v>0.95</v>
      </c>
      <c r="J124" s="24">
        <f>VALUE(EquipmentTable[[#This Row],[Units]]*EquipmentTable[[#This Row],[Unit
 Price]])</f>
        <v>0</v>
      </c>
      <c r="K124" s="50">
        <f>RawList!G88</f>
        <v>0</v>
      </c>
      <c r="L124" s="50"/>
      <c r="M124" s="50">
        <f>RawList!F88</f>
        <v>0</v>
      </c>
    </row>
    <row r="125" spans="2:13" x14ac:dyDescent="0.3">
      <c r="B125" s="50" t="str">
        <f>RawList!A89</f>
        <v>Primary Component</v>
      </c>
      <c r="C125" s="50" t="str">
        <f>RawList!B89</f>
        <v>Power Supply, Control/Switch</v>
      </c>
      <c r="D125" s="50" t="str">
        <f>RawList!C89</f>
        <v>SparkFun</v>
      </c>
      <c r="E125" s="50" t="str">
        <f>RawList!H89</f>
        <v>SparkFun MOSFET Power Controller</v>
      </c>
      <c r="F125" s="50" t="str">
        <f>RawList!D89</f>
        <v>PRT-11214</v>
      </c>
      <c r="G125" s="137">
        <f>RawList!E89</f>
        <v>5</v>
      </c>
      <c r="H125" s="50" t="str">
        <f>IF(EquipmentTable[[#This Row],[Units]]&gt;0,"Quantity &gt; 0 Items","Quantity = 0 Items")</f>
        <v>Quantity &gt; 0 Items</v>
      </c>
      <c r="I125" s="141">
        <f>RawList!J89</f>
        <v>6.95</v>
      </c>
      <c r="J125" s="24">
        <f>VALUE(EquipmentTable[[#This Row],[Units]]*EquipmentTable[[#This Row],[Unit
 Price]])</f>
        <v>34.75</v>
      </c>
      <c r="K125" s="50" t="str">
        <f>RawList!G89</f>
        <v>https://cdn.sparkfun.com/r/92-92/assets/parts/6/7/9/7/11214-02.jpg</v>
      </c>
      <c r="L125" s="50"/>
      <c r="M125" s="50" t="str">
        <f>RawList!F89</f>
        <v>https://www.sparkfun.com/products/11214</v>
      </c>
    </row>
    <row r="126" spans="2:13" x14ac:dyDescent="0.3">
      <c r="B126" s="50" t="str">
        <f>RawList!A90</f>
        <v>Primary Component</v>
      </c>
      <c r="C126" s="50" t="str">
        <f>RawList!B90</f>
        <v>Power Supply, Control/Switch</v>
      </c>
      <c r="D126" s="50" t="str">
        <f>RawList!C90</f>
        <v>Adafruit</v>
      </c>
      <c r="E126" s="50" t="str">
        <f>RawList!H90</f>
        <v>In-line power switch for 2.1mm barrel jack</v>
      </c>
      <c r="F126" s="50" t="str">
        <f>RawList!D90</f>
        <v>1125</v>
      </c>
      <c r="G126" s="137">
        <f>RawList!E90</f>
        <v>0</v>
      </c>
      <c r="H126" s="50" t="str">
        <f>IF(EquipmentTable[[#This Row],[Units]]&gt;0,"Quantity &gt; 0 Items","Quantity = 0 Items")</f>
        <v>Quantity = 0 Items</v>
      </c>
      <c r="I126" s="141">
        <f>RawList!J90</f>
        <v>2.5</v>
      </c>
      <c r="J126" s="24">
        <f>VALUE(EquipmentTable[[#This Row],[Units]]*EquipmentTable[[#This Row],[Unit
 Price]])</f>
        <v>0</v>
      </c>
      <c r="K126" s="50">
        <f>RawList!G90</f>
        <v>0</v>
      </c>
      <c r="L126" s="50"/>
      <c r="M126" s="50">
        <f>RawList!F90</f>
        <v>0</v>
      </c>
    </row>
    <row r="127" spans="2:13" x14ac:dyDescent="0.3">
      <c r="B127" s="50" t="str">
        <f>RawList!A91</f>
        <v>Primary Component</v>
      </c>
      <c r="C127" s="50" t="str">
        <f>RawList!B91</f>
        <v>Power Supply, DIY Cables</v>
      </c>
      <c r="D127" s="50" t="str">
        <f>RawList!C91</f>
        <v>Adafruit</v>
      </c>
      <c r="E127" s="50" t="str">
        <f>RawList!H91</f>
        <v>Waterproof DC Power Cable Set - 5.5/2.1mm</v>
      </c>
      <c r="F127" s="50" t="str">
        <f>RawList!D91</f>
        <v>743</v>
      </c>
      <c r="G127" s="137">
        <f>RawList!E91</f>
        <v>6</v>
      </c>
      <c r="H127" s="50" t="str">
        <f>IF(EquipmentTable[[#This Row],[Units]]&gt;0,"Quantity &gt; 0 Items","Quantity = 0 Items")</f>
        <v>Quantity &gt; 0 Items</v>
      </c>
      <c r="I127" s="141">
        <f>RawList!J91</f>
        <v>2.5</v>
      </c>
      <c r="J127" s="24">
        <f>VALUE(EquipmentTable[[#This Row],[Units]]*EquipmentTable[[#This Row],[Unit
 Price]])</f>
        <v>15</v>
      </c>
      <c r="K127" s="50">
        <f>RawList!G91</f>
        <v>0</v>
      </c>
      <c r="L127" s="50"/>
      <c r="M127" s="50">
        <f>RawList!F91</f>
        <v>0</v>
      </c>
    </row>
    <row r="128" spans="2:13" x14ac:dyDescent="0.3">
      <c r="B128" s="50" t="str">
        <f>RawList!A92</f>
        <v>Primary Component</v>
      </c>
      <c r="C128" s="50" t="str">
        <f>RawList!B92</f>
        <v>Power Supply, DIY Cables</v>
      </c>
      <c r="D128" s="50" t="str">
        <f>RawList!C92</f>
        <v>SparkFun</v>
      </c>
      <c r="E128" s="50" t="str">
        <f>RawList!H92</f>
        <v>DC Barrel Jack Adapter - Female</v>
      </c>
      <c r="F128" s="50" t="str">
        <f>RawList!D92</f>
        <v>PRT-10288</v>
      </c>
      <c r="G128" s="137">
        <f>RawList!E92</f>
        <v>0</v>
      </c>
      <c r="H128" s="50" t="str">
        <f>IF(EquipmentTable[[#This Row],[Units]]&gt;0,"Quantity &gt; 0 Items","Quantity = 0 Items")</f>
        <v>Quantity = 0 Items</v>
      </c>
      <c r="I128" s="141">
        <f>RawList!J92</f>
        <v>2.95</v>
      </c>
      <c r="J128" s="24">
        <f>VALUE(EquipmentTable[[#This Row],[Units]]*EquipmentTable[[#This Row],[Unit
 Price]])</f>
        <v>0</v>
      </c>
      <c r="K128" s="50" t="str">
        <f>RawList!G92</f>
        <v>https://cdn.sparkfun.com/r/92-92/assets/parts/4/6/8/4/10288-02.jpg</v>
      </c>
      <c r="L128" s="50"/>
      <c r="M128" s="50" t="str">
        <f>RawList!F92</f>
        <v>https://www.sparkfun.com/products/10288</v>
      </c>
    </row>
    <row r="129" spans="2:13" x14ac:dyDescent="0.3">
      <c r="B129" s="50" t="str">
        <f>RawList!A93</f>
        <v>Primary Component</v>
      </c>
      <c r="C129" s="50" t="str">
        <f>RawList!B93</f>
        <v>Power Supply, DIY Cables</v>
      </c>
      <c r="D129" s="50" t="str">
        <f>RawList!C93</f>
        <v>SparkFun</v>
      </c>
      <c r="E129" s="50" t="str">
        <f>RawList!H93</f>
        <v>DC Barrel Jack Adapter - Male</v>
      </c>
      <c r="F129" s="50" t="str">
        <f>RawList!D93</f>
        <v>PRT-10287</v>
      </c>
      <c r="G129" s="137">
        <f>RawList!E93</f>
        <v>0</v>
      </c>
      <c r="H129" s="50" t="str">
        <f>IF(EquipmentTable[[#This Row],[Units]]&gt;0,"Quantity &gt; 0 Items","Quantity = 0 Items")</f>
        <v>Quantity = 0 Items</v>
      </c>
      <c r="I129" s="141">
        <f>RawList!J93</f>
        <v>2.95</v>
      </c>
      <c r="J129" s="24">
        <f>VALUE(EquipmentTable[[#This Row],[Units]]*EquipmentTable[[#This Row],[Unit
 Price]])</f>
        <v>0</v>
      </c>
      <c r="K129" s="50" t="str">
        <f>RawList!G93</f>
        <v>https://cdn.sparkfun.com/r/92-92/assets/parts/4/6/8/3/10287-01.jpg</v>
      </c>
      <c r="L129" s="50"/>
      <c r="M129" s="50" t="str">
        <f>RawList!F93</f>
        <v>https://www.sparkfun.com/products/10287</v>
      </c>
    </row>
    <row r="130" spans="2:13" x14ac:dyDescent="0.3">
      <c r="B130" s="50" t="str">
        <f>RawList!A94</f>
        <v>Primary Component</v>
      </c>
      <c r="C130" s="50" t="str">
        <f>RawList!B94</f>
        <v>Power Supply, DIY Cables</v>
      </c>
      <c r="D130" s="50" t="str">
        <f>RawList!C94</f>
        <v>Adafruit</v>
      </c>
      <c r="E130" s="50" t="str">
        <f>RawList!H94</f>
        <v>Female DC Power adapter - 2.1mm jack to screw terminal block</v>
      </c>
      <c r="F130" s="50" t="str">
        <f>RawList!D94</f>
        <v>368</v>
      </c>
      <c r="G130" s="137">
        <f>RawList!E94</f>
        <v>0</v>
      </c>
      <c r="H130" s="50" t="str">
        <f>IF(EquipmentTable[[#This Row],[Units]]&gt;0,"Quantity &gt; 0 Items","Quantity = 0 Items")</f>
        <v>Quantity = 0 Items</v>
      </c>
      <c r="I130" s="141">
        <f>RawList!J94</f>
        <v>2</v>
      </c>
      <c r="J130" s="24">
        <f>VALUE(EquipmentTable[[#This Row],[Units]]*EquipmentTable[[#This Row],[Unit
 Price]])</f>
        <v>0</v>
      </c>
      <c r="K130" s="50">
        <f>RawList!G94</f>
        <v>0</v>
      </c>
      <c r="L130" s="50"/>
      <c r="M130" s="50">
        <f>RawList!F94</f>
        <v>0</v>
      </c>
    </row>
    <row r="131" spans="2:13" x14ac:dyDescent="0.3">
      <c r="B131" s="50" t="str">
        <f>RawList!A95</f>
        <v>Primary Component</v>
      </c>
      <c r="C131" s="50" t="str">
        <f>RawList!B95</f>
        <v>Power Supply, DIY Cables</v>
      </c>
      <c r="D131" s="50" t="str">
        <f>RawList!C95</f>
        <v>Adafruit</v>
      </c>
      <c r="E131" s="50" t="str">
        <f>RawList!H95</f>
        <v>Male DC Power adapter - 2.1mm plug to screw terminal block</v>
      </c>
      <c r="F131" s="50" t="str">
        <f>RawList!D95</f>
        <v>369</v>
      </c>
      <c r="G131" s="137">
        <f>RawList!E95</f>
        <v>0</v>
      </c>
      <c r="H131" s="50" t="str">
        <f>IF(EquipmentTable[[#This Row],[Units]]&gt;0,"Quantity &gt; 0 Items","Quantity = 0 Items")</f>
        <v>Quantity = 0 Items</v>
      </c>
      <c r="I131" s="141">
        <f>RawList!J95</f>
        <v>2</v>
      </c>
      <c r="J131" s="24">
        <f>VALUE(EquipmentTable[[#This Row],[Units]]*EquipmentTable[[#This Row],[Unit
 Price]])</f>
        <v>0</v>
      </c>
      <c r="K131" s="50">
        <f>RawList!G95</f>
        <v>0</v>
      </c>
      <c r="L131" s="50"/>
      <c r="M131" s="50">
        <f>RawList!F95</f>
        <v>0</v>
      </c>
    </row>
    <row r="132" spans="2:13" x14ac:dyDescent="0.3">
      <c r="B132" s="50" t="str">
        <f>RawList!A96</f>
        <v>Primary Component</v>
      </c>
      <c r="C132" s="50" t="str">
        <f>RawList!B96</f>
        <v>Power Supply, DIY Cables</v>
      </c>
      <c r="D132" s="50" t="str">
        <f>RawList!C96</f>
        <v>SparkFun</v>
      </c>
      <c r="E132" s="50" t="str">
        <f>RawList!H96</f>
        <v>DC Barrel Jack Plug - Female</v>
      </c>
      <c r="F132" s="50" t="str">
        <f>RawList!D96</f>
        <v>PRT-13126</v>
      </c>
      <c r="G132" s="137">
        <f>RawList!E96</f>
        <v>2</v>
      </c>
      <c r="H132" s="50" t="str">
        <f>IF(EquipmentTable[[#This Row],[Units]]&gt;0,"Quantity &gt; 0 Items","Quantity = 0 Items")</f>
        <v>Quantity &gt; 0 Items</v>
      </c>
      <c r="I132" s="141">
        <f>RawList!J96</f>
        <v>0.95</v>
      </c>
      <c r="J132" s="24">
        <f>VALUE(EquipmentTable[[#This Row],[Units]]*EquipmentTable[[#This Row],[Unit
 Price]])</f>
        <v>1.9</v>
      </c>
      <c r="K132" s="50" t="str">
        <f>RawList!G96</f>
        <v>https://cdn.sparkfun.com/r/92-92/assets/parts/1/0/1/9/0/13126-01.jpg</v>
      </c>
      <c r="L132" s="50"/>
      <c r="M132" s="50" t="str">
        <f>RawList!F96</f>
        <v>https://www.sparkfun.com/products/13126</v>
      </c>
    </row>
    <row r="133" spans="2:13" x14ac:dyDescent="0.3">
      <c r="B133" s="50" t="str">
        <f>RawList!A97</f>
        <v>Primary Component</v>
      </c>
      <c r="C133" s="50" t="str">
        <f>RawList!B97</f>
        <v>Power Supply, DIY Cables</v>
      </c>
      <c r="D133" s="50" t="str">
        <f>RawList!C97</f>
        <v>SparkFun</v>
      </c>
      <c r="E133" s="50" t="str">
        <f>RawList!H97</f>
        <v>DC Barrel Jack Plug - Male</v>
      </c>
      <c r="F133" s="50" t="str">
        <f>RawList!D97</f>
        <v>PRT-11476</v>
      </c>
      <c r="G133" s="137">
        <f>RawList!E97</f>
        <v>6</v>
      </c>
      <c r="H133" s="50" t="str">
        <f>IF(EquipmentTable[[#This Row],[Units]]&gt;0,"Quantity &gt; 0 Items","Quantity = 0 Items")</f>
        <v>Quantity &gt; 0 Items</v>
      </c>
      <c r="I133" s="141">
        <f>RawList!J97</f>
        <v>0.95</v>
      </c>
      <c r="J133" s="24">
        <f>VALUE(EquipmentTable[[#This Row],[Units]]*EquipmentTable[[#This Row],[Unit
 Price]])</f>
        <v>5.6999999999999993</v>
      </c>
      <c r="K133" s="50" t="str">
        <f>RawList!G97</f>
        <v>https://cdn.sparkfun.com/r/92-92/assets/parts/7/3/6/3/11476-01.jpg</v>
      </c>
      <c r="L133" s="50"/>
      <c r="M133" s="50" t="str">
        <f>RawList!F97</f>
        <v>https://www.sparkfun.com/products/11476</v>
      </c>
    </row>
    <row r="134" spans="2:13" x14ac:dyDescent="0.3">
      <c r="B134" s="50" t="str">
        <f>RawList!A98</f>
        <v>Primary Component</v>
      </c>
      <c r="C134" s="50" t="str">
        <f>RawList!B98</f>
        <v>Power Supply, DIY Cables</v>
      </c>
      <c r="D134" s="50" t="str">
        <f>RawList!C98</f>
        <v>SparkFun</v>
      </c>
      <c r="E134" s="50" t="str">
        <f>RawList!H98</f>
        <v>Car Adapter Plug - Red LED</v>
      </c>
      <c r="F134" s="50" t="str">
        <f>RawList!D98</f>
        <v>PRT-11474</v>
      </c>
      <c r="G134" s="137">
        <f>RawList!E98</f>
        <v>4</v>
      </c>
      <c r="H134" s="50" t="str">
        <f>IF(EquipmentTable[[#This Row],[Units]]&gt;0,"Quantity &gt; 0 Items","Quantity = 0 Items")</f>
        <v>Quantity &gt; 0 Items</v>
      </c>
      <c r="I134" s="141">
        <f>RawList!J98</f>
        <v>0.3</v>
      </c>
      <c r="J134" s="24">
        <f>VALUE(EquipmentTable[[#This Row],[Units]]*EquipmentTable[[#This Row],[Unit
 Price]])</f>
        <v>1.2</v>
      </c>
      <c r="K134" s="50" t="str">
        <f>RawList!G98</f>
        <v>https://cdn.sparkfun.com/r/92-92/assets/parts/7/3/6/1/11474-01.jpg</v>
      </c>
      <c r="L134" s="50"/>
      <c r="M134" s="50" t="str">
        <f>RawList!F98</f>
        <v>https://www.sparkfun.com/products/11474</v>
      </c>
    </row>
    <row r="135" spans="2:13" x14ac:dyDescent="0.3">
      <c r="B135" s="50" t="str">
        <f>RawList!A99</f>
        <v>Primary Component</v>
      </c>
      <c r="C135" s="50" t="str">
        <f>RawList!B99</f>
        <v>Power Supply, DIY Cables</v>
      </c>
      <c r="D135" s="50" t="str">
        <f>RawList!C99</f>
        <v>Adafruit</v>
      </c>
      <c r="E135" s="50" t="str">
        <f>RawList!H99</f>
        <v>USB DIY Connector - MicroB Female Plug</v>
      </c>
      <c r="F135" s="50" t="str">
        <f>RawList!D99</f>
        <v>1829</v>
      </c>
      <c r="G135" s="137">
        <f>RawList!E99</f>
        <v>0</v>
      </c>
      <c r="H135" s="50" t="str">
        <f>IF(EquipmentTable[[#This Row],[Units]]&gt;0,"Quantity &gt; 0 Items","Quantity = 0 Items")</f>
        <v>Quantity = 0 Items</v>
      </c>
      <c r="I135" s="141">
        <f>RawList!J99</f>
        <v>0.95</v>
      </c>
      <c r="J135" s="24">
        <f>VALUE(EquipmentTable[[#This Row],[Units]]*EquipmentTable[[#This Row],[Unit
 Price]])</f>
        <v>0</v>
      </c>
      <c r="K135" s="50">
        <f>RawList!G99</f>
        <v>0</v>
      </c>
      <c r="L135" s="50"/>
      <c r="M135" s="50">
        <f>RawList!F99</f>
        <v>0</v>
      </c>
    </row>
    <row r="136" spans="2:13" x14ac:dyDescent="0.3">
      <c r="B136" s="50" t="str">
        <f>RawList!A100</f>
        <v>Primary Component</v>
      </c>
      <c r="C136" s="50" t="str">
        <f>RawList!B100</f>
        <v>Power Supply, DIY Cables</v>
      </c>
      <c r="D136" s="50" t="str">
        <f>RawList!C100</f>
        <v>Adafruit</v>
      </c>
      <c r="E136" s="50" t="str">
        <f>RawList!H100</f>
        <v>USB DIY Connector Shell - Type A Socket</v>
      </c>
      <c r="F136" s="50" t="str">
        <f>RawList!D100</f>
        <v>1388</v>
      </c>
      <c r="G136" s="137">
        <f>RawList!E100</f>
        <v>0</v>
      </c>
      <c r="H136" s="50" t="str">
        <f>IF(EquipmentTable[[#This Row],[Units]]&gt;0,"Quantity &gt; 0 Items","Quantity = 0 Items")</f>
        <v>Quantity = 0 Items</v>
      </c>
      <c r="I136" s="141">
        <f>RawList!J100</f>
        <v>0.95</v>
      </c>
      <c r="J136" s="24">
        <f>VALUE(EquipmentTable[[#This Row],[Units]]*EquipmentTable[[#This Row],[Unit
 Price]])</f>
        <v>0</v>
      </c>
      <c r="K136" s="50">
        <f>RawList!G100</f>
        <v>0</v>
      </c>
      <c r="L136" s="50"/>
      <c r="M136" s="50">
        <f>RawList!F100</f>
        <v>0</v>
      </c>
    </row>
    <row r="137" spans="2:13" x14ac:dyDescent="0.3">
      <c r="B137" s="50" t="str">
        <f>RawList!A101</f>
        <v>Primary Component</v>
      </c>
      <c r="C137" s="50" t="str">
        <f>RawList!B101</f>
        <v>Power Supply, DIY Cables</v>
      </c>
      <c r="D137" s="50" t="str">
        <f>RawList!C101</f>
        <v>Adafruit</v>
      </c>
      <c r="E137" s="50" t="str">
        <f>RawList!H101</f>
        <v>USB DIY Connector Shell - Type Micro-B Plug</v>
      </c>
      <c r="F137" s="50" t="str">
        <f>RawList!D101</f>
        <v>1390</v>
      </c>
      <c r="G137" s="137">
        <f>RawList!E101</f>
        <v>0</v>
      </c>
      <c r="H137" s="50" t="str">
        <f>IF(EquipmentTable[[#This Row],[Units]]&gt;0,"Quantity &gt; 0 Items","Quantity = 0 Items")</f>
        <v>Quantity = 0 Items</v>
      </c>
      <c r="I137" s="141">
        <f>RawList!J101</f>
        <v>0.95</v>
      </c>
      <c r="J137" s="24">
        <f>VALUE(EquipmentTable[[#This Row],[Units]]*EquipmentTable[[#This Row],[Unit
 Price]])</f>
        <v>0</v>
      </c>
      <c r="K137" s="50">
        <f>RawList!G101</f>
        <v>0</v>
      </c>
      <c r="L137" s="50"/>
      <c r="M137" s="50">
        <f>RawList!F101</f>
        <v>0</v>
      </c>
    </row>
    <row r="138" spans="2:13" x14ac:dyDescent="0.3">
      <c r="B138" s="50" t="str">
        <f>RawList!A102</f>
        <v>Primary Component</v>
      </c>
      <c r="C138" s="50" t="str">
        <f>RawList!B102</f>
        <v>Power Supply, DIY Cables</v>
      </c>
      <c r="D138" s="50" t="str">
        <f>RawList!C102</f>
        <v>Adafruit</v>
      </c>
      <c r="E138" s="50" t="str">
        <f>RawList!H102</f>
        <v>USB DIY Connector Shell - Type Mini-B Plug</v>
      </c>
      <c r="F138" s="50" t="str">
        <f>RawList!D102</f>
        <v>1389</v>
      </c>
      <c r="G138" s="137">
        <f>RawList!E102</f>
        <v>0</v>
      </c>
      <c r="H138" s="50" t="str">
        <f>IF(EquipmentTable[[#This Row],[Units]]&gt;0,"Quantity &gt; 0 Items","Quantity = 0 Items")</f>
        <v>Quantity = 0 Items</v>
      </c>
      <c r="I138" s="141">
        <f>RawList!J102</f>
        <v>0.95</v>
      </c>
      <c r="J138" s="24">
        <f>VALUE(EquipmentTable[[#This Row],[Units]]*EquipmentTable[[#This Row],[Unit
 Price]])</f>
        <v>0</v>
      </c>
      <c r="K138" s="50">
        <f>RawList!G102</f>
        <v>0</v>
      </c>
      <c r="L138" s="50"/>
      <c r="M138" s="50">
        <f>RawList!F102</f>
        <v>0</v>
      </c>
    </row>
    <row r="139" spans="2:13" x14ac:dyDescent="0.3">
      <c r="B139" s="50" t="str">
        <f>RawList!A103</f>
        <v>Primary Component</v>
      </c>
      <c r="C139" s="50" t="str">
        <f>RawList!B103</f>
        <v>Power Supply, DIY Cables</v>
      </c>
      <c r="D139" s="50" t="str">
        <f>RawList!C103</f>
        <v>Adafruit</v>
      </c>
      <c r="E139" s="50" t="str">
        <f>RawList!H103</f>
        <v>USB DIY Slim Connector Shell - A-M Plug</v>
      </c>
      <c r="F139" s="50" t="str">
        <f>RawList!D103</f>
        <v>1827</v>
      </c>
      <c r="G139" s="137">
        <f>RawList!E103</f>
        <v>0</v>
      </c>
      <c r="H139" s="50" t="str">
        <f>IF(EquipmentTable[[#This Row],[Units]]&gt;0,"Quantity &gt; 0 Items","Quantity = 0 Items")</f>
        <v>Quantity = 0 Items</v>
      </c>
      <c r="I139" s="141">
        <f>RawList!J103</f>
        <v>0.95</v>
      </c>
      <c r="J139" s="24">
        <f>VALUE(EquipmentTable[[#This Row],[Units]]*EquipmentTable[[#This Row],[Unit
 Price]])</f>
        <v>0</v>
      </c>
      <c r="K139" s="50">
        <f>RawList!G103</f>
        <v>0</v>
      </c>
      <c r="L139" s="50"/>
      <c r="M139" s="50">
        <f>RawList!F103</f>
        <v>0</v>
      </c>
    </row>
    <row r="140" spans="2:13" x14ac:dyDescent="0.3">
      <c r="B140" s="50" t="str">
        <f>RawList!A104</f>
        <v>Primary Component</v>
      </c>
      <c r="C140" s="50" t="str">
        <f>RawList!B104</f>
        <v>Power Supply, DIY Cables</v>
      </c>
      <c r="D140" s="50" t="str">
        <f>RawList!C104</f>
        <v>Adafruit</v>
      </c>
      <c r="E140" s="50" t="str">
        <f>RawList!H104</f>
        <v>USB DIY Slim Connector Shell - MicroB Plug</v>
      </c>
      <c r="F140" s="50" t="str">
        <f>RawList!D104</f>
        <v>1826</v>
      </c>
      <c r="G140" s="137">
        <f>RawList!E104</f>
        <v>0</v>
      </c>
      <c r="H140" s="50" t="str">
        <f>IF(EquipmentTable[[#This Row],[Units]]&gt;0,"Quantity &gt; 0 Items","Quantity = 0 Items")</f>
        <v>Quantity = 0 Items</v>
      </c>
      <c r="I140" s="141">
        <f>RawList!J104</f>
        <v>0.95</v>
      </c>
      <c r="J140" s="24">
        <f>VALUE(EquipmentTable[[#This Row],[Units]]*EquipmentTable[[#This Row],[Unit
 Price]])</f>
        <v>0</v>
      </c>
      <c r="K140" s="50">
        <f>RawList!G104</f>
        <v>0</v>
      </c>
      <c r="L140" s="50"/>
      <c r="M140" s="50">
        <f>RawList!F104</f>
        <v>0</v>
      </c>
    </row>
    <row r="141" spans="2:13" x14ac:dyDescent="0.3">
      <c r="B141" s="50" t="str">
        <f>RawList!A105</f>
        <v>Primary Component</v>
      </c>
      <c r="C141" s="50" t="str">
        <f>RawList!B105</f>
        <v>Proximity/Distance</v>
      </c>
      <c r="D141" s="50" t="str">
        <f>RawList!C105</f>
        <v>SparkFun</v>
      </c>
      <c r="E141" s="50" t="str">
        <f>RawList!H105</f>
        <v>Optical Detector / Phototransistor - QRD1114</v>
      </c>
      <c r="F141" s="50" t="str">
        <f>RawList!D105</f>
        <v>SEN-00246</v>
      </c>
      <c r="G141" s="137">
        <f>RawList!E105</f>
        <v>5</v>
      </c>
      <c r="H141" s="50" t="str">
        <f>IF(EquipmentTable[[#This Row],[Units]]&gt;0,"Quantity &gt; 0 Items","Quantity = 0 Items")</f>
        <v>Quantity &gt; 0 Items</v>
      </c>
      <c r="I141" s="141">
        <f>RawList!J105</f>
        <v>0.95</v>
      </c>
      <c r="J141" s="24">
        <f>VALUE(EquipmentTable[[#This Row],[Units]]*EquipmentTable[[#This Row],[Unit
 Price]])</f>
        <v>4.75</v>
      </c>
      <c r="K141" s="50" t="str">
        <f>RawList!G105</f>
        <v>https://cdn.sparkfun.com/r/92-92/assets/parts/1/8/8/00246a-01.jpg</v>
      </c>
      <c r="L141" s="50"/>
      <c r="M141" s="50" t="str">
        <f>RawList!F105</f>
        <v>https://www.sparkfun.com/products/246</v>
      </c>
    </row>
    <row r="142" spans="2:13" x14ac:dyDescent="0.3">
      <c r="B142" s="50" t="str">
        <f>RawList!A106</f>
        <v>Primary Component</v>
      </c>
      <c r="C142" s="50" t="str">
        <f>RawList!B106</f>
        <v>Proximity/Distance</v>
      </c>
      <c r="D142" s="50" t="str">
        <f>RawList!C106</f>
        <v>SparkFun</v>
      </c>
      <c r="E142" s="50" t="str">
        <f>RawList!H106</f>
        <v>Infrared Emitters and Detectors</v>
      </c>
      <c r="F142" s="50" t="str">
        <f>RawList!D106</f>
        <v>SEN-00241</v>
      </c>
      <c r="G142" s="137">
        <f>RawList!E106</f>
        <v>20</v>
      </c>
      <c r="H142" s="50" t="str">
        <f>IF(EquipmentTable[[#This Row],[Units]]&gt;0,"Quantity &gt; 0 Items","Quantity = 0 Items")</f>
        <v>Quantity &gt; 0 Items</v>
      </c>
      <c r="I142" s="141">
        <f>RawList!J106</f>
        <v>1.95</v>
      </c>
      <c r="J142" s="24">
        <f>VALUE(EquipmentTable[[#This Row],[Units]]*EquipmentTable[[#This Row],[Unit
 Price]])</f>
        <v>39</v>
      </c>
      <c r="K142" s="50" t="str">
        <f>RawList!G106</f>
        <v>https://cdn.sparkfun.com/r/92-92/assets/parts/1/8/3/00241-02.jpg</v>
      </c>
      <c r="L142" s="50"/>
      <c r="M142" s="50" t="str">
        <f>RawList!F106</f>
        <v>https://www.sparkfun.com/products/241</v>
      </c>
    </row>
    <row r="143" spans="2:13" x14ac:dyDescent="0.3">
      <c r="B143" s="50" t="str">
        <f>RawList!A107</f>
        <v>Primary Component</v>
      </c>
      <c r="C143" s="50" t="str">
        <f>RawList!B107</f>
        <v>Proximity/Distance</v>
      </c>
      <c r="D143" s="50" t="str">
        <f>RawList!C107</f>
        <v>SparkFun</v>
      </c>
      <c r="E143" s="50" t="str">
        <f>RawList!H107</f>
        <v>SparkFun OpenPIR</v>
      </c>
      <c r="F143" s="50" t="str">
        <f>RawList!D107</f>
        <v>SEN-13968</v>
      </c>
      <c r="G143" s="137">
        <f>RawList!E107</f>
        <v>5</v>
      </c>
      <c r="H143" s="50" t="str">
        <f>IF(EquipmentTable[[#This Row],[Units]]&gt;0,"Quantity &gt; 0 Items","Quantity = 0 Items")</f>
        <v>Quantity &gt; 0 Items</v>
      </c>
      <c r="I143" s="141">
        <f>RawList!J107</f>
        <v>14.95</v>
      </c>
      <c r="J143" s="24">
        <f>VALUE(EquipmentTable[[#This Row],[Units]]*EquipmentTable[[#This Row],[Unit
 Price]])</f>
        <v>74.75</v>
      </c>
      <c r="K143" s="50" t="str">
        <f>RawList!G107</f>
        <v>https://cdn.sparkfun.com/r/92-92/assets/parts/1/1/7/0/6/13968-01.jpg</v>
      </c>
      <c r="L143" s="50"/>
      <c r="M143" s="50" t="str">
        <f>RawList!F107</f>
        <v>https://www.sparkfun.com/products/13968</v>
      </c>
    </row>
    <row r="144" spans="2:13" x14ac:dyDescent="0.3">
      <c r="B144" s="50" t="str">
        <f>RawList!A108</f>
        <v>Primary Component</v>
      </c>
      <c r="C144" s="50" t="str">
        <f>RawList!B108</f>
        <v>Proximity/Distance</v>
      </c>
      <c r="D144" s="50" t="str">
        <f>RawList!C108</f>
        <v>SparkFun</v>
      </c>
      <c r="E144" s="50" t="str">
        <f>RawList!H108</f>
        <v>Ultrasonic Sensor - HC-SR04</v>
      </c>
      <c r="F144" s="50" t="str">
        <f>RawList!D108</f>
        <v>SEN-13959</v>
      </c>
      <c r="G144" s="137">
        <f>RawList!E108</f>
        <v>10</v>
      </c>
      <c r="H144" s="50" t="str">
        <f>IF(EquipmentTable[[#This Row],[Units]]&gt;0,"Quantity &gt; 0 Items","Quantity = 0 Items")</f>
        <v>Quantity &gt; 0 Items</v>
      </c>
      <c r="I144" s="141">
        <f>RawList!J108</f>
        <v>3.95</v>
      </c>
      <c r="J144" s="24">
        <f>VALUE(EquipmentTable[[#This Row],[Units]]*EquipmentTable[[#This Row],[Unit
 Price]])</f>
        <v>39.5</v>
      </c>
      <c r="K144" s="50" t="str">
        <f>RawList!G108</f>
        <v>https://cdn.sparkfun.com/r/92-92/assets/parts/1/1/6/6/8/13959-01a.jpg</v>
      </c>
      <c r="L144" s="50"/>
      <c r="M144" s="50" t="str">
        <f>RawList!F108</f>
        <v>https://www.sparkfun.com/products/13959</v>
      </c>
    </row>
    <row r="145" spans="2:13" x14ac:dyDescent="0.3">
      <c r="B145" s="50" t="str">
        <f>RawList!A109</f>
        <v>Primary Component</v>
      </c>
      <c r="C145" s="50" t="str">
        <f>RawList!B109</f>
        <v>Proximity/Distance</v>
      </c>
      <c r="D145" s="50" t="str">
        <f>RawList!C109</f>
        <v>SparkFun</v>
      </c>
      <c r="E145" s="50" t="str">
        <f>RawList!H109</f>
        <v>SparkFun ToF Range Finder Sensor - VL6180</v>
      </c>
      <c r="F145" s="50" t="str">
        <f>RawList!D109</f>
        <v>SEN-12785</v>
      </c>
      <c r="G145" s="137">
        <f>RawList!E109</f>
        <v>0</v>
      </c>
      <c r="H145" s="50" t="str">
        <f>IF(EquipmentTable[[#This Row],[Units]]&gt;0,"Quantity &gt; 0 Items","Quantity = 0 Items")</f>
        <v>Quantity = 0 Items</v>
      </c>
      <c r="I145" s="141">
        <f>RawList!J109</f>
        <v>24.95</v>
      </c>
      <c r="J145" s="24">
        <f>VALUE(EquipmentTable[[#This Row],[Units]]*EquipmentTable[[#This Row],[Unit
 Price]])</f>
        <v>0</v>
      </c>
      <c r="K145" s="50" t="str">
        <f>RawList!G109</f>
        <v>https://cdn.sparkfun.com/r/92-92/assets/parts/9/5/9/7/12785-01.jpg</v>
      </c>
      <c r="L145" s="50"/>
      <c r="M145" s="50" t="str">
        <f>RawList!F109</f>
        <v>https://www.sparkfun.com/products/12785</v>
      </c>
    </row>
    <row r="146" spans="2:13" x14ac:dyDescent="0.3">
      <c r="B146" s="50" t="str">
        <f>RawList!A110</f>
        <v>Primary Component</v>
      </c>
      <c r="C146" s="50" t="str">
        <f>RawList!B110</f>
        <v>Proximity/Distance</v>
      </c>
      <c r="D146" s="50" t="str">
        <f>RawList!C110</f>
        <v>SparkFun</v>
      </c>
      <c r="E146" s="50" t="str">
        <f>RawList!H110</f>
        <v>ZX Distance and Gesture Sensor</v>
      </c>
      <c r="F146" s="50" t="str">
        <f>RawList!D110</f>
        <v>SEN-13162</v>
      </c>
      <c r="G146" s="137">
        <f>RawList!E110</f>
        <v>5</v>
      </c>
      <c r="H146" s="50" t="str">
        <f>IF(EquipmentTable[[#This Row],[Units]]&gt;0,"Quantity &gt; 0 Items","Quantity = 0 Items")</f>
        <v>Quantity &gt; 0 Items</v>
      </c>
      <c r="I146" s="141">
        <f>RawList!J110</f>
        <v>24.95</v>
      </c>
      <c r="J146" s="24">
        <f>VALUE(EquipmentTable[[#This Row],[Units]]*EquipmentTable[[#This Row],[Unit
 Price]])</f>
        <v>124.75</v>
      </c>
      <c r="K146" s="50" t="str">
        <f>RawList!G110</f>
        <v>https://cdn.sparkfun.com/r/92-92/assets/parts/1/0/2/7/9/13162-01a.jpg</v>
      </c>
      <c r="L146" s="50"/>
      <c r="M146" s="50" t="str">
        <f>RawList!F110</f>
        <v>https://www.sparkfun.com/products/13162</v>
      </c>
    </row>
    <row r="147" spans="2:13" x14ac:dyDescent="0.3">
      <c r="B147" s="50" t="str">
        <f>RawList!A111</f>
        <v>Primary Component</v>
      </c>
      <c r="C147" s="50" t="str">
        <f>RawList!B111</f>
        <v>Proximity/Distance</v>
      </c>
      <c r="D147" s="50" t="str">
        <f>RawList!C111</f>
        <v>SparkFun</v>
      </c>
      <c r="E147" s="50" t="str">
        <f>RawList!H111</f>
        <v>SparkFun RGB and Gesture Sensor - APDS-9960</v>
      </c>
      <c r="F147" s="50" t="str">
        <f>RawList!D111</f>
        <v>SEN-12787</v>
      </c>
      <c r="G147" s="137">
        <f>RawList!E111</f>
        <v>0</v>
      </c>
      <c r="H147" s="50" t="str">
        <f>IF(EquipmentTable[[#This Row],[Units]]&gt;0,"Quantity &gt; 0 Items","Quantity = 0 Items")</f>
        <v>Quantity = 0 Items</v>
      </c>
      <c r="I147" s="141">
        <f>RawList!J111</f>
        <v>14.95</v>
      </c>
      <c r="J147" s="24">
        <f>VALUE(EquipmentTable[[#This Row],[Units]]*EquipmentTable[[#This Row],[Unit
 Price]])</f>
        <v>0</v>
      </c>
      <c r="K147" s="50" t="str">
        <f>RawList!G111</f>
        <v>https://cdn.sparkfun.com/r/92-92/assets/parts/9/6/0/3/12787-01.jpg</v>
      </c>
      <c r="L147" s="50"/>
      <c r="M147" s="50" t="str">
        <f>RawList!F111</f>
        <v>https://www.sparkfun.com/products/12787</v>
      </c>
    </row>
    <row r="148" spans="2:13" x14ac:dyDescent="0.3">
      <c r="B148" s="50" t="str">
        <f>RawList!A112</f>
        <v>Primary Component</v>
      </c>
      <c r="C148" s="50" t="str">
        <f>RawList!B112</f>
        <v>Proximity/Distance</v>
      </c>
      <c r="D148" s="50" t="str">
        <f>RawList!C112</f>
        <v>SparkFun</v>
      </c>
      <c r="E148" s="50" t="str">
        <f>RawList!H112</f>
        <v>Qwiic Distance Sensor - RFD77402</v>
      </c>
      <c r="F148" s="50" t="str">
        <f>RawList!D112</f>
        <v>SPX-14343</v>
      </c>
      <c r="G148" s="137">
        <f>RawList!E112</f>
        <v>3</v>
      </c>
      <c r="H148" s="50" t="str">
        <f>IF(EquipmentTable[[#This Row],[Units]]&gt;0,"Quantity &gt; 0 Items","Quantity = 0 Items")</f>
        <v>Quantity &gt; 0 Items</v>
      </c>
      <c r="I148" s="141">
        <f>RawList!J112</f>
        <v>19.95</v>
      </c>
      <c r="J148" s="24">
        <f>VALUE(EquipmentTable[[#This Row],[Units]]*EquipmentTable[[#This Row],[Unit
 Price]])</f>
        <v>59.849999999999994</v>
      </c>
      <c r="K148" s="50" t="str">
        <f>RawList!G112</f>
        <v>https://cdn.sparkfun.com/r/92-92/assets/parts/1/2/3/1/9/ToFQuarter.jpg</v>
      </c>
      <c r="L148" s="50"/>
      <c r="M148" s="50" t="str">
        <f>RawList!F112</f>
        <v>https://www.sparkfun.com/products/14343</v>
      </c>
    </row>
    <row r="149" spans="2:13" x14ac:dyDescent="0.3">
      <c r="B149" s="50" t="str">
        <f>RawList!A113</f>
        <v>Primary Component</v>
      </c>
      <c r="C149" s="50" t="str">
        <f>RawList!B113</f>
        <v>Proximity/Distance</v>
      </c>
      <c r="D149" s="50" t="str">
        <f>RawList!C113</f>
        <v>SparkFun</v>
      </c>
      <c r="E149" s="50" t="str">
        <f>RawList!H113</f>
        <v>Infrared Proximity Sensor - Sharp GP2Y0A21YK</v>
      </c>
      <c r="F149" s="50" t="str">
        <f>RawList!D113</f>
        <v>SEN-00242</v>
      </c>
      <c r="G149" s="137">
        <f>RawList!E113</f>
        <v>0</v>
      </c>
      <c r="H149" s="50" t="str">
        <f>IF(EquipmentTable[[#This Row],[Units]]&gt;0,"Quantity &gt; 0 Items","Quantity = 0 Items")</f>
        <v>Quantity = 0 Items</v>
      </c>
      <c r="I149" s="141">
        <f>RawList!J113</f>
        <v>13.95</v>
      </c>
      <c r="J149" s="24">
        <f>VALUE(EquipmentTable[[#This Row],[Units]]*EquipmentTable[[#This Row],[Unit
 Price]])</f>
        <v>0</v>
      </c>
      <c r="K149" s="50" t="str">
        <f>RawList!G113</f>
        <v>https://cdn.sparkfun.com/r/92-92/assets/parts/1/8/4/00242-1.jpg</v>
      </c>
      <c r="L149" s="50"/>
      <c r="M149" s="50" t="str">
        <f>RawList!F113</f>
        <v>https://www.sparkfun.com/products/242</v>
      </c>
    </row>
    <row r="150" spans="2:13" x14ac:dyDescent="0.3">
      <c r="B150" s="50" t="str">
        <f>RawList!A114</f>
        <v>Primary Component</v>
      </c>
      <c r="C150" s="50" t="str">
        <f>RawList!B114</f>
        <v>Proximity/Distance</v>
      </c>
      <c r="D150" s="50" t="str">
        <f>RawList!C114</f>
        <v>SparkFun</v>
      </c>
      <c r="E150" s="50" t="str">
        <f>RawList!H114</f>
        <v>Infrared Sensor Jumper Wire - 3-Pin JST</v>
      </c>
      <c r="F150" s="50" t="str">
        <f>RawList!D114</f>
        <v>SEN-08733</v>
      </c>
      <c r="G150" s="137">
        <f>RawList!E114</f>
        <v>0</v>
      </c>
      <c r="H150" s="50" t="str">
        <f>IF(EquipmentTable[[#This Row],[Units]]&gt;0,"Quantity &gt; 0 Items","Quantity = 0 Items")</f>
        <v>Quantity = 0 Items</v>
      </c>
      <c r="I150" s="141">
        <f>RawList!J114</f>
        <v>1.5</v>
      </c>
      <c r="J150" s="24">
        <f>VALUE(EquipmentTable[[#This Row],[Units]]*EquipmentTable[[#This Row],[Unit
 Price]])</f>
        <v>0</v>
      </c>
      <c r="K150" s="50" t="str">
        <f>RawList!G114</f>
        <v>https://cdn.sparkfun.com/r/92-92/assets/parts/1/9/2/0/08733-03-L.jpg</v>
      </c>
      <c r="L150" s="50"/>
      <c r="M150" s="50" t="str">
        <f>RawList!F114</f>
        <v>https://www.sparkfun.com/products/8733</v>
      </c>
    </row>
    <row r="151" spans="2:13" x14ac:dyDescent="0.3">
      <c r="B151" s="50" t="str">
        <f>RawList!A115</f>
        <v>Primary Component</v>
      </c>
      <c r="C151" s="50" t="str">
        <f>RawList!B115</f>
        <v>Proximity/Distance</v>
      </c>
      <c r="D151" s="50" t="str">
        <f>RawList!C115</f>
        <v>Adafruit</v>
      </c>
      <c r="E151" s="50" t="str">
        <f>RawList!H115</f>
        <v xml:space="preserve">Adafruit AMG8833 IR Thermal Camera Breakout </v>
      </c>
      <c r="F151" s="50" t="str">
        <f>RawList!D115</f>
        <v>3538</v>
      </c>
      <c r="G151" s="137">
        <f>RawList!E115</f>
        <v>0</v>
      </c>
      <c r="H151" s="50" t="str">
        <f>IF(EquipmentTable[[#This Row],[Units]]&gt;0,"Quantity &gt; 0 Items","Quantity = 0 Items")</f>
        <v>Quantity = 0 Items</v>
      </c>
      <c r="I151" s="141">
        <f>RawList!J115</f>
        <v>39.950000000000003</v>
      </c>
      <c r="J151" s="24">
        <f>VALUE(EquipmentTable[[#This Row],[Units]]*EquipmentTable[[#This Row],[Unit
 Price]])</f>
        <v>0</v>
      </c>
      <c r="K151" s="50">
        <f>RawList!G115</f>
        <v>0</v>
      </c>
      <c r="L151" s="50"/>
      <c r="M151" s="50">
        <f>RawList!F115</f>
        <v>0</v>
      </c>
    </row>
    <row r="152" spans="2:13" x14ac:dyDescent="0.3">
      <c r="B152" s="50" t="str">
        <f>RawList!A116</f>
        <v>Primary Component</v>
      </c>
      <c r="C152" s="50" t="str">
        <f>RawList!B116</f>
        <v>Proximity/Distance</v>
      </c>
      <c r="D152" s="50" t="str">
        <f>RawList!C116</f>
        <v>Adafruit</v>
      </c>
      <c r="E152" s="50" t="str">
        <f>RawList!H116</f>
        <v>Adafruit VL53L0X Time of Flight Distance Sensor - ~30 to 1000mm</v>
      </c>
      <c r="F152" s="50" t="str">
        <f>RawList!D116</f>
        <v>3317</v>
      </c>
      <c r="G152" s="137">
        <f>RawList!E116</f>
        <v>10</v>
      </c>
      <c r="H152" s="50" t="str">
        <f>IF(EquipmentTable[[#This Row],[Units]]&gt;0,"Quantity &gt; 0 Items","Quantity = 0 Items")</f>
        <v>Quantity &gt; 0 Items</v>
      </c>
      <c r="I152" s="141">
        <f>RawList!J116</f>
        <v>14.95</v>
      </c>
      <c r="J152" s="24">
        <f>VALUE(EquipmentTable[[#This Row],[Units]]*EquipmentTable[[#This Row],[Unit
 Price]])</f>
        <v>149.5</v>
      </c>
      <c r="K152" s="50">
        <f>RawList!G116</f>
        <v>0</v>
      </c>
      <c r="L152" s="50"/>
      <c r="M152" s="50">
        <f>RawList!F116</f>
        <v>0</v>
      </c>
    </row>
    <row r="153" spans="2:13" x14ac:dyDescent="0.3">
      <c r="B153" s="50" t="str">
        <f>RawList!A117</f>
        <v>Primary Component</v>
      </c>
      <c r="C153" s="50" t="str">
        <f>RawList!B117</f>
        <v>Proximity/Distance</v>
      </c>
      <c r="D153" s="50" t="str">
        <f>RawList!C117</f>
        <v>Adafruit</v>
      </c>
      <c r="E153" s="50" t="str">
        <f>RawList!H117</f>
        <v>Adafruit VL6180X Time of Flight Distance Ranging Sensor (VL6180)</v>
      </c>
      <c r="F153" s="50" t="str">
        <f>RawList!D117</f>
        <v>3316</v>
      </c>
      <c r="G153" s="137">
        <f>RawList!E117</f>
        <v>0</v>
      </c>
      <c r="H153" s="50" t="str">
        <f>IF(EquipmentTable[[#This Row],[Units]]&gt;0,"Quantity &gt; 0 Items","Quantity = 0 Items")</f>
        <v>Quantity = 0 Items</v>
      </c>
      <c r="I153" s="141">
        <f>RawList!J117</f>
        <v>13.95</v>
      </c>
      <c r="J153" s="24">
        <f>VALUE(EquipmentTable[[#This Row],[Units]]*EquipmentTable[[#This Row],[Unit
 Price]])</f>
        <v>0</v>
      </c>
      <c r="K153" s="50">
        <f>RawList!G117</f>
        <v>0</v>
      </c>
      <c r="L153" s="50"/>
      <c r="M153" s="50">
        <f>RawList!F117</f>
        <v>0</v>
      </c>
    </row>
    <row r="154" spans="2:13" x14ac:dyDescent="0.3">
      <c r="B154" s="50" t="str">
        <f>RawList!A118</f>
        <v>Primary Component</v>
      </c>
      <c r="C154" s="50" t="str">
        <f>RawList!B118</f>
        <v>Proximity/Distance</v>
      </c>
      <c r="D154" s="50" t="str">
        <f>RawList!C118</f>
        <v>Adafruit</v>
      </c>
      <c r="E154" s="50" t="str">
        <f>RawList!H118</f>
        <v>IR Distance Sensor - Includes Cable (100cm-500cm) - GP2Y0A710K0F</v>
      </c>
      <c r="F154" s="50" t="str">
        <f>RawList!D118</f>
        <v>1568</v>
      </c>
      <c r="G154" s="137">
        <f>RawList!E118</f>
        <v>0</v>
      </c>
      <c r="H154" s="50" t="str">
        <f>IF(EquipmentTable[[#This Row],[Units]]&gt;0,"Quantity &gt; 0 Items","Quantity = 0 Items")</f>
        <v>Quantity = 0 Items</v>
      </c>
      <c r="I154" s="141">
        <f>RawList!J118</f>
        <v>24.95</v>
      </c>
      <c r="J154" s="24">
        <f>VALUE(EquipmentTable[[#This Row],[Units]]*EquipmentTable[[#This Row],[Unit
 Price]])</f>
        <v>0</v>
      </c>
      <c r="K154" s="50">
        <f>RawList!G118</f>
        <v>0</v>
      </c>
      <c r="L154" s="50"/>
      <c r="M154" s="50">
        <f>RawList!F118</f>
        <v>0</v>
      </c>
    </row>
    <row r="155" spans="2:13" x14ac:dyDescent="0.3">
      <c r="B155" s="50" t="str">
        <f>RawList!A119</f>
        <v>Primary Component</v>
      </c>
      <c r="C155" s="50" t="str">
        <f>RawList!B119</f>
        <v>Proximity/Distance</v>
      </c>
      <c r="D155" s="50" t="str">
        <f>RawList!C119</f>
        <v>Adafruit</v>
      </c>
      <c r="E155" s="50" t="str">
        <f>RawList!H119</f>
        <v>IR distance sensor includes cable (10cm-80cm) - GP2Y0A21YK0F</v>
      </c>
      <c r="F155" s="50" t="str">
        <f>RawList!D119</f>
        <v>164</v>
      </c>
      <c r="G155" s="137">
        <f>RawList!E119</f>
        <v>0</v>
      </c>
      <c r="H155" s="50" t="str">
        <f>IF(EquipmentTable[[#This Row],[Units]]&gt;0,"Quantity &gt; 0 Items","Quantity = 0 Items")</f>
        <v>Quantity = 0 Items</v>
      </c>
      <c r="I155" s="141">
        <f>RawList!J119</f>
        <v>14.95</v>
      </c>
      <c r="J155" s="24">
        <f>VALUE(EquipmentTable[[#This Row],[Units]]*EquipmentTable[[#This Row],[Unit
 Price]])</f>
        <v>0</v>
      </c>
      <c r="K155" s="50">
        <f>RawList!G119</f>
        <v>0</v>
      </c>
      <c r="L155" s="50"/>
      <c r="M155" s="50">
        <f>RawList!F119</f>
        <v>0</v>
      </c>
    </row>
    <row r="156" spans="2:13" x14ac:dyDescent="0.3">
      <c r="B156" s="50" t="str">
        <f>RawList!A120</f>
        <v>Primary Component</v>
      </c>
      <c r="C156" s="50" t="str">
        <f>RawList!B120</f>
        <v>Proximity/Distance</v>
      </c>
      <c r="D156" s="50" t="str">
        <f>RawList!C120</f>
        <v>Adafruit</v>
      </c>
      <c r="E156" s="50" t="str">
        <f>RawList!H120</f>
        <v>IR distance sensor includes cable (20cm-150cm) - GP2Y0A02YK</v>
      </c>
      <c r="F156" s="50" t="str">
        <f>RawList!D120</f>
        <v>1031</v>
      </c>
      <c r="G156" s="137">
        <f>RawList!E120</f>
        <v>0</v>
      </c>
      <c r="H156" s="50" t="str">
        <f>IF(EquipmentTable[[#This Row],[Units]]&gt;0,"Quantity &gt; 0 Items","Quantity = 0 Items")</f>
        <v>Quantity = 0 Items</v>
      </c>
      <c r="I156" s="141">
        <f>RawList!J120</f>
        <v>15.95</v>
      </c>
      <c r="J156" s="24">
        <f>VALUE(EquipmentTable[[#This Row],[Units]]*EquipmentTable[[#This Row],[Unit
 Price]])</f>
        <v>0</v>
      </c>
      <c r="K156" s="50">
        <f>RawList!G120</f>
        <v>0</v>
      </c>
      <c r="L156" s="50"/>
      <c r="M156" s="50">
        <f>RawList!F120</f>
        <v>0</v>
      </c>
    </row>
    <row r="157" spans="2:13" x14ac:dyDescent="0.3">
      <c r="B157" s="50" t="str">
        <f>RawList!A123</f>
        <v>Primary Component</v>
      </c>
      <c r="C157" s="50" t="str">
        <f>RawList!B123</f>
        <v>Touch/Vibration</v>
      </c>
      <c r="D157" s="50" t="str">
        <f>RawList!C123</f>
        <v>SparkFun</v>
      </c>
      <c r="E157" s="50" t="str">
        <f>RawList!H123</f>
        <v>Piezo Vibration Sensor - Large</v>
      </c>
      <c r="F157" s="50" t="str">
        <f>RawList!D123</f>
        <v>SEN-09196</v>
      </c>
      <c r="G157" s="137">
        <f>RawList!E123</f>
        <v>5</v>
      </c>
      <c r="H157" s="50" t="str">
        <f>IF(EquipmentTable[[#This Row],[Units]]&gt;0,"Quantity &gt; 0 Items","Quantity = 0 Items")</f>
        <v>Quantity &gt; 0 Items</v>
      </c>
      <c r="I157" s="141">
        <f>RawList!J123</f>
        <v>2.95</v>
      </c>
      <c r="J157" s="24">
        <f>VALUE(EquipmentTable[[#This Row],[Units]]*EquipmentTable[[#This Row],[Unit
 Price]])</f>
        <v>14.75</v>
      </c>
      <c r="K157" s="50" t="str">
        <f>RawList!G123</f>
        <v>https://cdn.sparkfun.com/r/92-92/assets/parts/2/6/4/2/09196-03-L.jpg</v>
      </c>
      <c r="L157" s="50"/>
      <c r="M157" s="50" t="str">
        <f>RawList!F123</f>
        <v>https://www.sparkfun.com/products/9196</v>
      </c>
    </row>
    <row r="158" spans="2:13" x14ac:dyDescent="0.3">
      <c r="B158" s="50" t="str">
        <f>RawList!A124</f>
        <v>Primary Component</v>
      </c>
      <c r="C158" s="50" t="str">
        <f>RawList!B124</f>
        <v>Touch/Vibration</v>
      </c>
      <c r="D158" s="50" t="str">
        <f>RawList!C124</f>
        <v>SparkFun</v>
      </c>
      <c r="E158" s="50" t="str">
        <f>RawList!H124</f>
        <v>Piezo Vibration Sensor - Large with Mass</v>
      </c>
      <c r="F158" s="50" t="str">
        <f>RawList!D124</f>
        <v>SEN-09197</v>
      </c>
      <c r="G158" s="137">
        <f>RawList!E124</f>
        <v>0</v>
      </c>
      <c r="H158" s="50" t="str">
        <f>IF(EquipmentTable[[#This Row],[Units]]&gt;0,"Quantity &gt; 0 Items","Quantity = 0 Items")</f>
        <v>Quantity = 0 Items</v>
      </c>
      <c r="I158" s="141">
        <f>RawList!J124</f>
        <v>2.95</v>
      </c>
      <c r="J158" s="24">
        <f>VALUE(EquipmentTable[[#This Row],[Units]]*EquipmentTable[[#This Row],[Unit
 Price]])</f>
        <v>0</v>
      </c>
      <c r="K158" s="50" t="str">
        <f>RawList!G124</f>
        <v>https://cdn.sparkfun.com/r/92-92/assets/parts/2/6/4/3/09197-02-L.jpg</v>
      </c>
      <c r="L158" s="50"/>
      <c r="M158" s="50" t="str">
        <f>RawList!F124</f>
        <v>https://www.sparkfun.com/products/9197</v>
      </c>
    </row>
    <row r="159" spans="2:13" x14ac:dyDescent="0.3">
      <c r="B159" s="50" t="str">
        <f>RawList!A125</f>
        <v>Primary Component</v>
      </c>
      <c r="C159" s="50" t="str">
        <f>RawList!B125</f>
        <v>Touch/Vibration</v>
      </c>
      <c r="D159" s="50" t="str">
        <f>RawList!C125</f>
        <v>SparkFun</v>
      </c>
      <c r="E159" s="50" t="str">
        <f>RawList!H125</f>
        <v>Piezo Vibration Sensor - Small Horizontal</v>
      </c>
      <c r="F159" s="50" t="str">
        <f>RawList!D125</f>
        <v>SEN-09198</v>
      </c>
      <c r="G159" s="137">
        <f>RawList!E125</f>
        <v>0</v>
      </c>
      <c r="H159" s="50" t="str">
        <f>IF(EquipmentTable[[#This Row],[Units]]&gt;0,"Quantity &gt; 0 Items","Quantity = 0 Items")</f>
        <v>Quantity = 0 Items</v>
      </c>
      <c r="I159" s="141">
        <f>RawList!J125</f>
        <v>2.95</v>
      </c>
      <c r="J159" s="24">
        <f>VALUE(EquipmentTable[[#This Row],[Units]]*EquipmentTable[[#This Row],[Unit
 Price]])</f>
        <v>0</v>
      </c>
      <c r="K159" s="50" t="str">
        <f>RawList!G125</f>
        <v>https://cdn.sparkfun.com/r/92-92/assets/parts/2/6/4/4/09198-03-L.jpg</v>
      </c>
      <c r="L159" s="50"/>
      <c r="M159" s="50" t="str">
        <f>RawList!F125</f>
        <v>https://www.sparkfun.com/products/9198</v>
      </c>
    </row>
    <row r="160" spans="2:13" x14ac:dyDescent="0.3">
      <c r="B160" s="50" t="str">
        <f>RawList!A126</f>
        <v>Primary Component</v>
      </c>
      <c r="C160" s="50" t="str">
        <f>RawList!B126</f>
        <v>Touch/Vibration</v>
      </c>
      <c r="D160" s="50" t="str">
        <f>RawList!C126</f>
        <v>SparkFun</v>
      </c>
      <c r="E160" s="50" t="str">
        <f>RawList!H126</f>
        <v>Piezo Vibration Sensor - Small Vertical</v>
      </c>
      <c r="F160" s="50" t="str">
        <f>RawList!D126</f>
        <v>SEN-09199</v>
      </c>
      <c r="G160" s="137">
        <f>RawList!E126</f>
        <v>0</v>
      </c>
      <c r="H160" s="50" t="str">
        <f>IF(EquipmentTable[[#This Row],[Units]]&gt;0,"Quantity &gt; 0 Items","Quantity = 0 Items")</f>
        <v>Quantity = 0 Items</v>
      </c>
      <c r="I160" s="141">
        <f>RawList!J126</f>
        <v>2.95</v>
      </c>
      <c r="J160" s="24">
        <f>VALUE(EquipmentTable[[#This Row],[Units]]*EquipmentTable[[#This Row],[Unit
 Price]])</f>
        <v>0</v>
      </c>
      <c r="K160" s="50" t="str">
        <f>RawList!G126</f>
        <v>https://cdn.sparkfun.com/r/92-92/assets/parts/2/6/4/5/09199-03-L.jpg</v>
      </c>
      <c r="L160" s="50"/>
      <c r="M160" s="50" t="str">
        <f>RawList!F126</f>
        <v>https://www.sparkfun.com/products/9199</v>
      </c>
    </row>
    <row r="161" spans="2:13" x14ac:dyDescent="0.3">
      <c r="B161" s="50" t="str">
        <f>RawList!A127</f>
        <v>Primary Component</v>
      </c>
      <c r="C161" s="50" t="str">
        <f>RawList!B127</f>
        <v>Touch/Vibration</v>
      </c>
      <c r="D161" s="50" t="str">
        <f>RawList!C127</f>
        <v>Adafruit</v>
      </c>
      <c r="E161" s="50" t="str">
        <f>RawList!H127</f>
        <v xml:space="preserve">Extra-long force-sensitive resistor (FSR) - Interlink 408 </v>
      </c>
      <c r="F161" s="50" t="str">
        <f>RawList!D127</f>
        <v>1071</v>
      </c>
      <c r="G161" s="137">
        <f>RawList!E127</f>
        <v>0</v>
      </c>
      <c r="H161" s="50" t="str">
        <f>IF(EquipmentTable[[#This Row],[Units]]&gt;0,"Quantity &gt; 0 Items","Quantity = 0 Items")</f>
        <v>Quantity = 0 Items</v>
      </c>
      <c r="I161" s="141">
        <f>RawList!J127</f>
        <v>17.95</v>
      </c>
      <c r="J161" s="24">
        <f>VALUE(EquipmentTable[[#This Row],[Units]]*EquipmentTable[[#This Row],[Unit
 Price]])</f>
        <v>0</v>
      </c>
      <c r="K161" s="50">
        <f>RawList!G127</f>
        <v>0</v>
      </c>
      <c r="L161" s="50"/>
      <c r="M161" s="50">
        <f>RawList!F127</f>
        <v>0</v>
      </c>
    </row>
    <row r="162" spans="2:13" x14ac:dyDescent="0.3">
      <c r="B162" s="50" t="str">
        <f>RawList!A128</f>
        <v>Primary Component</v>
      </c>
      <c r="C162" s="50" t="str">
        <f>RawList!B128</f>
        <v>Touch/Vibration</v>
      </c>
      <c r="D162" s="50" t="str">
        <f>RawList!C128</f>
        <v>SparkFun</v>
      </c>
      <c r="E162" s="50" t="str">
        <f>RawList!H128</f>
        <v>Force Sensitive Resistor - Long</v>
      </c>
      <c r="F162" s="50" t="str">
        <f>RawList!D128</f>
        <v>SEN-09674</v>
      </c>
      <c r="G162" s="137">
        <f>RawList!E128</f>
        <v>0</v>
      </c>
      <c r="H162" s="50" t="str">
        <f>IF(EquipmentTable[[#This Row],[Units]]&gt;0,"Quantity &gt; 0 Items","Quantity = 0 Items")</f>
        <v>Quantity = 0 Items</v>
      </c>
      <c r="I162" s="141">
        <f>RawList!J128</f>
        <v>20.95</v>
      </c>
      <c r="J162" s="24">
        <f>VALUE(EquipmentTable[[#This Row],[Units]]*EquipmentTable[[#This Row],[Unit
 Price]])</f>
        <v>0</v>
      </c>
      <c r="K162" s="50" t="str">
        <f>RawList!G128</f>
        <v>https://cdn.sparkfun.com/r/92-92/assets/parts/3/5/3/8/09674-01.jpg</v>
      </c>
      <c r="L162" s="50"/>
      <c r="M162" s="50" t="str">
        <f>RawList!F128</f>
        <v>https://www.sparkfun.com/products/9674</v>
      </c>
    </row>
    <row r="163" spans="2:13" x14ac:dyDescent="0.3">
      <c r="B163" s="50" t="str">
        <f>RawList!A129</f>
        <v>Primary Component</v>
      </c>
      <c r="C163" s="50" t="str">
        <f>RawList!B129</f>
        <v>Touch/Vibration</v>
      </c>
      <c r="D163" s="50" t="str">
        <f>RawList!C129</f>
        <v>SparkFun</v>
      </c>
      <c r="E163" s="50" t="str">
        <f>RawList!H129</f>
        <v>Force Sensitive Resistor - Small</v>
      </c>
      <c r="F163" s="50" t="str">
        <f>RawList!D129</f>
        <v>SEN-09673</v>
      </c>
      <c r="G163" s="137">
        <f>RawList!E129</f>
        <v>0</v>
      </c>
      <c r="H163" s="50" t="str">
        <f>IF(EquipmentTable[[#This Row],[Units]]&gt;0,"Quantity &gt; 0 Items","Quantity = 0 Items")</f>
        <v>Quantity = 0 Items</v>
      </c>
      <c r="I163" s="141">
        <f>RawList!J129</f>
        <v>5.95</v>
      </c>
      <c r="J163" s="24">
        <f>VALUE(EquipmentTable[[#This Row],[Units]]*EquipmentTable[[#This Row],[Unit
 Price]])</f>
        <v>0</v>
      </c>
      <c r="K163" s="50" t="str">
        <f>RawList!G129</f>
        <v>https://cdn.sparkfun.com/r/92-92/assets/parts/3/5/3/7/09673-01.jpg</v>
      </c>
      <c r="L163" s="50"/>
      <c r="M163" s="50" t="str">
        <f>RawList!F129</f>
        <v>https://www.sparkfun.com/products/9673</v>
      </c>
    </row>
    <row r="164" spans="2:13" x14ac:dyDescent="0.3">
      <c r="B164" s="50" t="str">
        <f>RawList!A130</f>
        <v>Primary Component</v>
      </c>
      <c r="C164" s="50" t="str">
        <f>RawList!B130</f>
        <v>Touch/Vibration</v>
      </c>
      <c r="D164" s="50" t="str">
        <f>RawList!C130</f>
        <v>SparkFun</v>
      </c>
      <c r="E164" s="50" t="str">
        <f>RawList!H130</f>
        <v>Force Sensitive Resistor - Square</v>
      </c>
      <c r="F164" s="50" t="str">
        <f>RawList!D130</f>
        <v>SEN-09376</v>
      </c>
      <c r="G164" s="137">
        <f>RawList!E130</f>
        <v>0</v>
      </c>
      <c r="H164" s="50" t="str">
        <f>IF(EquipmentTable[[#This Row],[Units]]&gt;0,"Quantity &gt; 0 Items","Quantity = 0 Items")</f>
        <v>Quantity = 0 Items</v>
      </c>
      <c r="I164" s="141">
        <f>RawList!J130</f>
        <v>9.9499999999999993</v>
      </c>
      <c r="J164" s="24">
        <f>VALUE(EquipmentTable[[#This Row],[Units]]*EquipmentTable[[#This Row],[Unit
 Price]])</f>
        <v>0</v>
      </c>
      <c r="K164" s="50" t="str">
        <f>RawList!G130</f>
        <v>https://cdn.sparkfun.com/r/92-92/assets/parts/2/9/6/8/09376-1.jpg</v>
      </c>
      <c r="L164" s="50"/>
      <c r="M164" s="50" t="str">
        <f>RawList!F130</f>
        <v>https://www.sparkfun.com/products/9376</v>
      </c>
    </row>
    <row r="165" spans="2:13" x14ac:dyDescent="0.3">
      <c r="B165" s="50" t="str">
        <f>RawList!A131</f>
        <v>Primary Component</v>
      </c>
      <c r="C165" s="50" t="str">
        <f>RawList!B131</f>
        <v>Touch/Vibration</v>
      </c>
      <c r="D165" s="50" t="str">
        <f>RawList!C131</f>
        <v>Adafruit</v>
      </c>
      <c r="E165" s="50" t="str">
        <f>RawList!H131</f>
        <v>Square Force-Sensitive Resistor (FSR) - Interlink 406</v>
      </c>
      <c r="F165" s="50" t="str">
        <f>RawList!D131</f>
        <v>1075</v>
      </c>
      <c r="G165" s="137">
        <f>RawList!E131</f>
        <v>4</v>
      </c>
      <c r="H165" s="50" t="str">
        <f>IF(EquipmentTable[[#This Row],[Units]]&gt;0,"Quantity &gt; 0 Items","Quantity = 0 Items")</f>
        <v>Quantity &gt; 0 Items</v>
      </c>
      <c r="I165" s="141">
        <f>RawList!J131</f>
        <v>7.95</v>
      </c>
      <c r="J165" s="24">
        <f>VALUE(EquipmentTable[[#This Row],[Units]]*EquipmentTable[[#This Row],[Unit
 Price]])</f>
        <v>31.8</v>
      </c>
      <c r="K165" s="50">
        <f>RawList!G131</f>
        <v>0</v>
      </c>
      <c r="L165" s="50"/>
      <c r="M165" s="50">
        <f>RawList!F131</f>
        <v>0</v>
      </c>
    </row>
    <row r="166" spans="2:13" x14ac:dyDescent="0.3">
      <c r="B166" s="50" t="str">
        <f>RawList!A132</f>
        <v>Primary Component</v>
      </c>
      <c r="C166" s="50" t="str">
        <f>RawList!B132</f>
        <v>Touch/Vibration</v>
      </c>
      <c r="D166" s="50" t="str">
        <f>RawList!C132</f>
        <v>SparkFun</v>
      </c>
      <c r="E166" s="50" t="str">
        <f>RawList!H132</f>
        <v>Force Sensitive Resistor 0.5\"</v>
      </c>
      <c r="F166" s="50" t="str">
        <f>RawList!D132</f>
        <v>SEN-09375</v>
      </c>
      <c r="G166" s="137">
        <f>RawList!E132</f>
        <v>0</v>
      </c>
      <c r="H166" s="50" t="str">
        <f>IF(EquipmentTable[[#This Row],[Units]]&gt;0,"Quantity &gt; 0 Items","Quantity = 0 Items")</f>
        <v>Quantity = 0 Items</v>
      </c>
      <c r="I166" s="141">
        <f>RawList!J132</f>
        <v>6.95</v>
      </c>
      <c r="J166" s="24">
        <f>VALUE(EquipmentTable[[#This Row],[Units]]*EquipmentTable[[#This Row],[Unit
 Price]])</f>
        <v>0</v>
      </c>
      <c r="K166" s="50" t="str">
        <f>RawList!G132</f>
        <v>https://cdn.sparkfun.com/r/92-92/assets/parts/2/9/6/7/09375-1.jpg</v>
      </c>
      <c r="L166" s="50"/>
      <c r="M166" s="50" t="str">
        <f>RawList!F132</f>
        <v>https://www.sparkfun.com/products/9375</v>
      </c>
    </row>
    <row r="167" spans="2:13" x14ac:dyDescent="0.3">
      <c r="B167" s="50" t="str">
        <f>RawList!A133</f>
        <v>Primary Component</v>
      </c>
      <c r="C167" s="50" t="str">
        <f>RawList!B133</f>
        <v>Touch/Vibration</v>
      </c>
      <c r="D167" s="50" t="str">
        <f>RawList!C133</f>
        <v>SparkFun</v>
      </c>
      <c r="E167" s="50" t="str">
        <f>RawList!H133</f>
        <v>Flex Sensor 4.5\"</v>
      </c>
      <c r="F167" s="50" t="str">
        <f>RawList!D133</f>
        <v>SEN-08606</v>
      </c>
      <c r="G167" s="137">
        <f>RawList!E133</f>
        <v>0</v>
      </c>
      <c r="H167" s="50" t="str">
        <f>IF(EquipmentTable[[#This Row],[Units]]&gt;0,"Quantity &gt; 0 Items","Quantity = 0 Items")</f>
        <v>Quantity = 0 Items</v>
      </c>
      <c r="I167" s="141">
        <f>RawList!J133</f>
        <v>12.95</v>
      </c>
      <c r="J167" s="24">
        <f>VALUE(EquipmentTable[[#This Row],[Units]]*EquipmentTable[[#This Row],[Unit
 Price]])</f>
        <v>0</v>
      </c>
      <c r="K167" s="50" t="str">
        <f>RawList!G133</f>
        <v>https://cdn.sparkfun.com/r/92-92/assets/parts/1/6/8/6/08606-03-L.jpg</v>
      </c>
      <c r="L167" s="50"/>
      <c r="M167" s="50" t="str">
        <f>RawList!F133</f>
        <v>https://www.sparkfun.com/products/8606</v>
      </c>
    </row>
    <row r="168" spans="2:13" x14ac:dyDescent="0.3">
      <c r="B168" s="50" t="str">
        <f>RawList!A134</f>
        <v>Primary Component</v>
      </c>
      <c r="C168" s="50" t="str">
        <f>RawList!B134</f>
        <v>Touch/Vibration</v>
      </c>
      <c r="D168" s="50" t="str">
        <f>RawList!C134</f>
        <v>SparkFun</v>
      </c>
      <c r="E168" s="50" t="str">
        <f>RawList!H134</f>
        <v>Piezo Element</v>
      </c>
      <c r="F168" s="50" t="str">
        <f>RawList!D134</f>
        <v>SEN-10293</v>
      </c>
      <c r="G168" s="137">
        <f>RawList!E134</f>
        <v>0</v>
      </c>
      <c r="H168" s="50" t="str">
        <f>IF(EquipmentTable[[#This Row],[Units]]&gt;0,"Quantity &gt; 0 Items","Quantity = 0 Items")</f>
        <v>Quantity = 0 Items</v>
      </c>
      <c r="I168" s="141">
        <f>RawList!J134</f>
        <v>1.5</v>
      </c>
      <c r="J168" s="24">
        <f>VALUE(EquipmentTable[[#This Row],[Units]]*EquipmentTable[[#This Row],[Unit
 Price]])</f>
        <v>0</v>
      </c>
      <c r="K168" s="50" t="str">
        <f>RawList!G134</f>
        <v>https://cdn.sparkfun.com/r/92-92/assets/parts/4/6/8/9/10293_01.jpg</v>
      </c>
      <c r="L168" s="50"/>
      <c r="M168" s="50" t="str">
        <f>RawList!F134</f>
        <v>https://www.sparkfun.com/products/10293</v>
      </c>
    </row>
    <row r="169" spans="2:13" x14ac:dyDescent="0.3">
      <c r="B169" s="50" t="str">
        <f>RawList!A135</f>
        <v>Primary Component</v>
      </c>
      <c r="C169" s="50" t="str">
        <f>RawList!B135</f>
        <v>Touch/Vibration</v>
      </c>
      <c r="D169" s="50" t="str">
        <f>RawList!C135</f>
        <v>Adafruit</v>
      </c>
      <c r="E169" s="50" t="str">
        <f>RawList!H135</f>
        <v xml:space="preserve">Large Enclosed Piezo Element w/Wires </v>
      </c>
      <c r="F169" s="50" t="str">
        <f>RawList!D135</f>
        <v>1739</v>
      </c>
      <c r="G169" s="137">
        <f>RawList!E135</f>
        <v>0</v>
      </c>
      <c r="H169" s="50" t="str">
        <f>IF(EquipmentTable[[#This Row],[Units]]&gt;0,"Quantity &gt; 0 Items","Quantity = 0 Items")</f>
        <v>Quantity = 0 Items</v>
      </c>
      <c r="I169" s="141">
        <f>RawList!J135</f>
        <v>0.95</v>
      </c>
      <c r="J169" s="24">
        <f>VALUE(EquipmentTable[[#This Row],[Units]]*EquipmentTable[[#This Row],[Unit
 Price]])</f>
        <v>0</v>
      </c>
      <c r="K169" s="50">
        <f>RawList!G135</f>
        <v>0</v>
      </c>
      <c r="L169" s="50"/>
      <c r="M169" s="50">
        <f>RawList!F135</f>
        <v>0</v>
      </c>
    </row>
    <row r="170" spans="2:13" x14ac:dyDescent="0.3">
      <c r="B170" s="50" t="str">
        <f>RawList!A136</f>
        <v>Primary Component</v>
      </c>
      <c r="C170" s="50" t="str">
        <f>RawList!B136</f>
        <v>Touch/Vibration</v>
      </c>
      <c r="D170" s="50" t="str">
        <f>RawList!C136</f>
        <v>SparkFun</v>
      </c>
      <c r="E170" s="50" t="str">
        <f>RawList!H136</f>
        <v>Tilt Sensor - AT407</v>
      </c>
      <c r="F170" s="50" t="str">
        <f>RawList!D136</f>
        <v>SEN-10289</v>
      </c>
      <c r="G170" s="137">
        <f>RawList!E136</f>
        <v>5</v>
      </c>
      <c r="H170" s="50" t="str">
        <f>IF(EquipmentTable[[#This Row],[Units]]&gt;0,"Quantity &gt; 0 Items","Quantity = 0 Items")</f>
        <v>Quantity &gt; 0 Items</v>
      </c>
      <c r="I170" s="141">
        <f>RawList!J136</f>
        <v>1.95</v>
      </c>
      <c r="J170" s="24">
        <f>VALUE(EquipmentTable[[#This Row],[Units]]*EquipmentTable[[#This Row],[Unit
 Price]])</f>
        <v>9.75</v>
      </c>
      <c r="K170" s="50" t="str">
        <f>RawList!G136</f>
        <v>https://cdn.sparkfun.com/r/92-92/assets/parts/4/6/8/5/10289-01.jpg</v>
      </c>
      <c r="L170" s="50"/>
      <c r="M170" s="50" t="str">
        <f>RawList!F136</f>
        <v>https://www.sparkfun.com/products/10289</v>
      </c>
    </row>
    <row r="171" spans="2:13" x14ac:dyDescent="0.3">
      <c r="B171" s="50" t="str">
        <f>RawList!A137</f>
        <v>Primary Component</v>
      </c>
      <c r="C171" s="50" t="str">
        <f>RawList!B137</f>
        <v>Touch/Vibration</v>
      </c>
      <c r="D171" s="50" t="str">
        <f>RawList!C137</f>
        <v>Adafruit</v>
      </c>
      <c r="E171" s="50" t="str">
        <f>RawList!H137</f>
        <v>DIY Sensor Film Kit - 4x6" Small Kit</v>
      </c>
      <c r="F171" s="50" t="str">
        <f>RawList!D137</f>
        <v>1917</v>
      </c>
      <c r="G171" s="137">
        <f>RawList!E137</f>
        <v>0</v>
      </c>
      <c r="H171" s="50" t="str">
        <f>IF(EquipmentTable[[#This Row],[Units]]&gt;0,"Quantity &gt; 0 Items","Quantity = 0 Items")</f>
        <v>Quantity = 0 Items</v>
      </c>
      <c r="I171" s="141">
        <f>RawList!J137</f>
        <v>18</v>
      </c>
      <c r="J171" s="24">
        <f>VALUE(EquipmentTable[[#This Row],[Units]]*EquipmentTable[[#This Row],[Unit
 Price]])</f>
        <v>0</v>
      </c>
      <c r="K171" s="50">
        <f>RawList!G137</f>
        <v>0</v>
      </c>
      <c r="L171" s="50"/>
      <c r="M171" s="50">
        <f>RawList!F137</f>
        <v>0</v>
      </c>
    </row>
    <row r="172" spans="2:13" x14ac:dyDescent="0.3">
      <c r="B172" s="50" t="str">
        <f>RawList!A138</f>
        <v>Primary Component</v>
      </c>
      <c r="C172" s="50" t="str">
        <f>RawList!B138</f>
        <v>Touch/Vibration</v>
      </c>
      <c r="D172" s="50" t="str">
        <f>RawList!C138</f>
        <v>Adafruit</v>
      </c>
      <c r="E172" s="50" t="str">
        <f>RawList!H138</f>
        <v>Pressure-Sensitive Conductive Sheet (Velostat/Linqstat)</v>
      </c>
      <c r="F172" s="50" t="str">
        <f>RawList!D138</f>
        <v>1361</v>
      </c>
      <c r="G172" s="137">
        <f>RawList!E138</f>
        <v>1</v>
      </c>
      <c r="H172" s="50" t="str">
        <f>IF(EquipmentTable[[#This Row],[Units]]&gt;0,"Quantity &gt; 0 Items","Quantity = 0 Items")</f>
        <v>Quantity &gt; 0 Items</v>
      </c>
      <c r="I172" s="141">
        <f>RawList!J138</f>
        <v>3.95</v>
      </c>
      <c r="J172" s="24">
        <f>VALUE(EquipmentTable[[#This Row],[Units]]*EquipmentTable[[#This Row],[Unit
 Price]])</f>
        <v>3.95</v>
      </c>
      <c r="K172" s="50">
        <f>RawList!G138</f>
        <v>0</v>
      </c>
      <c r="L172" s="50"/>
      <c r="M172" s="50">
        <f>RawList!F138</f>
        <v>0</v>
      </c>
    </row>
    <row r="173" spans="2:13" x14ac:dyDescent="0.3">
      <c r="B173" s="50" t="str">
        <f>RawList!A139</f>
        <v>Primary Component</v>
      </c>
      <c r="C173" s="50" t="str">
        <f>RawList!B139</f>
        <v>Touch/Vibration</v>
      </c>
      <c r="D173" s="50" t="str">
        <f>RawList!C139</f>
        <v>SparkFun</v>
      </c>
      <c r="E173" s="50" t="str">
        <f>RawList!H139</f>
        <v>EeonTex Pressure Sensing Fabric</v>
      </c>
      <c r="F173" s="50" t="str">
        <f>RawList!D139</f>
        <v>COM-14111</v>
      </c>
      <c r="G173" s="137">
        <f>RawList!E139</f>
        <v>2</v>
      </c>
      <c r="H173" s="50" t="str">
        <f>IF(EquipmentTable[[#This Row],[Units]]&gt;0,"Quantity &gt; 0 Items","Quantity = 0 Items")</f>
        <v>Quantity &gt; 0 Items</v>
      </c>
      <c r="I173" s="141">
        <f>RawList!J139</f>
        <v>24.95</v>
      </c>
      <c r="J173" s="24">
        <f>VALUE(EquipmentTable[[#This Row],[Units]]*EquipmentTable[[#This Row],[Unit
 Price]])</f>
        <v>49.9</v>
      </c>
      <c r="K173" s="50" t="str">
        <f>RawList!G139</f>
        <v>https://cdn.sparkfun.com/r/92-92/assets/parts/1/1/9/9/4/14111-01.jpg</v>
      </c>
      <c r="L173" s="50"/>
      <c r="M173" s="50" t="str">
        <f>RawList!F139</f>
        <v>https://www.sparkfun.com/products/14111</v>
      </c>
    </row>
    <row r="174" spans="2:13" x14ac:dyDescent="0.3">
      <c r="B174" s="50" t="str">
        <f>RawList!A140</f>
        <v>Primary Component</v>
      </c>
      <c r="C174" s="50" t="str">
        <f>RawList!B140</f>
        <v>Touch/Vibration</v>
      </c>
      <c r="D174" s="50" t="str">
        <f>RawList!C140</f>
        <v>Adafruit</v>
      </c>
      <c r="E174" s="50" t="str">
        <f>RawList!H140</f>
        <v>Woven Conductive Fabric - 20cm square</v>
      </c>
      <c r="F174" s="50" t="str">
        <f>RawList!D140</f>
        <v>1168</v>
      </c>
      <c r="G174" s="137">
        <f>RawList!E140</f>
        <v>1</v>
      </c>
      <c r="H174" s="50" t="str">
        <f>IF(EquipmentTable[[#This Row],[Units]]&gt;0,"Quantity &gt; 0 Items","Quantity = 0 Items")</f>
        <v>Quantity &gt; 0 Items</v>
      </c>
      <c r="I174" s="141">
        <f>RawList!J140</f>
        <v>4.95</v>
      </c>
      <c r="J174" s="24">
        <f>VALUE(EquipmentTable[[#This Row],[Units]]*EquipmentTable[[#This Row],[Unit
 Price]])</f>
        <v>4.95</v>
      </c>
      <c r="K174" s="50">
        <f>RawList!G140</f>
        <v>0</v>
      </c>
      <c r="L174" s="50"/>
      <c r="M174" s="50">
        <f>RawList!F140</f>
        <v>0</v>
      </c>
    </row>
    <row r="175" spans="2:13" x14ac:dyDescent="0.3">
      <c r="B175" s="50" t="str">
        <f>RawList!A141</f>
        <v>Primary Component</v>
      </c>
      <c r="C175" s="50" t="str">
        <f>RawList!B141</f>
        <v>User Interface, IO</v>
      </c>
      <c r="D175" s="50" t="str">
        <f>RawList!C141</f>
        <v>SparkFun</v>
      </c>
      <c r="E175" s="50" t="str">
        <f>RawList!H141</f>
        <v>LCD Button Shield V2</v>
      </c>
      <c r="F175" s="50" t="str">
        <f>RawList!D141</f>
        <v>DEV-13293</v>
      </c>
      <c r="G175" s="137">
        <f>RawList!E141</f>
        <v>5</v>
      </c>
      <c r="H175" s="50" t="str">
        <f>IF(EquipmentTable[[#This Row],[Units]]&gt;0,"Quantity &gt; 0 Items","Quantity = 0 Items")</f>
        <v>Quantity &gt; 0 Items</v>
      </c>
      <c r="I175" s="141">
        <f>RawList!J141</f>
        <v>12.95</v>
      </c>
      <c r="J175" s="24">
        <f>VALUE(EquipmentTable[[#This Row],[Units]]*EquipmentTable[[#This Row],[Unit
 Price]])</f>
        <v>64.75</v>
      </c>
      <c r="K175" s="50" t="str">
        <f>RawList!G141</f>
        <v>https://cdn.sparkfun.com/r/92-92/assets/parts/1/0/5/4/6/13293-01.jpg</v>
      </c>
      <c r="L175" s="50"/>
      <c r="M175" s="50" t="str">
        <f>RawList!F141</f>
        <v>https://www.sparkfun.com/products/13293</v>
      </c>
    </row>
    <row r="176" spans="2:13" x14ac:dyDescent="0.3">
      <c r="B176" s="50" t="str">
        <f>RawList!A142</f>
        <v>Primary Component</v>
      </c>
      <c r="C176" s="50" t="str">
        <f>RawList!B142</f>
        <v>User Interface, IO</v>
      </c>
      <c r="D176" s="50" t="str">
        <f>RawList!C142</f>
        <v>SparkFun</v>
      </c>
      <c r="E176" s="50" t="str">
        <f>RawList!H142</f>
        <v>Graphic LCD 128x64 STN LED Backlight</v>
      </c>
      <c r="F176" s="50" t="str">
        <f>RawList!D142</f>
        <v>LCD-00710</v>
      </c>
      <c r="G176" s="137">
        <f>RawList!E142</f>
        <v>1</v>
      </c>
      <c r="H176" s="50" t="str">
        <f>IF(EquipmentTable[[#This Row],[Units]]&gt;0,"Quantity &gt; 0 Items","Quantity = 0 Items")</f>
        <v>Quantity &gt; 0 Items</v>
      </c>
      <c r="I176" s="141">
        <f>RawList!J142</f>
        <v>19.95</v>
      </c>
      <c r="J176" s="24">
        <f>VALUE(EquipmentTable[[#This Row],[Units]]*EquipmentTable[[#This Row],[Unit
 Price]])</f>
        <v>19.95</v>
      </c>
      <c r="K176" s="50" t="str">
        <f>RawList!G142</f>
        <v>https://cdn.sparkfun.com/r/92-92/assets/parts/4/9/2/00710-01.jpg</v>
      </c>
      <c r="L176" s="50"/>
      <c r="M176" s="50" t="str">
        <f>RawList!F142</f>
        <v>https://www.sparkfun.com/products/710</v>
      </c>
    </row>
    <row r="177" spans="2:13" x14ac:dyDescent="0.3">
      <c r="B177" s="50" t="str">
        <f>RawList!A143</f>
        <v>Primary Component</v>
      </c>
      <c r="C177" s="50" t="str">
        <f>RawList!B143</f>
        <v>User Interface, IO</v>
      </c>
      <c r="D177" s="50" t="str">
        <f>RawList!C143</f>
        <v>SparkFun</v>
      </c>
      <c r="E177" s="50" t="str">
        <f>RawList!H143</f>
        <v>Serial Enabled 20x4 LCD - Black on Green 5V</v>
      </c>
      <c r="F177" s="50" t="str">
        <f>RawList!D143</f>
        <v>LCD-09568</v>
      </c>
      <c r="G177" s="137">
        <f>RawList!E143</f>
        <v>0</v>
      </c>
      <c r="H177" s="50" t="str">
        <f>IF(EquipmentTable[[#This Row],[Units]]&gt;0,"Quantity &gt; 0 Items","Quantity = 0 Items")</f>
        <v>Quantity = 0 Items</v>
      </c>
      <c r="I177" s="141">
        <f>RawList!J143</f>
        <v>29.95</v>
      </c>
      <c r="J177" s="24">
        <f>VALUE(EquipmentTable[[#This Row],[Units]]*EquipmentTable[[#This Row],[Unit
 Price]])</f>
        <v>0</v>
      </c>
      <c r="K177" s="50" t="str">
        <f>RawList!G143</f>
        <v>https://cdn.sparkfun.com/r/92-92/assets/parts/3/3/4/6/09568Actiona.jpg</v>
      </c>
      <c r="L177" s="50"/>
      <c r="M177" s="50" t="str">
        <f>RawList!F143</f>
        <v>https://www.sparkfun.com/products/9568</v>
      </c>
    </row>
    <row r="178" spans="2:13" x14ac:dyDescent="0.3">
      <c r="B178" s="50" t="str">
        <f>RawList!A144</f>
        <v>Primary Component</v>
      </c>
      <c r="C178" s="50" t="str">
        <f>RawList!B144</f>
        <v>User Interface, IO</v>
      </c>
      <c r="D178" s="50" t="str">
        <f>RawList!C144</f>
        <v>Adafruit</v>
      </c>
      <c r="E178" s="50" t="str">
        <f>RawList!H144</f>
        <v>Standard LCD 20x4 + extras - white on blue</v>
      </c>
      <c r="F178" s="50" t="str">
        <f>RawList!D144</f>
        <v>198</v>
      </c>
      <c r="G178" s="137">
        <f>RawList!E144</f>
        <v>0</v>
      </c>
      <c r="H178" s="50" t="str">
        <f>IF(EquipmentTable[[#This Row],[Units]]&gt;0,"Quantity &gt; 0 Items","Quantity = 0 Items")</f>
        <v>Quantity = 0 Items</v>
      </c>
      <c r="I178" s="141">
        <f>RawList!J144</f>
        <v>17.95</v>
      </c>
      <c r="J178" s="24">
        <f>VALUE(EquipmentTable[[#This Row],[Units]]*EquipmentTable[[#This Row],[Unit
 Price]])</f>
        <v>0</v>
      </c>
      <c r="K178" s="50">
        <f>RawList!G144</f>
        <v>0</v>
      </c>
      <c r="L178" s="50"/>
      <c r="M178" s="50">
        <f>RawList!F144</f>
        <v>0</v>
      </c>
    </row>
    <row r="179" spans="2:13" x14ac:dyDescent="0.3">
      <c r="B179" s="50" t="str">
        <f>RawList!A145</f>
        <v>Primary Component</v>
      </c>
      <c r="C179" s="50" t="str">
        <f>RawList!B145</f>
        <v>User Interface, IO</v>
      </c>
      <c r="D179" s="50" t="str">
        <f>RawList!C145</f>
        <v>Adafruit</v>
      </c>
      <c r="E179" s="50" t="str">
        <f>RawList!H145</f>
        <v xml:space="preserve">Liquid Crystal Light Valve - LCD Controllable Shutter Glass </v>
      </c>
      <c r="F179" s="50" t="str">
        <f>RawList!D145</f>
        <v>3330</v>
      </c>
      <c r="G179" s="137">
        <f>RawList!E145</f>
        <v>0</v>
      </c>
      <c r="H179" s="50" t="str">
        <f>IF(EquipmentTable[[#This Row],[Units]]&gt;0,"Quantity &gt; 0 Items","Quantity = 0 Items")</f>
        <v>Quantity = 0 Items</v>
      </c>
      <c r="I179" s="141">
        <f>RawList!J145</f>
        <v>7.5</v>
      </c>
      <c r="J179" s="24">
        <f>VALUE(EquipmentTable[[#This Row],[Units]]*EquipmentTable[[#This Row],[Unit
 Price]])</f>
        <v>0</v>
      </c>
      <c r="K179" s="50">
        <f>RawList!G145</f>
        <v>0</v>
      </c>
      <c r="L179" s="50"/>
      <c r="M179" s="50">
        <f>RawList!F145</f>
        <v>0</v>
      </c>
    </row>
    <row r="180" spans="2:13" x14ac:dyDescent="0.3">
      <c r="B180" s="50" t="str">
        <f>RawList!A146</f>
        <v>Primary Component</v>
      </c>
      <c r="C180" s="50" t="str">
        <f>RawList!B146</f>
        <v>User Interface, IO</v>
      </c>
      <c r="D180" s="50" t="str">
        <f>RawList!C146</f>
        <v>Adafruit</v>
      </c>
      <c r="E180" s="50" t="str">
        <f>RawList!H146</f>
        <v xml:space="preserve">Membrane 1x4 Keypad + Extras </v>
      </c>
      <c r="F180" s="50" t="str">
        <f>RawList!D146</f>
        <v>1332</v>
      </c>
      <c r="G180" s="137">
        <f>RawList!E146</f>
        <v>5</v>
      </c>
      <c r="H180" s="50" t="str">
        <f>IF(EquipmentTable[[#This Row],[Units]]&gt;0,"Quantity &gt; 0 Items","Quantity = 0 Items")</f>
        <v>Quantity &gt; 0 Items</v>
      </c>
      <c r="I180" s="141">
        <f>RawList!J146</f>
        <v>2.95</v>
      </c>
      <c r="J180" s="24">
        <f>VALUE(EquipmentTable[[#This Row],[Units]]*EquipmentTable[[#This Row],[Unit
 Price]])</f>
        <v>14.75</v>
      </c>
      <c r="K180" s="50">
        <f>RawList!G146</f>
        <v>0</v>
      </c>
      <c r="L180" s="50"/>
      <c r="M180" s="50">
        <f>RawList!F146</f>
        <v>0</v>
      </c>
    </row>
    <row r="181" spans="2:13" x14ac:dyDescent="0.3">
      <c r="B181" s="50" t="str">
        <f>RawList!A147</f>
        <v>Primary Component</v>
      </c>
      <c r="C181" s="50" t="str">
        <f>RawList!B147</f>
        <v>User Interface, IO</v>
      </c>
      <c r="D181" s="50" t="str">
        <f>RawList!C147</f>
        <v>Adafruit</v>
      </c>
      <c r="E181" s="50" t="str">
        <f>RawList!H147</f>
        <v xml:space="preserve">Membrane 3x4 Matrix Keypad + extras - 3x4 </v>
      </c>
      <c r="F181" s="50" t="str">
        <f>RawList!D147</f>
        <v>419</v>
      </c>
      <c r="G181" s="137">
        <f>RawList!E147</f>
        <v>1</v>
      </c>
      <c r="H181" s="50" t="str">
        <f>IF(EquipmentTable[[#This Row],[Units]]&gt;0,"Quantity &gt; 0 Items","Quantity = 0 Items")</f>
        <v>Quantity &gt; 0 Items</v>
      </c>
      <c r="I181" s="141">
        <f>RawList!J147</f>
        <v>3.95</v>
      </c>
      <c r="J181" s="24">
        <f>VALUE(EquipmentTable[[#This Row],[Units]]*EquipmentTable[[#This Row],[Unit
 Price]])</f>
        <v>3.95</v>
      </c>
      <c r="K181" s="50">
        <f>RawList!G147</f>
        <v>0</v>
      </c>
      <c r="L181" s="50"/>
      <c r="M181" s="50">
        <f>RawList!F147</f>
        <v>0</v>
      </c>
    </row>
    <row r="182" spans="2:13" hidden="1" x14ac:dyDescent="0.3">
      <c r="B182" s="50" t="str">
        <f>RawList!A148</f>
        <v>Primary Component</v>
      </c>
      <c r="C182" s="50" t="str">
        <f>RawList!B148</f>
        <v>Vitals/Environment Sensing</v>
      </c>
      <c r="D182" s="50" t="str">
        <f>RawList!C148</f>
        <v>SparkFun</v>
      </c>
      <c r="E182" s="50" t="str">
        <f>RawList!H148</f>
        <v>SparkFun Environmental Combo Breakout - CCS811/BME280 (Qwiic)</v>
      </c>
      <c r="F182" s="50" t="str">
        <f>RawList!D148</f>
        <v>SEN-14348</v>
      </c>
      <c r="G182" s="137">
        <f>RawList!E148</f>
        <v>1</v>
      </c>
      <c r="H182" s="50" t="str">
        <f>IF(EquipmentTable[[#This Row],[Units]]&gt;0,"Quantity &gt; 0 Items","Quantity = 0 Items")</f>
        <v>Quantity &gt; 0 Items</v>
      </c>
      <c r="I182" s="141">
        <f>RawList!J148</f>
        <v>34.950000000000003</v>
      </c>
      <c r="J182" s="24">
        <f>VALUE(EquipmentTable[[#This Row],[Units]]*EquipmentTable[[#This Row],[Unit
 Price]])</f>
        <v>34.950000000000003</v>
      </c>
      <c r="K182" s="50" t="str">
        <f>RawList!G148</f>
        <v>https://cdn.sparkfun.com/r/92-92/assets/parts/1/2/3/2/9/14348-01.jpg</v>
      </c>
      <c r="L182" s="50"/>
      <c r="M182" s="50" t="str">
        <f>RawList!F148</f>
        <v>https://www.sparkfun.com/products/14348</v>
      </c>
    </row>
    <row r="183" spans="2:13" hidden="1" x14ac:dyDescent="0.3">
      <c r="B183" s="50" t="str">
        <f>RawList!A149</f>
        <v>Primary Component</v>
      </c>
      <c r="C183" s="50" t="str">
        <f>RawList!B149</f>
        <v>Vitals/Environment Sensing</v>
      </c>
      <c r="D183" s="50" t="str">
        <f>RawList!C149</f>
        <v>SparkFun</v>
      </c>
      <c r="E183" s="50" t="str">
        <f>RawList!H149</f>
        <v>SparkFun Particle Sensor Breakout - MAX30105</v>
      </c>
      <c r="F183" s="50" t="str">
        <f>RawList!D149</f>
        <v>SEN-14045</v>
      </c>
      <c r="G183" s="137">
        <f>RawList!E149</f>
        <v>1</v>
      </c>
      <c r="H183" s="50" t="str">
        <f>IF(EquipmentTable[[#This Row],[Units]]&gt;0,"Quantity &gt; 0 Items","Quantity = 0 Items")</f>
        <v>Quantity &gt; 0 Items</v>
      </c>
      <c r="I183" s="141">
        <f>RawList!J149</f>
        <v>12.95</v>
      </c>
      <c r="J183" s="24">
        <f>VALUE(EquipmentTable[[#This Row],[Units]]*EquipmentTable[[#This Row],[Unit
 Price]])</f>
        <v>12.95</v>
      </c>
      <c r="K183" s="50" t="str">
        <f>RawList!G149</f>
        <v>https://cdn.sparkfun.com/r/92-92/assets/parts/1/1/8/7/4/14045-01.jpg</v>
      </c>
      <c r="L183" s="50"/>
      <c r="M183" s="50" t="str">
        <f>RawList!F149</f>
        <v>https://www.sparkfun.com/products/14045</v>
      </c>
    </row>
    <row r="184" spans="2:13" hidden="1" x14ac:dyDescent="0.3">
      <c r="B184" s="50" t="str">
        <f>RawList!A150</f>
        <v>Primary Component</v>
      </c>
      <c r="C184" s="50" t="str">
        <f>RawList!B150</f>
        <v>Vitals/Environment Sensing</v>
      </c>
      <c r="D184" s="50" t="str">
        <f>RawList!C150</f>
        <v>SparkFun</v>
      </c>
      <c r="E184" s="50" t="str">
        <f>RawList!H150</f>
        <v>Gas Sensor Breakout</v>
      </c>
      <c r="F184" s="50" t="str">
        <f>RawList!D150</f>
        <v>BOB-08891</v>
      </c>
      <c r="G184" s="137">
        <f>RawList!E150</f>
        <v>1</v>
      </c>
      <c r="H184" s="50" t="str">
        <f>IF(EquipmentTable[[#This Row],[Units]]&gt;0,"Quantity &gt; 0 Items","Quantity = 0 Items")</f>
        <v>Quantity &gt; 0 Items</v>
      </c>
      <c r="I184" s="141">
        <f>RawList!J150</f>
        <v>0.95</v>
      </c>
      <c r="J184" s="24">
        <f>VALUE(EquipmentTable[[#This Row],[Units]]*EquipmentTable[[#This Row],[Unit
 Price]])</f>
        <v>0.95</v>
      </c>
      <c r="K184" s="50" t="str">
        <f>RawList!G150</f>
        <v>https://cdn.sparkfun.com/r/92-92/assets/parts/2/1/6/8/08891-01.jpg</v>
      </c>
      <c r="L184" s="50"/>
      <c r="M184" s="50" t="str">
        <f>RawList!F150</f>
        <v>https://www.sparkfun.com/products/8891</v>
      </c>
    </row>
    <row r="185" spans="2:13" hidden="1" x14ac:dyDescent="0.3">
      <c r="B185" s="50" t="str">
        <f>RawList!A151</f>
        <v>Primary Component</v>
      </c>
      <c r="C185" s="50" t="str">
        <f>RawList!B151</f>
        <v>Vitals/Environment Sensing</v>
      </c>
      <c r="D185" s="50" t="str">
        <f>RawList!C151</f>
        <v>SparkFun</v>
      </c>
      <c r="E185" s="50" t="str">
        <f>RawList!H151</f>
        <v>Carbon Monoxide Sensor - MQ-7</v>
      </c>
      <c r="F185" s="50" t="str">
        <f>RawList!D151</f>
        <v>SEN-09403</v>
      </c>
      <c r="G185" s="137">
        <f>RawList!E151</f>
        <v>1</v>
      </c>
      <c r="H185" s="50" t="str">
        <f>IF(EquipmentTable[[#This Row],[Units]]&gt;0,"Quantity &gt; 0 Items","Quantity = 0 Items")</f>
        <v>Quantity &gt; 0 Items</v>
      </c>
      <c r="I185" s="141">
        <f>RawList!J151</f>
        <v>7.25</v>
      </c>
      <c r="J185" s="24">
        <f>VALUE(EquipmentTable[[#This Row],[Units]]*EquipmentTable[[#This Row],[Unit
 Price]])</f>
        <v>7.25</v>
      </c>
      <c r="K185" s="50" t="str">
        <f>RawList!G151</f>
        <v>https://cdn.sparkfun.com/r/92-92/assets/parts/3/0/1/8/09403-01.jpg</v>
      </c>
      <c r="L185" s="50"/>
      <c r="M185" s="50" t="str">
        <f>RawList!F151</f>
        <v>https://www.sparkfun.com/products/9403</v>
      </c>
    </row>
    <row r="186" spans="2:13" hidden="1" x14ac:dyDescent="0.3">
      <c r="B186" s="50" t="str">
        <f>RawList!A152</f>
        <v>Primary Component</v>
      </c>
      <c r="C186" s="50" t="str">
        <f>RawList!B152</f>
        <v>Vitals/Environment Sensing</v>
      </c>
      <c r="D186" s="50" t="str">
        <f>RawList!C152</f>
        <v>SparkFun</v>
      </c>
      <c r="E186" s="50" t="str">
        <f>RawList!H152</f>
        <v>SparkFun Luminosity Sensor Breakout - TSL2561</v>
      </c>
      <c r="F186" s="50" t="str">
        <f>RawList!D152</f>
        <v>SEN-12055</v>
      </c>
      <c r="G186" s="137">
        <f>RawList!E152</f>
        <v>0</v>
      </c>
      <c r="H186" s="50" t="str">
        <f>IF(EquipmentTable[[#This Row],[Units]]&gt;0,"Quantity &gt; 0 Items","Quantity = 0 Items")</f>
        <v>Quantity = 0 Items</v>
      </c>
      <c r="I186" s="141">
        <f>RawList!J152</f>
        <v>5.95</v>
      </c>
      <c r="J186" s="24">
        <f>VALUE(EquipmentTable[[#This Row],[Units]]*EquipmentTable[[#This Row],[Unit
 Price]])</f>
        <v>0</v>
      </c>
      <c r="K186" s="50" t="str">
        <f>RawList!G152</f>
        <v>https://cdn.sparkfun.com/r/92-92/assets/parts/8/6/4/4/12055-01.jpg</v>
      </c>
      <c r="L186" s="50"/>
      <c r="M186" s="50" t="str">
        <f>RawList!F152</f>
        <v>https://www.sparkfun.com/products/12055</v>
      </c>
    </row>
    <row r="187" spans="2:13" hidden="1" x14ac:dyDescent="0.3">
      <c r="B187" s="50" t="str">
        <f>RawList!A153</f>
        <v>Primary Component</v>
      </c>
      <c r="C187" s="50" t="str">
        <f>RawList!B153</f>
        <v>Vitals/Environment Sensing</v>
      </c>
      <c r="D187" s="50" t="str">
        <f>RawList!C153</f>
        <v>SparkFun</v>
      </c>
      <c r="E187" s="50" t="str">
        <f>RawList!H153</f>
        <v>SparkFun Ambient Light Sensor Breakout - TEMT6000</v>
      </c>
      <c r="F187" s="50" t="str">
        <f>RawList!D153</f>
        <v>BOB-08688</v>
      </c>
      <c r="G187" s="137">
        <f>RawList!E153</f>
        <v>2</v>
      </c>
      <c r="H187" s="50" t="str">
        <f>IF(EquipmentTable[[#This Row],[Units]]&gt;0,"Quantity &gt; 0 Items","Quantity = 0 Items")</f>
        <v>Quantity &gt; 0 Items</v>
      </c>
      <c r="I187" s="141">
        <f>RawList!J153</f>
        <v>3.95</v>
      </c>
      <c r="J187" s="24">
        <f>VALUE(EquipmentTable[[#This Row],[Units]]*EquipmentTable[[#This Row],[Unit
 Price]])</f>
        <v>7.9</v>
      </c>
      <c r="K187" s="50" t="str">
        <f>RawList!G153</f>
        <v>https://cdn.sparkfun.com/r/92-92/assets/parts/1/8/5/9/08688-01.jpg</v>
      </c>
      <c r="L187" s="50"/>
      <c r="M187" s="50" t="str">
        <f>RawList!F153</f>
        <v>https://www.sparkfun.com/products/8688</v>
      </c>
    </row>
    <row r="188" spans="2:13" x14ac:dyDescent="0.3">
      <c r="B188" s="50" t="str">
        <f>RawList!A154</f>
        <v>Primary Component</v>
      </c>
      <c r="C188" s="50" t="str">
        <f>RawList!B154</f>
        <v>WiFi</v>
      </c>
      <c r="D188" s="50" t="str">
        <f>RawList!C154</f>
        <v>SparkFun</v>
      </c>
      <c r="E188" s="50" t="str">
        <f>RawList!H154</f>
        <v>Edimax WiFi Adapter (EW-7811UN)</v>
      </c>
      <c r="F188" s="50" t="str">
        <f>RawList!D154</f>
        <v>WRL-13677</v>
      </c>
      <c r="G188" s="137">
        <f>RawList!E154</f>
        <v>3</v>
      </c>
      <c r="H188" s="50" t="str">
        <f>IF(EquipmentTable[[#This Row],[Units]]&gt;0,"Quantity &gt; 0 Items","Quantity = 0 Items")</f>
        <v>Quantity &gt; 0 Items</v>
      </c>
      <c r="I188" s="141">
        <f>RawList!J154</f>
        <v>14.95</v>
      </c>
      <c r="J188" s="24">
        <f>VALUE(EquipmentTable[[#This Row],[Units]]*EquipmentTable[[#This Row],[Unit
 Price]])</f>
        <v>44.849999999999994</v>
      </c>
      <c r="K188" s="50" t="str">
        <f>RawList!G154</f>
        <v>https://cdn.sparkfun.com/r/92-92/assets/parts/1/1/1/2/7/13677-01.jpg</v>
      </c>
      <c r="L188" s="50"/>
      <c r="M188" s="50" t="str">
        <f>RawList!F154</f>
        <v>https://www.sparkfun.com/products/13677</v>
      </c>
    </row>
    <row r="189" spans="2:13" x14ac:dyDescent="0.3">
      <c r="B189" s="50" t="str">
        <f>RawList!A155</f>
        <v>Primary Component</v>
      </c>
      <c r="C189" s="50" t="str">
        <f>RawList!B155</f>
        <v>WiFi</v>
      </c>
      <c r="D189" s="50" t="str">
        <f>RawList!C155</f>
        <v>SparkFun</v>
      </c>
      <c r="E189" s="50" t="str">
        <f>RawList!H155</f>
        <v>WiFi Module - ESP8266</v>
      </c>
      <c r="F189" s="50" t="str">
        <f>RawList!D155</f>
        <v>WRL-13678</v>
      </c>
      <c r="G189" s="137">
        <f>RawList!E155</f>
        <v>0</v>
      </c>
      <c r="H189" s="50" t="str">
        <f>IF(EquipmentTable[[#This Row],[Units]]&gt;0,"Quantity &gt; 0 Items","Quantity = 0 Items")</f>
        <v>Quantity = 0 Items</v>
      </c>
      <c r="I189" s="141">
        <f>RawList!J155</f>
        <v>6.95</v>
      </c>
      <c r="J189" s="24">
        <f>VALUE(EquipmentTable[[#This Row],[Units]]*EquipmentTable[[#This Row],[Unit
 Price]])</f>
        <v>0</v>
      </c>
      <c r="K189" s="50" t="str">
        <f>RawList!G155</f>
        <v>https://cdn.sparkfun.com/r/92-92/assets/parts/1/1/1/2/9/13678-01.jpg</v>
      </c>
      <c r="L189" s="50"/>
      <c r="M189" s="50" t="str">
        <f>RawList!F155</f>
        <v>https://www.sparkfun.com/products/13678</v>
      </c>
    </row>
    <row r="190" spans="2:13" hidden="1" x14ac:dyDescent="0.3">
      <c r="B190" s="50" t="str">
        <f>RawList!A160</f>
        <v>Secondary Component</v>
      </c>
      <c r="C190" s="50" t="str">
        <f>RawList!B160</f>
        <v>AVR/ISP Programmer Adapters/Cables</v>
      </c>
      <c r="D190" s="50" t="str">
        <f>RawList!C160</f>
        <v>SparkFun</v>
      </c>
      <c r="E190" s="50" t="str">
        <f>RawList!H160</f>
        <v>SparkFun ISP Pogo Adapter</v>
      </c>
      <c r="F190" s="50" t="str">
        <f>RawList!D160</f>
        <v>KIT-11591</v>
      </c>
      <c r="G190" s="137">
        <f>RawList!E160</f>
        <v>1</v>
      </c>
      <c r="H190" s="50" t="str">
        <f>IF(EquipmentTable[[#This Row],[Units]]&gt;0,"Quantity &gt; 0 Items","Quantity = 0 Items")</f>
        <v>Quantity &gt; 0 Items</v>
      </c>
      <c r="I190" s="57">
        <f>RawList!J160</f>
        <v>9.9499999999999993</v>
      </c>
      <c r="J190" s="24">
        <f>VALUE(EquipmentTable[[#This Row],[Units]]*EquipmentTable[[#This Row],[Unit
 Price]])</f>
        <v>9.9499999999999993</v>
      </c>
      <c r="K190" s="50" t="str">
        <f>RawList!G160</f>
        <v>https://cdn.sparkfun.com/r/92-92/assets/parts/7/5/9/7/11591-02.jpg</v>
      </c>
      <c r="L190" s="50"/>
      <c r="M190" s="50" t="str">
        <f>RawList!F160</f>
        <v>https://www.sparkfun.com/products/11591</v>
      </c>
    </row>
    <row r="191" spans="2:13" hidden="1" x14ac:dyDescent="0.3">
      <c r="B191" s="50" t="str">
        <f>RawList!A161</f>
        <v>Secondary Component</v>
      </c>
      <c r="C191" s="50" t="str">
        <f>RawList!B161</f>
        <v>AVR/ISP Programmer Adapters/Cables</v>
      </c>
      <c r="D191" s="50" t="str">
        <f>RawList!C161</f>
        <v>SparkFun</v>
      </c>
      <c r="E191" s="50" t="str">
        <f>RawList!H161</f>
        <v>AVR Programming Cable</v>
      </c>
      <c r="F191" s="50" t="str">
        <f>RawList!D161</f>
        <v>DEV-09215</v>
      </c>
      <c r="G191" s="137">
        <f>RawList!E161</f>
        <v>1</v>
      </c>
      <c r="H191" s="50" t="str">
        <f>IF(EquipmentTable[[#This Row],[Units]]&gt;0,"Quantity &gt; 0 Items","Quantity = 0 Items")</f>
        <v>Quantity &gt; 0 Items</v>
      </c>
      <c r="I191" s="57">
        <f>RawList!J161</f>
        <v>1.95</v>
      </c>
      <c r="J191" s="24">
        <f>VALUE(EquipmentTable[[#This Row],[Units]]*EquipmentTable[[#This Row],[Unit
 Price]])</f>
        <v>1.95</v>
      </c>
      <c r="K191" s="50" t="str">
        <f>RawList!G161</f>
        <v>https://cdn.sparkfun.com/r/92-92/assets/parts/2/6/7/5/09215-3.jpg</v>
      </c>
      <c r="L191" s="50"/>
      <c r="M191" s="50" t="str">
        <f>RawList!F161</f>
        <v>https://www.sparkfun.com/products/9215</v>
      </c>
    </row>
    <row r="192" spans="2:13" x14ac:dyDescent="0.3">
      <c r="B192" s="50" t="str">
        <f>RawList!A162</f>
        <v>Secondary Component</v>
      </c>
      <c r="C192" s="50" t="str">
        <f>RawList!B162</f>
        <v>Interface/Level/Logic Conversion</v>
      </c>
      <c r="D192" s="50" t="str">
        <f>RawList!C162</f>
        <v>SparkFun</v>
      </c>
      <c r="E192" s="50" t="str">
        <f>RawList!H162</f>
        <v>SparkFun Logic Level Converter - Bi-Directional</v>
      </c>
      <c r="F192" s="50" t="str">
        <f>RawList!D162</f>
        <v>BOB-12009</v>
      </c>
      <c r="G192" s="137">
        <f>RawList!E162</f>
        <v>10</v>
      </c>
      <c r="H192" s="50" t="str">
        <f>IF(EquipmentTable[[#This Row],[Units]]&gt;0,"Quantity &gt; 0 Items","Quantity = 0 Items")</f>
        <v>Quantity &gt; 0 Items</v>
      </c>
      <c r="I192" s="141">
        <f>RawList!J162</f>
        <v>2.8</v>
      </c>
      <c r="J192" s="24">
        <f>VALUE(EquipmentTable[[#This Row],[Units]]*EquipmentTable[[#This Row],[Unit
 Price]])</f>
        <v>28</v>
      </c>
      <c r="K192" s="50" t="str">
        <f>RawList!G162</f>
        <v>https://cdn.sparkfun.com/r/92-92/assets/parts/8/5/2/2/12009-06.jpg</v>
      </c>
      <c r="L192" s="50"/>
      <c r="M192" s="50" t="str">
        <f>RawList!F162</f>
        <v>https://www.sparkfun.com/products/12009</v>
      </c>
    </row>
    <row r="193" spans="2:13" x14ac:dyDescent="0.3">
      <c r="B193" s="50" t="str">
        <f>RawList!A163</f>
        <v>Secondary Component</v>
      </c>
      <c r="C193" s="50" t="str">
        <f>RawList!B163</f>
        <v>Interface/Level/Logic Conversion</v>
      </c>
      <c r="D193" s="50" t="str">
        <f>RawList!C163</f>
        <v>SparkFun</v>
      </c>
      <c r="E193" s="50" t="str">
        <f>RawList!H163</f>
        <v>SparkFun Level Translator Breakout - PCA9306</v>
      </c>
      <c r="F193" s="50" t="str">
        <f>RawList!D163</f>
        <v>BOB-11955</v>
      </c>
      <c r="G193" s="137">
        <f>RawList!E163</f>
        <v>2</v>
      </c>
      <c r="H193" s="50" t="str">
        <f>IF(EquipmentTable[[#This Row],[Units]]&gt;0,"Quantity &gt; 0 Items","Quantity = 0 Items")</f>
        <v>Quantity &gt; 0 Items</v>
      </c>
      <c r="I193" s="141">
        <f>RawList!J163</f>
        <v>6.95</v>
      </c>
      <c r="J193" s="24">
        <f>VALUE(EquipmentTable[[#This Row],[Units]]*EquipmentTable[[#This Row],[Unit
 Price]])</f>
        <v>13.9</v>
      </c>
      <c r="K193" s="50" t="str">
        <f>RawList!G163</f>
        <v>https://cdn.sparkfun.com/r/92-92/assets/parts/8/4/3/0/11955-01.jpg</v>
      </c>
      <c r="L193" s="50"/>
      <c r="M193" s="50" t="str">
        <f>RawList!F163</f>
        <v>https://www.sparkfun.com/products/11955</v>
      </c>
    </row>
    <row r="194" spans="2:13" x14ac:dyDescent="0.3">
      <c r="B194" s="50" t="str">
        <f>RawList!A164</f>
        <v>Secondary Component</v>
      </c>
      <c r="C194" s="50" t="str">
        <f>RawList!B164</f>
        <v>Interface/Level/Logic Conversion</v>
      </c>
      <c r="D194" s="50" t="str">
        <f>RawList!C164</f>
        <v>SparkFun</v>
      </c>
      <c r="E194" s="50" t="str">
        <f>RawList!H164</f>
        <v>SparkFun Voltage-Level Translator Breakout - TXB0104</v>
      </c>
      <c r="F194" s="50" t="str">
        <f>RawList!D164</f>
        <v>BOB-11771</v>
      </c>
      <c r="G194" s="137">
        <f>RawList!E164</f>
        <v>3</v>
      </c>
      <c r="H194" s="50" t="str">
        <f>IF(EquipmentTable[[#This Row],[Units]]&gt;0,"Quantity &gt; 0 Items","Quantity = 0 Items")</f>
        <v>Quantity &gt; 0 Items</v>
      </c>
      <c r="I194" s="141">
        <f>RawList!J164</f>
        <v>3.95</v>
      </c>
      <c r="J194" s="24">
        <f>VALUE(EquipmentTable[[#This Row],[Units]]*EquipmentTable[[#This Row],[Unit
 Price]])</f>
        <v>11.850000000000001</v>
      </c>
      <c r="K194" s="50" t="str">
        <f>RawList!G164</f>
        <v>https://cdn.sparkfun.com/r/92-92/assets/parts/8/0/0/6/11771-01.jpg</v>
      </c>
      <c r="L194" s="50"/>
      <c r="M194" s="50" t="str">
        <f>RawList!F164</f>
        <v>https://www.sparkfun.com/products/11771</v>
      </c>
    </row>
    <row r="195" spans="2:13" x14ac:dyDescent="0.3">
      <c r="B195" s="50" t="str">
        <f>RawList!A165</f>
        <v>Secondary Component</v>
      </c>
      <c r="C195" s="50" t="str">
        <f>RawList!B165</f>
        <v>Interface/Level/Logic Conversion</v>
      </c>
      <c r="D195" s="50" t="str">
        <f>RawList!C165</f>
        <v>SparkFun</v>
      </c>
      <c r="E195" s="50" t="str">
        <f>RawList!H165</f>
        <v>SparkFun I2C DAC Breakout - MCP4725</v>
      </c>
      <c r="F195" s="50" t="str">
        <f>RawList!D165</f>
        <v>BOB-12918</v>
      </c>
      <c r="G195" s="137">
        <f>RawList!E165</f>
        <v>5</v>
      </c>
      <c r="H195" s="50" t="str">
        <f>IF(EquipmentTable[[#This Row],[Units]]&gt;0,"Quantity &gt; 0 Items","Quantity = 0 Items")</f>
        <v>Quantity &gt; 0 Items</v>
      </c>
      <c r="I195" s="141">
        <f>RawList!J165</f>
        <v>4.95</v>
      </c>
      <c r="J195" s="24">
        <f>VALUE(EquipmentTable[[#This Row],[Units]]*EquipmentTable[[#This Row],[Unit
 Price]])</f>
        <v>24.75</v>
      </c>
      <c r="K195" s="50" t="str">
        <f>RawList!G165</f>
        <v>https://cdn.sparkfun.com/r/92-92/assets/parts/9/8/3/2/12918-01.jpg</v>
      </c>
      <c r="L195" s="50"/>
      <c r="M195" s="50" t="str">
        <f>RawList!F165</f>
        <v>https://www.sparkfun.com/products/12918</v>
      </c>
    </row>
    <row r="196" spans="2:13" x14ac:dyDescent="0.3">
      <c r="B196" s="50" t="str">
        <f>RawList!A166</f>
        <v>Secondary Component</v>
      </c>
      <c r="C196" s="50" t="str">
        <f>RawList!B166</f>
        <v>Interface/Level/Logic Conversion</v>
      </c>
      <c r="D196" s="50" t="str">
        <f>RawList!C166</f>
        <v>Adafruit</v>
      </c>
      <c r="E196" s="50" t="str">
        <f>RawList!H166</f>
        <v xml:space="preserve">MCP4725 Breakout Board - 12-Bit DAC w/I2C Interface </v>
      </c>
      <c r="F196" s="50" t="str">
        <f>RawList!D166</f>
        <v>935</v>
      </c>
      <c r="G196" s="137">
        <f>RawList!E166</f>
        <v>0</v>
      </c>
      <c r="H196" s="50" t="str">
        <f>IF(EquipmentTable[[#This Row],[Units]]&gt;0,"Quantity &gt; 0 Items","Quantity = 0 Items")</f>
        <v>Quantity = 0 Items</v>
      </c>
      <c r="I196" s="141">
        <f>RawList!J166</f>
        <v>4.95</v>
      </c>
      <c r="J196" s="24">
        <f>VALUE(EquipmentTable[[#This Row],[Units]]*EquipmentTable[[#This Row],[Unit
 Price]])</f>
        <v>0</v>
      </c>
      <c r="K196" s="50">
        <f>RawList!G166</f>
        <v>0</v>
      </c>
      <c r="L196" s="50"/>
      <c r="M196" s="50">
        <f>RawList!F166</f>
        <v>0</v>
      </c>
    </row>
    <row r="197" spans="2:13" x14ac:dyDescent="0.3">
      <c r="B197" s="50" t="str">
        <f>RawList!A167</f>
        <v>Secondary Component</v>
      </c>
      <c r="C197" s="50" t="str">
        <f>RawList!B167</f>
        <v>Interface/Level/Logic Conversion</v>
      </c>
      <c r="D197" s="50" t="str">
        <f>RawList!C167</f>
        <v>Adafruit</v>
      </c>
      <c r="E197" s="50" t="str">
        <f>RawList!H167</f>
        <v xml:space="preserve">Adafruit I2C Non-Volatile FRAM Breakout - 256Kbit / 32KByte </v>
      </c>
      <c r="F197" s="50" t="str">
        <f>RawList!D167</f>
        <v>1895</v>
      </c>
      <c r="G197" s="137">
        <f>RawList!E167</f>
        <v>0</v>
      </c>
      <c r="H197" s="50" t="str">
        <f>IF(EquipmentTable[[#This Row],[Units]]&gt;0,"Quantity &gt; 0 Items","Quantity = 0 Items")</f>
        <v>Quantity = 0 Items</v>
      </c>
      <c r="I197" s="141">
        <f>RawList!J167</f>
        <v>9.9499999999999993</v>
      </c>
      <c r="J197" s="24">
        <f>VALUE(EquipmentTable[[#This Row],[Units]]*EquipmentTable[[#This Row],[Unit
 Price]])</f>
        <v>0</v>
      </c>
      <c r="K197" s="50">
        <f>RawList!G167</f>
        <v>0</v>
      </c>
      <c r="L197" s="50"/>
      <c r="M197" s="50">
        <f>RawList!F167</f>
        <v>0</v>
      </c>
    </row>
    <row r="198" spans="2:13" x14ac:dyDescent="0.3">
      <c r="B198" s="50" t="str">
        <f>RawList!A168</f>
        <v>Secondary Component</v>
      </c>
      <c r="C198" s="50" t="str">
        <f>RawList!B168</f>
        <v>Interface/Level/Logic Conversion</v>
      </c>
      <c r="D198" s="50" t="str">
        <f>RawList!C168</f>
        <v>Adafruit</v>
      </c>
      <c r="E198" s="50" t="str">
        <f>RawList!H168</f>
        <v xml:space="preserve">Adafruit SPI Non-Volatile FRAM Breakout - 64Kbit / 8KByte </v>
      </c>
      <c r="F198" s="50" t="str">
        <f>RawList!D168</f>
        <v>1897</v>
      </c>
      <c r="G198" s="137">
        <f>RawList!E168</f>
        <v>0</v>
      </c>
      <c r="H198" s="50" t="str">
        <f>IF(EquipmentTable[[#This Row],[Units]]&gt;0,"Quantity &gt; 0 Items","Quantity = 0 Items")</f>
        <v>Quantity = 0 Items</v>
      </c>
      <c r="I198" s="141">
        <f>RawList!J168</f>
        <v>5.95</v>
      </c>
      <c r="J198" s="24">
        <f>VALUE(EquipmentTable[[#This Row],[Units]]*EquipmentTable[[#This Row],[Unit
 Price]])</f>
        <v>0</v>
      </c>
      <c r="K198" s="50">
        <f>RawList!G168</f>
        <v>0</v>
      </c>
      <c r="L198" s="50"/>
      <c r="M198" s="50">
        <f>RawList!F168</f>
        <v>0</v>
      </c>
    </row>
    <row r="199" spans="2:13" hidden="1" x14ac:dyDescent="0.3">
      <c r="B199" s="50" t="str">
        <f>RawList!A169</f>
        <v>Secondary Component</v>
      </c>
      <c r="C199" s="50" t="str">
        <f>RawList!B169</f>
        <v>QWIIC System/Components</v>
      </c>
      <c r="D199" s="50" t="str">
        <f>RawList!C169</f>
        <v>SparkFun</v>
      </c>
      <c r="E199" s="50" t="str">
        <f>RawList!H169</f>
        <v>Qwiic Cable - Breadboard Jumper (4-pin)</v>
      </c>
      <c r="F199" s="50" t="str">
        <f>RawList!D169</f>
        <v>PRT-14425</v>
      </c>
      <c r="G199" s="137">
        <f>RawList!E169</f>
        <v>15</v>
      </c>
      <c r="H199" s="50" t="str">
        <f>IF(EquipmentTable[[#This Row],[Units]]&gt;0,"Quantity &gt; 0 Items","Quantity = 0 Items")</f>
        <v>Quantity &gt; 0 Items</v>
      </c>
      <c r="I199" s="141">
        <f>RawList!J169</f>
        <v>1.5</v>
      </c>
      <c r="J199" s="24">
        <f>VALUE(EquipmentTable[[#This Row],[Units]]*EquipmentTable[[#This Row],[Unit
 Price]])</f>
        <v>22.5</v>
      </c>
      <c r="K199" s="50" t="str">
        <f>RawList!G169</f>
        <v>https://cdn.sparkfun.com/r/92-92/assets/parts/1/2/4/5/1/14425-01.jpg</v>
      </c>
      <c r="L199" s="50"/>
      <c r="M199" s="50" t="str">
        <f>RawList!F169</f>
        <v>https://www.sparkfun.com/products/14425</v>
      </c>
    </row>
    <row r="200" spans="2:13" hidden="1" x14ac:dyDescent="0.3">
      <c r="B200" s="50" t="str">
        <f>RawList!A170</f>
        <v>Secondary Component</v>
      </c>
      <c r="C200" s="50" t="str">
        <f>RawList!B170</f>
        <v>QWIIC System/Components</v>
      </c>
      <c r="D200" s="50" t="str">
        <f>RawList!C170</f>
        <v>SparkFun</v>
      </c>
      <c r="E200" s="50" t="str">
        <f>RawList!H170</f>
        <v>1-Wire to Qwiic Bridge - DS28E17</v>
      </c>
      <c r="F200" s="50" t="str">
        <f>RawList!D170</f>
        <v>SPX-14291</v>
      </c>
      <c r="G200" s="137">
        <f>RawList!E170</f>
        <v>1</v>
      </c>
      <c r="H200" s="50" t="str">
        <f>IF(EquipmentTable[[#This Row],[Units]]&gt;0,"Quantity &gt; 0 Items","Quantity = 0 Items")</f>
        <v>Quantity &gt; 0 Items</v>
      </c>
      <c r="I200" s="141">
        <f>RawList!J170</f>
        <v>14.95</v>
      </c>
      <c r="J200" s="24">
        <f>VALUE(EquipmentTable[[#This Row],[Units]]*EquipmentTable[[#This Row],[Unit
 Price]])</f>
        <v>14.95</v>
      </c>
      <c r="K200" s="50" t="str">
        <f>RawList!G170</f>
        <v>https://cdn.sparkfun.com/r/92-92/assets/parts/1/2/2/5/0/1Wire_to_Qwiic_Bridge_DS28E17_05.jpg</v>
      </c>
      <c r="L200" s="50"/>
      <c r="M200" s="50" t="str">
        <f>RawList!F170</f>
        <v>https://www.sparkfun.com/products/14291</v>
      </c>
    </row>
    <row r="201" spans="2:13" hidden="1" x14ac:dyDescent="0.3">
      <c r="B201" s="50" t="str">
        <f>RawList!A171</f>
        <v>Secondary Component</v>
      </c>
      <c r="C201" s="50" t="str">
        <f>RawList!B171</f>
        <v>QWIIC System/Components</v>
      </c>
      <c r="D201" s="50" t="str">
        <f>RawList!C171</f>
        <v>SparkFun</v>
      </c>
      <c r="E201" s="50" t="str">
        <f>RawList!H171</f>
        <v>Qwiic Shield for Arduino</v>
      </c>
      <c r="F201" s="50" t="str">
        <f>RawList!D171</f>
        <v>SPX-14286</v>
      </c>
      <c r="G201" s="137">
        <f>RawList!E171</f>
        <v>0</v>
      </c>
      <c r="H201" s="50" t="str">
        <f>IF(EquipmentTable[[#This Row],[Units]]&gt;0,"Quantity &gt; 0 Items","Quantity = 0 Items")</f>
        <v>Quantity = 0 Items</v>
      </c>
      <c r="I201" s="141">
        <f>RawList!J171</f>
        <v>2.95</v>
      </c>
      <c r="J201" s="24">
        <f>VALUE(EquipmentTable[[#This Row],[Units]]*EquipmentTable[[#This Row],[Unit
 Price]])</f>
        <v>0</v>
      </c>
      <c r="K201" s="50" t="str">
        <f>RawList!G171</f>
        <v>https://cdn.sparkfun.com/r/92-92/assets/parts/1/2/2/4/5/Qwiic_Shield_for_Arduino_X1.1_04.jpg</v>
      </c>
      <c r="L201" s="50"/>
      <c r="M201" s="50" t="str">
        <f>RawList!F171</f>
        <v>https://www.sparkfun.com/products/14286</v>
      </c>
    </row>
    <row r="202" spans="2:13" hidden="1" x14ac:dyDescent="0.3">
      <c r="B202" s="50" t="str">
        <f>RawList!A172</f>
        <v>Secondary Component</v>
      </c>
      <c r="C202" s="50" t="str">
        <f>RawList!B172</f>
        <v>QWIIC System/Components</v>
      </c>
      <c r="D202" s="50" t="str">
        <f>RawList!C172</f>
        <v>SparkFun</v>
      </c>
      <c r="E202" s="50" t="str">
        <f>RawList!H172</f>
        <v>Qwiic Mux Shield for Arduino - PCA9548A</v>
      </c>
      <c r="F202" s="50" t="str">
        <f>RawList!D172</f>
        <v>SPX-14257</v>
      </c>
      <c r="G202" s="137">
        <f>RawList!E172</f>
        <v>0</v>
      </c>
      <c r="H202" s="50" t="str">
        <f>IF(EquipmentTable[[#This Row],[Units]]&gt;0,"Quantity &gt; 0 Items","Quantity = 0 Items")</f>
        <v>Quantity = 0 Items</v>
      </c>
      <c r="I202" s="141">
        <f>RawList!J172</f>
        <v>9.9499999999999993</v>
      </c>
      <c r="J202" s="24">
        <f>VALUE(EquipmentTable[[#This Row],[Units]]*EquipmentTable[[#This Row],[Unit
 Price]])</f>
        <v>0</v>
      </c>
      <c r="K202" s="50" t="str">
        <f>RawList!G172</f>
        <v>https://cdn.sparkfun.com/r/92-92/assets/parts/1/2/2/0/5/Qwiic_Mux_Shield_Arduino_04.jpg</v>
      </c>
      <c r="L202" s="50"/>
      <c r="M202" s="50" t="str">
        <f>RawList!F172</f>
        <v>https://www.sparkfun.com/products/14257</v>
      </c>
    </row>
    <row r="203" spans="2:13" hidden="1" x14ac:dyDescent="0.3">
      <c r="B203" s="50" t="str">
        <f>RawList!A173</f>
        <v>Secondary Component</v>
      </c>
      <c r="C203" s="50" t="str">
        <f>RawList!B173</f>
        <v>QWIIC System/Components</v>
      </c>
      <c r="D203" s="50" t="str">
        <f>RawList!C173</f>
        <v>SparkFun</v>
      </c>
      <c r="E203" s="50" t="str">
        <f>RawList!H173</f>
        <v>Qwiic Mux - PCA9548A</v>
      </c>
      <c r="F203" s="50" t="str">
        <f>RawList!D173</f>
        <v>SPX-14293</v>
      </c>
      <c r="G203" s="137">
        <f>RawList!E173</f>
        <v>1</v>
      </c>
      <c r="H203" s="50" t="str">
        <f>IF(EquipmentTable[[#This Row],[Units]]&gt;0,"Quantity &gt; 0 Items","Quantity = 0 Items")</f>
        <v>Quantity &gt; 0 Items</v>
      </c>
      <c r="I203" s="141">
        <f>RawList!J173</f>
        <v>14.95</v>
      </c>
      <c r="J203" s="24">
        <f>VALUE(EquipmentTable[[#This Row],[Units]]*EquipmentTable[[#This Row],[Unit
 Price]])</f>
        <v>14.95</v>
      </c>
      <c r="K203" s="50" t="str">
        <f>RawList!G173</f>
        <v>https://cdn.sparkfun.com/r/92-92/assets/parts/1/2/2/5/2/Qwiic-Mux-PCA9548A-3.jpg</v>
      </c>
      <c r="L203" s="50"/>
      <c r="M203" s="50" t="str">
        <f>RawList!F173</f>
        <v>https://www.sparkfun.com/products/14293</v>
      </c>
    </row>
    <row r="204" spans="2:13" hidden="1" x14ac:dyDescent="0.3">
      <c r="B204" s="50" t="str">
        <f>RawList!A174</f>
        <v>Secondary Component</v>
      </c>
      <c r="C204" s="50" t="str">
        <f>RawList!B174</f>
        <v>QWIIC System/Components</v>
      </c>
      <c r="D204" s="50" t="str">
        <f>RawList!C174</f>
        <v>SparkFun</v>
      </c>
      <c r="E204" s="50" t="str">
        <f>RawList!H174</f>
        <v>Qwiic Human Presence Sensor - AK9750</v>
      </c>
      <c r="F204" s="50" t="str">
        <f>RawList!D174</f>
        <v>SPX-14289</v>
      </c>
      <c r="G204" s="137">
        <f>RawList!E174</f>
        <v>0</v>
      </c>
      <c r="H204" s="50" t="str">
        <f>IF(EquipmentTable[[#This Row],[Units]]&gt;0,"Quantity &gt; 0 Items","Quantity = 0 Items")</f>
        <v>Quantity = 0 Items</v>
      </c>
      <c r="I204" s="141">
        <f>RawList!J174</f>
        <v>39.950000000000003</v>
      </c>
      <c r="J204" s="24">
        <f>VALUE(EquipmentTable[[#This Row],[Units]]*EquipmentTable[[#This Row],[Unit
 Price]])</f>
        <v>0</v>
      </c>
      <c r="K204" s="50" t="str">
        <f>RawList!G174</f>
        <v>https://cdn.sparkfun.com/r/92-92/assets/parts/1/2/2/4/8/Qwiic-AK9750-3.jpg</v>
      </c>
      <c r="L204" s="50"/>
      <c r="M204" s="50" t="str">
        <f>RawList!F174</f>
        <v>https://www.sparkfun.com/products/14289</v>
      </c>
    </row>
    <row r="205" spans="2:13" hidden="1" x14ac:dyDescent="0.3">
      <c r="B205" s="50" t="str">
        <f>RawList!A175</f>
        <v>Secondary Component</v>
      </c>
      <c r="C205" s="50" t="str">
        <f>RawList!B175</f>
        <v>QWIIC System/Components</v>
      </c>
      <c r="D205" s="50" t="str">
        <f>RawList!C175</f>
        <v>SparkFun</v>
      </c>
      <c r="E205" s="50" t="str">
        <f>RawList!H175</f>
        <v>Qwiic Micro OLED</v>
      </c>
      <c r="F205" s="50" t="str">
        <f>RawList!D175</f>
        <v>SPX-14269</v>
      </c>
      <c r="G205" s="137">
        <f>RawList!E175</f>
        <v>0</v>
      </c>
      <c r="H205" s="50" t="str">
        <f>IF(EquipmentTable[[#This Row],[Units]]&gt;0,"Quantity &gt; 0 Items","Quantity = 0 Items")</f>
        <v>Quantity = 0 Items</v>
      </c>
      <c r="I205" s="141">
        <f>RawList!J175</f>
        <v>14.95</v>
      </c>
      <c r="J205" s="24">
        <f>VALUE(EquipmentTable[[#This Row],[Units]]*EquipmentTable[[#This Row],[Unit
 Price]])</f>
        <v>0</v>
      </c>
      <c r="K205" s="50" t="str">
        <f>RawList!G175</f>
        <v>https://cdn.sparkfun.com/r/92-92/assets/parts/1/2/2/2/4/Qwiic_Micro_OLED_04.jpg</v>
      </c>
      <c r="L205" s="50"/>
      <c r="M205" s="50" t="str">
        <f>RawList!F175</f>
        <v>https://www.sparkfun.com/products/14269</v>
      </c>
    </row>
    <row r="206" spans="2:13" hidden="1" x14ac:dyDescent="0.3">
      <c r="B206" s="50" t="str">
        <f>RawList!A176</f>
        <v>Secondary Component</v>
      </c>
      <c r="C206" s="50" t="str">
        <f>RawList!B176</f>
        <v>QWIIC System/Components</v>
      </c>
      <c r="D206" s="50" t="str">
        <f>RawList!C176</f>
        <v>SparkFun</v>
      </c>
      <c r="E206" s="50" t="str">
        <f>RawList!H176</f>
        <v>Qwiic Cable - 50mm</v>
      </c>
      <c r="F206" s="50" t="str">
        <f>RawList!D176</f>
        <v>PRT-14426</v>
      </c>
      <c r="G206" s="137">
        <f>RawList!E176</f>
        <v>10</v>
      </c>
      <c r="H206" s="50" t="str">
        <f>IF(EquipmentTable[[#This Row],[Units]]&gt;0,"Quantity &gt; 0 Items","Quantity = 0 Items")</f>
        <v>Quantity &gt; 0 Items</v>
      </c>
      <c r="I206" s="141">
        <f>RawList!J176</f>
        <v>0.95</v>
      </c>
      <c r="J206" s="24">
        <f>VALUE(EquipmentTable[[#This Row],[Units]]*EquipmentTable[[#This Row],[Unit
 Price]])</f>
        <v>9.5</v>
      </c>
      <c r="K206" s="50" t="str">
        <f>RawList!G176</f>
        <v>https://cdn.sparkfun.com/r/92-92/assets/parts/1/2/4/5/2/14426-01.jpg</v>
      </c>
      <c r="L206" s="50"/>
      <c r="M206" s="50" t="str">
        <f>RawList!F176</f>
        <v>https://www.sparkfun.com/products/14426</v>
      </c>
    </row>
    <row r="207" spans="2:13" hidden="1" x14ac:dyDescent="0.3">
      <c r="B207" s="50" t="str">
        <f>RawList!A177</f>
        <v>Secondary Component</v>
      </c>
      <c r="C207" s="50" t="str">
        <f>RawList!B177</f>
        <v>QWIIC System/Components</v>
      </c>
      <c r="D207" s="50" t="str">
        <f>RawList!C177</f>
        <v>SparkFun</v>
      </c>
      <c r="E207" s="50" t="str">
        <f>RawList!H177</f>
        <v>Qwiic Cable - 100mm</v>
      </c>
      <c r="F207" s="50" t="str">
        <f>RawList!D177</f>
        <v>PRT-14427</v>
      </c>
      <c r="G207" s="137">
        <f>RawList!E177</f>
        <v>5</v>
      </c>
      <c r="H207" s="50" t="str">
        <f>IF(EquipmentTable[[#This Row],[Units]]&gt;0,"Quantity &gt; 0 Items","Quantity = 0 Items")</f>
        <v>Quantity &gt; 0 Items</v>
      </c>
      <c r="I207" s="141">
        <f>RawList!J177</f>
        <v>1.5</v>
      </c>
      <c r="J207" s="24">
        <f>VALUE(EquipmentTable[[#This Row],[Units]]*EquipmentTable[[#This Row],[Unit
 Price]])</f>
        <v>7.5</v>
      </c>
      <c r="K207" s="50" t="str">
        <f>RawList!G177</f>
        <v>https://cdn.sparkfun.com/r/92-92/assets/parts/1/2/4/5/3/14427-01.jpg</v>
      </c>
      <c r="L207" s="50"/>
      <c r="M207" s="50" t="str">
        <f>RawList!F177</f>
        <v>https://www.sparkfun.com/products/14427</v>
      </c>
    </row>
    <row r="208" spans="2:13" hidden="1" x14ac:dyDescent="0.3">
      <c r="B208" s="50" t="str">
        <f>RawList!A178</f>
        <v>Secondary Component</v>
      </c>
      <c r="C208" s="50" t="str">
        <f>RawList!B178</f>
        <v>QWIIC System/Components</v>
      </c>
      <c r="D208" s="50" t="str">
        <f>RawList!C178</f>
        <v>SparkFun</v>
      </c>
      <c r="E208" s="50" t="str">
        <f>RawList!H178</f>
        <v>Qwiic Cable - 200mm</v>
      </c>
      <c r="F208" s="50" t="str">
        <f>RawList!D178</f>
        <v>PRT-14428</v>
      </c>
      <c r="G208" s="137">
        <f>RawList!E178</f>
        <v>5</v>
      </c>
      <c r="H208" s="50" t="str">
        <f>IF(EquipmentTable[[#This Row],[Units]]&gt;0,"Quantity &gt; 0 Items","Quantity = 0 Items")</f>
        <v>Quantity &gt; 0 Items</v>
      </c>
      <c r="I208" s="141">
        <f>RawList!J178</f>
        <v>1.5</v>
      </c>
      <c r="J208" s="24">
        <f>VALUE(EquipmentTable[[#This Row],[Units]]*EquipmentTable[[#This Row],[Unit
 Price]])</f>
        <v>7.5</v>
      </c>
      <c r="K208" s="50" t="str">
        <f>RawList!G178</f>
        <v>https://cdn.sparkfun.com/r/92-92/assets/parts/1/2/4/5/4/14428-01.jpg</v>
      </c>
      <c r="L208" s="50"/>
      <c r="M208" s="50" t="str">
        <f>RawList!F178</f>
        <v>https://www.sparkfun.com/products/14428</v>
      </c>
    </row>
    <row r="209" spans="2:13" hidden="1" x14ac:dyDescent="0.3">
      <c r="B209" s="50" t="str">
        <f>RawList!A179</f>
        <v>Secondary Component</v>
      </c>
      <c r="C209" s="50" t="str">
        <f>RawList!B179</f>
        <v>QWIIC System/Components</v>
      </c>
      <c r="D209" s="50" t="str">
        <f>RawList!C179</f>
        <v>SparkFun</v>
      </c>
      <c r="E209" s="50" t="str">
        <f>RawList!H179</f>
        <v>Qwiic Cable - 500mm</v>
      </c>
      <c r="F209" s="50" t="str">
        <f>RawList!D179</f>
        <v>PRT-14429</v>
      </c>
      <c r="G209" s="137">
        <f>RawList!E179</f>
        <v>1</v>
      </c>
      <c r="H209" s="50" t="str">
        <f>IF(EquipmentTable[[#This Row],[Units]]&gt;0,"Quantity &gt; 0 Items","Quantity = 0 Items")</f>
        <v>Quantity &gt; 0 Items</v>
      </c>
      <c r="I209" s="141">
        <f>RawList!J179</f>
        <v>1.95</v>
      </c>
      <c r="J209" s="24">
        <f>VALUE(EquipmentTable[[#This Row],[Units]]*EquipmentTable[[#This Row],[Unit
 Price]])</f>
        <v>1.95</v>
      </c>
      <c r="K209" s="50" t="str">
        <f>RawList!G179</f>
        <v>https://cdn.sparkfun.com/r/92-92/assets/parts/1/2/4/5/5/14429-01.jpg</v>
      </c>
      <c r="L209" s="50"/>
      <c r="M209" s="50" t="str">
        <f>RawList!F179</f>
        <v>https://www.sparkfun.com/products/14429</v>
      </c>
    </row>
    <row r="210" spans="2:13" hidden="1" x14ac:dyDescent="0.3">
      <c r="B210" s="50" t="str">
        <f>RawList!A180</f>
        <v>Secondary Component</v>
      </c>
      <c r="C210" s="50" t="str">
        <f>RawList!B180</f>
        <v>QWIIC System/Components</v>
      </c>
      <c r="D210" s="50" t="str">
        <f>RawList!C180</f>
        <v>SparkFun</v>
      </c>
      <c r="E210" s="50" t="str">
        <f>RawList!H180</f>
        <v>Qwiic Connector SMD - Black 10 Pcs</v>
      </c>
      <c r="F210" s="50" t="str">
        <f>RawList!D180</f>
        <v>SPX-14323</v>
      </c>
      <c r="G210" s="137">
        <f>RawList!E180</f>
        <v>2</v>
      </c>
      <c r="H210" s="50" t="str">
        <f>IF(EquipmentTable[[#This Row],[Units]]&gt;0,"Quantity &gt; 0 Items","Quantity = 0 Items")</f>
        <v>Quantity &gt; 0 Items</v>
      </c>
      <c r="I210" s="141">
        <f>RawList!J180</f>
        <v>2.95</v>
      </c>
      <c r="J210" s="24">
        <f>VALUE(EquipmentTable[[#This Row],[Units]]*EquipmentTable[[#This Row],[Unit
 Price]])</f>
        <v>5.9</v>
      </c>
      <c r="K210" s="50" t="str">
        <f>RawList!G180</f>
        <v>https://cdn.sparkfun.com/r/92-92/assets/parts/1/2/2/8/9/Qwiic_Connector_SMD-Black-1.jpg</v>
      </c>
      <c r="L210" s="50"/>
      <c r="M210" s="50" t="str">
        <f>RawList!F180</f>
        <v>https://www.sparkfun.com/products/14323</v>
      </c>
    </row>
    <row r="211" spans="2:13" hidden="1" x14ac:dyDescent="0.3">
      <c r="B211" s="50" t="str">
        <f>RawList!A181</f>
        <v>Secondary Component</v>
      </c>
      <c r="C211" s="50" t="str">
        <f>RawList!B181</f>
        <v>QWIIC System/Components</v>
      </c>
      <c r="D211" s="50" t="str">
        <f>RawList!C181</f>
        <v>SparkFun</v>
      </c>
      <c r="E211" s="50" t="str">
        <f>RawList!H181</f>
        <v>Qwiic Connector SMD - White 10 Pcs</v>
      </c>
      <c r="F211" s="50" t="str">
        <f>RawList!D181</f>
        <v>SPX-14324</v>
      </c>
      <c r="G211" s="137">
        <f>RawList!E181</f>
        <v>1</v>
      </c>
      <c r="H211" s="50" t="str">
        <f>IF(EquipmentTable[[#This Row],[Units]]&gt;0,"Quantity &gt; 0 Items","Quantity = 0 Items")</f>
        <v>Quantity &gt; 0 Items</v>
      </c>
      <c r="I211" s="141">
        <f>RawList!J181</f>
        <v>2.95</v>
      </c>
      <c r="J211" s="24">
        <f>VALUE(EquipmentTable[[#This Row],[Units]]*EquipmentTable[[#This Row],[Unit
 Price]])</f>
        <v>2.95</v>
      </c>
      <c r="K211" s="50" t="str">
        <f>RawList!G181</f>
        <v>https://cdn.sparkfun.com/r/92-92/assets/parts/1/2/2/9/0/Qwiic_Connector_SMD-White-2.jpg</v>
      </c>
      <c r="L211" s="50"/>
      <c r="M211" s="50" t="str">
        <f>RawList!F181</f>
        <v>https://www.sparkfun.com/products/14324</v>
      </c>
    </row>
    <row r="212" spans="2:13" x14ac:dyDescent="0.3">
      <c r="B212" s="50" t="str">
        <f>RawList!A182</f>
        <v>Secondary Component</v>
      </c>
      <c r="C212" s="50" t="str">
        <f>RawList!B182</f>
        <v>Signal Multiplexing/Conditioning</v>
      </c>
      <c r="D212" s="50" t="str">
        <f>RawList!C182</f>
        <v>SparkFun</v>
      </c>
      <c r="E212" s="50" t="str">
        <f>RawList!H182</f>
        <v>Mux Shield II</v>
      </c>
      <c r="F212" s="50" t="str">
        <f>RawList!D182</f>
        <v>DEV-11723</v>
      </c>
      <c r="G212" s="137">
        <f>RawList!E182</f>
        <v>0</v>
      </c>
      <c r="H212" s="50" t="str">
        <f>IF(EquipmentTable[[#This Row],[Units]]&gt;0,"Quantity &gt; 0 Items","Quantity = 0 Items")</f>
        <v>Quantity = 0 Items</v>
      </c>
      <c r="I212" s="141">
        <f>RawList!J182</f>
        <v>24.95</v>
      </c>
      <c r="J212" s="24">
        <f>VALUE(EquipmentTable[[#This Row],[Units]]*EquipmentTable[[#This Row],[Unit
 Price]])</f>
        <v>0</v>
      </c>
      <c r="K212" s="50" t="str">
        <f>RawList!G182</f>
        <v>https://cdn.sparkfun.com/r/92-92/assets/parts/7/9/3/4/11723-01.jpg</v>
      </c>
      <c r="L212" s="50"/>
      <c r="M212" s="50" t="str">
        <f>RawList!F182</f>
        <v>https://www.sparkfun.com/products/11723</v>
      </c>
    </row>
    <row r="213" spans="2:13" x14ac:dyDescent="0.3">
      <c r="B213" s="50" t="str">
        <f>RawList!A183</f>
        <v>Secondary Component</v>
      </c>
      <c r="C213" s="50" t="str">
        <f>RawList!B183</f>
        <v>Signal Multiplexing/Conditioning</v>
      </c>
      <c r="D213" s="50" t="str">
        <f>RawList!C183</f>
        <v>SparkFun</v>
      </c>
      <c r="E213" s="50" t="str">
        <f>RawList!H183</f>
        <v>SparkFun Analog/Digital MUX Breakout - CD74HC4067</v>
      </c>
      <c r="F213" s="50" t="str">
        <f>RawList!D183</f>
        <v>BOB-09056</v>
      </c>
      <c r="G213" s="137">
        <f>RawList!E183</f>
        <v>6</v>
      </c>
      <c r="H213" s="50" t="str">
        <f>IF(EquipmentTable[[#This Row],[Units]]&gt;0,"Quantity &gt; 0 Items","Quantity = 0 Items")</f>
        <v>Quantity &gt; 0 Items</v>
      </c>
      <c r="I213" s="141">
        <f>RawList!J183</f>
        <v>4.95</v>
      </c>
      <c r="J213" s="24">
        <f>VALUE(EquipmentTable[[#This Row],[Units]]*EquipmentTable[[#This Row],[Unit
 Price]])</f>
        <v>29.700000000000003</v>
      </c>
      <c r="K213" s="50" t="str">
        <f>RawList!G183</f>
        <v>https://cdn.sparkfun.com/r/92-92/assets/parts/2/4/2/0/09056-01.jpg</v>
      </c>
      <c r="L213" s="50"/>
      <c r="M213" s="50" t="str">
        <f>RawList!F183</f>
        <v>https://www.sparkfun.com/products/9056</v>
      </c>
    </row>
    <row r="214" spans="2:13" x14ac:dyDescent="0.3">
      <c r="B214" s="50" t="str">
        <f>RawList!A184</f>
        <v>Secondary Component</v>
      </c>
      <c r="C214" s="50" t="str">
        <f>RawList!B184</f>
        <v>Signal Multiplexing/Conditioning</v>
      </c>
      <c r="D214" s="50" t="str">
        <f>RawList!C184</f>
        <v>Adafruit</v>
      </c>
      <c r="E214" s="50" t="str">
        <f>RawList!H184</f>
        <v xml:space="preserve">TCA9548A I2C Multiplexer </v>
      </c>
      <c r="F214" s="50" t="str">
        <f>RawList!D184</f>
        <v>2717</v>
      </c>
      <c r="G214" s="137">
        <f>RawList!E184</f>
        <v>0</v>
      </c>
      <c r="H214" s="50" t="str">
        <f>IF(EquipmentTable[[#This Row],[Units]]&gt;0,"Quantity &gt; 0 Items","Quantity = 0 Items")</f>
        <v>Quantity = 0 Items</v>
      </c>
      <c r="I214" s="141">
        <f>RawList!J184</f>
        <v>6.95</v>
      </c>
      <c r="J214" s="24">
        <f>VALUE(EquipmentTable[[#This Row],[Units]]*EquipmentTable[[#This Row],[Unit
 Price]])</f>
        <v>0</v>
      </c>
      <c r="K214" s="50">
        <f>RawList!G184</f>
        <v>0</v>
      </c>
      <c r="L214" s="50"/>
      <c r="M214" s="50">
        <f>RawList!F184</f>
        <v>0</v>
      </c>
    </row>
    <row r="215" spans="2:13" x14ac:dyDescent="0.3">
      <c r="B215" s="50" t="str">
        <f>RawList!A185</f>
        <v>Secondary Component</v>
      </c>
      <c r="C215" s="50" t="str">
        <f>RawList!B185</f>
        <v>Signal Multiplexing/Conditioning</v>
      </c>
      <c r="D215" s="50" t="str">
        <f>RawList!C185</f>
        <v>SparkFun</v>
      </c>
      <c r="E215" s="50" t="str">
        <f>RawList!H185</f>
        <v>SparkFun Opto-isolator Breakout</v>
      </c>
      <c r="F215" s="50" t="str">
        <f>RawList!D185</f>
        <v>BOB-09118</v>
      </c>
      <c r="G215" s="137">
        <f>RawList!E185</f>
        <v>8</v>
      </c>
      <c r="H215" s="50" t="str">
        <f>IF(EquipmentTable[[#This Row],[Units]]&gt;0,"Quantity &gt; 0 Items","Quantity = 0 Items")</f>
        <v>Quantity &gt; 0 Items</v>
      </c>
      <c r="I215" s="141">
        <f>RawList!J185</f>
        <v>4.95</v>
      </c>
      <c r="J215" s="24">
        <f>VALUE(EquipmentTable[[#This Row],[Units]]*EquipmentTable[[#This Row],[Unit
 Price]])</f>
        <v>39.6</v>
      </c>
      <c r="K215" s="50" t="str">
        <f>RawList!G185</f>
        <v>https://cdn.sparkfun.com/r/92-92/assets/parts/2/5/2/2/09118-02.jpg</v>
      </c>
      <c r="L215" s="50"/>
      <c r="M215" s="50" t="str">
        <f>RawList!F185</f>
        <v>https://www.sparkfun.com/products/9118</v>
      </c>
    </row>
    <row r="216" spans="2:13" x14ac:dyDescent="0.3">
      <c r="B216" s="50" t="str">
        <f>RawList!A186</f>
        <v>Secondary Component</v>
      </c>
      <c r="C216" s="50" t="str">
        <f>RawList!B186</f>
        <v>Signal Multiplexing/Conditioning</v>
      </c>
      <c r="D216" s="50" t="str">
        <f>RawList!C186</f>
        <v>Adafruit</v>
      </c>
      <c r="E216" s="50" t="str">
        <f>RawList!H186</f>
        <v xml:space="preserve">ADS1115 16-Bit ADC - 4 Channel with Programmable Gain Amplifier </v>
      </c>
      <c r="F216" s="50" t="str">
        <f>RawList!D186</f>
        <v>1085</v>
      </c>
      <c r="G216" s="137">
        <f>RawList!E186</f>
        <v>0</v>
      </c>
      <c r="H216" s="50" t="str">
        <f>IF(EquipmentTable[[#This Row],[Units]]&gt;0,"Quantity &gt; 0 Items","Quantity = 0 Items")</f>
        <v>Quantity = 0 Items</v>
      </c>
      <c r="I216" s="141">
        <f>RawList!J186</f>
        <v>14.95</v>
      </c>
      <c r="J216" s="24">
        <f>VALUE(EquipmentTable[[#This Row],[Units]]*EquipmentTable[[#This Row],[Unit
 Price]])</f>
        <v>0</v>
      </c>
      <c r="K216" s="50">
        <f>RawList!G186</f>
        <v>0</v>
      </c>
      <c r="L216" s="50"/>
      <c r="M216" s="50">
        <f>RawList!F186</f>
        <v>0</v>
      </c>
    </row>
    <row r="217" spans="2:13" x14ac:dyDescent="0.3">
      <c r="B217" s="50" t="str">
        <f>RawList!A187</f>
        <v>Secondary Component</v>
      </c>
      <c r="C217" s="50" t="str">
        <f>RawList!B187</f>
        <v>Signal Multiplexing/Conditioning</v>
      </c>
      <c r="D217" s="50" t="str">
        <f>RawList!C187</f>
        <v>Adafruit</v>
      </c>
      <c r="E217" s="50" t="str">
        <f>RawList!H187</f>
        <v xml:space="preserve">MCP3008 - 8-Channel 10-Bit ADC With SPI Interface </v>
      </c>
      <c r="F217" s="50" t="str">
        <f>RawList!D187</f>
        <v>856</v>
      </c>
      <c r="G217" s="137">
        <f>RawList!E187</f>
        <v>0</v>
      </c>
      <c r="H217" s="50" t="str">
        <f>IF(EquipmentTable[[#This Row],[Units]]&gt;0,"Quantity &gt; 0 Items","Quantity = 0 Items")</f>
        <v>Quantity = 0 Items</v>
      </c>
      <c r="I217" s="141">
        <f>RawList!J187</f>
        <v>3.75</v>
      </c>
      <c r="J217" s="24">
        <f>VALUE(EquipmentTable[[#This Row],[Units]]*EquipmentTable[[#This Row],[Unit
 Price]])</f>
        <v>0</v>
      </c>
      <c r="K217" s="50">
        <f>RawList!G187</f>
        <v>0</v>
      </c>
      <c r="L217" s="50"/>
      <c r="M217" s="50">
        <f>RawList!F187</f>
        <v>0</v>
      </c>
    </row>
    <row r="218" spans="2:13" x14ac:dyDescent="0.3">
      <c r="B218" s="50" t="str">
        <f>RawList!A188</f>
        <v>Secondary Component</v>
      </c>
      <c r="C218" s="50" t="str">
        <f>RawList!B188</f>
        <v>USB Cables/Adapters</v>
      </c>
      <c r="D218" s="50" t="str">
        <f>RawList!C188</f>
        <v>SparkFun</v>
      </c>
      <c r="E218" s="50" t="str">
        <f>RawList!H188</f>
        <v>USB OTG Cable - Female A to Micro A - 4\"</v>
      </c>
      <c r="F218" s="50" t="str">
        <f>RawList!D188</f>
        <v>CAB-11604</v>
      </c>
      <c r="G218" s="137">
        <f>RawList!E188</f>
        <v>0</v>
      </c>
      <c r="H218" s="50" t="str">
        <f>IF(EquipmentTable[[#This Row],[Units]]&gt;0,"Quantity &gt; 0 Items","Quantity = 0 Items")</f>
        <v>Quantity = 0 Items</v>
      </c>
      <c r="I218" s="141">
        <f>RawList!J188</f>
        <v>2.95</v>
      </c>
      <c r="J218" s="24">
        <f>VALUE(EquipmentTable[[#This Row],[Units]]*EquipmentTable[[#This Row],[Unit
 Price]])</f>
        <v>0</v>
      </c>
      <c r="K218" s="50" t="str">
        <f>RawList!G188</f>
        <v>https://cdn.sparkfun.com/r/92-92/assets/parts/7/6/2/8/11604-01.jpg</v>
      </c>
      <c r="L218" s="50"/>
      <c r="M218" s="50" t="str">
        <f>RawList!F188</f>
        <v>https://www.sparkfun.com/products/11604</v>
      </c>
    </row>
    <row r="219" spans="2:13" x14ac:dyDescent="0.3">
      <c r="B219" s="50" t="str">
        <f>RawList!A189</f>
        <v>Secondary Component</v>
      </c>
      <c r="C219" s="50" t="str">
        <f>RawList!B189</f>
        <v>USB Cables/Adapters</v>
      </c>
      <c r="D219" s="50" t="str">
        <f>RawList!C189</f>
        <v>SparkFun</v>
      </c>
      <c r="E219" s="50" t="str">
        <f>RawList!H189</f>
        <v>USB OTG Cable - Female A to Micro B - 5in</v>
      </c>
      <c r="F219" s="50" t="str">
        <f>RawList!D189</f>
        <v>CAB-14276</v>
      </c>
      <c r="G219" s="137">
        <f>RawList!E189</f>
        <v>0</v>
      </c>
      <c r="H219" s="50" t="str">
        <f>IF(EquipmentTable[[#This Row],[Units]]&gt;0,"Quantity &gt; 0 Items","Quantity = 0 Items")</f>
        <v>Quantity = 0 Items</v>
      </c>
      <c r="I219" s="141">
        <f>RawList!J189</f>
        <v>2.95</v>
      </c>
      <c r="J219" s="24">
        <f>VALUE(EquipmentTable[[#This Row],[Units]]*EquipmentTable[[#This Row],[Unit
 Price]])</f>
        <v>0</v>
      </c>
      <c r="K219" s="50" t="str">
        <f>RawList!G189</f>
        <v>https://cdn.sparkfun.com/r/92-92/assets/parts/1/2/2/3/1/14276-01.jpg</v>
      </c>
      <c r="L219" s="50"/>
      <c r="M219" s="50" t="str">
        <f>RawList!F189</f>
        <v>https://www.sparkfun.com/products/14276</v>
      </c>
    </row>
    <row r="220" spans="2:13" x14ac:dyDescent="0.3">
      <c r="B220" s="50" t="str">
        <f>RawList!A190</f>
        <v>Secondary Component</v>
      </c>
      <c r="C220" s="50" t="str">
        <f>RawList!B190</f>
        <v>USB Cables/Adapters</v>
      </c>
      <c r="D220" s="50" t="str">
        <f>RawList!C190</f>
        <v>Adafruit</v>
      </c>
      <c r="E220" s="50" t="str">
        <f>RawList!H190</f>
        <v>USB OTG Host Cable - MicroB OTG male to A female</v>
      </c>
      <c r="F220" s="50" t="str">
        <f>RawList!D190</f>
        <v>1099</v>
      </c>
      <c r="G220" s="137">
        <f>RawList!E190</f>
        <v>0</v>
      </c>
      <c r="H220" s="50" t="str">
        <f>IF(EquipmentTable[[#This Row],[Units]]&gt;0,"Quantity &gt; 0 Items","Quantity = 0 Items")</f>
        <v>Quantity = 0 Items</v>
      </c>
      <c r="I220" s="141">
        <f>RawList!J190</f>
        <v>2.5</v>
      </c>
      <c r="J220" s="24">
        <f>VALUE(EquipmentTable[[#This Row],[Units]]*EquipmentTable[[#This Row],[Unit
 Price]])</f>
        <v>0</v>
      </c>
      <c r="K220" s="50">
        <f>RawList!G190</f>
        <v>0</v>
      </c>
      <c r="L220" s="50"/>
      <c r="M220" s="50">
        <f>RawList!F190</f>
        <v>0</v>
      </c>
    </row>
    <row r="221" spans="2:13" x14ac:dyDescent="0.3">
      <c r="B221" s="50" t="str">
        <f>RawList!A191</f>
        <v>Secondary Component</v>
      </c>
      <c r="C221" s="50" t="str">
        <f>RawList!B191</f>
        <v>USB Cables/Adapters</v>
      </c>
      <c r="D221" s="50" t="str">
        <f>RawList!C191</f>
        <v>Adafruit</v>
      </c>
      <c r="E221" s="50" t="str">
        <f>RawList!H191</f>
        <v>Tiny OTG Adapter - USB Micro to USB</v>
      </c>
      <c r="F221" s="50" t="str">
        <f>RawList!D191</f>
        <v>2910</v>
      </c>
      <c r="G221" s="137">
        <f>RawList!E191</f>
        <v>5</v>
      </c>
      <c r="H221" s="50" t="str">
        <f>IF(EquipmentTable[[#This Row],[Units]]&gt;0,"Quantity &gt; 0 Items","Quantity = 0 Items")</f>
        <v>Quantity &gt; 0 Items</v>
      </c>
      <c r="I221" s="141">
        <f>RawList!J191</f>
        <v>2.95</v>
      </c>
      <c r="J221" s="24">
        <f>VALUE(EquipmentTable[[#This Row],[Units]]*EquipmentTable[[#This Row],[Unit
 Price]])</f>
        <v>14.75</v>
      </c>
      <c r="K221" s="50">
        <f>RawList!G191</f>
        <v>0</v>
      </c>
      <c r="L221" s="50"/>
      <c r="M221" s="50">
        <f>RawList!F191</f>
        <v>0</v>
      </c>
    </row>
    <row r="222" spans="2:13" x14ac:dyDescent="0.3">
      <c r="B222" s="50" t="str">
        <f>RawList!A192</f>
        <v>Secondary Component</v>
      </c>
      <c r="C222" s="50" t="str">
        <f>RawList!B192</f>
        <v>USB Cables/Adapters</v>
      </c>
      <c r="D222" s="50" t="str">
        <f>RawList!C192</f>
        <v>SparkFun</v>
      </c>
      <c r="E222" s="50" t="str">
        <f>RawList!H192</f>
        <v>USB to TTL Serial Cable</v>
      </c>
      <c r="F222" s="50" t="str">
        <f>RawList!D192</f>
        <v>CAB-12977</v>
      </c>
      <c r="G222" s="137">
        <f>RawList!E192</f>
        <v>1</v>
      </c>
      <c r="H222" s="50" t="str">
        <f>IF(EquipmentTable[[#This Row],[Units]]&gt;0,"Quantity &gt; 0 Items","Quantity = 0 Items")</f>
        <v>Quantity &gt; 0 Items</v>
      </c>
      <c r="I222" s="141">
        <f>RawList!J192</f>
        <v>9.9499999999999993</v>
      </c>
      <c r="J222" s="24">
        <f>VALUE(EquipmentTable[[#This Row],[Units]]*EquipmentTable[[#This Row],[Unit
 Price]])</f>
        <v>9.9499999999999993</v>
      </c>
      <c r="K222" s="50" t="str">
        <f>RawList!G192</f>
        <v>https://cdn.sparkfun.com/r/92-92/assets/parts/9/9/1/8/12977-00.jpg</v>
      </c>
      <c r="L222" s="50"/>
      <c r="M222" s="50" t="str">
        <f>RawList!F192</f>
        <v>https://www.sparkfun.com/products/12977</v>
      </c>
    </row>
    <row r="223" spans="2:13" x14ac:dyDescent="0.3">
      <c r="B223" s="50" t="str">
        <f>RawList!A193</f>
        <v>Secondary Component</v>
      </c>
      <c r="C223" s="50" t="str">
        <f>RawList!B193</f>
        <v>USB Cables/Adapters</v>
      </c>
      <c r="D223" s="50" t="str">
        <f>RawList!C193</f>
        <v>Adafruit</v>
      </c>
      <c r="E223" s="50" t="str">
        <f>RawList!H193</f>
        <v>USB Cable with Switch</v>
      </c>
      <c r="F223" s="50" t="str">
        <f>RawList!D193</f>
        <v>1620</v>
      </c>
      <c r="G223" s="137">
        <f>RawList!E193</f>
        <v>0</v>
      </c>
      <c r="H223" s="50" t="str">
        <f>IF(EquipmentTable[[#This Row],[Units]]&gt;0,"Quantity &gt; 0 Items","Quantity = 0 Items")</f>
        <v>Quantity = 0 Items</v>
      </c>
      <c r="I223" s="141">
        <f>RawList!J193</f>
        <v>2.95</v>
      </c>
      <c r="J223" s="24">
        <f>VALUE(EquipmentTable[[#This Row],[Units]]*EquipmentTable[[#This Row],[Unit
 Price]])</f>
        <v>0</v>
      </c>
      <c r="K223" s="50">
        <f>RawList!G193</f>
        <v>0</v>
      </c>
      <c r="L223" s="50"/>
      <c r="M223" s="50">
        <f>RawList!F193</f>
        <v>0</v>
      </c>
    </row>
    <row r="224" spans="2:13" x14ac:dyDescent="0.3">
      <c r="B224" s="50" t="str">
        <f>RawList!A194</f>
        <v>Secondary Component</v>
      </c>
      <c r="C224" s="50" t="str">
        <f>RawList!B194</f>
        <v>USB Cables/Adapters</v>
      </c>
      <c r="D224" s="50" t="str">
        <f>RawList!C194</f>
        <v>SparkFun</v>
      </c>
      <c r="E224" s="50" t="str">
        <f>RawList!H194</f>
        <v>SparkFun Cerberus USB Cable - 6ft</v>
      </c>
      <c r="F224" s="50" t="str">
        <f>RawList!D194</f>
        <v>CAB-12016</v>
      </c>
      <c r="G224" s="137">
        <f>RawList!E194</f>
        <v>1</v>
      </c>
      <c r="H224" s="50" t="str">
        <f>IF(EquipmentTable[[#This Row],[Units]]&gt;0,"Quantity &gt; 0 Items","Quantity = 0 Items")</f>
        <v>Quantity &gt; 0 Items</v>
      </c>
      <c r="I224" s="141">
        <f>RawList!J194</f>
        <v>6.97</v>
      </c>
      <c r="J224" s="24">
        <f>VALUE(EquipmentTable[[#This Row],[Units]]*EquipmentTable[[#This Row],[Unit
 Price]])</f>
        <v>6.97</v>
      </c>
      <c r="K224" s="50" t="str">
        <f>RawList!G194</f>
        <v>https://cdn.sparkfun.com/r/92-92/assets/parts/8/5/3/9/12016-01.jpg</v>
      </c>
      <c r="L224" s="50"/>
      <c r="M224" s="50" t="str">
        <f>RawList!F194</f>
        <v>https://www.sparkfun.com/products/12016</v>
      </c>
    </row>
    <row r="225" spans="2:13" x14ac:dyDescent="0.3">
      <c r="B225" s="50" t="str">
        <f>RawList!A195</f>
        <v>Secondary Component</v>
      </c>
      <c r="C225" s="50" t="str">
        <f>RawList!B195</f>
        <v>USB/Serial Interface Breakouts</v>
      </c>
      <c r="D225" s="50" t="str">
        <f>RawList!C195</f>
        <v>SparkFun</v>
      </c>
      <c r="E225" s="50" t="str">
        <f>RawList!H195</f>
        <v>SparkFun Serial Basic Breakout - CH340G</v>
      </c>
      <c r="F225" s="50" t="str">
        <f>RawList!D195</f>
        <v>DEV-14050</v>
      </c>
      <c r="G225" s="137">
        <f>RawList!E195</f>
        <v>5</v>
      </c>
      <c r="H225" s="50" t="str">
        <f>IF(EquipmentTable[[#This Row],[Units]]&gt;0,"Quantity &gt; 0 Items","Quantity = 0 Items")</f>
        <v>Quantity &gt; 0 Items</v>
      </c>
      <c r="I225" s="141">
        <f>RawList!J195</f>
        <v>6.95</v>
      </c>
      <c r="J225" s="24">
        <f>VALUE(EquipmentTable[[#This Row],[Units]]*EquipmentTable[[#This Row],[Unit
 Price]])</f>
        <v>34.75</v>
      </c>
      <c r="K225" s="50" t="str">
        <f>RawList!G195</f>
        <v>https://cdn.sparkfun.com/r/92-92/assets/parts/1/1/8/8/8/14050-01.jpg</v>
      </c>
      <c r="L225" s="50"/>
      <c r="M225" s="50" t="str">
        <f>RawList!F195</f>
        <v>https://www.sparkfun.com/products/14050</v>
      </c>
    </row>
    <row r="226" spans="2:13" x14ac:dyDescent="0.3">
      <c r="B226" s="50" t="str">
        <f>RawList!A196</f>
        <v>Secondary Component</v>
      </c>
      <c r="C226" s="50" t="str">
        <f>RawList!B196</f>
        <v>USB/Serial Interface Breakouts</v>
      </c>
      <c r="D226" s="50" t="str">
        <f>RawList!C196</f>
        <v>SparkFun</v>
      </c>
      <c r="E226" s="50" t="str">
        <f>RawList!H196</f>
        <v>SparkFun USB UART Serial Breakout - CY7C65213</v>
      </c>
      <c r="F226" s="50" t="str">
        <f>RawList!D196</f>
        <v>BOB-13830</v>
      </c>
      <c r="G226" s="137">
        <f>RawList!E196</f>
        <v>5</v>
      </c>
      <c r="H226" s="50" t="str">
        <f>IF(EquipmentTable[[#This Row],[Units]]&gt;0,"Quantity &gt; 0 Items","Quantity = 0 Items")</f>
        <v>Quantity &gt; 0 Items</v>
      </c>
      <c r="I226" s="141">
        <f>RawList!J196</f>
        <v>12.95</v>
      </c>
      <c r="J226" s="24">
        <f>VALUE(EquipmentTable[[#This Row],[Units]]*EquipmentTable[[#This Row],[Unit
 Price]])</f>
        <v>64.75</v>
      </c>
      <c r="K226" s="50" t="str">
        <f>RawList!G196</f>
        <v>https://cdn.sparkfun.com/r/92-92/assets/parts/1/1/4/2/7/13830-01.jpg</v>
      </c>
      <c r="L226" s="50"/>
      <c r="M226" s="50" t="str">
        <f>RawList!F196</f>
        <v>https://www.sparkfun.com/products/13830</v>
      </c>
    </row>
    <row r="227" spans="2:13" x14ac:dyDescent="0.3">
      <c r="B227" s="50" t="str">
        <f>RawList!A197</f>
        <v>Secondary Component</v>
      </c>
      <c r="C227" s="50" t="str">
        <f>RawList!B197</f>
        <v>USB/Serial Interface Breakouts</v>
      </c>
      <c r="D227" s="50" t="str">
        <f>RawList!C197</f>
        <v>SparkFun</v>
      </c>
      <c r="E227" s="50" t="str">
        <f>RawList!H197</f>
        <v>SparkFun USB to Serial Breakout - FT232RL</v>
      </c>
      <c r="F227" s="50" t="str">
        <f>RawList!D197</f>
        <v>BOB-12731</v>
      </c>
      <c r="G227" s="137">
        <f>RawList!E197</f>
        <v>0</v>
      </c>
      <c r="H227" s="50" t="str">
        <f>IF(EquipmentTable[[#This Row],[Units]]&gt;0,"Quantity &gt; 0 Items","Quantity = 0 Items")</f>
        <v>Quantity = 0 Items</v>
      </c>
      <c r="I227" s="141">
        <f>RawList!J197</f>
        <v>14.95</v>
      </c>
      <c r="J227" s="24">
        <f>VALUE(EquipmentTable[[#This Row],[Units]]*EquipmentTable[[#This Row],[Unit
 Price]])</f>
        <v>0</v>
      </c>
      <c r="K227" s="50" t="str">
        <f>RawList!G197</f>
        <v>https://cdn.sparkfun.com/r/92-92/assets/parts/9/4/9/6/12731-01.jpg</v>
      </c>
      <c r="L227" s="50"/>
      <c r="M227" s="50" t="str">
        <f>RawList!F197</f>
        <v>https://www.sparkfun.com/products/12731</v>
      </c>
    </row>
    <row r="228" spans="2:13" x14ac:dyDescent="0.3">
      <c r="B228" s="50" t="str">
        <f>RawList!A198</f>
        <v>Secondary Component</v>
      </c>
      <c r="C228" s="50" t="str">
        <f>RawList!B198</f>
        <v>USB/Serial Interface Breakouts</v>
      </c>
      <c r="D228" s="50" t="str">
        <f>RawList!C198</f>
        <v>SparkFun</v>
      </c>
      <c r="E228" s="50" t="str">
        <f>RawList!H198</f>
        <v>SparkFun FT231X Breakout</v>
      </c>
      <c r="F228" s="50" t="str">
        <f>RawList!D198</f>
        <v>BOB-13263</v>
      </c>
      <c r="G228" s="137">
        <f>RawList!E198</f>
        <v>1</v>
      </c>
      <c r="H228" s="50" t="str">
        <f>IF(EquipmentTable[[#This Row],[Units]]&gt;0,"Quantity &gt; 0 Items","Quantity = 0 Items")</f>
        <v>Quantity &gt; 0 Items</v>
      </c>
      <c r="I228" s="141">
        <f>RawList!J198</f>
        <v>11.95</v>
      </c>
      <c r="J228" s="24">
        <f>VALUE(EquipmentTable[[#This Row],[Units]]*EquipmentTable[[#This Row],[Unit
 Price]])</f>
        <v>11.95</v>
      </c>
      <c r="K228" s="50" t="str">
        <f>RawList!G198</f>
        <v>https://cdn.sparkfun.com/r/92-92/assets/parts/1/0/4/6/9/13263-01.jpg</v>
      </c>
      <c r="L228" s="50"/>
      <c r="M228" s="50" t="str">
        <f>RawList!F198</f>
        <v>https://www.sparkfun.com/products/13263</v>
      </c>
    </row>
    <row r="229" spans="2:13" hidden="1" x14ac:dyDescent="0.3">
      <c r="B229" s="50" t="str">
        <f>RawList!A200</f>
        <v>Advanced &amp; Optional Components</v>
      </c>
      <c r="C229" s="50" t="str">
        <f>RawList!B200</f>
        <v>Energy Harvesting</v>
      </c>
      <c r="D229" s="50" t="str">
        <f>RawList!C200</f>
        <v>SparkFun</v>
      </c>
      <c r="E229" s="50" t="str">
        <f>RawList!H200</f>
        <v>SparkFun Sunny Buddy - MPPT Solar Charger</v>
      </c>
      <c r="F229" s="50" t="str">
        <f>RawList!D200</f>
        <v>PRT-12885</v>
      </c>
      <c r="G229" s="137">
        <f>RawList!E200</f>
        <v>1</v>
      </c>
      <c r="H229" s="50" t="str">
        <f>IF(EquipmentTable[[#This Row],[Units]]&gt;0,"Quantity &gt; 0 Items","Quantity = 0 Items")</f>
        <v>Quantity &gt; 0 Items</v>
      </c>
      <c r="I229" s="57">
        <f>RawList!J200</f>
        <v>24.95</v>
      </c>
      <c r="J229" s="24">
        <f>VALUE(EquipmentTable[[#This Row],[Units]]*EquipmentTable[[#This Row],[Unit
 Price]])</f>
        <v>24.95</v>
      </c>
      <c r="K229" s="50" t="str">
        <f>RawList!G200</f>
        <v>https://cdn.sparkfun.com/r/92-92/assets/parts/9/7/7/2/12885-01.jpg</v>
      </c>
      <c r="L229" s="50"/>
      <c r="M229" s="50" t="str">
        <f>RawList!F200</f>
        <v>https://www.sparkfun.com/products/12885</v>
      </c>
    </row>
    <row r="230" spans="2:13" hidden="1" x14ac:dyDescent="0.3">
      <c r="B230" s="50" t="str">
        <f>RawList!A200</f>
        <v>Advanced &amp; Optional Components</v>
      </c>
      <c r="C230" s="50" t="str">
        <f>RawList!B200</f>
        <v>Energy Harvesting</v>
      </c>
      <c r="D230" s="50" t="str">
        <f>RawList!C200</f>
        <v>SparkFun</v>
      </c>
      <c r="E230" s="50" t="str">
        <f>RawList!H200</f>
        <v>SparkFun Sunny Buddy - MPPT Solar Charger</v>
      </c>
      <c r="F230" s="50" t="str">
        <f>RawList!D200</f>
        <v>PRT-12885</v>
      </c>
      <c r="G230" s="137">
        <f>RawList!E200</f>
        <v>1</v>
      </c>
      <c r="H230" s="50" t="str">
        <f>IF(EquipmentTable[[#This Row],[Units]]&gt;0,"Quantity &gt; 0 Items","Quantity = 0 Items")</f>
        <v>Quantity &gt; 0 Items</v>
      </c>
      <c r="I230" s="141">
        <f>RawList!J200</f>
        <v>24.95</v>
      </c>
      <c r="J230" s="24">
        <f>VALUE(EquipmentTable[[#This Row],[Units]]*EquipmentTable[[#This Row],[Unit
 Price]])</f>
        <v>24.95</v>
      </c>
      <c r="K230" s="50" t="str">
        <f>RawList!G200</f>
        <v>https://cdn.sparkfun.com/r/92-92/assets/parts/9/7/7/2/12885-01.jpg</v>
      </c>
      <c r="L230" s="50"/>
      <c r="M230" s="50" t="str">
        <f>RawList!F200</f>
        <v>https://www.sparkfun.com/products/12885</v>
      </c>
    </row>
    <row r="231" spans="2:13" hidden="1" x14ac:dyDescent="0.3">
      <c r="B231" s="50" t="str">
        <f>RawList!A201</f>
        <v>Advanced &amp; Optional Components</v>
      </c>
      <c r="C231" s="50" t="str">
        <f>RawList!B201</f>
        <v>GPS Logging/Fencing</v>
      </c>
      <c r="D231" s="50" t="str">
        <f>RawList!C201</f>
        <v>SparkFun</v>
      </c>
      <c r="E231" s="50" t="str">
        <f>RawList!H201</f>
        <v>Antenna GPS Embedded SMA</v>
      </c>
      <c r="F231" s="50" t="str">
        <f>RawList!D201</f>
        <v>GPS-00177</v>
      </c>
      <c r="G231" s="137">
        <f>RawList!E201</f>
        <v>1</v>
      </c>
      <c r="H231" s="50" t="str">
        <f>IF(EquipmentTable[[#This Row],[Units]]&gt;0,"Quantity &gt; 0 Items","Quantity = 0 Items")</f>
        <v>Quantity &gt; 0 Items</v>
      </c>
      <c r="I231" s="141">
        <f>RawList!J201</f>
        <v>11.95</v>
      </c>
      <c r="J231" s="24">
        <f>VALUE(EquipmentTable[[#This Row],[Units]]*EquipmentTable[[#This Row],[Unit
 Price]])</f>
        <v>11.95</v>
      </c>
      <c r="K231" s="50" t="str">
        <f>RawList!G201</f>
        <v>https://cdn.sparkfun.com/r/92-92/assets/parts/1/4/7/00177-01.jpg</v>
      </c>
      <c r="L231" s="50"/>
      <c r="M231" s="50" t="str">
        <f>RawList!F201</f>
        <v>https://www.sparkfun.com/products/177</v>
      </c>
    </row>
    <row r="232" spans="2:13" hidden="1" x14ac:dyDescent="0.3">
      <c r="B232" s="50" t="str">
        <f>RawList!A202</f>
        <v>Advanced &amp; Optional Components</v>
      </c>
      <c r="C232" s="50" t="str">
        <f>RawList!B202</f>
        <v>GPS Logging/Fencing</v>
      </c>
      <c r="D232" s="50" t="str">
        <f>RawList!C202</f>
        <v>SparkFun</v>
      </c>
      <c r="E232" s="50" t="str">
        <f>RawList!H202</f>
        <v>GeoFence - GPS Boundary Widget</v>
      </c>
      <c r="F232" s="50" t="str">
        <f>RawList!D202</f>
        <v>SPX-14416</v>
      </c>
      <c r="G232" s="137">
        <f>RawList!E202</f>
        <v>1</v>
      </c>
      <c r="H232" s="50" t="str">
        <f>IF(EquipmentTable[[#This Row],[Units]]&gt;0,"Quantity &gt; 0 Items","Quantity = 0 Items")</f>
        <v>Quantity &gt; 0 Items</v>
      </c>
      <c r="I232" s="141">
        <f>RawList!J202</f>
        <v>49.95</v>
      </c>
      <c r="J232" s="24">
        <f>VALUE(EquipmentTable[[#This Row],[Units]]*EquipmentTable[[#This Row],[Unit
 Price]])</f>
        <v>49.95</v>
      </c>
      <c r="K232" s="50" t="str">
        <f>RawList!G202</f>
        <v>https://cdn.sparkfun.com/r/92-92/assets/parts/1/2/4/4/2/20170801_112457_Scaled.jpg</v>
      </c>
      <c r="L232" s="50"/>
      <c r="M232" s="50" t="str">
        <f>RawList!F202</f>
        <v>https://www.sparkfun.com/products/14416</v>
      </c>
    </row>
    <row r="233" spans="2:13" hidden="1" x14ac:dyDescent="0.3">
      <c r="B233" s="50" t="str">
        <f>RawList!A203</f>
        <v>Advanced &amp; Optional Components</v>
      </c>
      <c r="C233" s="50" t="str">
        <f>RawList!B203</f>
        <v>GPS Logging/Fencing</v>
      </c>
      <c r="D233" s="50" t="str">
        <f>RawList!C203</f>
        <v>SparkFun</v>
      </c>
      <c r="E233" s="50" t="str">
        <f>RawList!H203</f>
        <v>SparkFun GPS Logger Shield</v>
      </c>
      <c r="F233" s="50" t="str">
        <f>RawList!D203</f>
        <v>GPS-13750</v>
      </c>
      <c r="G233" s="137">
        <f>RawList!E203</f>
        <v>0</v>
      </c>
      <c r="H233" s="50" t="str">
        <f>IF(EquipmentTable[[#This Row],[Units]]&gt;0,"Quantity &gt; 0 Items","Quantity = 0 Items")</f>
        <v>Quantity = 0 Items</v>
      </c>
      <c r="I233" s="141">
        <f>RawList!J203</f>
        <v>44.95</v>
      </c>
      <c r="J233" s="24">
        <f>VALUE(EquipmentTable[[#This Row],[Units]]*EquipmentTable[[#This Row],[Unit
 Price]])</f>
        <v>0</v>
      </c>
      <c r="K233" s="50" t="str">
        <f>RawList!G203</f>
        <v>https://cdn.sparkfun.com/r/92-92/assets/parts/1/1/2/8/4/13750-01.jpg</v>
      </c>
      <c r="L233" s="50"/>
      <c r="M233" s="50" t="str">
        <f>RawList!F203</f>
        <v>https://www.sparkfun.com/products/13750</v>
      </c>
    </row>
    <row r="234" spans="2:13" hidden="1" x14ac:dyDescent="0.3">
      <c r="B234" s="50" t="str">
        <f>RawList!A204</f>
        <v>Advanced &amp; Optional Components</v>
      </c>
      <c r="C234" s="50" t="str">
        <f>RawList!B204</f>
        <v>GPS Logging/Fencing</v>
      </c>
      <c r="D234" s="50" t="str">
        <f>RawList!C204</f>
        <v>SparkFun</v>
      </c>
      <c r="E234" s="50" t="str">
        <f>RawList!H204</f>
        <v>SparkFun Venus GPS Logger - SMA Connector</v>
      </c>
      <c r="F234" s="50" t="str">
        <f>RawList!D204</f>
        <v>GPS-10920</v>
      </c>
      <c r="G234" s="137">
        <f>RawList!E204</f>
        <v>1</v>
      </c>
      <c r="H234" s="50" t="str">
        <f>IF(EquipmentTable[[#This Row],[Units]]&gt;0,"Quantity &gt; 0 Items","Quantity = 0 Items")</f>
        <v>Quantity &gt; 0 Items</v>
      </c>
      <c r="I234" s="141">
        <f>RawList!J204</f>
        <v>59.95</v>
      </c>
      <c r="J234" s="24">
        <f>VALUE(EquipmentTable[[#This Row],[Units]]*EquipmentTable[[#This Row],[Unit
 Price]])</f>
        <v>59.95</v>
      </c>
      <c r="K234" s="50" t="str">
        <f>RawList!G204</f>
        <v>https://cdn.sparkfun.com/r/92-92/assets/parts/6/0/5/3/10920-01a.jpg</v>
      </c>
      <c r="L234" s="50"/>
      <c r="M234" s="50" t="str">
        <f>RawList!F204</f>
        <v>https://www.sparkfun.com/products/10920</v>
      </c>
    </row>
    <row r="235" spans="2:13" hidden="1" x14ac:dyDescent="0.3">
      <c r="B235" s="50" t="str">
        <f>RawList!A206</f>
        <v>Advanced &amp; Optional Components</v>
      </c>
      <c r="C235" s="50" t="str">
        <f>RawList!B206</f>
        <v>GSM/Cellular Communication</v>
      </c>
      <c r="D235" s="50" t="str">
        <f>RawList!C206</f>
        <v>Adafruit</v>
      </c>
      <c r="E235" s="50" t="str">
        <f>RawList!H206</f>
        <v>Adafruit FONA 800 Shield - Voice/Data Cellular GSM for Arduino</v>
      </c>
      <c r="F235" s="50" t="str">
        <f>RawList!D206</f>
        <v>2468</v>
      </c>
      <c r="G235" s="137">
        <f>RawList!E206</f>
        <v>1</v>
      </c>
      <c r="H235" s="50" t="str">
        <f>IF(EquipmentTable[[#This Row],[Units]]&gt;0,"Quantity &gt; 0 Items","Quantity = 0 Items")</f>
        <v>Quantity &gt; 0 Items</v>
      </c>
      <c r="I235" s="57">
        <f>RawList!J206</f>
        <v>39.950000000000003</v>
      </c>
      <c r="J235" s="24">
        <f>VALUE(EquipmentTable[[#This Row],[Units]]*EquipmentTable[[#This Row],[Unit
 Price]])</f>
        <v>39.950000000000003</v>
      </c>
      <c r="K235" s="50">
        <f>RawList!G206</f>
        <v>0</v>
      </c>
      <c r="L235" s="50"/>
      <c r="M235" s="50">
        <f>RawList!F206</f>
        <v>0</v>
      </c>
    </row>
    <row r="236" spans="2:13" hidden="1" x14ac:dyDescent="0.3">
      <c r="B236" s="50" t="str">
        <f>RawList!A207</f>
        <v>Advanced &amp; Optional Components</v>
      </c>
      <c r="C236" s="50" t="str">
        <f>RawList!B207</f>
        <v>GSM/Cellular Communication</v>
      </c>
      <c r="D236" s="50" t="str">
        <f>RawList!C207</f>
        <v>Adafruit</v>
      </c>
      <c r="E236" s="50" t="str">
        <f>RawList!H207</f>
        <v>GSM 2G SIM Card from Ting &amp; Adafruit - Data/Voice/Text USA Only</v>
      </c>
      <c r="F236" s="50" t="str">
        <f>RawList!D207</f>
        <v>2505</v>
      </c>
      <c r="G236" s="137">
        <f>RawList!E207</f>
        <v>1</v>
      </c>
      <c r="H236" s="50" t="str">
        <f>IF(EquipmentTable[[#This Row],[Units]]&gt;0,"Quantity &gt; 0 Items","Quantity = 0 Items")</f>
        <v>Quantity &gt; 0 Items</v>
      </c>
      <c r="I236" s="57">
        <f>RawList!J207</f>
        <v>9</v>
      </c>
      <c r="J236" s="24">
        <f>VALUE(EquipmentTable[[#This Row],[Units]]*EquipmentTable[[#This Row],[Unit
 Price]])</f>
        <v>9</v>
      </c>
      <c r="K236" s="50">
        <f>RawList!G207</f>
        <v>0</v>
      </c>
      <c r="L236" s="50"/>
      <c r="M236" s="50">
        <f>RawList!F207</f>
        <v>0</v>
      </c>
    </row>
    <row r="237" spans="2:13" hidden="1" x14ac:dyDescent="0.3">
      <c r="B237" s="50" t="str">
        <f>RawList!A208</f>
        <v>Advanced &amp; Optional Components</v>
      </c>
      <c r="C237" s="50" t="str">
        <f>RawList!B208</f>
        <v>GSM/Cellular Communication</v>
      </c>
      <c r="D237" s="50" t="str">
        <f>RawList!C208</f>
        <v>Adafruit</v>
      </c>
      <c r="E237" s="50" t="str">
        <f>RawList!H208</f>
        <v>Slim Sticker-type GSM/Cellular Quad-Band Antenna - 3dBi uFL</v>
      </c>
      <c r="F237" s="50" t="str">
        <f>RawList!D208</f>
        <v>1991</v>
      </c>
      <c r="G237" s="137">
        <f>RawList!E208</f>
        <v>1</v>
      </c>
      <c r="H237" s="50" t="str">
        <f>IF(EquipmentTable[[#This Row],[Units]]&gt;0,"Quantity &gt; 0 Items","Quantity = 0 Items")</f>
        <v>Quantity &gt; 0 Items</v>
      </c>
      <c r="I237" s="57">
        <f>RawList!J208</f>
        <v>2.95</v>
      </c>
      <c r="J237" s="24">
        <f>VALUE(EquipmentTable[[#This Row],[Units]]*EquipmentTable[[#This Row],[Unit
 Price]])</f>
        <v>2.95</v>
      </c>
      <c r="K237" s="50">
        <f>RawList!G208</f>
        <v>0</v>
      </c>
      <c r="L237" s="50"/>
      <c r="M237" s="50">
        <f>RawList!F208</f>
        <v>0</v>
      </c>
    </row>
    <row r="238" spans="2:13" hidden="1" x14ac:dyDescent="0.3">
      <c r="B238" s="50" t="str">
        <f>RawList!A209</f>
        <v>Advanced &amp; Optional Components</v>
      </c>
      <c r="C238" s="50" t="str">
        <f>RawList!B209</f>
        <v>High-Precision Compass</v>
      </c>
      <c r="D238" s="50" t="str">
        <f>RawList!C209</f>
        <v>SparkFun</v>
      </c>
      <c r="E238" s="50" t="str">
        <f>RawList!H209</f>
        <v>SparkFun HMC6343 Breakout</v>
      </c>
      <c r="F238" s="50" t="str">
        <f>RawList!D209</f>
        <v>SEN-12916</v>
      </c>
      <c r="G238" s="137">
        <f>RawList!E209</f>
        <v>1</v>
      </c>
      <c r="H238" s="50" t="str">
        <f>IF(EquipmentTable[[#This Row],[Units]]&gt;0,"Quantity &gt; 0 Items","Quantity = 0 Items")</f>
        <v>Quantity &gt; 0 Items</v>
      </c>
      <c r="I238" s="57">
        <f>RawList!J209</f>
        <v>149.94999999999999</v>
      </c>
      <c r="J238" s="24">
        <f>VALUE(EquipmentTable[[#This Row],[Units]]*EquipmentTable[[#This Row],[Unit
 Price]])</f>
        <v>149.94999999999999</v>
      </c>
      <c r="K238" s="50" t="str">
        <f>RawList!G209</f>
        <v>https://cdn.sparkfun.com/r/92-92/assets/parts/9/8/2/8/12916-01.jpg</v>
      </c>
      <c r="L238" s="50"/>
      <c r="M238" s="50" t="str">
        <f>RawList!F209</f>
        <v>https://www.sparkfun.com/products/12916</v>
      </c>
    </row>
    <row r="239" spans="2:13" hidden="1" x14ac:dyDescent="0.3">
      <c r="B239" s="50" t="str">
        <f>RawList!A209</f>
        <v>Advanced &amp; Optional Components</v>
      </c>
      <c r="C239" s="50" t="str">
        <f>RawList!B209</f>
        <v>High-Precision Compass</v>
      </c>
      <c r="D239" s="50" t="str">
        <f>RawList!C209</f>
        <v>SparkFun</v>
      </c>
      <c r="E239" s="50" t="str">
        <f>RawList!H209</f>
        <v>SparkFun HMC6343 Breakout</v>
      </c>
      <c r="F239" s="50" t="str">
        <f>RawList!D209</f>
        <v>SEN-12916</v>
      </c>
      <c r="G239" s="137">
        <f>RawList!E209</f>
        <v>1</v>
      </c>
      <c r="H239" s="50" t="str">
        <f>IF(EquipmentTable[[#This Row],[Units]]&gt;0,"Quantity &gt; 0 Items","Quantity = 0 Items")</f>
        <v>Quantity &gt; 0 Items</v>
      </c>
      <c r="I239" s="141">
        <f>RawList!J209</f>
        <v>149.94999999999999</v>
      </c>
      <c r="J239" s="24">
        <f>VALUE(EquipmentTable[[#This Row],[Units]]*EquipmentTable[[#This Row],[Unit
 Price]])</f>
        <v>149.94999999999999</v>
      </c>
      <c r="K239" s="50" t="str">
        <f>RawList!G210</f>
        <v>https://cdn.sparkfun.com/r/92-92/assets/parts/1/1/8/7/0/14043-01.jpg</v>
      </c>
      <c r="L239" s="50"/>
      <c r="M239" s="50" t="str">
        <f>RawList!F210</f>
        <v>https://www.sparkfun.com/products/14043</v>
      </c>
    </row>
    <row r="240" spans="2:13" hidden="1" x14ac:dyDescent="0.3">
      <c r="B240" s="50" t="str">
        <f>RawList!A210</f>
        <v>Advanced &amp; Optional Components</v>
      </c>
      <c r="C240" s="50" t="str">
        <f>RawList!B210</f>
        <v>Lidar</v>
      </c>
      <c r="D240" s="50" t="str">
        <f>RawList!C210</f>
        <v>SparkFun</v>
      </c>
      <c r="E240" s="50" t="str">
        <f>RawList!H210</f>
        <v>LIDAR-Lite Accessory Cable</v>
      </c>
      <c r="F240" s="50" t="str">
        <f>RawList!D210</f>
        <v>CAB-14043</v>
      </c>
      <c r="G240" s="137">
        <f>RawList!E210</f>
        <v>1</v>
      </c>
      <c r="H240" s="50" t="str">
        <f>IF(EquipmentTable[[#This Row],[Units]]&gt;0,"Quantity &gt; 0 Items","Quantity = 0 Items")</f>
        <v>Quantity &gt; 0 Items</v>
      </c>
      <c r="I240" s="141">
        <f>RawList!J210</f>
        <v>4.95</v>
      </c>
      <c r="J240" s="24">
        <f>VALUE(EquipmentTable[[#This Row],[Units]]*EquipmentTable[[#This Row],[Unit
 Price]])</f>
        <v>4.95</v>
      </c>
      <c r="K240" s="50" t="str">
        <f>RawList!G210</f>
        <v>https://cdn.sparkfun.com/r/92-92/assets/parts/1/1/8/7/0/14043-01.jpg</v>
      </c>
      <c r="L240" s="50"/>
      <c r="M240" s="50" t="str">
        <f>RawList!F210</f>
        <v>https://www.sparkfun.com/products/14043</v>
      </c>
    </row>
    <row r="241" spans="2:13" hidden="1" x14ac:dyDescent="0.3">
      <c r="B241" s="50" t="str">
        <f>RawList!A211</f>
        <v>Advanced &amp; Optional Components</v>
      </c>
      <c r="C241" s="50" t="str">
        <f>RawList!B211</f>
        <v>Lidar</v>
      </c>
      <c r="D241" s="50" t="str">
        <f>RawList!C211</f>
        <v>SparkFun</v>
      </c>
      <c r="E241" s="50" t="str">
        <f>RawList!H211</f>
        <v>Scanse Sweep</v>
      </c>
      <c r="F241" s="50" t="str">
        <f>RawList!D211</f>
        <v>SEN-14117</v>
      </c>
      <c r="G241" s="137">
        <f>RawList!E211</f>
        <v>1</v>
      </c>
      <c r="H241" s="50" t="str">
        <f>IF(EquipmentTable[[#This Row],[Units]]&gt;0,"Quantity &gt; 0 Items","Quantity = 0 Items")</f>
        <v>Quantity &gt; 0 Items</v>
      </c>
      <c r="I241" s="141">
        <f>RawList!J211</f>
        <v>349</v>
      </c>
      <c r="J241" s="24">
        <f>VALUE(EquipmentTable[[#This Row],[Units]]*EquipmentTable[[#This Row],[Unit
 Price]])</f>
        <v>349</v>
      </c>
      <c r="K241" s="50" t="str">
        <f>RawList!G211</f>
        <v>https://cdn.sparkfun.com/r/92-92/assets/parts/1/2/0/0/3/14117-04a.jpg</v>
      </c>
      <c r="L241" s="50"/>
      <c r="M241" s="50" t="str">
        <f>RawList!F211</f>
        <v>https://www.sparkfun.com/products/14117</v>
      </c>
    </row>
    <row r="242" spans="2:13" hidden="1" x14ac:dyDescent="0.3">
      <c r="B242" s="50" t="str">
        <f>RawList!A212</f>
        <v>Advanced &amp; Optional Components</v>
      </c>
      <c r="C242" s="50" t="str">
        <f>RawList!B212</f>
        <v>Lidar</v>
      </c>
      <c r="D242" s="50" t="str">
        <f>RawList!C212</f>
        <v>SparkFun</v>
      </c>
      <c r="E242" s="50" t="str">
        <f>RawList!H212</f>
        <v xml:space="preserve">Slip Ring - 6 Wire (2A) </v>
      </c>
      <c r="F242" s="50" t="str">
        <f>RawList!D212</f>
        <v>ROB-13064</v>
      </c>
      <c r="G242" s="137">
        <f>RawList!E212</f>
        <v>1</v>
      </c>
      <c r="H242" s="50" t="str">
        <f>IF(EquipmentTable[[#This Row],[Units]]&gt;0,"Quantity &gt; 0 Items","Quantity = 0 Items")</f>
        <v>Quantity &gt; 0 Items</v>
      </c>
      <c r="I242" s="141">
        <f>RawList!J212</f>
        <v>14.95</v>
      </c>
      <c r="J242" s="24">
        <f>VALUE(EquipmentTable[[#This Row],[Units]]*EquipmentTable[[#This Row],[Unit
 Price]])</f>
        <v>14.95</v>
      </c>
      <c r="K242" s="50" t="str">
        <f>RawList!G212</f>
        <v>https://cdn.sparkfun.com/r/92-92/assets/parts/1/0/0/9/5/13064-01.jpg</v>
      </c>
      <c r="L242" s="50"/>
      <c r="M242" s="50" t="str">
        <f>RawList!F212</f>
        <v>https://www.sparkfun.com/products/13064</v>
      </c>
    </row>
    <row r="243" spans="2:13" hidden="1" x14ac:dyDescent="0.3">
      <c r="B243" s="50" t="str">
        <f>RawList!A213</f>
        <v>Advanced &amp; Optional Components</v>
      </c>
      <c r="C243" s="50" t="str">
        <f>RawList!B213</f>
        <v>Movement/IMU</v>
      </c>
      <c r="D243" s="50" t="str">
        <f>RawList!C213</f>
        <v>SparkFun</v>
      </c>
      <c r="E243" s="50" t="str">
        <f>RawList!H213</f>
        <v>SparkFun 9DoF IMU Breakout - LSM9DS1</v>
      </c>
      <c r="F243" s="50" t="str">
        <f>RawList!D213</f>
        <v>SEN-13284</v>
      </c>
      <c r="G243" s="137">
        <f>RawList!E213</f>
        <v>1</v>
      </c>
      <c r="H243" s="50" t="str">
        <f>IF(EquipmentTable[[#This Row],[Units]]&gt;0,"Quantity &gt; 0 Items","Quantity = 0 Items")</f>
        <v>Quantity &gt; 0 Items</v>
      </c>
      <c r="I243" s="141">
        <f>RawList!J213</f>
        <v>24.95</v>
      </c>
      <c r="J243" s="24">
        <f>VALUE(EquipmentTable[[#This Row],[Units]]*EquipmentTable[[#This Row],[Unit
 Price]])</f>
        <v>24.95</v>
      </c>
      <c r="K243" s="50" t="str">
        <f>RawList!G213</f>
        <v>https://cdn.sparkfun.com/r/92-92/assets/parts/1/0/5/3/3/13284-02.jpg</v>
      </c>
      <c r="L243" s="50"/>
      <c r="M243" s="50" t="str">
        <f>RawList!F213</f>
        <v>https://www.sparkfun.com/products/13284</v>
      </c>
    </row>
    <row r="244" spans="2:13" hidden="1" x14ac:dyDescent="0.3">
      <c r="B244" s="50" t="str">
        <f>RawList!A215</f>
        <v>Advanced &amp; Optional Components</v>
      </c>
      <c r="C244" s="50" t="str">
        <f>RawList!B215</f>
        <v>User Interface, Touchscreen</v>
      </c>
      <c r="D244" s="50" t="str">
        <f>RawList!C215</f>
        <v>SparkFun</v>
      </c>
      <c r="E244" s="50" t="str">
        <f>RawList!H215</f>
        <v>Display Module - 7\" Touchscreen LCD</v>
      </c>
      <c r="F244" s="50" t="str">
        <f>RawList!D215</f>
        <v>LCD-12725</v>
      </c>
      <c r="G244" s="137">
        <f>RawList!E215</f>
        <v>0</v>
      </c>
      <c r="H244" s="50" t="str">
        <f>IF(EquipmentTable[[#This Row],[Units]]&gt;0,"Quantity &gt; 0 Items","Quantity = 0 Items")</f>
        <v>Quantity = 0 Items</v>
      </c>
      <c r="I244" s="57">
        <f>RawList!J215</f>
        <v>179.95</v>
      </c>
      <c r="J244" s="24">
        <f>VALUE(EquipmentTable[[#This Row],[Units]]*EquipmentTable[[#This Row],[Unit
 Price]])</f>
        <v>0</v>
      </c>
      <c r="K244" s="50" t="str">
        <f>RawList!G215</f>
        <v>https://cdn.sparkfun.com/r/92-92/assets/parts/9/4/8/2/12725-01.jpg</v>
      </c>
      <c r="L244" s="50"/>
      <c r="M244" s="50" t="str">
        <f>RawList!F215</f>
        <v>https://www.sparkfun.com/products/12725</v>
      </c>
    </row>
    <row r="245" spans="2:13" hidden="1" x14ac:dyDescent="0.3">
      <c r="B245" s="50" t="str">
        <f>RawList!A216</f>
        <v>Advanced &amp; Optional Components</v>
      </c>
      <c r="C245" s="50" t="str">
        <f>RawList!B216</f>
        <v>User Interface, Touchscreen</v>
      </c>
      <c r="D245" s="50" t="str">
        <f>RawList!C216</f>
        <v>SparkFun</v>
      </c>
      <c r="E245" s="50" t="str">
        <f>RawList!H216</f>
        <v>Arduino Display Module - 3.2\" Touchscreen LCD</v>
      </c>
      <c r="F245" s="50" t="str">
        <f>RawList!D216</f>
        <v>LCD-11741</v>
      </c>
      <c r="G245" s="137">
        <f>RawList!E216</f>
        <v>1</v>
      </c>
      <c r="H245" s="50" t="str">
        <f>IF(EquipmentTable[[#This Row],[Units]]&gt;0,"Quantity &gt; 0 Items","Quantity = 0 Items")</f>
        <v>Quantity &gt; 0 Items</v>
      </c>
      <c r="I245" s="57">
        <f>RawList!J216</f>
        <v>84.95</v>
      </c>
      <c r="J245" s="24">
        <f>VALUE(EquipmentTable[[#This Row],[Units]]*EquipmentTable[[#This Row],[Unit
 Price]])</f>
        <v>84.95</v>
      </c>
      <c r="K245" s="50" t="str">
        <f>RawList!G216</f>
        <v>https://cdn.sparkfun.com/r/92-92/assets/parts/7/9/6/3/11741-01a.jpg</v>
      </c>
      <c r="L245" s="50"/>
      <c r="M245" s="50" t="str">
        <f>RawList!F216</f>
        <v>https://www.sparkfun.com/products/11741</v>
      </c>
    </row>
    <row r="246" spans="2:13" hidden="1" x14ac:dyDescent="0.3">
      <c r="B246" s="50" t="str">
        <f>RawList!A217</f>
        <v>Advanced &amp; Optional Components</v>
      </c>
      <c r="C246" s="50" t="str">
        <f>RawList!B217</f>
        <v>User Interface, Touchscreen</v>
      </c>
      <c r="D246" s="50" t="str">
        <f>RawList!C217</f>
        <v>SparkFun</v>
      </c>
      <c r="E246" s="50" t="str">
        <f>RawList!H217</f>
        <v>Serial TFT LCD - 3.2\" with Touchscreen (uLCD-32PTU-GFX)</v>
      </c>
      <c r="F246" s="50" t="str">
        <f>RawList!D217</f>
        <v>LCD-11677</v>
      </c>
      <c r="G246" s="137">
        <f>RawList!E217</f>
        <v>0</v>
      </c>
      <c r="H246" s="50" t="str">
        <f>IF(EquipmentTable[[#This Row],[Units]]&gt;0,"Quantity &gt; 0 Items","Quantity = 0 Items")</f>
        <v>Quantity = 0 Items</v>
      </c>
      <c r="I246" s="57">
        <f>RawList!J217</f>
        <v>84.95</v>
      </c>
      <c r="J246" s="24">
        <f>VALUE(EquipmentTable[[#This Row],[Units]]*EquipmentTable[[#This Row],[Unit
 Price]])</f>
        <v>0</v>
      </c>
      <c r="K246" s="50" t="str">
        <f>RawList!G217</f>
        <v>https://cdn.sparkfun.com/r/92-92/assets/parts/7/7/7/7/11677-01.jpg</v>
      </c>
      <c r="L246" s="50"/>
      <c r="M246" s="50" t="str">
        <f>RawList!F217</f>
        <v>https://www.sparkfun.com/products/11677</v>
      </c>
    </row>
    <row r="247" spans="2:13" hidden="1" x14ac:dyDescent="0.3">
      <c r="B247" s="50" t="str">
        <f>RawList!A218</f>
        <v>Advanced &amp; Optional Components</v>
      </c>
      <c r="C247" s="50" t="str">
        <f>RawList!B218</f>
        <v>User Interface, Touchscreen</v>
      </c>
      <c r="D247" s="50" t="str">
        <f>RawList!C218</f>
        <v>Adafruit</v>
      </c>
      <c r="E247" s="50" t="str">
        <f>RawList!H218</f>
        <v>2.8" TFT LCD with Cap Touch Breakout Board w/MicroSD Socket</v>
      </c>
      <c r="F247" s="50" t="str">
        <f>RawList!D218</f>
        <v>2090</v>
      </c>
      <c r="G247" s="137">
        <f>RawList!E218</f>
        <v>0</v>
      </c>
      <c r="H247" s="50" t="str">
        <f>IF(EquipmentTable[[#This Row],[Units]]&gt;0,"Quantity &gt; 0 Items","Quantity = 0 Items")</f>
        <v>Quantity = 0 Items</v>
      </c>
      <c r="I247" s="57">
        <f>RawList!J218</f>
        <v>39.950000000000003</v>
      </c>
      <c r="J247" s="24">
        <f>VALUE(EquipmentTable[[#This Row],[Units]]*EquipmentTable[[#This Row],[Unit
 Price]])</f>
        <v>0</v>
      </c>
      <c r="K247" s="50">
        <f>RawList!G218</f>
        <v>0</v>
      </c>
      <c r="L247" s="50"/>
      <c r="M247" s="50">
        <f>RawList!F218</f>
        <v>0</v>
      </c>
    </row>
    <row r="248" spans="2:13" hidden="1" x14ac:dyDescent="0.3">
      <c r="B248" s="50" t="str">
        <f>RawList!A219</f>
        <v>Advanced &amp; Optional Components</v>
      </c>
      <c r="C248" s="50" t="str">
        <f>RawList!B219</f>
        <v>User Interface, Touchscreen</v>
      </c>
      <c r="D248" s="50" t="str">
        <f>RawList!C219</f>
        <v>Adafruit</v>
      </c>
      <c r="E248" s="50" t="str">
        <f>RawList!H219</f>
        <v>2.8" TFT Touch Shield for Arduino w/Capacitive Touch</v>
      </c>
      <c r="F248" s="50" t="str">
        <f>RawList!D219</f>
        <v>1947</v>
      </c>
      <c r="G248" s="137">
        <f>RawList!E219</f>
        <v>0</v>
      </c>
      <c r="H248" s="50" t="str">
        <f>IF(EquipmentTable[[#This Row],[Units]]&gt;0,"Quantity &gt; 0 Items","Quantity = 0 Items")</f>
        <v>Quantity = 0 Items</v>
      </c>
      <c r="I248" s="57">
        <f>RawList!J219</f>
        <v>44.95</v>
      </c>
      <c r="J248" s="24">
        <f>VALUE(EquipmentTable[[#This Row],[Units]]*EquipmentTable[[#This Row],[Unit
 Price]])</f>
        <v>0</v>
      </c>
      <c r="K248" s="50">
        <f>RawList!G219</f>
        <v>0</v>
      </c>
      <c r="L248" s="50"/>
      <c r="M248" s="50">
        <f>RawList!F219</f>
        <v>0</v>
      </c>
    </row>
    <row r="249" spans="2:13" hidden="1" x14ac:dyDescent="0.3">
      <c r="B249" s="50" t="str">
        <f>RawList!A220</f>
        <v>Advanced &amp; Optional Components</v>
      </c>
      <c r="C249" s="50" t="str">
        <f>RawList!B220</f>
        <v>User Interface, Touchscreen</v>
      </c>
      <c r="D249" s="50" t="str">
        <f>RawList!C220</f>
        <v>SparkFun</v>
      </c>
      <c r="E249" s="50" t="str">
        <f>RawList!H220</f>
        <v>USB-to-Serial Bridge - ÂµUSB-PA5</v>
      </c>
      <c r="F249" s="50" t="str">
        <f>RawList!D220</f>
        <v>DEV-11814</v>
      </c>
      <c r="G249" s="137">
        <f>RawList!E220</f>
        <v>1</v>
      </c>
      <c r="H249" s="50" t="str">
        <f>IF(EquipmentTable[[#This Row],[Units]]&gt;0,"Quantity &gt; 0 Items","Quantity = 0 Items")</f>
        <v>Quantity &gt; 0 Items</v>
      </c>
      <c r="I249" s="57">
        <f>RawList!J220</f>
        <v>24.95</v>
      </c>
      <c r="J249" s="24">
        <f>VALUE(EquipmentTable[[#This Row],[Units]]*EquipmentTable[[#This Row],[Unit
 Price]])</f>
        <v>24.95</v>
      </c>
      <c r="K249" s="50" t="str">
        <f>RawList!G220</f>
        <v>https://cdn.sparkfun.com/r/92-92/assets/parts/8/1/4/6/11814-01.jpg</v>
      </c>
      <c r="L249" s="50"/>
      <c r="M249" s="50" t="str">
        <f>RawList!F220</f>
        <v>https://www.sparkfun.com/products/11814</v>
      </c>
    </row>
    <row r="250" spans="2:13" hidden="1" x14ac:dyDescent="0.3">
      <c r="B250" s="50" t="str">
        <f>RawList!A221</f>
        <v>Advanced &amp; Optional Components</v>
      </c>
      <c r="C250" s="50" t="str">
        <f>RawList!B221</f>
        <v>Vitals/Health Status Sensing</v>
      </c>
      <c r="D250" s="50" t="str">
        <f>RawList!C221</f>
        <v>SparkFun</v>
      </c>
      <c r="E250" s="50" t="str">
        <f>RawList!H221</f>
        <v>BITalino (r)evolution Board Kit</v>
      </c>
      <c r="F250" s="50" t="str">
        <f>RawList!D221</f>
        <v>DEV-14022</v>
      </c>
      <c r="G250" s="137">
        <f>RawList!E221</f>
        <v>1</v>
      </c>
      <c r="H250" s="50" t="str">
        <f>IF(EquipmentTable[[#This Row],[Units]]&gt;0,"Quantity &gt; 0 Items","Quantity = 0 Items")</f>
        <v>Quantity &gt; 0 Items</v>
      </c>
      <c r="I250" s="57">
        <f>RawList!J221</f>
        <v>209.95</v>
      </c>
      <c r="J250" s="24">
        <f>VALUE(EquipmentTable[[#This Row],[Units]]*EquipmentTable[[#This Row],[Unit
 Price]])</f>
        <v>209.95</v>
      </c>
      <c r="K250" s="50" t="str">
        <f>RawList!G221</f>
        <v>https://cdn.sparkfun.com/r/92-92/assets/parts/1/1/8/2/8/14022-01a.jpg</v>
      </c>
      <c r="L250" s="50"/>
      <c r="M250" s="50" t="str">
        <f>RawList!F221</f>
        <v>https://www.sparkfun.com/products/14022</v>
      </c>
    </row>
    <row r="251" spans="2:13" hidden="1" x14ac:dyDescent="0.3">
      <c r="B251" s="50" t="str">
        <f>RawList!A221</f>
        <v>Advanced &amp; Optional Components</v>
      </c>
      <c r="C251" s="50" t="str">
        <f>RawList!B221</f>
        <v>Vitals/Health Status Sensing</v>
      </c>
      <c r="D251" s="50" t="str">
        <f>RawList!C221</f>
        <v>SparkFun</v>
      </c>
      <c r="E251" s="50" t="str">
        <f>RawList!H221</f>
        <v>BITalino (r)evolution Board Kit</v>
      </c>
      <c r="F251" s="50" t="str">
        <f>RawList!D221</f>
        <v>DEV-14022</v>
      </c>
      <c r="G251" s="137">
        <f>RawList!E221</f>
        <v>1</v>
      </c>
      <c r="H251" s="50" t="str">
        <f>IF(EquipmentTable[[#This Row],[Units]]&gt;0,"Quantity &gt; 0 Items","Quantity = 0 Items")</f>
        <v>Quantity &gt; 0 Items</v>
      </c>
      <c r="I251" s="141">
        <f>RawList!J221</f>
        <v>209.95</v>
      </c>
      <c r="J251" s="24">
        <f>VALUE(EquipmentTable[[#This Row],[Units]]*EquipmentTable[[#This Row],[Unit
 Price]])</f>
        <v>209.95</v>
      </c>
      <c r="K251" s="50" t="str">
        <f>RawList!G222</f>
        <v>https://cdn.sparkfun.com/r/92-92/assets/parts/1/0/6/0/0/13316-01a.jpg</v>
      </c>
      <c r="L251" s="50"/>
      <c r="M251" s="50" t="str">
        <f>RawList!F222</f>
        <v>https://www.sparkfun.com/products/13316</v>
      </c>
    </row>
    <row r="252" spans="2:13" hidden="1" x14ac:dyDescent="0.3">
      <c r="B252" s="50" t="str">
        <f>RawList!A223</f>
        <v>Advanced &amp; Optional Components</v>
      </c>
      <c r="C252" s="50" t="str">
        <f>RawList!B223</f>
        <v>Wireless Charging</v>
      </c>
      <c r="D252" s="50" t="str">
        <f>RawList!C223</f>
        <v>Adafruit</v>
      </c>
      <c r="E252" s="50" t="str">
        <f>RawList!H223</f>
        <v>Inductive Charging Set - 5V @ 500mA max</v>
      </c>
      <c r="F252" s="50" t="str">
        <f>RawList!D223</f>
        <v>1407</v>
      </c>
      <c r="G252" s="137">
        <f>RawList!E223</f>
        <v>0</v>
      </c>
      <c r="H252" s="50" t="str">
        <f>IF(EquipmentTable[[#This Row],[Units]]&gt;0,"Quantity &gt; 0 Items","Quantity = 0 Items")</f>
        <v>Quantity = 0 Items</v>
      </c>
      <c r="I252" s="57">
        <f>RawList!J223</f>
        <v>9.9499999999999993</v>
      </c>
      <c r="J252" s="24">
        <f>VALUE(EquipmentTable[[#This Row],[Units]]*EquipmentTable[[#This Row],[Unit
 Price]])</f>
        <v>0</v>
      </c>
      <c r="K252" s="50">
        <f>RawList!G223</f>
        <v>0</v>
      </c>
      <c r="L252" s="50"/>
      <c r="M252" s="50">
        <f>RawList!F223</f>
        <v>0</v>
      </c>
    </row>
    <row r="253" spans="2:13" hidden="1" x14ac:dyDescent="0.3">
      <c r="B253" s="50" t="str">
        <f>RawList!A224</f>
        <v>Advanced &amp; Optional Components</v>
      </c>
      <c r="C253" s="50" t="str">
        <f>RawList!B224</f>
        <v>Wireless Charging</v>
      </c>
      <c r="D253" s="50" t="str">
        <f>RawList!C224</f>
        <v>Adafruit</v>
      </c>
      <c r="E253" s="50" t="str">
        <f>RawList!H224</f>
        <v xml:space="preserve">Universal Qi Wireless Charging Module - 20mm Forward MicroUSB </v>
      </c>
      <c r="F253" s="50" t="str">
        <f>RawList!D224</f>
        <v>2116</v>
      </c>
      <c r="G253" s="137">
        <f>RawList!E224</f>
        <v>0</v>
      </c>
      <c r="H253" s="50" t="str">
        <f>IF(EquipmentTable[[#This Row],[Units]]&gt;0,"Quantity &gt; 0 Items","Quantity = 0 Items")</f>
        <v>Quantity = 0 Items</v>
      </c>
      <c r="I253" s="57">
        <f>RawList!J224</f>
        <v>24.95</v>
      </c>
      <c r="J253" s="24">
        <f>VALUE(EquipmentTable[[#This Row],[Units]]*EquipmentTable[[#This Row],[Unit
 Price]])</f>
        <v>0</v>
      </c>
      <c r="K253" s="50">
        <f>RawList!G224</f>
        <v>0</v>
      </c>
      <c r="L253" s="50"/>
      <c r="M253" s="50">
        <f>RawList!F224</f>
        <v>0</v>
      </c>
    </row>
    <row r="254" spans="2:13" hidden="1" x14ac:dyDescent="0.3">
      <c r="B254" s="50" t="str">
        <f>RawList!A225</f>
        <v>Advanced &amp; Optional Components</v>
      </c>
      <c r="C254" s="50" t="str">
        <f>RawList!B225</f>
        <v>Wireless Charging</v>
      </c>
      <c r="D254" s="50" t="str">
        <f>RawList!C225</f>
        <v>Adafruit</v>
      </c>
      <c r="E254" s="50" t="str">
        <f>RawList!H225</f>
        <v xml:space="preserve">Universal Qi Wireless Charging Transmitter </v>
      </c>
      <c r="F254" s="50" t="str">
        <f>RawList!D225</f>
        <v>2162</v>
      </c>
      <c r="G254" s="137">
        <f>RawList!E225</f>
        <v>0</v>
      </c>
      <c r="H254" s="50" t="str">
        <f>IF(EquipmentTable[[#This Row],[Units]]&gt;0,"Quantity &gt; 0 Items","Quantity = 0 Items")</f>
        <v>Quantity = 0 Items</v>
      </c>
      <c r="I254" s="57">
        <f>RawList!J225</f>
        <v>26.95</v>
      </c>
      <c r="J254" s="24">
        <f>VALUE(EquipmentTable[[#This Row],[Units]]*EquipmentTable[[#This Row],[Unit
 Price]])</f>
        <v>0</v>
      </c>
      <c r="K254" s="50">
        <f>RawList!G225</f>
        <v>0</v>
      </c>
      <c r="L254" s="50"/>
      <c r="M254" s="50">
        <f>RawList!F225</f>
        <v>0</v>
      </c>
    </row>
    <row r="255" spans="2:13" hidden="1" x14ac:dyDescent="0.3">
      <c r="B255" s="50" t="str">
        <f>RawList!A226</f>
        <v>Advanced &amp; Optional Components</v>
      </c>
      <c r="C255" s="50" t="str">
        <f>RawList!B226</f>
        <v>Wireless Charging</v>
      </c>
      <c r="D255" s="50" t="str">
        <f>RawList!C226</f>
        <v>Adafruit</v>
      </c>
      <c r="E255" s="50" t="str">
        <f>RawList!H226</f>
        <v>Universal Qi Wireless Receiver Module</v>
      </c>
      <c r="F255" s="50" t="str">
        <f>RawList!D226</f>
        <v>1901</v>
      </c>
      <c r="G255" s="137">
        <f>RawList!E226</f>
        <v>0</v>
      </c>
      <c r="H255" s="50" t="str">
        <f>IF(EquipmentTable[[#This Row],[Units]]&gt;0,"Quantity &gt; 0 Items","Quantity = 0 Items")</f>
        <v>Quantity = 0 Items</v>
      </c>
      <c r="I255" s="57">
        <f>RawList!J226</f>
        <v>14.95</v>
      </c>
      <c r="J255" s="24">
        <f>VALUE(EquipmentTable[[#This Row],[Units]]*EquipmentTable[[#This Row],[Unit
 Price]])</f>
        <v>0</v>
      </c>
      <c r="K255" s="50">
        <f>RawList!G226</f>
        <v>0</v>
      </c>
      <c r="L255" s="50"/>
      <c r="M255" s="50">
        <f>RawList!F226</f>
        <v>0</v>
      </c>
    </row>
    <row r="256" spans="2:13" hidden="1" x14ac:dyDescent="0.3">
      <c r="B256" s="50" t="str">
        <f>RawList!A226</f>
        <v>Advanced &amp; Optional Components</v>
      </c>
      <c r="C256" s="50" t="str">
        <f>RawList!B226</f>
        <v>Wireless Charging</v>
      </c>
      <c r="D256" s="50" t="str">
        <f>RawList!C226</f>
        <v>Adafruit</v>
      </c>
      <c r="E256" s="50" t="str">
        <f>RawList!H226</f>
        <v>Universal Qi Wireless Receiver Module</v>
      </c>
      <c r="F256" s="50" t="str">
        <f>RawList!D226</f>
        <v>1901</v>
      </c>
      <c r="G256" s="137">
        <f>RawList!E226</f>
        <v>0</v>
      </c>
      <c r="H256" s="50" t="str">
        <f>IF(EquipmentTable[[#This Row],[Units]]&gt;0,"Quantity &gt; 0 Items","Quantity = 0 Items")</f>
        <v>Quantity = 0 Items</v>
      </c>
      <c r="I256" s="141">
        <f>RawList!J226</f>
        <v>14.95</v>
      </c>
      <c r="J256" s="24">
        <f>VALUE(EquipmentTable[[#This Row],[Units]]*EquipmentTable[[#This Row],[Unit
 Price]])</f>
        <v>0</v>
      </c>
      <c r="K256" s="50" t="str">
        <f>RawList!G227</f>
        <v>https://cdn.sparkfun.com/r/92-92/assets/parts/1/2/0/3/4/14135-03.jpg</v>
      </c>
      <c r="L256" s="50"/>
      <c r="M256" s="50" t="str">
        <f>RawList!F227</f>
        <v>https://www.sparkfun.com/products/14135</v>
      </c>
    </row>
    <row r="257" spans="2:13" hidden="1" x14ac:dyDescent="0.3">
      <c r="B257" s="50" t="str">
        <f>RawList!A227</f>
        <v>Smart-Home/IoT Network Integration (Fixed)</v>
      </c>
      <c r="C257" s="50" t="str">
        <f>RawList!B227</f>
        <v>Linux + Arduino Home Base Station</v>
      </c>
      <c r="D257" s="50" t="str">
        <f>RawList!C227</f>
        <v>SparkFun</v>
      </c>
      <c r="E257" s="50" t="str">
        <f>RawList!H227</f>
        <v>Arduino Tian</v>
      </c>
      <c r="F257" s="50" t="str">
        <f>RawList!D227</f>
        <v>DEV-14135</v>
      </c>
      <c r="G257" s="137">
        <f>RawList!E227</f>
        <v>1</v>
      </c>
      <c r="H257" s="50" t="str">
        <f>IF(EquipmentTable[[#This Row],[Units]]&gt;0,"Quantity &gt; 0 Items","Quantity = 0 Items")</f>
        <v>Quantity &gt; 0 Items</v>
      </c>
      <c r="I257" s="141">
        <f>RawList!J227</f>
        <v>94.95</v>
      </c>
      <c r="J257" s="24">
        <f>VALUE(EquipmentTable[[#This Row],[Units]]*EquipmentTable[[#This Row],[Unit
 Price]])</f>
        <v>94.95</v>
      </c>
      <c r="K257" s="50" t="str">
        <f>RawList!G227</f>
        <v>https://cdn.sparkfun.com/r/92-92/assets/parts/1/2/0/3/4/14135-03.jpg</v>
      </c>
      <c r="L257" s="50"/>
      <c r="M257" s="50" t="str">
        <f>RawList!F227</f>
        <v>https://www.sparkfun.com/products/14135</v>
      </c>
    </row>
    <row r="258" spans="2:13" hidden="1" x14ac:dyDescent="0.3">
      <c r="B258" s="50" t="str">
        <f>RawList!A228</f>
        <v>Smart-Home/IoT Network Integration (Fixed)</v>
      </c>
      <c r="C258" s="50" t="str">
        <f>RawList!B228</f>
        <v>BeagleBone Black Iot/Base Station</v>
      </c>
      <c r="D258" s="50" t="str">
        <f>RawList!C228</f>
        <v>SparkFun</v>
      </c>
      <c r="E258" s="50" t="str">
        <f>RawList!H228</f>
        <v>BeagleBone Black Wireless</v>
      </c>
      <c r="F258" s="50" t="str">
        <f>RawList!D228</f>
        <v>DEV-14162</v>
      </c>
      <c r="G258" s="137">
        <f>RawList!E228</f>
        <v>1</v>
      </c>
      <c r="H258" s="50" t="str">
        <f>IF(EquipmentTable[[#This Row],[Units]]&gt;0,"Quantity &gt; 0 Items","Quantity = 0 Items")</f>
        <v>Quantity &gt; 0 Items</v>
      </c>
      <c r="I258" s="141">
        <f>RawList!J228</f>
        <v>69.95</v>
      </c>
      <c r="J258" s="24">
        <f>VALUE(EquipmentTable[[#This Row],[Units]]*EquipmentTable[[#This Row],[Unit
 Price]])</f>
        <v>69.95</v>
      </c>
      <c r="K258" s="50" t="str">
        <f>RawList!G228</f>
        <v>https://cdn.sparkfun.com/r/92-92/assets/parts/1/2/0/7/6/14162-02.jpg</v>
      </c>
      <c r="L258" s="50"/>
      <c r="M258" s="50" t="str">
        <f>RawList!F228</f>
        <v>https://www.sparkfun.com/products/14162</v>
      </c>
    </row>
    <row r="259" spans="2:13" hidden="1" x14ac:dyDescent="0.3">
      <c r="B259" s="50" t="str">
        <f>RawList!A229</f>
        <v>Smart-Home/IoT Network Integration (Fixed)</v>
      </c>
      <c r="C259" s="50" t="str">
        <f>RawList!B229</f>
        <v>BeagleBone Black Iot/Base Station</v>
      </c>
      <c r="D259" s="50" t="str">
        <f>RawList!C229</f>
        <v>SparkFun</v>
      </c>
      <c r="E259" s="50" t="str">
        <f>RawList!H229</f>
        <v>SparkFun BeagleBone Black Proto Cape</v>
      </c>
      <c r="F259" s="50" t="str">
        <f>RawList!D229</f>
        <v>DEV-12774</v>
      </c>
      <c r="G259" s="137">
        <f>RawList!E229</f>
        <v>0</v>
      </c>
      <c r="H259" s="50" t="str">
        <f>IF(EquipmentTable[[#This Row],[Units]]&gt;0,"Quantity &gt; 0 Items","Quantity = 0 Items")</f>
        <v>Quantity = 0 Items</v>
      </c>
      <c r="I259" s="141">
        <f>RawList!J229</f>
        <v>9.9499999999999993</v>
      </c>
      <c r="J259" s="24">
        <f>VALUE(EquipmentTable[[#This Row],[Units]]*EquipmentTable[[#This Row],[Unit
 Price]])</f>
        <v>0</v>
      </c>
      <c r="K259" s="50" t="str">
        <f>RawList!G229</f>
        <v>https://cdn.sparkfun.com/r/92-92/assets/parts/9/5/5/9/12774-02.jpg</v>
      </c>
      <c r="L259" s="50"/>
      <c r="M259" s="50" t="str">
        <f>RawList!F229</f>
        <v>https://www.sparkfun.com/products/12774</v>
      </c>
    </row>
    <row r="260" spans="2:13" hidden="1" x14ac:dyDescent="0.3">
      <c r="B260" s="50" t="str">
        <f>RawList!A230</f>
        <v>Smart-Home/IoT Network Integration (Fixed)</v>
      </c>
      <c r="C260" s="50" t="str">
        <f>RawList!B230</f>
        <v>BeagleBone Black Iot/Base Station</v>
      </c>
      <c r="D260" s="50" t="str">
        <f>RawList!C230</f>
        <v>SparkFun</v>
      </c>
      <c r="E260" s="50" t="str">
        <f>RawList!H230</f>
        <v>BeagleBone Black Cape - LCD (7.0\")</v>
      </c>
      <c r="F260" s="50" t="str">
        <f>RawList!D230</f>
        <v>DEV-12086</v>
      </c>
      <c r="G260" s="137">
        <f>RawList!E230</f>
        <v>0</v>
      </c>
      <c r="H260" s="50" t="str">
        <f>IF(EquipmentTable[[#This Row],[Units]]&gt;0,"Quantity &gt; 0 Items","Quantity = 0 Items")</f>
        <v>Quantity = 0 Items</v>
      </c>
      <c r="I260" s="141">
        <f>RawList!J230</f>
        <v>99.95</v>
      </c>
      <c r="J260" s="24">
        <f>VALUE(EquipmentTable[[#This Row],[Units]]*EquipmentTable[[#This Row],[Unit
 Price]])</f>
        <v>0</v>
      </c>
      <c r="K260" s="50" t="str">
        <f>RawList!G230</f>
        <v>https://cdn.sparkfun.com/r/92-92/assets/parts/8/7/1/8/12086-01.jpg</v>
      </c>
      <c r="L260" s="50"/>
      <c r="M260" s="50" t="str">
        <f>RawList!F230</f>
        <v>https://www.sparkfun.com/products/12086</v>
      </c>
    </row>
    <row r="261" spans="2:13" hidden="1" x14ac:dyDescent="0.3">
      <c r="B261" s="50" t="str">
        <f>RawList!A231</f>
        <v>Smart-Home/IoT Network Integration (Fixed)</v>
      </c>
      <c r="C261" s="50" t="str">
        <f>RawList!B231</f>
        <v>BeagleBone Black Iot/Base Station</v>
      </c>
      <c r="D261" s="50" t="str">
        <f>RawList!C231</f>
        <v>SparkFun</v>
      </c>
      <c r="E261" s="50" t="str">
        <f>RawList!H231</f>
        <v>BeagleBone Black Cape - LCD (4.3\")</v>
      </c>
      <c r="F261" s="50" t="str">
        <f>RawList!D231</f>
        <v>DEV-12085</v>
      </c>
      <c r="G261" s="137">
        <f>RawList!E231</f>
        <v>0</v>
      </c>
      <c r="H261" s="50" t="str">
        <f>IF(EquipmentTable[[#This Row],[Units]]&gt;0,"Quantity &gt; 0 Items","Quantity = 0 Items")</f>
        <v>Quantity = 0 Items</v>
      </c>
      <c r="I261" s="141">
        <f>RawList!J231</f>
        <v>65.95</v>
      </c>
      <c r="J261" s="24">
        <f>VALUE(EquipmentTable[[#This Row],[Units]]*EquipmentTable[[#This Row],[Unit
 Price]])</f>
        <v>0</v>
      </c>
      <c r="K261" s="50" t="str">
        <f>RawList!G231</f>
        <v>https://cdn.sparkfun.com/r/92-92/assets/parts/8/7/1/7/12085-01.jpg</v>
      </c>
      <c r="L261" s="50"/>
      <c r="M261" s="50" t="str">
        <f>RawList!F231</f>
        <v>https://www.sparkfun.com/products/12085</v>
      </c>
    </row>
    <row r="262" spans="2:13" hidden="1" x14ac:dyDescent="0.3">
      <c r="B262" s="50" t="str">
        <f>RawList!A232</f>
        <v>Smart-Home/IoT Network Integration (Fixed)</v>
      </c>
      <c r="C262" s="50" t="str">
        <f>RawList!B232</f>
        <v>BeagleBone Black Iot/Base Station</v>
      </c>
      <c r="D262" s="50" t="str">
        <f>RawList!C232</f>
        <v>SparkFun</v>
      </c>
      <c r="E262" s="50" t="str">
        <f>RawList!H232</f>
        <v>BeagleBone Black Enclosure - Clear Plastic</v>
      </c>
      <c r="F262" s="50" t="str">
        <f>RawList!D232</f>
        <v>PRT-12842</v>
      </c>
      <c r="G262" s="137">
        <f>RawList!E232</f>
        <v>0</v>
      </c>
      <c r="H262" s="50" t="str">
        <f>IF(EquipmentTable[[#This Row],[Units]]&gt;0,"Quantity &gt; 0 Items","Quantity = 0 Items")</f>
        <v>Quantity = 0 Items</v>
      </c>
      <c r="I262" s="141">
        <f>RawList!J232</f>
        <v>7.95</v>
      </c>
      <c r="J262" s="24">
        <f>VALUE(EquipmentTable[[#This Row],[Units]]*EquipmentTable[[#This Row],[Unit
 Price]])</f>
        <v>0</v>
      </c>
      <c r="K262" s="50" t="str">
        <f>RawList!G232</f>
        <v>https://cdn.sparkfun.com/r/92-92/assets/parts/9/6/9/2/12842-01.jpg</v>
      </c>
      <c r="L262" s="50"/>
      <c r="M262" s="50" t="str">
        <f>RawList!F232</f>
        <v>https://www.sparkfun.com/products/12842</v>
      </c>
    </row>
    <row r="263" spans="2:13" hidden="1" x14ac:dyDescent="0.3">
      <c r="B263" s="50" t="str">
        <f>RawList!A233</f>
        <v>Smart-Home/IoT Network Integration (Fixed)</v>
      </c>
      <c r="C263" s="50" t="str">
        <f>RawList!B233</f>
        <v>BeagleBone Black Iot/Base Station</v>
      </c>
      <c r="D263" s="50" t="str">
        <f>RawList!C233</f>
        <v>Adafruit</v>
      </c>
      <c r="E263" s="50" t="str">
        <f>RawList!H233</f>
        <v>4.3" LCD Capacitive Touchscreen Display Cape for BeagleBone</v>
      </c>
      <c r="F263" s="50" t="str">
        <f>RawList!D233</f>
        <v>3396</v>
      </c>
      <c r="G263" s="137">
        <f>RawList!E233</f>
        <v>1</v>
      </c>
      <c r="H263" s="50" t="str">
        <f>IF(EquipmentTable[[#This Row],[Units]]&gt;0,"Quantity &gt; 0 Items","Quantity = 0 Items")</f>
        <v>Quantity &gt; 0 Items</v>
      </c>
      <c r="I263" s="141">
        <f>RawList!J233</f>
        <v>49.95</v>
      </c>
      <c r="J263" s="24">
        <f>VALUE(EquipmentTable[[#This Row],[Units]]*EquipmentTable[[#This Row],[Unit
 Price]])</f>
        <v>49.95</v>
      </c>
      <c r="K263" s="50">
        <f>RawList!G233</f>
        <v>0</v>
      </c>
      <c r="L263" s="50"/>
      <c r="M263" s="50">
        <f>RawList!F233</f>
        <v>0</v>
      </c>
    </row>
    <row r="264" spans="2:13" hidden="1" x14ac:dyDescent="0.3">
      <c r="B264" s="50" t="str">
        <f>RawList!A234</f>
        <v>Smart-Home/IoT Network Integration (Fixed)</v>
      </c>
      <c r="C264" s="50" t="str">
        <f>RawList!B234</f>
        <v>BeagleBone Black Iot/Base Station</v>
      </c>
      <c r="D264" s="50" t="str">
        <f>RawList!C234</f>
        <v>Adafruit</v>
      </c>
      <c r="E264" s="50" t="str">
        <f>RawList!H234</f>
        <v>Adafruit BBB Case - Enclosure for Beagle Bone Black</v>
      </c>
      <c r="F264" s="50" t="str">
        <f>RawList!D234</f>
        <v>1555</v>
      </c>
      <c r="G264" s="137">
        <f>RawList!E234</f>
        <v>0</v>
      </c>
      <c r="H264" s="50" t="str">
        <f>IF(EquipmentTable[[#This Row],[Units]]&gt;0,"Quantity &gt; 0 Items","Quantity = 0 Items")</f>
        <v>Quantity = 0 Items</v>
      </c>
      <c r="I264" s="141">
        <f>RawList!J234</f>
        <v>9.9499999999999993</v>
      </c>
      <c r="J264" s="24">
        <f>VALUE(EquipmentTable[[#This Row],[Units]]*EquipmentTable[[#This Row],[Unit
 Price]])</f>
        <v>0</v>
      </c>
      <c r="K264" s="50">
        <f>RawList!G234</f>
        <v>0</v>
      </c>
      <c r="L264" s="50"/>
      <c r="M264" s="50">
        <f>RawList!F234</f>
        <v>0</v>
      </c>
    </row>
    <row r="265" spans="2:13" hidden="1" x14ac:dyDescent="0.3">
      <c r="B265" s="50" t="str">
        <f>RawList!A235</f>
        <v>Smart-Home/IoT Network Integration (Fixed)</v>
      </c>
      <c r="C265" s="50" t="str">
        <f>RawList!B235</f>
        <v>BeagleBone Black Iot/Base Station</v>
      </c>
      <c r="D265" s="50" t="str">
        <f>RawList!C235</f>
        <v>Adafruit</v>
      </c>
      <c r="E265" s="50" t="str">
        <f>RawList!H235</f>
        <v>Adafruit Bone Box - Enclosure for Beagle Bone/Beagle Bone Black</v>
      </c>
      <c r="F265" s="50" t="str">
        <f>RawList!D235</f>
        <v>699</v>
      </c>
      <c r="G265" s="137">
        <f>RawList!E235</f>
        <v>0</v>
      </c>
      <c r="H265" s="50" t="str">
        <f>IF(EquipmentTable[[#This Row],[Units]]&gt;0,"Quantity &gt; 0 Items","Quantity = 0 Items")</f>
        <v>Quantity = 0 Items</v>
      </c>
      <c r="I265" s="141">
        <f>RawList!J235</f>
        <v>19.95</v>
      </c>
      <c r="J265" s="24">
        <f>VALUE(EquipmentTable[[#This Row],[Units]]*EquipmentTable[[#This Row],[Unit
 Price]])</f>
        <v>0</v>
      </c>
      <c r="K265" s="50">
        <f>RawList!G235</f>
        <v>0</v>
      </c>
      <c r="L265" s="50"/>
      <c r="M265" s="50">
        <f>RawList!F235</f>
        <v>0</v>
      </c>
    </row>
    <row r="266" spans="2:13" hidden="1" x14ac:dyDescent="0.3">
      <c r="B266" s="50" t="str">
        <f>RawList!A236</f>
        <v>Smart-Home/IoT Network Integration (Fixed)</v>
      </c>
      <c r="C266" s="50" t="str">
        <f>RawList!B236</f>
        <v>BeagleBone Black Iot/Base Station</v>
      </c>
      <c r="D266" s="50" t="str">
        <f>RawList!C236</f>
        <v>Adafruit</v>
      </c>
      <c r="E266" s="50" t="str">
        <f>RawList!H236</f>
        <v>Adafruit Proto Cape Kit for Beagle Bone &amp; Beagle Bone Black</v>
      </c>
      <c r="F266" s="50" t="str">
        <f>RawList!D236</f>
        <v>572</v>
      </c>
      <c r="G266" s="137">
        <f>RawList!E236</f>
        <v>1</v>
      </c>
      <c r="H266" s="50" t="str">
        <f>IF(EquipmentTable[[#This Row],[Units]]&gt;0,"Quantity &gt; 0 Items","Quantity = 0 Items")</f>
        <v>Quantity &gt; 0 Items</v>
      </c>
      <c r="I266" s="141">
        <f>RawList!J236</f>
        <v>9.9499999999999993</v>
      </c>
      <c r="J266" s="24">
        <f>VALUE(EquipmentTable[[#This Row],[Units]]*EquipmentTable[[#This Row],[Unit
 Price]])</f>
        <v>9.9499999999999993</v>
      </c>
      <c r="K266" s="50">
        <f>RawList!G236</f>
        <v>0</v>
      </c>
      <c r="L266" s="50"/>
      <c r="M266" s="50">
        <f>RawList!F236</f>
        <v>0</v>
      </c>
    </row>
    <row r="267" spans="2:13" hidden="1" x14ac:dyDescent="0.3">
      <c r="B267" s="50" t="str">
        <f>RawList!A237</f>
        <v>Smart-Home/IoT Network Integration (Fixed)</v>
      </c>
      <c r="C267" s="50" t="str">
        <f>RawList!B237</f>
        <v>BeagleBone Black Iot/Base Station</v>
      </c>
      <c r="D267" s="50" t="str">
        <f>RawList!C237</f>
        <v>Adafruit</v>
      </c>
      <c r="E267" s="50" t="str">
        <f>RawList!H237</f>
        <v>Adafruit Proto Plate for Beagle Bone &amp; Beagle Bone Black</v>
      </c>
      <c r="F267" s="50" t="str">
        <f>RawList!D237</f>
        <v>702</v>
      </c>
      <c r="G267" s="137">
        <f>RawList!E237</f>
        <v>0</v>
      </c>
      <c r="H267" s="50" t="str">
        <f>IF(EquipmentTable[[#This Row],[Units]]&gt;0,"Quantity &gt; 0 Items","Quantity = 0 Items")</f>
        <v>Quantity = 0 Items</v>
      </c>
      <c r="I267" s="141">
        <f>RawList!J237</f>
        <v>7.95</v>
      </c>
      <c r="J267" s="24">
        <f>VALUE(EquipmentTable[[#This Row],[Units]]*EquipmentTable[[#This Row],[Unit
 Price]])</f>
        <v>0</v>
      </c>
      <c r="K267" s="50">
        <f>RawList!G237</f>
        <v>0</v>
      </c>
      <c r="L267" s="50"/>
      <c r="M267" s="50">
        <f>RawList!F237</f>
        <v>0</v>
      </c>
    </row>
    <row r="268" spans="2:13" hidden="1" x14ac:dyDescent="0.3">
      <c r="B268" s="50" t="str">
        <f>RawList!A238</f>
        <v>Smart-Home/IoT Network Integration (Fixed)</v>
      </c>
      <c r="C268" s="50" t="str">
        <f>RawList!B238</f>
        <v>BeagleBone Black Iot/Base Station</v>
      </c>
      <c r="D268" s="50" t="str">
        <f>RawList!C238</f>
        <v>Adafruit</v>
      </c>
      <c r="E268" s="50" t="str">
        <f>RawList!H238</f>
        <v>Anidees Beaglebone Black Case - Black Aluminum with Smoke Top</v>
      </c>
      <c r="F268" s="50" t="str">
        <f>RawList!D238</f>
        <v>2627</v>
      </c>
      <c r="G268" s="137">
        <f>RawList!E238</f>
        <v>1</v>
      </c>
      <c r="H268" s="50" t="str">
        <f>IF(EquipmentTable[[#This Row],[Units]]&gt;0,"Quantity &gt; 0 Items","Quantity = 0 Items")</f>
        <v>Quantity &gt; 0 Items</v>
      </c>
      <c r="I268" s="141">
        <f>RawList!J238</f>
        <v>39.950000000000003</v>
      </c>
      <c r="J268" s="24">
        <f>VALUE(EquipmentTable[[#This Row],[Units]]*EquipmentTable[[#This Row],[Unit
 Price]])</f>
        <v>39.950000000000003</v>
      </c>
      <c r="K268" s="50">
        <f>RawList!G238</f>
        <v>0</v>
      </c>
      <c r="L268" s="50"/>
      <c r="M268" s="50">
        <f>RawList!F238</f>
        <v>0</v>
      </c>
    </row>
    <row r="269" spans="2:13" hidden="1" x14ac:dyDescent="0.3">
      <c r="B269" s="50" t="str">
        <f>RawList!A239</f>
        <v>Smart-Home/IoT Network Integration (Fixed)</v>
      </c>
      <c r="C269" s="50" t="str">
        <f>RawList!B239</f>
        <v>BeagleBone Black Iot/Base Station</v>
      </c>
      <c r="D269" s="50" t="str">
        <f>RawList!C239</f>
        <v>Adafruit</v>
      </c>
      <c r="E269" s="50" t="str">
        <f>RawList!H239</f>
        <v>Anidees BeagleBoneBlack Case - Silver Aluminum with Crystal Top</v>
      </c>
      <c r="F269" s="50" t="str">
        <f>RawList!D239</f>
        <v>2628</v>
      </c>
      <c r="G269" s="137">
        <f>RawList!E239</f>
        <v>0</v>
      </c>
      <c r="H269" s="50" t="str">
        <f>IF(EquipmentTable[[#This Row],[Units]]&gt;0,"Quantity &gt; 0 Items","Quantity = 0 Items")</f>
        <v>Quantity = 0 Items</v>
      </c>
      <c r="I269" s="141">
        <f>RawList!J239</f>
        <v>39.950000000000003</v>
      </c>
      <c r="J269" s="24">
        <f>VALUE(EquipmentTable[[#This Row],[Units]]*EquipmentTable[[#This Row],[Unit
 Price]])</f>
        <v>0</v>
      </c>
      <c r="K269" s="50">
        <f>RawList!G239</f>
        <v>0</v>
      </c>
      <c r="L269" s="50"/>
      <c r="M269" s="50">
        <f>RawList!F239</f>
        <v>0</v>
      </c>
    </row>
    <row r="270" spans="2:13" hidden="1" x14ac:dyDescent="0.3">
      <c r="B270" s="50" t="str">
        <f>RawList!A241</f>
        <v>Smart-Home/IoT Network Integration (Fixed)</v>
      </c>
      <c r="C270" s="50" t="str">
        <f>RawList!B241</f>
        <v>mBed Platform Base Station</v>
      </c>
      <c r="D270" s="50" t="str">
        <f>RawList!C241</f>
        <v>SparkFun</v>
      </c>
      <c r="E270" s="50" t="str">
        <f>RawList!H241</f>
        <v>mbed - LPC1768 (Cortex-M3)</v>
      </c>
      <c r="F270" s="50" t="str">
        <f>RawList!D241</f>
        <v>DEV-09564</v>
      </c>
      <c r="G270" s="137">
        <f>RawList!E241</f>
        <v>1</v>
      </c>
      <c r="H270" s="50" t="str">
        <f>IF(EquipmentTable[[#This Row],[Units]]&gt;0,"Quantity &gt; 0 Items","Quantity = 0 Items")</f>
        <v>Quantity &gt; 0 Items</v>
      </c>
      <c r="I270" s="57">
        <f>RawList!J241</f>
        <v>54.95</v>
      </c>
      <c r="J270" s="24">
        <f>VALUE(EquipmentTable[[#This Row],[Units]]*EquipmentTable[[#This Row],[Unit
 Price]])</f>
        <v>54.95</v>
      </c>
      <c r="K270" s="50" t="str">
        <f>RawList!G241</f>
        <v>https://cdn.sparkfun.com/r/92-92/assets/parts/3/3/3/6/09564-05.jpg</v>
      </c>
      <c r="L270" s="50"/>
      <c r="M270" s="50" t="str">
        <f>RawList!F241</f>
        <v>https://www.sparkfun.com/products/9564</v>
      </c>
    </row>
    <row r="271" spans="2:13" hidden="1" x14ac:dyDescent="0.3">
      <c r="B271" s="50" t="str">
        <f>RawList!A242</f>
        <v>Smart-Home/IoT Network Integration (Fixed)</v>
      </c>
      <c r="C271" s="50" t="str">
        <f>RawList!B242</f>
        <v>mBed Platform Base Station</v>
      </c>
      <c r="D271" s="50" t="str">
        <f>RawList!C242</f>
        <v>SparkFun</v>
      </c>
      <c r="E271" s="50" t="str">
        <f>RawList!H242</f>
        <v>mbed Application Board</v>
      </c>
      <c r="F271" s="50" t="str">
        <f>RawList!D242</f>
        <v>DEV-11695</v>
      </c>
      <c r="G271" s="137">
        <f>RawList!E242</f>
        <v>0</v>
      </c>
      <c r="H271" s="50" t="str">
        <f>IF(EquipmentTable[[#This Row],[Units]]&gt;0,"Quantity &gt; 0 Items","Quantity = 0 Items")</f>
        <v>Quantity = 0 Items</v>
      </c>
      <c r="I271" s="57">
        <f>RawList!J242</f>
        <v>59.95</v>
      </c>
      <c r="J271" s="24">
        <f>VALUE(EquipmentTable[[#This Row],[Units]]*EquipmentTable[[#This Row],[Unit
 Price]])</f>
        <v>0</v>
      </c>
      <c r="K271" s="50" t="str">
        <f>RawList!G242</f>
        <v>https://cdn.sparkfun.com/r/92-92/assets/parts/7/8/5/9/11695-01.jpg</v>
      </c>
      <c r="L271" s="50"/>
      <c r="M271" s="50" t="str">
        <f>RawList!F242</f>
        <v>https://www.sparkfun.com/products/11695</v>
      </c>
    </row>
    <row r="272" spans="2:13" hidden="1" x14ac:dyDescent="0.3">
      <c r="B272" s="50" t="str">
        <f>RawList!A243</f>
        <v>Smart-Home/IoT Network Integration (Fixed)</v>
      </c>
      <c r="C272" s="50" t="str">
        <f>RawList!B243</f>
        <v>Intel Edison Iot/Base Station</v>
      </c>
      <c r="D272" s="50" t="str">
        <f>RawList!C243</f>
        <v>SparkFun</v>
      </c>
      <c r="E272" s="50" t="str">
        <f>RawList!H243</f>
        <v>IntelÂ® Edison and Arduino Breakout Kit</v>
      </c>
      <c r="F272" s="50" t="str">
        <f>RawList!D243</f>
        <v>DEV-13097</v>
      </c>
      <c r="G272" s="137">
        <f>RawList!E243</f>
        <v>1</v>
      </c>
      <c r="H272" s="50" t="str">
        <f>IF(EquipmentTable[[#This Row],[Units]]&gt;0,"Quantity &gt; 0 Items","Quantity = 0 Items")</f>
        <v>Quantity &gt; 0 Items</v>
      </c>
      <c r="I272" s="57">
        <f>RawList!J243</f>
        <v>99.95</v>
      </c>
      <c r="J272" s="24">
        <f>VALUE(EquipmentTable[[#This Row],[Units]]*EquipmentTable[[#This Row],[Unit
 Price]])</f>
        <v>99.95</v>
      </c>
      <c r="K272" s="50" t="str">
        <f>RawList!G243</f>
        <v>https://cdn.sparkfun.com/r/92-92/assets/parts/1/0/1/3/9/13097-06.jpg</v>
      </c>
      <c r="L272" s="50"/>
      <c r="M272" s="50" t="str">
        <f>RawList!F243</f>
        <v>https://www.sparkfun.com/products/13097</v>
      </c>
    </row>
    <row r="273" spans="2:13" hidden="1" x14ac:dyDescent="0.3">
      <c r="B273" s="50" t="str">
        <f>RawList!A244</f>
        <v>Smart-Home/IoT Network Integration (Fixed)</v>
      </c>
      <c r="C273" s="50" t="str">
        <f>RawList!B244</f>
        <v>Intel Edison Iot/Base Station</v>
      </c>
      <c r="D273" s="50" t="str">
        <f>RawList!C244</f>
        <v>SparkFun</v>
      </c>
      <c r="E273" s="50" t="str">
        <f>RawList!H244</f>
        <v>SparkFun Block for IntelÂ® Edison - Base</v>
      </c>
      <c r="F273" s="50" t="str">
        <f>RawList!D244</f>
        <v>DEV-13045</v>
      </c>
      <c r="G273" s="137">
        <f>RawList!E244</f>
        <v>1</v>
      </c>
      <c r="H273" s="50" t="str">
        <f>IF(EquipmentTable[[#This Row],[Units]]&gt;0,"Quantity &gt; 0 Items","Quantity = 0 Items")</f>
        <v>Quantity &gt; 0 Items</v>
      </c>
      <c r="I273" s="57">
        <f>RawList!J244</f>
        <v>19.95</v>
      </c>
      <c r="J273" s="24">
        <f>VALUE(EquipmentTable[[#This Row],[Units]]*EquipmentTable[[#This Row],[Unit
 Price]])</f>
        <v>19.95</v>
      </c>
      <c r="K273" s="50" t="str">
        <f>RawList!G244</f>
        <v>https://cdn.sparkfun.com/r/92-92/assets/parts/1/0/0/4/7/13045-01.jpg</v>
      </c>
      <c r="L273" s="50"/>
      <c r="M273" s="50" t="str">
        <f>RawList!F244</f>
        <v>https://www.sparkfun.com/products/13045</v>
      </c>
    </row>
    <row r="274" spans="2:13" hidden="1" x14ac:dyDescent="0.3">
      <c r="B274" s="50" t="str">
        <f>RawList!A245</f>
        <v>Smart-Home/IoT Network Integration (Fixed)</v>
      </c>
      <c r="C274" s="50" t="str">
        <f>RawList!B245</f>
        <v>Intel Edison Iot/Base Station</v>
      </c>
      <c r="D274" s="50" t="str">
        <f>RawList!C245</f>
        <v>SparkFun</v>
      </c>
      <c r="E274" s="50" t="str">
        <f>RawList!H245</f>
        <v>SparkFun Block for IntelÂ® Edison - GPIO</v>
      </c>
      <c r="F274" s="50" t="str">
        <f>RawList!D245</f>
        <v>DEV-13038</v>
      </c>
      <c r="G274" s="137">
        <f>RawList!E245</f>
        <v>1</v>
      </c>
      <c r="H274" s="50" t="str">
        <f>IF(EquipmentTable[[#This Row],[Units]]&gt;0,"Quantity &gt; 0 Items","Quantity = 0 Items")</f>
        <v>Quantity &gt; 0 Items</v>
      </c>
      <c r="I274" s="57">
        <f>RawList!J245</f>
        <v>9.9499999999999993</v>
      </c>
      <c r="J274" s="24">
        <f>VALUE(EquipmentTable[[#This Row],[Units]]*EquipmentTable[[#This Row],[Unit
 Price]])</f>
        <v>9.9499999999999993</v>
      </c>
      <c r="K274" s="50" t="str">
        <f>RawList!G245</f>
        <v>https://cdn.sparkfun.com/r/92-92/assets/parts/1/0/0/3/9/13038-04.jpg</v>
      </c>
      <c r="L274" s="50"/>
      <c r="M274" s="50" t="str">
        <f>RawList!F245</f>
        <v>https://www.sparkfun.com/products/13038</v>
      </c>
    </row>
    <row r="275" spans="2:13" hidden="1" x14ac:dyDescent="0.3">
      <c r="B275" s="50" t="str">
        <f>RawList!A246</f>
        <v>Smart-Home/IoT Network Integration (Fixed)</v>
      </c>
      <c r="C275" s="50" t="str">
        <f>RawList!B246</f>
        <v>Intel Edison Iot/Base Station</v>
      </c>
      <c r="D275" s="50" t="str">
        <f>RawList!C246</f>
        <v>SparkFun</v>
      </c>
      <c r="E275" s="50" t="str">
        <f>RawList!H246</f>
        <v>SparkFun Block for IntelÂ® Edison - I2C</v>
      </c>
      <c r="F275" s="50" t="str">
        <f>RawList!D246</f>
        <v>DEV-13034</v>
      </c>
      <c r="G275" s="137">
        <f>RawList!E246</f>
        <v>1</v>
      </c>
      <c r="H275" s="50" t="str">
        <f>IF(EquipmentTable[[#This Row],[Units]]&gt;0,"Quantity &gt; 0 Items","Quantity = 0 Items")</f>
        <v>Quantity &gt; 0 Items</v>
      </c>
      <c r="I275" s="57">
        <f>RawList!J246</f>
        <v>9.9499999999999993</v>
      </c>
      <c r="J275" s="24">
        <f>VALUE(EquipmentTable[[#This Row],[Units]]*EquipmentTable[[#This Row],[Unit
 Price]])</f>
        <v>9.9499999999999993</v>
      </c>
      <c r="K275" s="50" t="str">
        <f>RawList!G246</f>
        <v>https://cdn.sparkfun.com/r/92-92/assets/parts/1/0/0/3/5/13034-01_1.jpg</v>
      </c>
      <c r="L275" s="50"/>
      <c r="M275" s="50" t="str">
        <f>RawList!F246</f>
        <v>https://www.sparkfun.com/products/13034</v>
      </c>
    </row>
    <row r="276" spans="2:13" hidden="1" x14ac:dyDescent="0.3">
      <c r="B276" s="50" t="str">
        <f>RawList!A247</f>
        <v>Smart-Home/IoT Network Integration (Fixed)</v>
      </c>
      <c r="C276" s="50" t="str">
        <f>RawList!B247</f>
        <v>Intel Edison Iot/Base Station</v>
      </c>
      <c r="D276" s="50" t="str">
        <f>RawList!C247</f>
        <v>SparkFun</v>
      </c>
      <c r="E276" s="50" t="str">
        <f>RawList!H247</f>
        <v>SparkFun Block for IntelÂ® Edison - microSD</v>
      </c>
      <c r="F276" s="50" t="str">
        <f>RawList!D247</f>
        <v>DEV-13041</v>
      </c>
      <c r="G276" s="137">
        <f>RawList!E247</f>
        <v>1</v>
      </c>
      <c r="H276" s="50" t="str">
        <f>IF(EquipmentTable[[#This Row],[Units]]&gt;0,"Quantity &gt; 0 Items","Quantity = 0 Items")</f>
        <v>Quantity &gt; 0 Items</v>
      </c>
      <c r="I276" s="57">
        <f>RawList!J247</f>
        <v>9.9499999999999993</v>
      </c>
      <c r="J276" s="24">
        <f>VALUE(EquipmentTable[[#This Row],[Units]]*EquipmentTable[[#This Row],[Unit
 Price]])</f>
        <v>9.9499999999999993</v>
      </c>
      <c r="K276" s="50" t="str">
        <f>RawList!G247</f>
        <v>https://cdn.sparkfun.com/r/92-92/assets/parts/1/0/0/4/2/13041-01.jpg</v>
      </c>
      <c r="L276" s="50"/>
      <c r="M276" s="50" t="str">
        <f>RawList!F247</f>
        <v>https://www.sparkfun.com/products/13041</v>
      </c>
    </row>
    <row r="277" spans="2:13" hidden="1" x14ac:dyDescent="0.3">
      <c r="B277" s="50" t="str">
        <f>RawList!A248</f>
        <v>Smart-Home/IoT Network Integration (Fixed)</v>
      </c>
      <c r="C277" s="50" t="str">
        <f>RawList!B248</f>
        <v>Intel Edison Iot/Base Station</v>
      </c>
      <c r="D277" s="50" t="str">
        <f>RawList!C248</f>
        <v>SparkFun</v>
      </c>
      <c r="E277" s="50" t="str">
        <f>RawList!H248</f>
        <v>SparkFun Block for IntelÂ® Edison - Power</v>
      </c>
      <c r="F277" s="50" t="str">
        <f>RawList!D248</f>
        <v>DEV-13727</v>
      </c>
      <c r="G277" s="137">
        <f>RawList!E248</f>
        <v>1</v>
      </c>
      <c r="H277" s="50" t="str">
        <f>IF(EquipmentTable[[#This Row],[Units]]&gt;0,"Quantity &gt; 0 Items","Quantity = 0 Items")</f>
        <v>Quantity &gt; 0 Items</v>
      </c>
      <c r="I277" s="57">
        <f>RawList!J248</f>
        <v>9.9499999999999993</v>
      </c>
      <c r="J277" s="24">
        <f>VALUE(EquipmentTable[[#This Row],[Units]]*EquipmentTable[[#This Row],[Unit
 Price]])</f>
        <v>9.9499999999999993</v>
      </c>
      <c r="K277" s="50" t="str">
        <f>RawList!G248</f>
        <v>https://cdn.sparkfun.com/r/92-92/assets/parts/1/1/2/3/7/13727-01.jpg</v>
      </c>
      <c r="L277" s="50"/>
      <c r="M277" s="50" t="str">
        <f>RawList!F248</f>
        <v>https://www.sparkfun.com/products/13727</v>
      </c>
    </row>
    <row r="278" spans="2:13" hidden="1" x14ac:dyDescent="0.3">
      <c r="B278" s="50" t="str">
        <f>RawList!A249</f>
        <v>Smart-Home/IoT Network Integration (Fixed)</v>
      </c>
      <c r="C278" s="50" t="str">
        <f>RawList!B249</f>
        <v>Intel Edison Iot/Base Station</v>
      </c>
      <c r="D278" s="50" t="str">
        <f>RawList!C249</f>
        <v>SparkFun</v>
      </c>
      <c r="E278" s="50" t="str">
        <f>RawList!H249</f>
        <v>SparkFun Block for IntelÂ® Edison - OLED</v>
      </c>
      <c r="F278" s="50" t="str">
        <f>RawList!D249</f>
        <v>DEV-13035</v>
      </c>
      <c r="G278" s="137">
        <f>RawList!E249</f>
        <v>1</v>
      </c>
      <c r="H278" s="50" t="str">
        <f>IF(EquipmentTable[[#This Row],[Units]]&gt;0,"Quantity &gt; 0 Items","Quantity = 0 Items")</f>
        <v>Quantity &gt; 0 Items</v>
      </c>
      <c r="I278" s="57">
        <f>RawList!J249</f>
        <v>14.95</v>
      </c>
      <c r="J278" s="24">
        <f>VALUE(EquipmentTable[[#This Row],[Units]]*EquipmentTable[[#This Row],[Unit
 Price]])</f>
        <v>14.95</v>
      </c>
      <c r="K278" s="50" t="str">
        <f>RawList!G249</f>
        <v>https://cdn.sparkfun.com/r/92-92/assets/parts/1/0/0/3/6/13035-01.jpg</v>
      </c>
      <c r="L278" s="50"/>
      <c r="M278" s="50" t="str">
        <f>RawList!F249</f>
        <v>https://www.sparkfun.com/products/13035</v>
      </c>
    </row>
    <row r="279" spans="2:13" hidden="1" x14ac:dyDescent="0.3">
      <c r="B279" s="50" t="str">
        <f>RawList!A250</f>
        <v>Smart-Home/IoT Network Integration (Fixed)</v>
      </c>
      <c r="C279" s="50" t="str">
        <f>RawList!B250</f>
        <v>Intel Edison Iot/Base Station</v>
      </c>
      <c r="D279" s="50" t="str">
        <f>RawList!C250</f>
        <v>SparkFun</v>
      </c>
      <c r="E279" s="50" t="str">
        <f>RawList!H250</f>
        <v>SparkFun Block for Intel Edison - ADC</v>
      </c>
      <c r="F279" s="50" t="str">
        <f>RawList!D250</f>
        <v>DEV-13770</v>
      </c>
      <c r="G279" s="137">
        <f>RawList!E250</f>
        <v>1</v>
      </c>
      <c r="H279" s="50" t="str">
        <f>IF(EquipmentTable[[#This Row],[Units]]&gt;0,"Quantity &gt; 0 Items","Quantity = 0 Items")</f>
        <v>Quantity &gt; 0 Items</v>
      </c>
      <c r="I279" s="57">
        <f>RawList!J250</f>
        <v>9.9499999999999993</v>
      </c>
      <c r="J279" s="24">
        <f>VALUE(EquipmentTable[[#This Row],[Units]]*EquipmentTable[[#This Row],[Unit
 Price]])</f>
        <v>9.9499999999999993</v>
      </c>
      <c r="K279" s="50" t="str">
        <f>RawList!G250</f>
        <v>https://cdn.sparkfun.com/r/92-92/assets/parts/1/1/3/2/1/13770-00.jpg</v>
      </c>
      <c r="L279" s="50"/>
      <c r="M279" s="50" t="str">
        <f>RawList!F250</f>
        <v>https://www.sparkfun.com/products/13770</v>
      </c>
    </row>
    <row r="280" spans="2:13" hidden="1" x14ac:dyDescent="0.3">
      <c r="B280" s="50" t="str">
        <f>RawList!A251</f>
        <v>Smart-Home/IoT Network Integration (Fixed)</v>
      </c>
      <c r="C280" s="50" t="str">
        <f>RawList!B251</f>
        <v>Intel Edison Iot/Base Station</v>
      </c>
      <c r="D280" s="50" t="str">
        <f>RawList!C251</f>
        <v>SparkFun</v>
      </c>
      <c r="E280" s="50" t="str">
        <f>RawList!H251</f>
        <v>IntelÂ® Edison Hardware Pack</v>
      </c>
      <c r="F280" s="50" t="str">
        <f>RawList!D251</f>
        <v>COM-13187</v>
      </c>
      <c r="G280" s="137">
        <f>RawList!E251</f>
        <v>4</v>
      </c>
      <c r="H280" s="50" t="str">
        <f>IF(EquipmentTable[[#This Row],[Units]]&gt;0,"Quantity &gt; 0 Items","Quantity = 0 Items")</f>
        <v>Quantity &gt; 0 Items</v>
      </c>
      <c r="I280" s="57">
        <f>RawList!J251</f>
        <v>2.95</v>
      </c>
      <c r="J280" s="24">
        <f>VALUE(EquipmentTable[[#This Row],[Units]]*EquipmentTable[[#This Row],[Unit
 Price]])</f>
        <v>11.8</v>
      </c>
      <c r="K280" s="50" t="str">
        <f>RawList!G251</f>
        <v>https://cdn.sparkfun.com/r/92-92/assets/parts/1/0/3/2/4/13187-01.jpg</v>
      </c>
      <c r="L280" s="50"/>
      <c r="M280" s="50" t="str">
        <f>RawList!F251</f>
        <v>https://www.sparkfun.com/products/13187</v>
      </c>
    </row>
    <row r="281" spans="2:13" hidden="1" x14ac:dyDescent="0.3">
      <c r="B281" s="50" t="str">
        <f>RawList!A251</f>
        <v>Smart-Home/IoT Network Integration (Fixed)</v>
      </c>
      <c r="C281" s="50" t="str">
        <f>RawList!B251</f>
        <v>Intel Edison Iot/Base Station</v>
      </c>
      <c r="D281" s="50" t="str">
        <f>RawList!C251</f>
        <v>SparkFun</v>
      </c>
      <c r="E281" s="50" t="str">
        <f>RawList!H251</f>
        <v>IntelÂ® Edison Hardware Pack</v>
      </c>
      <c r="F281" s="50" t="str">
        <f>RawList!D251</f>
        <v>COM-13187</v>
      </c>
      <c r="G281" s="137">
        <f>RawList!E251</f>
        <v>4</v>
      </c>
      <c r="H281" s="50" t="str">
        <f>IF(EquipmentTable[[#This Row],[Units]]&gt;0,"Quantity &gt; 0 Items","Quantity = 0 Items")</f>
        <v>Quantity &gt; 0 Items</v>
      </c>
      <c r="I281" s="141">
        <f>RawList!J251</f>
        <v>2.95</v>
      </c>
      <c r="J281" s="24">
        <f>VALUE(EquipmentTable[[#This Row],[Units]]*EquipmentTable[[#This Row],[Unit
 Price]])</f>
        <v>11.8</v>
      </c>
      <c r="K281" s="50" t="str">
        <f>RawList!G252</f>
        <v>https://cdn.sparkfun.com/r/92-92/assets/parts/1/2/4/6/8/14438-01.jpg</v>
      </c>
      <c r="L281" s="50"/>
      <c r="M281" s="50" t="str">
        <f>RawList!F252</f>
        <v>https://www.sparkfun.com/products/14438</v>
      </c>
    </row>
    <row r="282" spans="2:13" hidden="1" x14ac:dyDescent="0.3">
      <c r="B282" s="50" t="str">
        <f>RawList!A252</f>
        <v>Smart-Home/IoT Network Integration (Fixed)</v>
      </c>
      <c r="C282" s="50" t="str">
        <f>RawList!B252</f>
        <v>Onion Omega2+ + Arduino Base Station</v>
      </c>
      <c r="D282" s="50" t="str">
        <f>RawList!C252</f>
        <v>SparkFun</v>
      </c>
      <c r="E282" s="50" t="str">
        <f>RawList!H252</f>
        <v>Arduino Dock R2 for Onion Omega</v>
      </c>
      <c r="F282" s="50" t="str">
        <f>RawList!D252</f>
        <v>DEV-14438</v>
      </c>
      <c r="G282" s="137">
        <f>RawList!E252</f>
        <v>1</v>
      </c>
      <c r="H282" s="50" t="str">
        <f>IF(EquipmentTable[[#This Row],[Units]]&gt;0,"Quantity &gt; 0 Items","Quantity = 0 Items")</f>
        <v>Quantity &gt; 0 Items</v>
      </c>
      <c r="I282" s="141">
        <f>RawList!J252</f>
        <v>20</v>
      </c>
      <c r="J282" s="24">
        <f>VALUE(EquipmentTable[[#This Row],[Units]]*EquipmentTable[[#This Row],[Unit
 Price]])</f>
        <v>20</v>
      </c>
      <c r="K282" s="50" t="str">
        <f>RawList!G252</f>
        <v>https://cdn.sparkfun.com/r/92-92/assets/parts/1/2/4/6/8/14438-01.jpg</v>
      </c>
      <c r="L282" s="50"/>
      <c r="M282" s="50" t="str">
        <f>RawList!F252</f>
        <v>https://www.sparkfun.com/products/14438</v>
      </c>
    </row>
    <row r="283" spans="2:13" hidden="1" x14ac:dyDescent="0.3">
      <c r="B283" s="50" t="str">
        <f>RawList!A253</f>
        <v>Smart-Home/IoT Network Integration (Fixed)</v>
      </c>
      <c r="C283" s="50" t="str">
        <f>RawList!B253</f>
        <v>Onion Omega2+ + Arduino Base Station</v>
      </c>
      <c r="D283" s="50" t="str">
        <f>RawList!C253</f>
        <v>SparkFun</v>
      </c>
      <c r="E283" s="50" t="str">
        <f>RawList!H253</f>
        <v>Onion Omega2+ IoT Computer</v>
      </c>
      <c r="F283" s="50" t="str">
        <f>RawList!D253</f>
        <v>DEV-14431</v>
      </c>
      <c r="G283" s="137">
        <f>RawList!E253</f>
        <v>1</v>
      </c>
      <c r="H283" s="50" t="str">
        <f>IF(EquipmentTable[[#This Row],[Units]]&gt;0,"Quantity &gt; 0 Items","Quantity = 0 Items")</f>
        <v>Quantity &gt; 0 Items</v>
      </c>
      <c r="I283" s="141">
        <f>RawList!J253</f>
        <v>9</v>
      </c>
      <c r="J283" s="24">
        <f>VALUE(EquipmentTable[[#This Row],[Units]]*EquipmentTable[[#This Row],[Unit
 Price]])</f>
        <v>9</v>
      </c>
      <c r="K283" s="50" t="str">
        <f>RawList!G253</f>
        <v>https://cdn.sparkfun.com/r/92-92/assets/parts/1/2/4/6/1/14431-01.jpg</v>
      </c>
      <c r="L283" s="50"/>
      <c r="M283" s="50" t="str">
        <f>RawList!F253</f>
        <v>https://www.sparkfun.com/products/14431</v>
      </c>
    </row>
    <row r="284" spans="2:13" hidden="1" x14ac:dyDescent="0.3">
      <c r="B284" s="50" t="str">
        <f>RawList!A254</f>
        <v>Smart-Home/IoT Network Integration (Fixed)</v>
      </c>
      <c r="C284" s="50" t="str">
        <f>RawList!B254</f>
        <v>Onion Omega2+ + Arduino Base Station</v>
      </c>
      <c r="D284" s="50" t="str">
        <f>RawList!C254</f>
        <v>SparkFun</v>
      </c>
      <c r="E284" s="50" t="str">
        <f>RawList!H254</f>
        <v>Proto Expansion Board for Onion Omega</v>
      </c>
      <c r="F284" s="50" t="str">
        <f>RawList!D254</f>
        <v>DEV-14443</v>
      </c>
      <c r="G284" s="137">
        <f>RawList!E254</f>
        <v>1</v>
      </c>
      <c r="H284" s="50" t="str">
        <f>IF(EquipmentTable[[#This Row],[Units]]&gt;0,"Quantity &gt; 0 Items","Quantity = 0 Items")</f>
        <v>Quantity &gt; 0 Items</v>
      </c>
      <c r="I284" s="141">
        <f>RawList!J254</f>
        <v>5</v>
      </c>
      <c r="J284" s="24">
        <f>VALUE(EquipmentTable[[#This Row],[Units]]*EquipmentTable[[#This Row],[Unit
 Price]])</f>
        <v>5</v>
      </c>
      <c r="K284" s="50" t="str">
        <f>RawList!G254</f>
        <v>https://cdn.sparkfun.com/r/92-92/assets/parts/1/2/4/7/3/14443-01.jpg</v>
      </c>
      <c r="L284" s="50"/>
      <c r="M284" s="50" t="str">
        <f>RawList!F254</f>
        <v>https://www.sparkfun.com/products/14443</v>
      </c>
    </row>
    <row r="285" spans="2:13" hidden="1" x14ac:dyDescent="0.3">
      <c r="B285" s="50" t="str">
        <f>RawList!A255</f>
        <v>Smart-Home/IoT Network Integration (Fixed)</v>
      </c>
      <c r="C285" s="50" t="str">
        <f>RawList!B255</f>
        <v>Onion Omega2+ + Arduino Base Station</v>
      </c>
      <c r="D285" s="50" t="str">
        <f>RawList!C255</f>
        <v>SparkFun</v>
      </c>
      <c r="E285" s="50" t="str">
        <f>RawList!H255</f>
        <v>OLED Expansion Board for Onion Omega</v>
      </c>
      <c r="F285" s="50" t="str">
        <f>RawList!D255</f>
        <v>DEV-14442</v>
      </c>
      <c r="G285" s="137">
        <f>RawList!E255</f>
        <v>1</v>
      </c>
      <c r="H285" s="50" t="str">
        <f>IF(EquipmentTable[[#This Row],[Units]]&gt;0,"Quantity &gt; 0 Items","Quantity = 0 Items")</f>
        <v>Quantity &gt; 0 Items</v>
      </c>
      <c r="I285" s="141">
        <f>RawList!J255</f>
        <v>15</v>
      </c>
      <c r="J285" s="24">
        <f>VALUE(EquipmentTable[[#This Row],[Units]]*EquipmentTable[[#This Row],[Unit
 Price]])</f>
        <v>15</v>
      </c>
      <c r="K285" s="50" t="str">
        <f>RawList!G255</f>
        <v>https://cdn.sparkfun.com/r/92-92/assets/parts/1/2/4/7/2/14442-01.jpg</v>
      </c>
      <c r="L285" s="50"/>
      <c r="M285" s="50" t="str">
        <f>RawList!F255</f>
        <v>https://www.sparkfun.com/products/14442</v>
      </c>
    </row>
    <row r="286" spans="2:13" hidden="1" x14ac:dyDescent="0.3">
      <c r="B286" s="50" t="str">
        <f>RawList!A256</f>
        <v>Smart-Home/IoT Network Integration (Fixed)</v>
      </c>
      <c r="C286" s="50" t="str">
        <f>RawList!B256</f>
        <v>Onion Omega2+ + Arduino Base Station</v>
      </c>
      <c r="D286" s="50" t="str">
        <f>RawList!C256</f>
        <v>SparkFun</v>
      </c>
      <c r="E286" s="50" t="str">
        <f>RawList!H256</f>
        <v>Ethernet Expansion Board for Onion Omega</v>
      </c>
      <c r="F286" s="50" t="str">
        <f>RawList!D256</f>
        <v>DEV-14441</v>
      </c>
      <c r="G286" s="137">
        <f>RawList!E256</f>
        <v>1</v>
      </c>
      <c r="H286" s="50" t="str">
        <f>IF(EquipmentTable[[#This Row],[Units]]&gt;0,"Quantity &gt; 0 Items","Quantity = 0 Items")</f>
        <v>Quantity &gt; 0 Items</v>
      </c>
      <c r="I286" s="141">
        <f>RawList!J256</f>
        <v>15</v>
      </c>
      <c r="J286" s="24">
        <f>VALUE(EquipmentTable[[#This Row],[Units]]*EquipmentTable[[#This Row],[Unit
 Price]])</f>
        <v>15</v>
      </c>
      <c r="K286" s="50" t="str">
        <f>RawList!G256</f>
        <v>https://cdn.sparkfun.com/r/92-92/assets/parts/1/2/4/7/1/14441-02.jpg</v>
      </c>
      <c r="L286" s="50"/>
      <c r="M286" s="50" t="str">
        <f>RawList!F256</f>
        <v>https://www.sparkfun.com/products/14441</v>
      </c>
    </row>
    <row r="287" spans="2:13" hidden="1" x14ac:dyDescent="0.3">
      <c r="B287" s="50" t="str">
        <f>RawList!A257</f>
        <v>Smart-Home/IoT Network Integration (Fixed)</v>
      </c>
      <c r="C287" s="50" t="str">
        <f>RawList!B257</f>
        <v>Onion Omega2+ + Arduino Base Station</v>
      </c>
      <c r="D287" s="50" t="str">
        <f>RawList!C257</f>
        <v>SparkFun</v>
      </c>
      <c r="E287" s="50" t="str">
        <f>RawList!H257</f>
        <v>Mini Dock for Onion Omega</v>
      </c>
      <c r="F287" s="50" t="str">
        <f>RawList!D257</f>
        <v>DEV-14437</v>
      </c>
      <c r="G287" s="137">
        <f>RawList!E257</f>
        <v>1</v>
      </c>
      <c r="H287" s="50" t="str">
        <f>IF(EquipmentTable[[#This Row],[Units]]&gt;0,"Quantity &gt; 0 Items","Quantity = 0 Items")</f>
        <v>Quantity &gt; 0 Items</v>
      </c>
      <c r="I287" s="141">
        <f>RawList!J257</f>
        <v>15</v>
      </c>
      <c r="J287" s="24">
        <f>VALUE(EquipmentTable[[#This Row],[Units]]*EquipmentTable[[#This Row],[Unit
 Price]])</f>
        <v>15</v>
      </c>
      <c r="K287" s="50" t="str">
        <f>RawList!G257</f>
        <v>https://cdn.sparkfun.com/r/92-92/assets/parts/1/2/4/6/7/14437-01.jpg</v>
      </c>
      <c r="L287" s="50"/>
      <c r="M287" s="50" t="str">
        <f>RawList!F257</f>
        <v>https://www.sparkfun.com/products/14437</v>
      </c>
    </row>
    <row r="288" spans="2:13" hidden="1" x14ac:dyDescent="0.3">
      <c r="B288" s="50" t="str">
        <f>RawList!A258</f>
        <v>Smart-Home/IoT Network Integration (Fixed)</v>
      </c>
      <c r="C288" s="50" t="str">
        <f>RawList!B258</f>
        <v>Onion Omega2+ + Arduino Base Station</v>
      </c>
      <c r="D288" s="50" t="str">
        <f>RawList!C258</f>
        <v>SparkFun</v>
      </c>
      <c r="E288" s="50" t="str">
        <f>RawList!H258</f>
        <v>Breadboard Dock for Onion Omega</v>
      </c>
      <c r="F288" s="50" t="str">
        <f>RawList!D258</f>
        <v>DEV-14436</v>
      </c>
      <c r="G288" s="137">
        <f>RawList!E258</f>
        <v>1</v>
      </c>
      <c r="H288" s="50" t="str">
        <f>IF(EquipmentTable[[#This Row],[Units]]&gt;0,"Quantity &gt; 0 Items","Quantity = 0 Items")</f>
        <v>Quantity &gt; 0 Items</v>
      </c>
      <c r="I288" s="141">
        <f>RawList!J258</f>
        <v>10</v>
      </c>
      <c r="J288" s="24">
        <f>VALUE(EquipmentTable[[#This Row],[Units]]*EquipmentTable[[#This Row],[Unit
 Price]])</f>
        <v>10</v>
      </c>
      <c r="K288" s="50" t="str">
        <f>RawList!G258</f>
        <v>https://cdn.sparkfun.com/r/92-92/assets/parts/1/2/4/6/6/14436-01.jpg</v>
      </c>
      <c r="L288" s="50"/>
      <c r="M288" s="50" t="str">
        <f>RawList!F258</f>
        <v>https://www.sparkfun.com/products/14436</v>
      </c>
    </row>
    <row r="289" spans="2:13" hidden="1" x14ac:dyDescent="0.3">
      <c r="B289" s="50" t="str">
        <f>RawList!A259</f>
        <v>Smart-Home/IoT Network Integration (Portable)</v>
      </c>
      <c r="C289" s="50" t="str">
        <f>RawList!B259</f>
        <v>Onion Omega2+ Handheld</v>
      </c>
      <c r="D289" s="50" t="str">
        <f>RawList!C259</f>
        <v>SparkFun</v>
      </c>
      <c r="E289" s="50" t="str">
        <f>RawList!H259</f>
        <v>Expansion Dock for Onion Omega</v>
      </c>
      <c r="F289" s="50" t="str">
        <f>RawList!D259</f>
        <v>DEV-14439</v>
      </c>
      <c r="G289" s="137">
        <f>RawList!E259</f>
        <v>1</v>
      </c>
      <c r="H289" s="50" t="str">
        <f>IF(EquipmentTable[[#This Row],[Units]]&gt;0,"Quantity &gt; 0 Items","Quantity = 0 Items")</f>
        <v>Quantity &gt; 0 Items</v>
      </c>
      <c r="I289" s="141">
        <f>RawList!J259</f>
        <v>15</v>
      </c>
      <c r="J289" s="24">
        <f>VALUE(EquipmentTable[[#This Row],[Units]]*EquipmentTable[[#This Row],[Unit
 Price]])</f>
        <v>15</v>
      </c>
      <c r="K289" s="50" t="str">
        <f>RawList!G259</f>
        <v>https://cdn.sparkfun.com/r/92-92/assets/parts/1/2/4/6/9/14439-03.jpg</v>
      </c>
      <c r="L289" s="50"/>
      <c r="M289" s="50" t="str">
        <f>RawList!F259</f>
        <v>https://www.sparkfun.com/products/14439</v>
      </c>
    </row>
    <row r="290" spans="2:13" hidden="1" x14ac:dyDescent="0.3">
      <c r="B290" s="50" t="str">
        <f>RawList!A260</f>
        <v>Smart-Home/IoT Network Integration (Portable)</v>
      </c>
      <c r="C290" s="50" t="str">
        <f>RawList!B260</f>
        <v>Onion Omega2+ Handheld</v>
      </c>
      <c r="D290" s="50" t="str">
        <f>RawList!C260</f>
        <v>SparkFun</v>
      </c>
      <c r="E290" s="50" t="str">
        <f>RawList!H260</f>
        <v>Onion Omega2+ IoT Computer</v>
      </c>
      <c r="F290" s="50" t="str">
        <f>RawList!D260</f>
        <v>DEV-14431</v>
      </c>
      <c r="G290" s="137">
        <f>RawList!E260</f>
        <v>1</v>
      </c>
      <c r="H290" s="50" t="str">
        <f>IF(EquipmentTable[[#This Row],[Units]]&gt;0,"Quantity &gt; 0 Items","Quantity = 0 Items")</f>
        <v>Quantity &gt; 0 Items</v>
      </c>
      <c r="I290" s="141">
        <f>RawList!J260</f>
        <v>9</v>
      </c>
      <c r="J290" s="24">
        <f>VALUE(EquipmentTable[[#This Row],[Units]]*EquipmentTable[[#This Row],[Unit
 Price]])</f>
        <v>9</v>
      </c>
      <c r="K290" s="50" t="str">
        <f>RawList!G260</f>
        <v>https://cdn.sparkfun.com/r/92-92/assets/parts/1/2/4/6/1/14431-01.jpg</v>
      </c>
      <c r="L290" s="50"/>
      <c r="M290" s="50" t="str">
        <f>RawList!F260</f>
        <v>https://www.sparkfun.com/products/14431</v>
      </c>
    </row>
    <row r="291" spans="2:13" hidden="1" x14ac:dyDescent="0.3">
      <c r="B291" s="50" t="str">
        <f>RawList!A261</f>
        <v>Smart-Home/IoT Network Integration (Portable)</v>
      </c>
      <c r="C291" s="50" t="str">
        <f>RawList!B261</f>
        <v>Onion Omega2+ Handheld</v>
      </c>
      <c r="D291" s="50" t="str">
        <f>RawList!C261</f>
        <v>SparkFun</v>
      </c>
      <c r="E291" s="50" t="str">
        <f>RawList!H261</f>
        <v>GPS Expansion Board for Onion Omega</v>
      </c>
      <c r="F291" s="50" t="str">
        <f>RawList!D261</f>
        <v>DEV-14446</v>
      </c>
      <c r="G291" s="137">
        <f>RawList!E261</f>
        <v>1</v>
      </c>
      <c r="H291" s="50" t="str">
        <f>IF(EquipmentTable[[#This Row],[Units]]&gt;0,"Quantity &gt; 0 Items","Quantity = 0 Items")</f>
        <v>Quantity &gt; 0 Items</v>
      </c>
      <c r="I291" s="141">
        <f>RawList!J261</f>
        <v>30</v>
      </c>
      <c r="J291" s="24">
        <f>VALUE(EquipmentTable[[#This Row],[Units]]*EquipmentTable[[#This Row],[Unit
 Price]])</f>
        <v>30</v>
      </c>
      <c r="K291" s="50" t="str">
        <f>RawList!G261</f>
        <v>https://cdn.sparkfun.com/r/92-92/assets/parts/1/2/4/7/6/14446-01.jpg</v>
      </c>
      <c r="L291" s="50"/>
      <c r="M291" s="50" t="str">
        <f>RawList!F261</f>
        <v>https://www.sparkfun.com/products/14446</v>
      </c>
    </row>
    <row r="292" spans="2:13" hidden="1" x14ac:dyDescent="0.3">
      <c r="B292" s="50" t="str">
        <f>RawList!A262</f>
        <v>Smart-Home/IoT Network Integration (Portable)</v>
      </c>
      <c r="C292" s="50" t="str">
        <f>RawList!B262</f>
        <v>Onion Omega2+ Handheld</v>
      </c>
      <c r="D292" s="50" t="str">
        <f>RawList!C262</f>
        <v>SparkFun</v>
      </c>
      <c r="E292" s="50" t="str">
        <f>RawList!H262</f>
        <v>Proto Expansion Board for Onion Omega</v>
      </c>
      <c r="F292" s="50" t="str">
        <f>RawList!D262</f>
        <v>DEV-14443</v>
      </c>
      <c r="G292" s="137">
        <f>RawList!E262</f>
        <v>1</v>
      </c>
      <c r="H292" s="50" t="str">
        <f>IF(EquipmentTable[[#This Row],[Units]]&gt;0,"Quantity &gt; 0 Items","Quantity = 0 Items")</f>
        <v>Quantity &gt; 0 Items</v>
      </c>
      <c r="I292" s="141">
        <f>RawList!J262</f>
        <v>5</v>
      </c>
      <c r="J292" s="24">
        <f>VALUE(EquipmentTable[[#This Row],[Units]]*EquipmentTable[[#This Row],[Unit
 Price]])</f>
        <v>5</v>
      </c>
      <c r="K292" s="50" t="str">
        <f>RawList!G262</f>
        <v>https://cdn.sparkfun.com/r/92-92/assets/parts/1/2/4/7/3/14443-01.jpg</v>
      </c>
      <c r="L292" s="50"/>
      <c r="M292" s="50" t="str">
        <f>RawList!F262</f>
        <v>https://www.sparkfun.com/products/14443</v>
      </c>
    </row>
    <row r="293" spans="2:13" hidden="1" x14ac:dyDescent="0.3">
      <c r="B293" s="50" t="str">
        <f>RawList!A263</f>
        <v>Smart-Home/IoT Network Integration (Portable)</v>
      </c>
      <c r="C293" s="50" t="str">
        <f>RawList!B263</f>
        <v>Onion Omega2+ Handheld</v>
      </c>
      <c r="D293" s="50" t="str">
        <f>RawList!C263</f>
        <v>SparkFun</v>
      </c>
      <c r="E293" s="50" t="str">
        <f>RawList!H263</f>
        <v>OLED Expansion Board for Onion Omega</v>
      </c>
      <c r="F293" s="50" t="str">
        <f>RawList!D263</f>
        <v>DEV-14442</v>
      </c>
      <c r="G293" s="137">
        <f>RawList!E263</f>
        <v>1</v>
      </c>
      <c r="H293" s="50" t="str">
        <f>IF(EquipmentTable[[#This Row],[Units]]&gt;0,"Quantity &gt; 0 Items","Quantity = 0 Items")</f>
        <v>Quantity &gt; 0 Items</v>
      </c>
      <c r="I293" s="141">
        <f>RawList!J263</f>
        <v>15</v>
      </c>
      <c r="J293" s="24">
        <f>VALUE(EquipmentTable[[#This Row],[Units]]*EquipmentTable[[#This Row],[Unit
 Price]])</f>
        <v>15</v>
      </c>
      <c r="K293" s="50" t="str">
        <f>RawList!G263</f>
        <v>https://cdn.sparkfun.com/r/92-92/assets/parts/1/2/4/7/2/14442-01.jpg</v>
      </c>
      <c r="L293" s="50"/>
      <c r="M293" s="50" t="str">
        <f>RawList!F263</f>
        <v>https://www.sparkfun.com/products/14442</v>
      </c>
    </row>
    <row r="294" spans="2:13" hidden="1" x14ac:dyDescent="0.3">
      <c r="B294" s="50" t="str">
        <f>RawList!A264</f>
        <v>Smart-Home/IoT Network Integration (Portable)</v>
      </c>
      <c r="C294" s="50" t="str">
        <f>RawList!B264</f>
        <v>Realtek Ameba Handheld</v>
      </c>
      <c r="D294" s="50" t="str">
        <f>RawList!C264</f>
        <v>SparkFun</v>
      </c>
      <c r="E294" s="50" t="str">
        <f>RawList!H264</f>
        <v>Realtek Ameba Board</v>
      </c>
      <c r="F294" s="50" t="str">
        <f>RawList!D264</f>
        <v>WRL-14280</v>
      </c>
      <c r="G294" s="137">
        <f>RawList!E264</f>
        <v>1</v>
      </c>
      <c r="H294" s="50" t="str">
        <f>IF(EquipmentTable[[#This Row],[Units]]&gt;0,"Quantity &gt; 0 Items","Quantity = 0 Items")</f>
        <v>Quantity &gt; 0 Items</v>
      </c>
      <c r="I294" s="141">
        <f>RawList!J264</f>
        <v>24.95</v>
      </c>
      <c r="J294" s="24">
        <f>VALUE(EquipmentTable[[#This Row],[Units]]*EquipmentTable[[#This Row],[Unit
 Price]])</f>
        <v>24.95</v>
      </c>
      <c r="K294" s="50" t="str">
        <f>RawList!G264</f>
        <v>https://cdn.sparkfun.com/r/92-92/assets/parts/1/2/2/3/6/14280-01.jpg</v>
      </c>
      <c r="L294" s="50"/>
      <c r="M294" s="50" t="str">
        <f>RawList!F264</f>
        <v>https://www.sparkfun.com/products/14280</v>
      </c>
    </row>
    <row r="295" spans="2:13" hidden="1" x14ac:dyDescent="0.3">
      <c r="B295" s="50" t="str">
        <f>RawList!A265</f>
        <v>Smart-Home/IoT Network Integration (Portable)</v>
      </c>
      <c r="C295" s="50" t="str">
        <f>RawList!B265</f>
        <v>Phone/Computer App Companion</v>
      </c>
      <c r="D295" s="50" t="str">
        <f>RawList!C265</f>
        <v>SparkFun</v>
      </c>
      <c r="E295" s="50" t="str">
        <f>RawList!H265</f>
        <v>IOIO-OTG - V2.2</v>
      </c>
      <c r="F295" s="50" t="str">
        <f>RawList!D265</f>
        <v>DEV-13613</v>
      </c>
      <c r="G295" s="137">
        <f>RawList!E265</f>
        <v>1</v>
      </c>
      <c r="H295" s="50" t="str">
        <f>IF(EquipmentTable[[#This Row],[Units]]&gt;0,"Quantity &gt; 0 Items","Quantity = 0 Items")</f>
        <v>Quantity &gt; 0 Items</v>
      </c>
      <c r="I295" s="141">
        <f>RawList!J265</f>
        <v>39.950000000000003</v>
      </c>
      <c r="J295" s="24">
        <f>VALUE(EquipmentTable[[#This Row],[Units]]*EquipmentTable[[#This Row],[Unit
 Price]])</f>
        <v>39.950000000000003</v>
      </c>
      <c r="K295" s="50" t="str">
        <f>RawList!G265</f>
        <v>https://cdn.sparkfun.com/r/92-92/assets/parts/1/0/9/8/3/13613-01.jpg</v>
      </c>
      <c r="L295" s="50"/>
      <c r="M295" s="50" t="str">
        <f>RawList!F265</f>
        <v>https://www.sparkfun.com/products/13613</v>
      </c>
    </row>
    <row r="296" spans="2:13" hidden="1" x14ac:dyDescent="0.3">
      <c r="B296" s="50" t="str">
        <f>RawList!A266</f>
        <v>Smart-Home/IoT Network Integration (Portable)</v>
      </c>
      <c r="C296" s="50" t="str">
        <f>RawList!B266</f>
        <v>MicroView Watch/Relay</v>
      </c>
      <c r="D296" s="50" t="str">
        <f>RawList!C266</f>
        <v>SparkFun</v>
      </c>
      <c r="E296" s="50" t="str">
        <f>RawList!H266</f>
        <v>SparkFun MicroView - OLED Arduino Module</v>
      </c>
      <c r="F296" s="50" t="str">
        <f>RawList!D266</f>
        <v>DEV-12923</v>
      </c>
      <c r="G296" s="137">
        <f>RawList!E266</f>
        <v>1</v>
      </c>
      <c r="H296" s="50" t="str">
        <f>IF(EquipmentTable[[#This Row],[Units]]&gt;0,"Quantity &gt; 0 Items","Quantity = 0 Items")</f>
        <v>Quantity &gt; 0 Items</v>
      </c>
      <c r="I296" s="141">
        <f>RawList!J266</f>
        <v>39.950000000000003</v>
      </c>
      <c r="J296" s="24">
        <f>VALUE(EquipmentTable[[#This Row],[Units]]*EquipmentTable[[#This Row],[Unit
 Price]])</f>
        <v>39.950000000000003</v>
      </c>
      <c r="K296" s="50" t="str">
        <f>RawList!G266</f>
        <v>https://cdn.sparkfun.com/r/92-92/assets/parts/9/8/4/5/12923-01.jpg</v>
      </c>
      <c r="L296" s="50"/>
      <c r="M296" s="50" t="str">
        <f>RawList!F266</f>
        <v>https://www.sparkfun.com/products/12923</v>
      </c>
    </row>
    <row r="297" spans="2:13" hidden="1" x14ac:dyDescent="0.3">
      <c r="B297" s="50" t="str">
        <f>RawList!A267</f>
        <v>Smart-Home/IoT Network Integration (Portable)</v>
      </c>
      <c r="C297" s="50" t="str">
        <f>RawList!B267</f>
        <v>MicroView Watch/Relay</v>
      </c>
      <c r="D297" s="50" t="str">
        <f>RawList!C267</f>
        <v>SparkFun</v>
      </c>
      <c r="E297" s="50" t="str">
        <f>RawList!H267</f>
        <v>SparkFun MicroView - USB Programmer</v>
      </c>
      <c r="F297" s="50" t="str">
        <f>RawList!D267</f>
        <v>DEV-12924</v>
      </c>
      <c r="G297" s="137">
        <f>RawList!E267</f>
        <v>1</v>
      </c>
      <c r="H297" s="50" t="str">
        <f>IF(EquipmentTable[[#This Row],[Units]]&gt;0,"Quantity &gt; 0 Items","Quantity = 0 Items")</f>
        <v>Quantity &gt; 0 Items</v>
      </c>
      <c r="I297" s="141">
        <f>RawList!J267</f>
        <v>14.95</v>
      </c>
      <c r="J297" s="24">
        <f>VALUE(EquipmentTable[[#This Row],[Units]]*EquipmentTable[[#This Row],[Unit
 Price]])</f>
        <v>14.95</v>
      </c>
      <c r="K297" s="50" t="str">
        <f>RawList!G267</f>
        <v>https://cdn.sparkfun.com/r/92-92/assets/parts/9/8/4/6/12924-01.jpg</v>
      </c>
      <c r="L297" s="50"/>
      <c r="M297" s="50" t="str">
        <f>RawList!F267</f>
        <v>https://www.sparkfun.com/products/12924</v>
      </c>
    </row>
    <row r="298" spans="2:13" x14ac:dyDescent="0.3">
      <c r="B298" s="50" t="str">
        <f>RawList!A268</f>
        <v>Hardware Component</v>
      </c>
      <c r="C298" s="50" t="str">
        <f>RawList!B268</f>
        <v>Breadboard/Protoboard</v>
      </c>
      <c r="D298" s="50" t="str">
        <f>RawList!C268</f>
        <v>SparkFun</v>
      </c>
      <c r="E298" s="50" t="str">
        <f>RawList!H268</f>
        <v>Breadboard - Giant</v>
      </c>
      <c r="F298" s="50" t="str">
        <f>RawList!D268</f>
        <v>PRT-12614</v>
      </c>
      <c r="G298" s="137">
        <f>RawList!E268</f>
        <v>1</v>
      </c>
      <c r="H298" s="50" t="str">
        <f>IF(EquipmentTable[[#This Row],[Units]]&gt;0,"Quantity &gt; 0 Items","Quantity = 0 Items")</f>
        <v>Quantity &gt; 0 Items</v>
      </c>
      <c r="I298" s="141">
        <f>RawList!J268</f>
        <v>19.95</v>
      </c>
      <c r="J298" s="24">
        <f>VALUE(EquipmentTable[[#This Row],[Units]]*EquipmentTable[[#This Row],[Unit
 Price]])</f>
        <v>19.95</v>
      </c>
      <c r="K298" s="50" t="str">
        <f>RawList!G268</f>
        <v>https://cdn.sparkfun.com/r/92-92/assets/parts/9/2/8/1/12614-01.jpg</v>
      </c>
      <c r="L298" s="50"/>
      <c r="M298" s="50" t="str">
        <f>RawList!F268</f>
        <v>https://www.sparkfun.com/products/12614</v>
      </c>
    </row>
    <row r="299" spans="2:13" x14ac:dyDescent="0.3">
      <c r="B299" s="50" t="str">
        <f>RawList!A269</f>
        <v>Hardware Component</v>
      </c>
      <c r="C299" s="50" t="str">
        <f>RawList!B269</f>
        <v>Breadboard/Protoboard</v>
      </c>
      <c r="D299" s="50" t="str">
        <f>RawList!C269</f>
        <v>SparkFun</v>
      </c>
      <c r="E299" s="50" t="str">
        <f>RawList!H269</f>
        <v>Breadboard - Mini Modular (Red)</v>
      </c>
      <c r="F299" s="50" t="str">
        <f>RawList!D269</f>
        <v>PRT-12044</v>
      </c>
      <c r="G299" s="137">
        <f>RawList!E269</f>
        <v>0</v>
      </c>
      <c r="H299" s="50" t="str">
        <f>IF(EquipmentTable[[#This Row],[Units]]&gt;0,"Quantity &gt; 0 Items","Quantity = 0 Items")</f>
        <v>Quantity = 0 Items</v>
      </c>
      <c r="I299" s="141">
        <f>RawList!J269</f>
        <v>3.95</v>
      </c>
      <c r="J299" s="24">
        <f>VALUE(EquipmentTable[[#This Row],[Units]]*EquipmentTable[[#This Row],[Unit
 Price]])</f>
        <v>0</v>
      </c>
      <c r="K299" s="50" t="str">
        <f>RawList!G269</f>
        <v>https://cdn.sparkfun.com/r/92-92/assets/parts/8/6/2/7/12044-01.jpg</v>
      </c>
      <c r="L299" s="50"/>
      <c r="M299" s="50" t="str">
        <f>RawList!F269</f>
        <v>https://www.sparkfun.com/products/12044</v>
      </c>
    </row>
    <row r="300" spans="2:13" x14ac:dyDescent="0.3">
      <c r="B300" s="50" t="str">
        <f>RawList!A270</f>
        <v>Hardware Component</v>
      </c>
      <c r="C300" s="50" t="str">
        <f>RawList!B270</f>
        <v>Breadboard/Protoboard</v>
      </c>
      <c r="D300" s="50" t="str">
        <f>RawList!C270</f>
        <v>SparkFun</v>
      </c>
      <c r="E300" s="50" t="str">
        <f>RawList!H270</f>
        <v>Breadboard - Mini Modular (Black)</v>
      </c>
      <c r="F300" s="50" t="str">
        <f>RawList!D270</f>
        <v>PRT-12047</v>
      </c>
      <c r="G300" s="137">
        <f>RawList!E270</f>
        <v>20</v>
      </c>
      <c r="H300" s="50" t="str">
        <f>IF(EquipmentTable[[#This Row],[Units]]&gt;0,"Quantity &gt; 0 Items","Quantity = 0 Items")</f>
        <v>Quantity &gt; 0 Items</v>
      </c>
      <c r="I300" s="141">
        <f>RawList!J270</f>
        <v>3.95</v>
      </c>
      <c r="J300" s="24">
        <f>VALUE(EquipmentTable[[#This Row],[Units]]*EquipmentTable[[#This Row],[Unit
 Price]])</f>
        <v>79</v>
      </c>
      <c r="K300" s="50" t="str">
        <f>RawList!G270</f>
        <v>https://cdn.sparkfun.com/r/92-92/assets/parts/8/6/3/0/12047-01.jpg</v>
      </c>
      <c r="L300" s="50"/>
      <c r="M300" s="50" t="str">
        <f>RawList!F270</f>
        <v>https://www.sparkfun.com/products/12047</v>
      </c>
    </row>
    <row r="301" spans="2:13" x14ac:dyDescent="0.3">
      <c r="B301" s="50" t="str">
        <f>RawList!A271</f>
        <v>Hardware Component</v>
      </c>
      <c r="C301" s="50" t="str">
        <f>RawList!B271</f>
        <v>Breadboard/Protoboard</v>
      </c>
      <c r="D301" s="50" t="str">
        <f>RawList!C271</f>
        <v>Adafruit</v>
      </c>
      <c r="E301" s="50" t="str">
        <f>RawList!H271</f>
        <v>Tiny breadboard</v>
      </c>
      <c r="F301" s="50" t="str">
        <f>RawList!D271</f>
        <v>65</v>
      </c>
      <c r="G301" s="137">
        <f>RawList!E271</f>
        <v>0</v>
      </c>
      <c r="H301" s="50" t="str">
        <f>IF(EquipmentTable[[#This Row],[Units]]&gt;0,"Quantity &gt; 0 Items","Quantity = 0 Items")</f>
        <v>Quantity = 0 Items</v>
      </c>
      <c r="I301" s="141">
        <f>RawList!J271</f>
        <v>4</v>
      </c>
      <c r="J301" s="24">
        <f>VALUE(EquipmentTable[[#This Row],[Units]]*EquipmentTable[[#This Row],[Unit
 Price]])</f>
        <v>0</v>
      </c>
      <c r="K301" s="50">
        <f>RawList!G271</f>
        <v>0</v>
      </c>
      <c r="L301" s="50"/>
      <c r="M301" s="50">
        <f>RawList!F271</f>
        <v>0</v>
      </c>
    </row>
    <row r="302" spans="2:13" x14ac:dyDescent="0.3">
      <c r="B302" s="50" t="str">
        <f>RawList!A272</f>
        <v>Hardware Component</v>
      </c>
      <c r="C302" s="50" t="str">
        <f>RawList!B272</f>
        <v>Breadboard/Protoboard</v>
      </c>
      <c r="D302" s="50" t="str">
        <f>RawList!C272</f>
        <v>SparkFun</v>
      </c>
      <c r="E302" s="50" t="str">
        <f>RawList!H272</f>
        <v>SparkFun Solder-able Breadboard - Large</v>
      </c>
      <c r="F302" s="50" t="str">
        <f>RawList!D272</f>
        <v>PRT-12699</v>
      </c>
      <c r="G302" s="137">
        <f>RawList!E272</f>
        <v>15</v>
      </c>
      <c r="H302" s="50" t="str">
        <f>IF(EquipmentTable[[#This Row],[Units]]&gt;0,"Quantity &gt; 0 Items","Quantity = 0 Items")</f>
        <v>Quantity &gt; 0 Items</v>
      </c>
      <c r="I302" s="141">
        <f>RawList!J272</f>
        <v>8.5</v>
      </c>
      <c r="J302" s="24">
        <f>VALUE(EquipmentTable[[#This Row],[Units]]*EquipmentTable[[#This Row],[Unit
 Price]])</f>
        <v>127.5</v>
      </c>
      <c r="K302" s="50" t="str">
        <f>RawList!G272</f>
        <v>https://cdn.sparkfun.com/r/92-92/assets/parts/9/4/3/9/12699-02.jpg</v>
      </c>
      <c r="L302" s="50"/>
      <c r="M302" s="50" t="str">
        <f>RawList!F272</f>
        <v>https://www.sparkfun.com/products/12699</v>
      </c>
    </row>
    <row r="303" spans="2:13" x14ac:dyDescent="0.3">
      <c r="B303" s="50" t="str">
        <f>RawList!A273</f>
        <v>Hardware Component</v>
      </c>
      <c r="C303" s="50" t="str">
        <f>RawList!B273</f>
        <v>Breadboard/Protoboard</v>
      </c>
      <c r="D303" s="50" t="str">
        <f>RawList!C273</f>
        <v>SparkFun</v>
      </c>
      <c r="E303" s="50" t="str">
        <f>RawList!H273</f>
        <v>SparkFun Solder-able Breadboard</v>
      </c>
      <c r="F303" s="50" t="str">
        <f>RawList!D273</f>
        <v>PRT-12070</v>
      </c>
      <c r="G303" s="137">
        <f>RawList!E273</f>
        <v>1</v>
      </c>
      <c r="H303" s="50" t="str">
        <f>IF(EquipmentTable[[#This Row],[Units]]&gt;0,"Quantity &gt; 0 Items","Quantity = 0 Items")</f>
        <v>Quantity &gt; 0 Items</v>
      </c>
      <c r="I303" s="141">
        <f>RawList!J273</f>
        <v>4.95</v>
      </c>
      <c r="J303" s="24">
        <f>VALUE(EquipmentTable[[#This Row],[Units]]*EquipmentTable[[#This Row],[Unit
 Price]])</f>
        <v>4.95</v>
      </c>
      <c r="K303" s="50" t="str">
        <f>RawList!G273</f>
        <v>https://cdn.sparkfun.com/r/92-92/assets/parts/8/6/7/7/12070-01.jpg</v>
      </c>
      <c r="L303" s="50"/>
      <c r="M303" s="50" t="str">
        <f>RawList!F273</f>
        <v>https://www.sparkfun.com/products/12070</v>
      </c>
    </row>
    <row r="304" spans="2:13" x14ac:dyDescent="0.3">
      <c r="B304" s="50" t="str">
        <f>RawList!A274</f>
        <v>Hardware Component</v>
      </c>
      <c r="C304" s="50" t="str">
        <f>RawList!B274</f>
        <v>Breadboard/Protoboard</v>
      </c>
      <c r="D304" s="50" t="str">
        <f>RawList!C274</f>
        <v>SparkFun</v>
      </c>
      <c r="E304" s="50" t="str">
        <f>RawList!H274</f>
        <v>SparkFun Solder-able Breadboard - Mini</v>
      </c>
      <c r="F304" s="50" t="str">
        <f>RawList!D274</f>
        <v>PRT-12702</v>
      </c>
      <c r="G304" s="137">
        <f>RawList!E274</f>
        <v>0</v>
      </c>
      <c r="H304" s="50" t="str">
        <f>IF(EquipmentTable[[#This Row],[Units]]&gt;0,"Quantity &gt; 0 Items","Quantity = 0 Items")</f>
        <v>Quantity = 0 Items</v>
      </c>
      <c r="I304" s="141">
        <f>RawList!J274</f>
        <v>2.95</v>
      </c>
      <c r="J304" s="24">
        <f>VALUE(EquipmentTable[[#This Row],[Units]]*EquipmentTable[[#This Row],[Unit
 Price]])</f>
        <v>0</v>
      </c>
      <c r="K304" s="50" t="str">
        <f>RawList!G274</f>
        <v>https://cdn.sparkfun.com/r/92-92/assets/parts/9/4/4/3/12702-01.jpg</v>
      </c>
      <c r="L304" s="50"/>
      <c r="M304" s="50" t="str">
        <f>RawList!F274</f>
        <v>https://www.sparkfun.com/products/12702</v>
      </c>
    </row>
    <row r="305" spans="2:13" x14ac:dyDescent="0.3">
      <c r="B305" s="50" t="str">
        <f>RawList!A275</f>
        <v>Hardware Component</v>
      </c>
      <c r="C305" s="50" t="str">
        <f>RawList!B275</f>
        <v>Breadboard/Protoboard</v>
      </c>
      <c r="D305" s="50" t="str">
        <f>RawList!C275</f>
        <v>SparkFun</v>
      </c>
      <c r="E305" s="50" t="str">
        <f>RawList!H275</f>
        <v>SparkFun ProtoShield Kit</v>
      </c>
      <c r="F305" s="50" t="str">
        <f>RawList!D275</f>
        <v>DEV-07914</v>
      </c>
      <c r="G305" s="137">
        <f>RawList!E275</f>
        <v>1</v>
      </c>
      <c r="H305" s="50" t="str">
        <f>IF(EquipmentTable[[#This Row],[Units]]&gt;0,"Quantity &gt; 0 Items","Quantity = 0 Items")</f>
        <v>Quantity &gt; 0 Items</v>
      </c>
      <c r="I305" s="141">
        <f>RawList!J275</f>
        <v>9.9499999999999993</v>
      </c>
      <c r="J305" s="24">
        <f>VALUE(EquipmentTable[[#This Row],[Units]]*EquipmentTable[[#This Row],[Unit
 Price]])</f>
        <v>9.9499999999999993</v>
      </c>
      <c r="K305" s="50" t="str">
        <f>RawList!G275</f>
        <v>https://cdn.sparkfun.com/r/92-92/assets/parts/5/6/3/07914-001.jpg</v>
      </c>
      <c r="L305" s="50"/>
      <c r="M305" s="50" t="str">
        <f>RawList!F275</f>
        <v>https://www.sparkfun.com/products/7914</v>
      </c>
    </row>
    <row r="306" spans="2:13" x14ac:dyDescent="0.3">
      <c r="B306" s="50" t="str">
        <f>RawList!A276</f>
        <v>Hardware Component</v>
      </c>
      <c r="C306" s="50" t="str">
        <f>RawList!B276</f>
        <v>Breadboard/Protoboard</v>
      </c>
      <c r="D306" s="50" t="str">
        <f>RawList!C276</f>
        <v>Adafruit</v>
      </c>
      <c r="E306" s="50" t="str">
        <f>RawList!H276</f>
        <v>Adafruit Proto Shield for Arduino Kit - Stackable Version R3</v>
      </c>
      <c r="F306" s="50" t="str">
        <f>RawList!D276</f>
        <v>2077</v>
      </c>
      <c r="G306" s="137">
        <f>RawList!E276</f>
        <v>0</v>
      </c>
      <c r="H306" s="50" t="str">
        <f>IF(EquipmentTable[[#This Row],[Units]]&gt;0,"Quantity &gt; 0 Items","Quantity = 0 Items")</f>
        <v>Quantity = 0 Items</v>
      </c>
      <c r="I306" s="141">
        <f>RawList!J276</f>
        <v>9.9499999999999993</v>
      </c>
      <c r="J306" s="24">
        <f>VALUE(EquipmentTable[[#This Row],[Units]]*EquipmentTable[[#This Row],[Unit
 Price]])</f>
        <v>0</v>
      </c>
      <c r="K306" s="50">
        <f>RawList!G276</f>
        <v>0</v>
      </c>
      <c r="L306" s="50"/>
      <c r="M306" s="50">
        <f>RawList!F276</f>
        <v>0</v>
      </c>
    </row>
    <row r="307" spans="2:13" x14ac:dyDescent="0.3">
      <c r="B307" s="50" t="str">
        <f>RawList!A277</f>
        <v>Hardware Component</v>
      </c>
      <c r="C307" s="50" t="str">
        <f>RawList!B277</f>
        <v>Breadboard/Protoboard</v>
      </c>
      <c r="D307" s="50" t="str">
        <f>RawList!C277</f>
        <v>Adafruit</v>
      </c>
      <c r="E307" s="50" t="str">
        <f>RawList!H277</f>
        <v>Proto-Screwshield (Wingshield) R3 Kit for Arduino</v>
      </c>
      <c r="F307" s="50" t="str">
        <f>RawList!D277</f>
        <v>196</v>
      </c>
      <c r="G307" s="137">
        <f>RawList!E277</f>
        <v>0</v>
      </c>
      <c r="H307" s="50" t="str">
        <f>IF(EquipmentTable[[#This Row],[Units]]&gt;0,"Quantity &gt; 0 Items","Quantity = 0 Items")</f>
        <v>Quantity = 0 Items</v>
      </c>
      <c r="I307" s="141">
        <f>RawList!J277</f>
        <v>14.95</v>
      </c>
      <c r="J307" s="24">
        <f>VALUE(EquipmentTable[[#This Row],[Units]]*EquipmentTable[[#This Row],[Unit
 Price]])</f>
        <v>0</v>
      </c>
      <c r="K307" s="50">
        <f>RawList!G277</f>
        <v>0</v>
      </c>
      <c r="L307" s="50"/>
      <c r="M307" s="50">
        <f>RawList!F277</f>
        <v>0</v>
      </c>
    </row>
    <row r="308" spans="2:13" x14ac:dyDescent="0.3">
      <c r="B308" s="50" t="str">
        <f>RawList!A278</f>
        <v>Hardware Component</v>
      </c>
      <c r="C308" s="50" t="str">
        <f>RawList!B278</f>
        <v>Breadboard/Protoboard</v>
      </c>
      <c r="D308" s="50" t="str">
        <f>RawList!C278</f>
        <v>Adafruit</v>
      </c>
      <c r="E308" s="50" t="str">
        <f>RawList!H278</f>
        <v>Mega protoshield for Arduino</v>
      </c>
      <c r="F308" s="50" t="str">
        <f>RawList!D278</f>
        <v>192</v>
      </c>
      <c r="G308" s="137">
        <f>RawList!E278</f>
        <v>0</v>
      </c>
      <c r="H308" s="50" t="str">
        <f>IF(EquipmentTable[[#This Row],[Units]]&gt;0,"Quantity &gt; 0 Items","Quantity = 0 Items")</f>
        <v>Quantity = 0 Items</v>
      </c>
      <c r="I308" s="141">
        <f>RawList!J278</f>
        <v>14.95</v>
      </c>
      <c r="J308" s="24">
        <f>VALUE(EquipmentTable[[#This Row],[Units]]*EquipmentTable[[#This Row],[Unit
 Price]])</f>
        <v>0</v>
      </c>
      <c r="K308" s="50">
        <f>RawList!G278</f>
        <v>0</v>
      </c>
      <c r="L308" s="50"/>
      <c r="M308" s="50">
        <f>RawList!F278</f>
        <v>0</v>
      </c>
    </row>
    <row r="309" spans="2:13" x14ac:dyDescent="0.3">
      <c r="B309" s="50" t="str">
        <f>RawList!A279</f>
        <v>Hardware Component</v>
      </c>
      <c r="C309" s="50" t="str">
        <f>RawList!B279</f>
        <v>Breadboard/Protoboard</v>
      </c>
      <c r="D309" s="50" t="str">
        <f>RawList!C279</f>
        <v>Adafruit</v>
      </c>
      <c r="E309" s="50" t="str">
        <f>RawList!H279</f>
        <v>Large Solderless Breadboard</v>
      </c>
      <c r="F309" s="50" t="str">
        <f>RawList!D279</f>
        <v>443</v>
      </c>
      <c r="G309" s="137">
        <f>RawList!E279</f>
        <v>0</v>
      </c>
      <c r="H309" s="50" t="str">
        <f>IF(EquipmentTable[[#This Row],[Units]]&gt;0,"Quantity &gt; 0 Items","Quantity = 0 Items")</f>
        <v>Quantity = 0 Items</v>
      </c>
      <c r="I309" s="141">
        <f>RawList!J279</f>
        <v>19.95</v>
      </c>
      <c r="J309" s="24">
        <f>VALUE(EquipmentTable[[#This Row],[Units]]*EquipmentTable[[#This Row],[Unit
 Price]])</f>
        <v>0</v>
      </c>
      <c r="K309" s="50">
        <f>RawList!G279</f>
        <v>0</v>
      </c>
      <c r="L309" s="50"/>
      <c r="M309" s="50">
        <f>RawList!F279</f>
        <v>0</v>
      </c>
    </row>
    <row r="310" spans="2:13" x14ac:dyDescent="0.3">
      <c r="B310" s="50" t="str">
        <f>RawList!A280</f>
        <v>Hardware Component</v>
      </c>
      <c r="C310" s="50" t="str">
        <f>RawList!B280</f>
        <v>Breadboard/Protoboard</v>
      </c>
      <c r="D310" s="50" t="str">
        <f>RawList!C280</f>
        <v>Adafruit</v>
      </c>
      <c r="E310" s="50" t="str">
        <f>RawList!H280</f>
        <v>Mini Solderless Breadboard - 2x4 Points</v>
      </c>
      <c r="F310" s="50" t="str">
        <f>RawList!D280</f>
        <v>2017</v>
      </c>
      <c r="G310" s="137">
        <f>RawList!E280</f>
        <v>0</v>
      </c>
      <c r="H310" s="50" t="str">
        <f>IF(EquipmentTable[[#This Row],[Units]]&gt;0,"Quantity &gt; 0 Items","Quantity = 0 Items")</f>
        <v>Quantity = 0 Items</v>
      </c>
      <c r="I310" s="141">
        <f>RawList!J280</f>
        <v>0.75</v>
      </c>
      <c r="J310" s="24">
        <f>VALUE(EquipmentTable[[#This Row],[Units]]*EquipmentTable[[#This Row],[Unit
 Price]])</f>
        <v>0</v>
      </c>
      <c r="K310" s="50">
        <f>RawList!G280</f>
        <v>0</v>
      </c>
      <c r="L310" s="50"/>
      <c r="M310" s="50">
        <f>RawList!F280</f>
        <v>0</v>
      </c>
    </row>
    <row r="311" spans="2:13" x14ac:dyDescent="0.3">
      <c r="B311" s="50" t="str">
        <f>RawList!A281</f>
        <v>Hardware Component</v>
      </c>
      <c r="C311" s="50" t="str">
        <f>RawList!B281</f>
        <v>Breadboard/Protoboard</v>
      </c>
      <c r="D311" s="50" t="str">
        <f>RawList!C281</f>
        <v>Adafruit</v>
      </c>
      <c r="E311" s="50" t="str">
        <f>RawList!H281</f>
        <v>Mini Solderless Breadboard - 2x8 Points</v>
      </c>
      <c r="F311" s="50" t="str">
        <f>RawList!D281</f>
        <v>2018</v>
      </c>
      <c r="G311" s="137">
        <f>RawList!E281</f>
        <v>0</v>
      </c>
      <c r="H311" s="50" t="str">
        <f>IF(EquipmentTable[[#This Row],[Units]]&gt;0,"Quantity &gt; 0 Items","Quantity = 0 Items")</f>
        <v>Quantity = 0 Items</v>
      </c>
      <c r="I311" s="141">
        <f>RawList!J281</f>
        <v>0.95</v>
      </c>
      <c r="J311" s="24">
        <f>VALUE(EquipmentTable[[#This Row],[Units]]*EquipmentTable[[#This Row],[Unit
 Price]])</f>
        <v>0</v>
      </c>
      <c r="K311" s="50">
        <f>RawList!G281</f>
        <v>0</v>
      </c>
      <c r="L311" s="50"/>
      <c r="M311" s="50">
        <f>RawList!F281</f>
        <v>0</v>
      </c>
    </row>
    <row r="312" spans="2:13" x14ac:dyDescent="0.3">
      <c r="B312" s="50" t="str">
        <f>RawList!A282</f>
        <v>Hardware Component</v>
      </c>
      <c r="C312" s="50" t="str">
        <f>RawList!B282</f>
        <v>Breadboard/Protoboard</v>
      </c>
      <c r="D312" s="50" t="str">
        <f>RawList!C282</f>
        <v>Adafruit</v>
      </c>
      <c r="E312" s="50" t="str">
        <f>RawList!H282</f>
        <v>Mini Solderless Breadboard - 4x4 Points</v>
      </c>
      <c r="F312" s="50" t="str">
        <f>RawList!D282</f>
        <v>2463</v>
      </c>
      <c r="G312" s="137">
        <f>RawList!E282</f>
        <v>0</v>
      </c>
      <c r="H312" s="50" t="str">
        <f>IF(EquipmentTable[[#This Row],[Units]]&gt;0,"Quantity &gt; 0 Items","Quantity = 0 Items")</f>
        <v>Quantity = 0 Items</v>
      </c>
      <c r="I312" s="141">
        <f>RawList!J282</f>
        <v>0.95</v>
      </c>
      <c r="J312" s="24">
        <f>VALUE(EquipmentTable[[#This Row],[Units]]*EquipmentTable[[#This Row],[Unit
 Price]])</f>
        <v>0</v>
      </c>
      <c r="K312" s="50">
        <f>RawList!G282</f>
        <v>0</v>
      </c>
      <c r="L312" s="50"/>
      <c r="M312" s="50">
        <f>RawList!F282</f>
        <v>0</v>
      </c>
    </row>
    <row r="313" spans="2:13" x14ac:dyDescent="0.3">
      <c r="B313" s="50" t="str">
        <f>RawList!A283</f>
        <v>Hardware Component</v>
      </c>
      <c r="C313" s="50" t="str">
        <f>RawList!B283</f>
        <v>Breadboard/Protoboard</v>
      </c>
      <c r="D313" s="50" t="str">
        <f>RawList!C283</f>
        <v>SparkFun</v>
      </c>
      <c r="E313" s="50" t="str">
        <f>RawList!H283</f>
        <v>SparkFun Snappable Protoboard</v>
      </c>
      <c r="F313" s="50" t="str">
        <f>RawList!D283</f>
        <v>PRT-13268</v>
      </c>
      <c r="G313" s="137">
        <f>RawList!E283</f>
        <v>5</v>
      </c>
      <c r="H313" s="50" t="str">
        <f>IF(EquipmentTable[[#This Row],[Units]]&gt;0,"Quantity &gt; 0 Items","Quantity = 0 Items")</f>
        <v>Quantity &gt; 0 Items</v>
      </c>
      <c r="I313" s="141">
        <f>RawList!J283</f>
        <v>7.95</v>
      </c>
      <c r="J313" s="24">
        <f>VALUE(EquipmentTable[[#This Row],[Units]]*EquipmentTable[[#This Row],[Unit
 Price]])</f>
        <v>39.75</v>
      </c>
      <c r="K313" s="50" t="str">
        <f>RawList!G283</f>
        <v>https://cdn.sparkfun.com/r/92-92/assets/parts/1/0/4/8/9/13268-01.jpg</v>
      </c>
      <c r="L313" s="50"/>
      <c r="M313" s="50" t="str">
        <f>RawList!F283</f>
        <v>https://www.sparkfun.com/products/13268</v>
      </c>
    </row>
    <row r="314" spans="2:13" x14ac:dyDescent="0.3">
      <c r="B314" s="50" t="str">
        <f>RawList!A284</f>
        <v>Hardware Component</v>
      </c>
      <c r="C314" s="50" t="str">
        <f>RawList!B284</f>
        <v>Breadboard/Protoboard</v>
      </c>
      <c r="D314" s="50" t="str">
        <f>RawList!C284</f>
        <v>SparkFun</v>
      </c>
      <c r="E314" s="50" t="str">
        <f>RawList!H284</f>
        <v>SparkFun Big Red Box Proto Board</v>
      </c>
      <c r="F314" s="50" t="str">
        <f>RawList!D284</f>
        <v>DEV-13317</v>
      </c>
      <c r="G314" s="137">
        <f>RawList!E284</f>
        <v>10</v>
      </c>
      <c r="H314" s="50" t="str">
        <f>IF(EquipmentTable[[#This Row],[Units]]&gt;0,"Quantity &gt; 0 Items","Quantity = 0 Items")</f>
        <v>Quantity &gt; 0 Items</v>
      </c>
      <c r="I314" s="141">
        <f>RawList!J284</f>
        <v>7.95</v>
      </c>
      <c r="J314" s="24">
        <f>VALUE(EquipmentTable[[#This Row],[Units]]*EquipmentTable[[#This Row],[Unit
 Price]])</f>
        <v>79.5</v>
      </c>
      <c r="K314" s="50" t="str">
        <f>RawList!G284</f>
        <v>https://cdn.sparkfun.com/r/92-92/assets/parts/1/0/6/0/3/13317-01.jpg</v>
      </c>
      <c r="L314" s="50"/>
      <c r="M314" s="50" t="str">
        <f>RawList!F284</f>
        <v>https://www.sparkfun.com/products/13317</v>
      </c>
    </row>
    <row r="315" spans="2:13" x14ac:dyDescent="0.3">
      <c r="B315" s="50" t="str">
        <f>RawList!A285</f>
        <v>Hardware Component</v>
      </c>
      <c r="C315" s="50" t="str">
        <f>RawList!B285</f>
        <v>Enclosures/Mounts</v>
      </c>
      <c r="D315" s="50" t="str">
        <f>RawList!C285</f>
        <v>SparkFun</v>
      </c>
      <c r="E315" s="50" t="str">
        <f>RawList!H285</f>
        <v>Big Red Box - Enclosure</v>
      </c>
      <c r="F315" s="50" t="str">
        <f>RawList!D285</f>
        <v>PRT-11366</v>
      </c>
      <c r="G315" s="137">
        <f>RawList!E285</f>
        <v>5</v>
      </c>
      <c r="H315" s="50" t="str">
        <f>IF(EquipmentTable[[#This Row],[Units]]&gt;0,"Quantity &gt; 0 Items","Quantity = 0 Items")</f>
        <v>Quantity &gt; 0 Items</v>
      </c>
      <c r="I315" s="141">
        <f>RawList!J285</f>
        <v>8.9499999999999993</v>
      </c>
      <c r="J315" s="24">
        <f>VALUE(EquipmentTable[[#This Row],[Units]]*EquipmentTable[[#This Row],[Unit
 Price]])</f>
        <v>44.75</v>
      </c>
      <c r="K315" s="50" t="str">
        <f>RawList!G285</f>
        <v>https://cdn.sparkfun.com/r/92-92/assets/parts/7/1/0/7/11366-01.jpg</v>
      </c>
      <c r="L315" s="50"/>
      <c r="M315" s="50" t="str">
        <f>RawList!F285</f>
        <v>https://www.sparkfun.com/products/11366</v>
      </c>
    </row>
    <row r="316" spans="2:13" x14ac:dyDescent="0.3">
      <c r="B316" s="50" t="str">
        <f>RawList!A286</f>
        <v>Hardware Component</v>
      </c>
      <c r="C316" s="50" t="str">
        <f>RawList!B286</f>
        <v>Enclosures/Mounts</v>
      </c>
      <c r="D316" s="50" t="str">
        <f>RawList!C286</f>
        <v>SparkFun</v>
      </c>
      <c r="E316" s="50" t="str">
        <f>RawList!H286</f>
        <v>Arduino Project Enclosure</v>
      </c>
      <c r="F316" s="50" t="str">
        <f>RawList!D286</f>
        <v>PRT-10088</v>
      </c>
      <c r="G316" s="137">
        <f>RawList!E286</f>
        <v>5</v>
      </c>
      <c r="H316" s="50" t="str">
        <f>IF(EquipmentTable[[#This Row],[Units]]&gt;0,"Quantity &gt; 0 Items","Quantity = 0 Items")</f>
        <v>Quantity &gt; 0 Items</v>
      </c>
      <c r="I316" s="141">
        <f>RawList!J286</f>
        <v>11.95</v>
      </c>
      <c r="J316" s="24">
        <f>VALUE(EquipmentTable[[#This Row],[Units]]*EquipmentTable[[#This Row],[Unit
 Price]])</f>
        <v>59.75</v>
      </c>
      <c r="K316" s="50" t="str">
        <f>RawList!G286</f>
        <v>https://cdn.sparkfun.com/r/92-92/assets/parts/4/3/1/1/10088-01.jpg</v>
      </c>
      <c r="L316" s="50"/>
      <c r="M316" s="50" t="str">
        <f>RawList!F286</f>
        <v>https://www.sparkfun.com/products/10088</v>
      </c>
    </row>
    <row r="317" spans="2:13" x14ac:dyDescent="0.3">
      <c r="B317" s="50" t="str">
        <f>RawList!A287</f>
        <v>Hardware Component</v>
      </c>
      <c r="C317" s="50" t="str">
        <f>RawList!B287</f>
        <v>Enclosures/Mounts</v>
      </c>
      <c r="D317" s="50" t="str">
        <f>RawList!C287</f>
        <v>SparkFun</v>
      </c>
      <c r="E317" s="50" t="str">
        <f>RawList!H287</f>
        <v>IOIO and Breadboard Holder</v>
      </c>
      <c r="F317" s="50" t="str">
        <f>RawList!D287</f>
        <v>DEV-11632</v>
      </c>
      <c r="G317" s="137">
        <f>RawList!E287</f>
        <v>1</v>
      </c>
      <c r="H317" s="50" t="str">
        <f>IF(EquipmentTable[[#This Row],[Units]]&gt;0,"Quantity &gt; 0 Items","Quantity = 0 Items")</f>
        <v>Quantity &gt; 0 Items</v>
      </c>
      <c r="I317" s="141">
        <f>RawList!J287</f>
        <v>0.1</v>
      </c>
      <c r="J317" s="24">
        <f>VALUE(EquipmentTable[[#This Row],[Units]]*EquipmentTable[[#This Row],[Unit
 Price]])</f>
        <v>0.1</v>
      </c>
      <c r="K317" s="50" t="str">
        <f>RawList!G287</f>
        <v>https://cdn.sparkfun.com/r/92-92/assets/parts/7/6/8/8/11632-01.jpg</v>
      </c>
      <c r="L317" s="50"/>
      <c r="M317" s="50" t="str">
        <f>RawList!F287</f>
        <v>https://www.sparkfun.com/products/11632</v>
      </c>
    </row>
    <row r="318" spans="2:13" x14ac:dyDescent="0.3">
      <c r="B318" s="50" t="str">
        <f>RawList!A288</f>
        <v>Tools</v>
      </c>
      <c r="C318" s="50" t="str">
        <f>RawList!B288</f>
        <v>Enclosures/Mounts</v>
      </c>
      <c r="D318" s="50" t="str">
        <f>RawList!C288</f>
        <v>Adafruit</v>
      </c>
      <c r="E318" s="50" t="str">
        <f>RawList!H288</f>
        <v>Extruded Aluminum Enclosure Box - 100mm x 67mm x 26mm</v>
      </c>
      <c r="F318" s="50" t="str">
        <f>RawList!D288</f>
        <v>2229</v>
      </c>
      <c r="G318" s="137">
        <f>RawList!E288</f>
        <v>0</v>
      </c>
      <c r="H318" s="50" t="str">
        <f>IF(EquipmentTable[[#This Row],[Units]]&gt;0,"Quantity &gt; 0 Items","Quantity = 0 Items")</f>
        <v>Quantity = 0 Items</v>
      </c>
      <c r="I318" s="141">
        <f>RawList!J288</f>
        <v>7.5</v>
      </c>
      <c r="J318" s="24">
        <f>VALUE(EquipmentTable[[#This Row],[Units]]*EquipmentTable[[#This Row],[Unit
 Price]])</f>
        <v>0</v>
      </c>
      <c r="K318" s="50">
        <f>RawList!G288</f>
        <v>0</v>
      </c>
      <c r="L318" s="50"/>
      <c r="M318" s="50">
        <f>RawList!F288</f>
        <v>0</v>
      </c>
    </row>
    <row r="319" spans="2:13" x14ac:dyDescent="0.3">
      <c r="B319" s="50" t="str">
        <f>RawList!A289</f>
        <v>Tools</v>
      </c>
      <c r="C319" s="50" t="str">
        <f>RawList!B289</f>
        <v>Enclosures/Mounts</v>
      </c>
      <c r="D319" s="50" t="str">
        <f>RawList!C289</f>
        <v>Adafruit</v>
      </c>
      <c r="E319" s="50" t="str">
        <f>RawList!H289</f>
        <v>Extruded Aluminum Enclosure Box - 94mm x 83mm x 30mm</v>
      </c>
      <c r="F319" s="50" t="str">
        <f>RawList!D289</f>
        <v>2230</v>
      </c>
      <c r="G319" s="137">
        <f>RawList!E289</f>
        <v>0</v>
      </c>
      <c r="H319" s="50" t="str">
        <f>IF(EquipmentTable[[#This Row],[Units]]&gt;0,"Quantity &gt; 0 Items","Quantity = 0 Items")</f>
        <v>Quantity = 0 Items</v>
      </c>
      <c r="I319" s="141">
        <f>RawList!J289</f>
        <v>5.95</v>
      </c>
      <c r="J319" s="24">
        <f>VALUE(EquipmentTable[[#This Row],[Units]]*EquipmentTable[[#This Row],[Unit
 Price]])</f>
        <v>0</v>
      </c>
      <c r="K319" s="50">
        <f>RawList!G289</f>
        <v>0</v>
      </c>
      <c r="L319" s="50"/>
      <c r="M319" s="50">
        <f>RawList!F289</f>
        <v>0</v>
      </c>
    </row>
    <row r="320" spans="2:13" x14ac:dyDescent="0.3">
      <c r="B320" s="50" t="str">
        <f>RawList!A290</f>
        <v>Hardware Component</v>
      </c>
      <c r="C320" s="50" t="str">
        <f>RawList!B290</f>
        <v>Hardware Components/Accessories</v>
      </c>
      <c r="D320" s="50" t="str">
        <f>RawList!C290</f>
        <v>SparkFun</v>
      </c>
      <c r="E320" s="50" t="str">
        <f>RawList!H290</f>
        <v>Silicone Bumpers - Large (10x16.5mm, 4 pack)</v>
      </c>
      <c r="F320" s="50" t="str">
        <f>RawList!D290</f>
        <v>COM-10594</v>
      </c>
      <c r="G320" s="137">
        <f>RawList!E290</f>
        <v>5</v>
      </c>
      <c r="H320" s="50" t="str">
        <f>IF(EquipmentTable[[#This Row],[Units]]&gt;0,"Quantity &gt; 0 Items","Quantity = 0 Items")</f>
        <v>Quantity &gt; 0 Items</v>
      </c>
      <c r="I320" s="141">
        <f>RawList!J290</f>
        <v>0.95</v>
      </c>
      <c r="J320" s="24">
        <f>VALUE(EquipmentTable[[#This Row],[Units]]*EquipmentTable[[#This Row],[Unit
 Price]])</f>
        <v>4.75</v>
      </c>
      <c r="K320" s="50" t="str">
        <f>RawList!G290</f>
        <v>https://cdn.sparkfun.com/r/92-92/assets/parts/5/1/6/0/10594-01.jpg</v>
      </c>
      <c r="L320" s="50"/>
      <c r="M320" s="50" t="str">
        <f>RawList!F290</f>
        <v>https://www.sparkfun.com/products/10594</v>
      </c>
    </row>
    <row r="321" spans="2:13" x14ac:dyDescent="0.3">
      <c r="B321" s="50" t="str">
        <f>RawList!A291</f>
        <v>Hardware Component</v>
      </c>
      <c r="C321" s="50" t="str">
        <f>RawList!B291</f>
        <v>Hardware Components/Accessories</v>
      </c>
      <c r="D321" s="50" t="str">
        <f>RawList!C291</f>
        <v>SparkFun</v>
      </c>
      <c r="E321" s="50" t="str">
        <f>RawList!H291</f>
        <v>Silicone Bumpers - Small, Clear (8x2mm, 5 pack)</v>
      </c>
      <c r="F321" s="50" t="str">
        <f>RawList!D291</f>
        <v>PRT-10230</v>
      </c>
      <c r="G321" s="137">
        <f>RawList!E291</f>
        <v>5</v>
      </c>
      <c r="H321" s="50" t="str">
        <f>IF(EquipmentTable[[#This Row],[Units]]&gt;0,"Quantity &gt; 0 Items","Quantity = 0 Items")</f>
        <v>Quantity &gt; 0 Items</v>
      </c>
      <c r="I321" s="141">
        <f>RawList!J291</f>
        <v>0.95</v>
      </c>
      <c r="J321" s="24">
        <f>VALUE(EquipmentTable[[#This Row],[Units]]*EquipmentTable[[#This Row],[Unit
 Price]])</f>
        <v>4.75</v>
      </c>
      <c r="K321" s="50" t="str">
        <f>RawList!G291</f>
        <v>https://cdn.sparkfun.com/r/92-92/assets/parts/4/5/8/0/10230-01a.jpg</v>
      </c>
      <c r="L321" s="50"/>
      <c r="M321" s="50" t="str">
        <f>RawList!F291</f>
        <v>https://www.sparkfun.com/products/10230</v>
      </c>
    </row>
    <row r="322" spans="2:13" x14ac:dyDescent="0.3">
      <c r="B322" s="50" t="str">
        <f>RawList!A292</f>
        <v>Hardware Component</v>
      </c>
      <c r="C322" s="50" t="str">
        <f>RawList!B292</f>
        <v>Hardware Components/Accessories</v>
      </c>
      <c r="D322" s="50" t="str">
        <f>RawList!C292</f>
        <v>Adafruit</v>
      </c>
      <c r="E322" s="50" t="str">
        <f>RawList!H292</f>
        <v xml:space="preserve">Little Rubber Bumper Feet - Pack of 4 </v>
      </c>
      <c r="F322" s="50" t="str">
        <f>RawList!D292</f>
        <v>550</v>
      </c>
      <c r="G322" s="137">
        <f>RawList!E292</f>
        <v>0</v>
      </c>
      <c r="H322" s="50" t="str">
        <f>IF(EquipmentTable[[#This Row],[Units]]&gt;0,"Quantity &gt; 0 Items","Quantity = 0 Items")</f>
        <v>Quantity = 0 Items</v>
      </c>
      <c r="I322" s="141">
        <f>RawList!J292</f>
        <v>0.95</v>
      </c>
      <c r="J322" s="24">
        <f>VALUE(EquipmentTable[[#This Row],[Units]]*EquipmentTable[[#This Row],[Unit
 Price]])</f>
        <v>0</v>
      </c>
      <c r="K322" s="50">
        <f>RawList!G292</f>
        <v>0</v>
      </c>
      <c r="L322" s="50"/>
      <c r="M322" s="50">
        <f>RawList!F292</f>
        <v>0</v>
      </c>
    </row>
    <row r="323" spans="2:13" x14ac:dyDescent="0.3">
      <c r="B323" s="50" t="str">
        <f>RawList!A293</f>
        <v>Hardware Component</v>
      </c>
      <c r="C323" s="50" t="str">
        <f>RawList!B293</f>
        <v>Hardware Components/Accessories</v>
      </c>
      <c r="D323" s="50" t="str">
        <f>RawList!C293</f>
        <v>SparkFun</v>
      </c>
      <c r="E323" s="50" t="str">
        <f>RawList!H293</f>
        <v>Heat Shrink Kit</v>
      </c>
      <c r="F323" s="50" t="str">
        <f>RawList!D293</f>
        <v>PRT-09353</v>
      </c>
      <c r="G323" s="137">
        <f>RawList!E293</f>
        <v>2</v>
      </c>
      <c r="H323" s="50" t="str">
        <f>IF(EquipmentTable[[#This Row],[Units]]&gt;0,"Quantity &gt; 0 Items","Quantity = 0 Items")</f>
        <v>Quantity &gt; 0 Items</v>
      </c>
      <c r="I323" s="141">
        <f>RawList!J293</f>
        <v>7.95</v>
      </c>
      <c r="J323" s="24">
        <f>VALUE(EquipmentTable[[#This Row],[Units]]*EquipmentTable[[#This Row],[Unit
 Price]])</f>
        <v>15.9</v>
      </c>
      <c r="K323" s="50" t="str">
        <f>RawList!G293</f>
        <v>https://cdn.sparkfun.com/r/92-92/assets/parts/2/9/2/3/09353-01.jpg</v>
      </c>
      <c r="L323" s="50"/>
      <c r="M323" s="50" t="str">
        <f>RawList!F293</f>
        <v>https://www.sparkfun.com/products/9353</v>
      </c>
    </row>
    <row r="324" spans="2:13" x14ac:dyDescent="0.3">
      <c r="B324" s="50" t="str">
        <f>RawList!A294</f>
        <v>Hardware Component</v>
      </c>
      <c r="C324" s="50" t="str">
        <f>RawList!B294</f>
        <v>Hardware Components/Accessories</v>
      </c>
      <c r="D324" s="50" t="str">
        <f>RawList!C294</f>
        <v>Adafruit</v>
      </c>
      <c r="E324" s="50" t="str">
        <f>RawList!H294</f>
        <v>Heat Shrink Pack</v>
      </c>
      <c r="F324" s="50" t="str">
        <f>RawList!D294</f>
        <v>344</v>
      </c>
      <c r="G324" s="137">
        <f>RawList!E294</f>
        <v>0</v>
      </c>
      <c r="H324" s="50" t="str">
        <f>IF(EquipmentTable[[#This Row],[Units]]&gt;0,"Quantity &gt; 0 Items","Quantity = 0 Items")</f>
        <v>Quantity = 0 Items</v>
      </c>
      <c r="I324" s="141">
        <f>RawList!J294</f>
        <v>4.95</v>
      </c>
      <c r="J324" s="24">
        <f>VALUE(EquipmentTable[[#This Row],[Units]]*EquipmentTable[[#This Row],[Unit
 Price]])</f>
        <v>0</v>
      </c>
      <c r="K324" s="50">
        <f>RawList!G294</f>
        <v>0</v>
      </c>
      <c r="L324" s="50"/>
      <c r="M324" s="50">
        <f>RawList!F294</f>
        <v>0</v>
      </c>
    </row>
    <row r="325" spans="2:13" x14ac:dyDescent="0.3">
      <c r="B325" s="50" t="str">
        <f>RawList!A295</f>
        <v>Hardware Component</v>
      </c>
      <c r="C325" s="50" t="str">
        <f>RawList!B295</f>
        <v>Plastics Fabrication</v>
      </c>
      <c r="D325" s="50" t="str">
        <f>RawList!C295</f>
        <v>SparkFun</v>
      </c>
      <c r="E325" s="50" t="str">
        <f>RawList!H295</f>
        <v>Polymorph - 1000g</v>
      </c>
      <c r="F325" s="50" t="str">
        <f>RawList!D295</f>
        <v>TOL-10951</v>
      </c>
      <c r="G325" s="137">
        <f>RawList!E295</f>
        <v>1</v>
      </c>
      <c r="H325" s="50" t="str">
        <f>IF(EquipmentTable[[#This Row],[Units]]&gt;0,"Quantity &gt; 0 Items","Quantity = 0 Items")</f>
        <v>Quantity &gt; 0 Items</v>
      </c>
      <c r="I325" s="141">
        <f>RawList!J295</f>
        <v>34.950000000000003</v>
      </c>
      <c r="J325" s="24">
        <f>VALUE(EquipmentTable[[#This Row],[Units]]*EquipmentTable[[#This Row],[Unit
 Price]])</f>
        <v>34.950000000000003</v>
      </c>
      <c r="K325" s="50" t="str">
        <f>RawList!G295</f>
        <v>https://cdn.sparkfun.com/r/92-92/assets/parts/6/1/2/8/10951-01a.jpg</v>
      </c>
      <c r="L325" s="50"/>
      <c r="M325" s="50" t="str">
        <f>RawList!F295</f>
        <v>https://www.sparkfun.com/products/10951</v>
      </c>
    </row>
    <row r="326" spans="2:13" x14ac:dyDescent="0.3">
      <c r="B326" s="50" t="str">
        <f>RawList!A296</f>
        <v>Hardware Component</v>
      </c>
      <c r="C326" s="50" t="str">
        <f>RawList!B296</f>
        <v>Plastics Fabrication</v>
      </c>
      <c r="D326" s="50" t="str">
        <f>RawList!C296</f>
        <v>SparkFun</v>
      </c>
      <c r="E326" s="50" t="str">
        <f>RawList!H296</f>
        <v>Polymorph - 250g</v>
      </c>
      <c r="F326" s="50" t="str">
        <f>RawList!D296</f>
        <v>TOL-10950</v>
      </c>
      <c r="G326" s="137">
        <f>RawList!E296</f>
        <v>0</v>
      </c>
      <c r="H326" s="50" t="str">
        <f>IF(EquipmentTable[[#This Row],[Units]]&gt;0,"Quantity &gt; 0 Items","Quantity = 0 Items")</f>
        <v>Quantity = 0 Items</v>
      </c>
      <c r="I326" s="141">
        <f>RawList!J296</f>
        <v>9.9499999999999993</v>
      </c>
      <c r="J326" s="24">
        <f>VALUE(EquipmentTable[[#This Row],[Units]]*EquipmentTable[[#This Row],[Unit
 Price]])</f>
        <v>0</v>
      </c>
      <c r="K326" s="50" t="str">
        <f>RawList!G296</f>
        <v>https://cdn.sparkfun.com/r/92-92/assets/parts/6/1/2/7/10950-01.jpg</v>
      </c>
      <c r="L326" s="50"/>
      <c r="M326" s="50" t="str">
        <f>RawList!F296</f>
        <v>https://www.sparkfun.com/products/10950</v>
      </c>
    </row>
    <row r="327" spans="2:13" x14ac:dyDescent="0.3">
      <c r="B327" s="50" t="str">
        <f>RawList!A297</f>
        <v>Hardware Component</v>
      </c>
      <c r="C327" s="50" t="str">
        <f>RawList!B297</f>
        <v>Plastics Fabrication</v>
      </c>
      <c r="D327" s="50" t="str">
        <f>RawList!C297</f>
        <v>Adafruit</v>
      </c>
      <c r="E327" s="50" t="str">
        <f>RawList!H297</f>
        <v>Hand-Moldable Plastic - Low Temperature Thermoplastic - 100g Bag</v>
      </c>
      <c r="F327" s="50" t="str">
        <f>RawList!D297</f>
        <v>2504</v>
      </c>
      <c r="G327" s="137">
        <f>RawList!E297</f>
        <v>3</v>
      </c>
      <c r="H327" s="50" t="str">
        <f>IF(EquipmentTable[[#This Row],[Units]]&gt;0,"Quantity &gt; 0 Items","Quantity = 0 Items")</f>
        <v>Quantity &gt; 0 Items</v>
      </c>
      <c r="I327" s="141">
        <f>RawList!J297</f>
        <v>4.95</v>
      </c>
      <c r="J327" s="24">
        <f>VALUE(EquipmentTable[[#This Row],[Units]]*EquipmentTable[[#This Row],[Unit
 Price]])</f>
        <v>14.850000000000001</v>
      </c>
      <c r="K327" s="50">
        <f>RawList!G297</f>
        <v>0</v>
      </c>
      <c r="L327" s="50"/>
      <c r="M327" s="50">
        <f>RawList!F297</f>
        <v>0</v>
      </c>
    </row>
    <row r="328" spans="2:13" x14ac:dyDescent="0.3">
      <c r="B328" s="50" t="str">
        <f>RawList!A298</f>
        <v>Hardware Component</v>
      </c>
      <c r="C328" s="50" t="str">
        <f>RawList!B298</f>
        <v>Plastics Fabrication</v>
      </c>
      <c r="D328" s="50" t="str">
        <f>RawList!C298</f>
        <v>Adafruit</v>
      </c>
      <c r="E328" s="50" t="str">
        <f>RawList!H298</f>
        <v>Sugru - Black and White Pack</v>
      </c>
      <c r="F328" s="50" t="str">
        <f>RawList!D298</f>
        <v>437</v>
      </c>
      <c r="G328" s="137">
        <f>RawList!E298</f>
        <v>1</v>
      </c>
      <c r="H328" s="50" t="str">
        <f>IF(EquipmentTable[[#This Row],[Units]]&gt;0,"Quantity &gt; 0 Items","Quantity = 0 Items")</f>
        <v>Quantity &gt; 0 Items</v>
      </c>
      <c r="I328" s="141">
        <f>RawList!J298</f>
        <v>17.95</v>
      </c>
      <c r="J328" s="24">
        <f>VALUE(EquipmentTable[[#This Row],[Units]]*EquipmentTable[[#This Row],[Unit
 Price]])</f>
        <v>17.95</v>
      </c>
      <c r="K328" s="50">
        <f>RawList!G298</f>
        <v>0</v>
      </c>
      <c r="L328" s="50"/>
      <c r="M328" s="50">
        <f>RawList!F298</f>
        <v>0</v>
      </c>
    </row>
    <row r="329" spans="2:13" x14ac:dyDescent="0.3">
      <c r="B329" s="50" t="str">
        <f>RawList!A299</f>
        <v>Hardware Component</v>
      </c>
      <c r="C329" s="50" t="str">
        <f>RawList!B299</f>
        <v>Heat Insulation/Dissipation</v>
      </c>
      <c r="D329" s="50" t="str">
        <f>RawList!C299</f>
        <v>SparkFun</v>
      </c>
      <c r="E329" s="50" t="str">
        <f>RawList!H299</f>
        <v>Small Heatsink</v>
      </c>
      <c r="F329" s="50" t="str">
        <f>RawList!D299</f>
        <v>PRT-11510</v>
      </c>
      <c r="G329" s="137">
        <f>RawList!E299</f>
        <v>3</v>
      </c>
      <c r="H329" s="50" t="str">
        <f>IF(EquipmentTable[[#This Row],[Units]]&gt;0,"Quantity &gt; 0 Items","Quantity = 0 Items")</f>
        <v>Quantity &gt; 0 Items</v>
      </c>
      <c r="I329" s="141">
        <f>RawList!J299</f>
        <v>1.95</v>
      </c>
      <c r="J329" s="24">
        <f>VALUE(EquipmentTable[[#This Row],[Units]]*EquipmentTable[[#This Row],[Unit
 Price]])</f>
        <v>5.85</v>
      </c>
      <c r="K329" s="50" t="str">
        <f>RawList!G299</f>
        <v>https://cdn.sparkfun.com/r/92-92/assets/parts/5/7/0/4/10746-02a.jpg</v>
      </c>
      <c r="L329" s="50"/>
      <c r="M329" s="50" t="str">
        <f>RawList!F299</f>
        <v>https://www.sparkfun.com/products/11510</v>
      </c>
    </row>
    <row r="330" spans="2:13" x14ac:dyDescent="0.3">
      <c r="B330" s="50" t="str">
        <f>RawList!A300</f>
        <v>Hardware Component</v>
      </c>
      <c r="C330" s="50" t="str">
        <f>RawList!B300</f>
        <v>Heat Insulation/Dissipation</v>
      </c>
      <c r="D330" s="50" t="str">
        <f>RawList!C300</f>
        <v>SparkFun</v>
      </c>
      <c r="E330" s="50" t="str">
        <f>RawList!H300</f>
        <v>Medium Heatsink</v>
      </c>
      <c r="F330" s="50" t="str">
        <f>RawList!D300</f>
        <v>PRT-14340</v>
      </c>
      <c r="G330" s="137">
        <f>RawList!E300</f>
        <v>3</v>
      </c>
      <c r="H330" s="50" t="str">
        <f>IF(EquipmentTable[[#This Row],[Units]]&gt;0,"Quantity &gt; 0 Items","Quantity = 0 Items")</f>
        <v>Quantity &gt; 0 Items</v>
      </c>
      <c r="I330" s="141">
        <f>RawList!J300</f>
        <v>1.5</v>
      </c>
      <c r="J330" s="24">
        <f>VALUE(EquipmentTable[[#This Row],[Units]]*EquipmentTable[[#This Row],[Unit
 Price]])</f>
        <v>4.5</v>
      </c>
      <c r="K330" s="50" t="str">
        <f>RawList!G300</f>
        <v>https://cdn.sparkfun.com/r/92-92/assets/parts/1/2/3/1/6/14340-01.jpg</v>
      </c>
      <c r="L330" s="50"/>
      <c r="M330" s="50" t="str">
        <f>RawList!F300</f>
        <v>https://www.sparkfun.com/products/14340</v>
      </c>
    </row>
    <row r="331" spans="2:13" x14ac:dyDescent="0.3">
      <c r="B331" s="50" t="str">
        <f>RawList!A301</f>
        <v>Hardware Component</v>
      </c>
      <c r="C331" s="50" t="str">
        <f>RawList!B301</f>
        <v>Heat Insulation/Dissipation</v>
      </c>
      <c r="D331" s="50" t="str">
        <f>RawList!C301</f>
        <v>SparkFun</v>
      </c>
      <c r="E331" s="50" t="str">
        <f>RawList!H301</f>
        <v>Heatsink TO-220</v>
      </c>
      <c r="F331" s="50" t="str">
        <f>RawList!D301</f>
        <v>PRT-00121</v>
      </c>
      <c r="G331" s="137">
        <f>RawList!E301</f>
        <v>3</v>
      </c>
      <c r="H331" s="50" t="str">
        <f>IF(EquipmentTable[[#This Row],[Units]]&gt;0,"Quantity &gt; 0 Items","Quantity = 0 Items")</f>
        <v>Quantity &gt; 0 Items</v>
      </c>
      <c r="I331" s="141">
        <f>RawList!J301</f>
        <v>0.95</v>
      </c>
      <c r="J331" s="24">
        <f>VALUE(EquipmentTable[[#This Row],[Units]]*EquipmentTable[[#This Row],[Unit
 Price]])</f>
        <v>2.8499999999999996</v>
      </c>
      <c r="K331" s="50" t="str">
        <f>RawList!G301</f>
        <v>https://cdn.sparkfun.com/r/92-92/assets/parts/1/1/0/00121-02.jpg</v>
      </c>
      <c r="L331" s="50"/>
      <c r="M331" s="50" t="str">
        <f>RawList!F301</f>
        <v>https://www.sparkfun.com/products/121</v>
      </c>
    </row>
    <row r="332" spans="2:13" x14ac:dyDescent="0.3">
      <c r="B332" s="50" t="str">
        <f>RawList!A302</f>
        <v>Hardware Component</v>
      </c>
      <c r="C332" s="50" t="str">
        <f>RawList!B302</f>
        <v>Heat Insulation/Dissipation</v>
      </c>
      <c r="D332" s="50" t="str">
        <f>RawList!C302</f>
        <v>Adafruit</v>
      </c>
      <c r="E332" s="50" t="str">
        <f>RawList!H302</f>
        <v xml:space="preserve">TO-220 Clip-On Heatsink </v>
      </c>
      <c r="F332" s="50" t="str">
        <f>RawList!D302</f>
        <v>977</v>
      </c>
      <c r="G332" s="137">
        <f>RawList!E302</f>
        <v>10</v>
      </c>
      <c r="H332" s="50" t="str">
        <f>IF(EquipmentTable[[#This Row],[Units]]&gt;0,"Quantity &gt; 0 Items","Quantity = 0 Items")</f>
        <v>Quantity &gt; 0 Items</v>
      </c>
      <c r="I332" s="141">
        <f>RawList!J302</f>
        <v>0.75</v>
      </c>
      <c r="J332" s="24">
        <f>VALUE(EquipmentTable[[#This Row],[Units]]*EquipmentTable[[#This Row],[Unit
 Price]])</f>
        <v>7.5</v>
      </c>
      <c r="K332" s="50">
        <f>RawList!G302</f>
        <v>0</v>
      </c>
      <c r="L332" s="50"/>
      <c r="M332" s="50">
        <f>RawList!F302</f>
        <v>0</v>
      </c>
    </row>
    <row r="333" spans="2:13" x14ac:dyDescent="0.3">
      <c r="B333" s="50" t="str">
        <f>RawList!A303</f>
        <v>Hardware Component</v>
      </c>
      <c r="C333" s="50" t="str">
        <f>RawList!B303</f>
        <v>Heat Insulation/Dissipation</v>
      </c>
      <c r="D333" s="50" t="str">
        <f>RawList!C303</f>
        <v>SparkFun</v>
      </c>
      <c r="E333" s="50" t="str">
        <f>RawList!H303</f>
        <v>Heatsink Compound</v>
      </c>
      <c r="F333" s="50" t="str">
        <f>RawList!D303</f>
        <v>PRT-09599</v>
      </c>
      <c r="G333" s="137">
        <f>RawList!E303</f>
        <v>2</v>
      </c>
      <c r="H333" s="50" t="str">
        <f>IF(EquipmentTable[[#This Row],[Units]]&gt;0,"Quantity &gt; 0 Items","Quantity = 0 Items")</f>
        <v>Quantity &gt; 0 Items</v>
      </c>
      <c r="I333" s="141">
        <f>RawList!J303</f>
        <v>1.95</v>
      </c>
      <c r="J333" s="24">
        <f>VALUE(EquipmentTable[[#This Row],[Units]]*EquipmentTable[[#This Row],[Unit
 Price]])</f>
        <v>3.9</v>
      </c>
      <c r="K333" s="50" t="str">
        <f>RawList!G303</f>
        <v>https://cdn.sparkfun.com/r/92-92/assets/parts/3/4/2/2/09599-01.jpg</v>
      </c>
      <c r="L333" s="50"/>
      <c r="M333" s="50" t="str">
        <f>RawList!F303</f>
        <v>https://www.sparkfun.com/products/9599</v>
      </c>
    </row>
    <row r="334" spans="2:13" x14ac:dyDescent="0.3">
      <c r="B334" s="50" t="str">
        <f>RawList!A304</f>
        <v>Hardware Component</v>
      </c>
      <c r="C334" s="50" t="str">
        <f>RawList!B304</f>
        <v>Heat Insulation/Dissipation</v>
      </c>
      <c r="D334" s="50" t="str">
        <f>RawList!C304</f>
        <v>SparkFun</v>
      </c>
      <c r="E334" s="50" t="str">
        <f>RawList!H304</f>
        <v>Theragrip Thermal Tape</v>
      </c>
      <c r="F334" s="50" t="str">
        <f>RawList!D304</f>
        <v>PRT-09771</v>
      </c>
      <c r="G334" s="137">
        <f>RawList!E304</f>
        <v>3</v>
      </c>
      <c r="H334" s="50" t="str">
        <f>IF(EquipmentTable[[#This Row],[Units]]&gt;0,"Quantity &gt; 0 Items","Quantity = 0 Items")</f>
        <v>Quantity &gt; 0 Items</v>
      </c>
      <c r="I334" s="141">
        <f>RawList!J304</f>
        <v>3.95</v>
      </c>
      <c r="J334" s="24">
        <f>VALUE(EquipmentTable[[#This Row],[Units]]*EquipmentTable[[#This Row],[Unit
 Price]])</f>
        <v>11.850000000000001</v>
      </c>
      <c r="K334" s="50" t="str">
        <f>RawList!G304</f>
        <v>https://cdn.sparkfun.com/r/92-92/assets/parts/3/7/4/5/09771-04.jpg</v>
      </c>
      <c r="L334" s="50"/>
      <c r="M334" s="50" t="str">
        <f>RawList!F304</f>
        <v>https://www.sparkfun.com/products/9771</v>
      </c>
    </row>
    <row r="335" spans="2:13" x14ac:dyDescent="0.3">
      <c r="B335" s="50" t="str">
        <f>RawList!A305</f>
        <v>Hardware Component</v>
      </c>
      <c r="C335" s="50" t="str">
        <f>RawList!B305</f>
        <v>Standoffs/Screws</v>
      </c>
      <c r="D335" s="50" t="str">
        <f>RawList!C305</f>
        <v>SparkFun</v>
      </c>
      <c r="E335" s="50" t="str">
        <f>RawList!H305</f>
        <v>Standoff - Nylon (4-40; 3/4\"; 10 pack)</v>
      </c>
      <c r="F335" s="50" t="str">
        <f>RawList!D305</f>
        <v>PRT-11796</v>
      </c>
      <c r="G335" s="137">
        <f>RawList!E305</f>
        <v>3</v>
      </c>
      <c r="H335" s="50" t="str">
        <f>IF(EquipmentTable[[#This Row],[Units]]&gt;0,"Quantity &gt; 0 Items","Quantity = 0 Items")</f>
        <v>Quantity &gt; 0 Items</v>
      </c>
      <c r="I335" s="141">
        <f>RawList!J305</f>
        <v>3.95</v>
      </c>
      <c r="J335" s="24">
        <f>VALUE(EquipmentTable[[#This Row],[Units]]*EquipmentTable[[#This Row],[Unit
 Price]])</f>
        <v>11.850000000000001</v>
      </c>
      <c r="K335" s="50" t="str">
        <f>RawList!G305</f>
        <v>https://cdn.sparkfun.com/r/92-92/assets/parts/8/0/8/2/10315_03b.jpg</v>
      </c>
      <c r="L335" s="50"/>
      <c r="M335" s="50" t="str">
        <f>RawList!F305</f>
        <v>https://www.sparkfun.com/products/11796</v>
      </c>
    </row>
    <row r="336" spans="2:13" x14ac:dyDescent="0.3">
      <c r="B336" s="50" t="str">
        <f>RawList!A306</f>
        <v>Hardware Component</v>
      </c>
      <c r="C336" s="50" t="str">
        <f>RawList!B306</f>
        <v>Standoffs/Screws</v>
      </c>
      <c r="D336" s="50" t="str">
        <f>RawList!C306</f>
        <v>SparkFun</v>
      </c>
      <c r="E336" s="50" t="str">
        <f>RawList!H306</f>
        <v>Standoff - Nylon (4-40; 3/8\"; 10 pack)</v>
      </c>
      <c r="F336" s="50" t="str">
        <f>RawList!D306</f>
        <v>PRT-10927</v>
      </c>
      <c r="G336" s="137">
        <f>RawList!E306</f>
        <v>5</v>
      </c>
      <c r="H336" s="50" t="str">
        <f>IF(EquipmentTable[[#This Row],[Units]]&gt;0,"Quantity &gt; 0 Items","Quantity = 0 Items")</f>
        <v>Quantity &gt; 0 Items</v>
      </c>
      <c r="I336" s="141">
        <f>RawList!J306</f>
        <v>2.95</v>
      </c>
      <c r="J336" s="24">
        <f>VALUE(EquipmentTable[[#This Row],[Units]]*EquipmentTable[[#This Row],[Unit
 Price]])</f>
        <v>14.75</v>
      </c>
      <c r="K336" s="50" t="str">
        <f>RawList!G306</f>
        <v>https://cdn.sparkfun.com/r/92-92/assets/parts/6/0/7/1/10927-03.jpg</v>
      </c>
      <c r="L336" s="50"/>
      <c r="M336" s="50" t="str">
        <f>RawList!F306</f>
        <v>https://www.sparkfun.com/products/10927</v>
      </c>
    </row>
    <row r="337" spans="2:13" x14ac:dyDescent="0.3">
      <c r="B337" s="50" t="str">
        <f>RawList!A307</f>
        <v>Hardware Component</v>
      </c>
      <c r="C337" s="50" t="str">
        <f>RawList!B307</f>
        <v>Standoffs/Screws</v>
      </c>
      <c r="D337" s="50" t="str">
        <f>RawList!C307</f>
        <v>SparkFun</v>
      </c>
      <c r="E337" s="50" t="str">
        <f>RawList!H307</f>
        <v>Screw - Phillips Head (1/4\", 4-40, 10 pack)</v>
      </c>
      <c r="F337" s="50" t="str">
        <f>RawList!D307</f>
        <v>PRT-10453</v>
      </c>
      <c r="G337" s="137">
        <f>RawList!E307</f>
        <v>5</v>
      </c>
      <c r="H337" s="50" t="str">
        <f>IF(EquipmentTable[[#This Row],[Units]]&gt;0,"Quantity &gt; 0 Items","Quantity = 0 Items")</f>
        <v>Quantity &gt; 0 Items</v>
      </c>
      <c r="I337" s="141">
        <f>RawList!J307</f>
        <v>1.5</v>
      </c>
      <c r="J337" s="24">
        <f>VALUE(EquipmentTable[[#This Row],[Units]]*EquipmentTable[[#This Row],[Unit
 Price]])</f>
        <v>7.5</v>
      </c>
      <c r="K337" s="50" t="str">
        <f>RawList!G307</f>
        <v>https://cdn.sparkfun.com/r/92-92/assets/parts/4/9/4/7/10453-01.jpg</v>
      </c>
      <c r="L337" s="50"/>
      <c r="M337" s="50" t="str">
        <f>RawList!F307</f>
        <v>https://www.sparkfun.com/products/10453</v>
      </c>
    </row>
    <row r="338" spans="2:13" x14ac:dyDescent="0.3">
      <c r="B338" s="50" t="str">
        <f>RawList!A308</f>
        <v>Hardware Component</v>
      </c>
      <c r="C338" s="50" t="str">
        <f>RawList!B308</f>
        <v>Standoffs/Screws</v>
      </c>
      <c r="D338" s="50" t="str">
        <f>RawList!C308</f>
        <v>SparkFun</v>
      </c>
      <c r="E338" s="50" t="str">
        <f>RawList!H308</f>
        <v>Standoff - Metal (1\", 4-40, 10 pack)</v>
      </c>
      <c r="F338" s="50" t="str">
        <f>RawList!D308</f>
        <v>PRT-10738</v>
      </c>
      <c r="G338" s="137">
        <f>RawList!E308</f>
        <v>3</v>
      </c>
      <c r="H338" s="50" t="str">
        <f>IF(EquipmentTable[[#This Row],[Units]]&gt;0,"Quantity &gt; 0 Items","Quantity = 0 Items")</f>
        <v>Quantity &gt; 0 Items</v>
      </c>
      <c r="I338" s="141">
        <f>RawList!J308</f>
        <v>3.95</v>
      </c>
      <c r="J338" s="24">
        <f>VALUE(EquipmentTable[[#This Row],[Units]]*EquipmentTable[[#This Row],[Unit
 Price]])</f>
        <v>11.850000000000001</v>
      </c>
      <c r="K338" s="50" t="str">
        <f>RawList!G308</f>
        <v>https://cdn.sparkfun.com/r/92-92/assets/parts/5/6/4/4/10738-01.jpg</v>
      </c>
      <c r="L338" s="50"/>
      <c r="M338" s="50" t="str">
        <f>RawList!F308</f>
        <v>https://www.sparkfun.com/products/10738</v>
      </c>
    </row>
    <row r="339" spans="2:13" x14ac:dyDescent="0.3">
      <c r="B339" s="50" t="str">
        <f>RawList!A309</f>
        <v>Hardware Component</v>
      </c>
      <c r="C339" s="50" t="str">
        <f>RawList!B309</f>
        <v>Standoffs/Screws</v>
      </c>
      <c r="D339" s="50" t="str">
        <f>RawList!C309</f>
        <v>SparkFun</v>
      </c>
      <c r="E339" s="50" t="str">
        <f>RawList!H309</f>
        <v>Screw - Phillips Head (1\", 4-40, 10 pack)</v>
      </c>
      <c r="F339" s="50" t="str">
        <f>RawList!D309</f>
        <v>PRT-10450</v>
      </c>
      <c r="G339" s="137">
        <f>RawList!E309</f>
        <v>5</v>
      </c>
      <c r="H339" s="50" t="str">
        <f>IF(EquipmentTable[[#This Row],[Units]]&gt;0,"Quantity &gt; 0 Items","Quantity = 0 Items")</f>
        <v>Quantity &gt; 0 Items</v>
      </c>
      <c r="I339" s="141">
        <f>RawList!J309</f>
        <v>0.46</v>
      </c>
      <c r="J339" s="24">
        <f>VALUE(EquipmentTable[[#This Row],[Units]]*EquipmentTable[[#This Row],[Unit
 Price]])</f>
        <v>2.3000000000000003</v>
      </c>
      <c r="K339" s="50" t="str">
        <f>RawList!G309</f>
        <v>https://cdn.sparkfun.com/r/92-92/assets/parts/4/9/3/9/10450-02.jpg</v>
      </c>
      <c r="L339" s="50"/>
      <c r="M339" s="50" t="str">
        <f>RawList!F309</f>
        <v>https://www.sparkfun.com/products/10450</v>
      </c>
    </row>
    <row r="340" spans="2:13" x14ac:dyDescent="0.3">
      <c r="B340" s="50" t="str">
        <f>RawList!A310</f>
        <v>Hardware Component</v>
      </c>
      <c r="C340" s="50" t="str">
        <f>RawList!B310</f>
        <v>Standoffs/Screws</v>
      </c>
      <c r="D340" s="50" t="str">
        <f>RawList!C310</f>
        <v>SparkFun</v>
      </c>
      <c r="E340" s="50" t="str">
        <f>RawList!H310</f>
        <v>Standoff - Metal Hex (4-40; 3/8\"; 10 pack)</v>
      </c>
      <c r="F340" s="50" t="str">
        <f>RawList!D310</f>
        <v>PRT-10463</v>
      </c>
      <c r="G340" s="137">
        <f>RawList!E310</f>
        <v>10</v>
      </c>
      <c r="H340" s="50" t="str">
        <f>IF(EquipmentTable[[#This Row],[Units]]&gt;0,"Quantity &gt; 0 Items","Quantity = 0 Items")</f>
        <v>Quantity &gt; 0 Items</v>
      </c>
      <c r="I340" s="141">
        <f>RawList!J310</f>
        <v>3.95</v>
      </c>
      <c r="J340" s="24">
        <f>VALUE(EquipmentTable[[#This Row],[Units]]*EquipmentTable[[#This Row],[Unit
 Price]])</f>
        <v>39.5</v>
      </c>
      <c r="K340" s="50" t="str">
        <f>RawList!G310</f>
        <v>https://cdn.sparkfun.com/r/92-92/assets/parts/4/9/5/4/10463-01.jpg</v>
      </c>
      <c r="L340" s="50"/>
      <c r="M340" s="50" t="str">
        <f>RawList!F310</f>
        <v>https://www.sparkfun.com/products/10463</v>
      </c>
    </row>
    <row r="341" spans="2:13" hidden="1" x14ac:dyDescent="0.3">
      <c r="B341" s="50" t="str">
        <f>RawList!A311</f>
        <v>Hardware Component</v>
      </c>
      <c r="C341" s="50" t="str">
        <f>RawList!B311</f>
        <v>Trace/Shielding Construction</v>
      </c>
      <c r="D341" s="50" t="str">
        <f>RawList!C311</f>
        <v>SparkFun</v>
      </c>
      <c r="E341" s="50" t="str">
        <f>RawList!H311</f>
        <v>Copper Tape - 5mm (50ft)</v>
      </c>
      <c r="F341" s="50" t="str">
        <f>RawList!D311</f>
        <v>PRT-10561</v>
      </c>
      <c r="G341" s="137">
        <f>RawList!E311</f>
        <v>1</v>
      </c>
      <c r="H341" s="50" t="str">
        <f>IF(EquipmentTable[[#This Row],[Units]]&gt;0,"Quantity &gt; 0 Items","Quantity = 0 Items")</f>
        <v>Quantity &gt; 0 Items</v>
      </c>
      <c r="I341" s="141">
        <f>RawList!J311</f>
        <v>2.95</v>
      </c>
      <c r="J341" s="24">
        <f>VALUE(EquipmentTable[[#This Row],[Units]]*EquipmentTable[[#This Row],[Unit
 Price]])</f>
        <v>2.95</v>
      </c>
      <c r="K341" s="50" t="str">
        <f>RawList!G311</f>
        <v>https://cdn.sparkfun.com/r/92-92/assets/parts/5/1/8/1/10561-01.jpg</v>
      </c>
      <c r="L341" s="50"/>
      <c r="M341" s="50" t="str">
        <f>RawList!F311</f>
        <v>https://www.sparkfun.com/products/10561</v>
      </c>
    </row>
    <row r="342" spans="2:13" hidden="1" x14ac:dyDescent="0.3">
      <c r="B342" s="50" t="str">
        <f>RawList!A312</f>
        <v>Hardware Component</v>
      </c>
      <c r="C342" s="50" t="str">
        <f>RawList!B312</f>
        <v>Trace/Shielding Construction</v>
      </c>
      <c r="D342" s="50" t="str">
        <f>RawList!C312</f>
        <v>SparkFun</v>
      </c>
      <c r="E342" s="50" t="str">
        <f>RawList!H312</f>
        <v>Copper Tape - Conductive Adhesive, 5mm (50ft)</v>
      </c>
      <c r="F342" s="50" t="str">
        <f>RawList!D312</f>
        <v>PRT-13827</v>
      </c>
      <c r="G342" s="137">
        <f>RawList!E312</f>
        <v>1</v>
      </c>
      <c r="H342" s="50" t="str">
        <f>IF(EquipmentTable[[#This Row],[Units]]&gt;0,"Quantity &gt; 0 Items","Quantity = 0 Items")</f>
        <v>Quantity &gt; 0 Items</v>
      </c>
      <c r="I342" s="141">
        <f>RawList!J312</f>
        <v>3.95</v>
      </c>
      <c r="J342" s="24">
        <f>VALUE(EquipmentTable[[#This Row],[Units]]*EquipmentTable[[#This Row],[Unit
 Price]])</f>
        <v>3.95</v>
      </c>
      <c r="K342" s="50" t="str">
        <f>RawList!G312</f>
        <v>https://cdn.sparkfun.com/r/92-92/assets/parts/1/1/4/2/2/13827-01.jpg</v>
      </c>
      <c r="L342" s="50"/>
      <c r="M342" s="50" t="str">
        <f>RawList!F312</f>
        <v>https://www.sparkfun.com/products/13827</v>
      </c>
    </row>
    <row r="343" spans="2:13" x14ac:dyDescent="0.3">
      <c r="B343" s="50" t="str">
        <f>RawList!A313</f>
        <v>Low-Level Electronics</v>
      </c>
      <c r="C343" s="50" t="str">
        <f>RawList!B313</f>
        <v>Buttons/Switches/Knobs</v>
      </c>
      <c r="D343" s="50" t="str">
        <f>RawList!C313</f>
        <v>SparkFun</v>
      </c>
      <c r="E343" s="50" t="str">
        <f>RawList!H313</f>
        <v>LED Tactile Button Breakout</v>
      </c>
      <c r="F343" s="50" t="str">
        <f>RawList!D313</f>
        <v>BOB-10467</v>
      </c>
      <c r="G343" s="137">
        <f>RawList!E313</f>
        <v>4</v>
      </c>
      <c r="H343" s="50" t="str">
        <f>IF(EquipmentTable[[#This Row],[Units]]&gt;0,"Quantity &gt; 0 Items","Quantity = 0 Items")</f>
        <v>Quantity &gt; 0 Items</v>
      </c>
      <c r="I343" s="141">
        <f>RawList!J313</f>
        <v>1.5</v>
      </c>
      <c r="J343" s="24">
        <f>VALUE(EquipmentTable[[#This Row],[Units]]*EquipmentTable[[#This Row],[Unit
 Price]])</f>
        <v>6</v>
      </c>
      <c r="K343" s="50" t="str">
        <f>RawList!G313</f>
        <v>https://cdn.sparkfun.com/r/92-92/assets/parts/4/9/5/9/10467-01.jpg</v>
      </c>
      <c r="L343" s="50"/>
      <c r="M343" s="50" t="str">
        <f>RawList!F313</f>
        <v>https://www.sparkfun.com/products/10467</v>
      </c>
    </row>
    <row r="344" spans="2:13" x14ac:dyDescent="0.3">
      <c r="B344" s="50" t="str">
        <f>RawList!A314</f>
        <v>Low-Level Electronics</v>
      </c>
      <c r="C344" s="50" t="str">
        <f>RawList!B314</f>
        <v>Buttons/Switches/Knobs</v>
      </c>
      <c r="D344" s="50" t="str">
        <f>RawList!C314</f>
        <v>SparkFun</v>
      </c>
      <c r="E344" s="50" t="str">
        <f>RawList!H314</f>
        <v>LED Tactile Button - Blue</v>
      </c>
      <c r="F344" s="50" t="str">
        <f>RawList!D314</f>
        <v>COM-10443</v>
      </c>
      <c r="G344" s="137">
        <f>RawList!E314</f>
        <v>1</v>
      </c>
      <c r="H344" s="50" t="str">
        <f>IF(EquipmentTable[[#This Row],[Units]]&gt;0,"Quantity &gt; 0 Items","Quantity = 0 Items")</f>
        <v>Quantity &gt; 0 Items</v>
      </c>
      <c r="I344" s="141">
        <f>RawList!J314</f>
        <v>1.95</v>
      </c>
      <c r="J344" s="24">
        <f>VALUE(EquipmentTable[[#This Row],[Units]]*EquipmentTable[[#This Row],[Unit
 Price]])</f>
        <v>1.95</v>
      </c>
      <c r="K344" s="50" t="str">
        <f>RawList!G314</f>
        <v>https://cdn.sparkfun.com/r/92-92/assets/parts/4/9/3/1/10443-01.jpg</v>
      </c>
      <c r="L344" s="50"/>
      <c r="M344" s="50" t="str">
        <f>RawList!F314</f>
        <v>https://www.sparkfun.com/products/10443</v>
      </c>
    </row>
    <row r="345" spans="2:13" x14ac:dyDescent="0.3">
      <c r="B345" s="50" t="str">
        <f>RawList!A315</f>
        <v>Low-Level Electronics</v>
      </c>
      <c r="C345" s="50" t="str">
        <f>RawList!B315</f>
        <v>Buttons/Switches/Knobs</v>
      </c>
      <c r="D345" s="50" t="str">
        <f>RawList!C315</f>
        <v>SparkFun</v>
      </c>
      <c r="E345" s="50" t="str">
        <f>RawList!H315</f>
        <v>LED Tactile Button - Green</v>
      </c>
      <c r="F345" s="50" t="str">
        <f>RawList!D315</f>
        <v>COM-10440</v>
      </c>
      <c r="G345" s="137">
        <f>RawList!E315</f>
        <v>1</v>
      </c>
      <c r="H345" s="50" t="str">
        <f>IF(EquipmentTable[[#This Row],[Units]]&gt;0,"Quantity &gt; 0 Items","Quantity = 0 Items")</f>
        <v>Quantity &gt; 0 Items</v>
      </c>
      <c r="I345" s="141">
        <f>RawList!J315</f>
        <v>1.95</v>
      </c>
      <c r="J345" s="24">
        <f>VALUE(EquipmentTable[[#This Row],[Units]]*EquipmentTable[[#This Row],[Unit
 Price]])</f>
        <v>1.95</v>
      </c>
      <c r="K345" s="50" t="str">
        <f>RawList!G315</f>
        <v>https://cdn.sparkfun.com/r/92-92/assets/parts/4/9/2/8/10440-01.jpg</v>
      </c>
      <c r="L345" s="50"/>
      <c r="M345" s="50" t="str">
        <f>RawList!F315</f>
        <v>https://www.sparkfun.com/products/10440</v>
      </c>
    </row>
    <row r="346" spans="2:13" x14ac:dyDescent="0.3">
      <c r="B346" s="50" t="str">
        <f>RawList!A316</f>
        <v>Low-Level Electronics</v>
      </c>
      <c r="C346" s="50" t="str">
        <f>RawList!B316</f>
        <v>Buttons/Switches/Knobs</v>
      </c>
      <c r="D346" s="50" t="str">
        <f>RawList!C316</f>
        <v>SparkFun</v>
      </c>
      <c r="E346" s="50" t="str">
        <f>RawList!H316</f>
        <v>LED Tactile Button - Red</v>
      </c>
      <c r="F346" s="50" t="str">
        <f>RawList!D316</f>
        <v>COM-10442</v>
      </c>
      <c r="G346" s="137">
        <f>RawList!E316</f>
        <v>1</v>
      </c>
      <c r="H346" s="50" t="str">
        <f>IF(EquipmentTable[[#This Row],[Units]]&gt;0,"Quantity &gt; 0 Items","Quantity = 0 Items")</f>
        <v>Quantity &gt; 0 Items</v>
      </c>
      <c r="I346" s="141">
        <f>RawList!J316</f>
        <v>1.95</v>
      </c>
      <c r="J346" s="24">
        <f>VALUE(EquipmentTable[[#This Row],[Units]]*EquipmentTable[[#This Row],[Unit
 Price]])</f>
        <v>1.95</v>
      </c>
      <c r="K346" s="50" t="str">
        <f>RawList!G316</f>
        <v>https://cdn.sparkfun.com/r/92-92/assets/parts/4/9/3/0/10442-01.jpg</v>
      </c>
      <c r="L346" s="50"/>
      <c r="M346" s="50" t="str">
        <f>RawList!F316</f>
        <v>https://www.sparkfun.com/products/10442</v>
      </c>
    </row>
    <row r="347" spans="2:13" x14ac:dyDescent="0.3">
      <c r="B347" s="50" t="str">
        <f>RawList!A317</f>
        <v>Low-Level Electronics</v>
      </c>
      <c r="C347" s="50" t="str">
        <f>RawList!B317</f>
        <v>Buttons/Switches/Knobs</v>
      </c>
      <c r="D347" s="50" t="str">
        <f>RawList!C317</f>
        <v>SparkFun</v>
      </c>
      <c r="E347" s="50" t="str">
        <f>RawList!H317</f>
        <v>LED Tactile Button - Orange</v>
      </c>
      <c r="F347" s="50" t="str">
        <f>RawList!D317</f>
        <v>COM-10441</v>
      </c>
      <c r="G347" s="137">
        <f>RawList!E317</f>
        <v>0</v>
      </c>
      <c r="H347" s="50" t="str">
        <f>IF(EquipmentTable[[#This Row],[Units]]&gt;0,"Quantity &gt; 0 Items","Quantity = 0 Items")</f>
        <v>Quantity = 0 Items</v>
      </c>
      <c r="I347" s="141">
        <f>RawList!J317</f>
        <v>1.95</v>
      </c>
      <c r="J347" s="24">
        <f>VALUE(EquipmentTable[[#This Row],[Units]]*EquipmentTable[[#This Row],[Unit
 Price]])</f>
        <v>0</v>
      </c>
      <c r="K347" s="50" t="str">
        <f>RawList!G317</f>
        <v>https://cdn.sparkfun.com/r/92-92/assets/parts/4/9/2/9/10441-01b.jpg</v>
      </c>
      <c r="L347" s="50"/>
      <c r="M347" s="50" t="str">
        <f>RawList!F317</f>
        <v>https://www.sparkfun.com/products/10441</v>
      </c>
    </row>
    <row r="348" spans="2:13" x14ac:dyDescent="0.3">
      <c r="B348" s="50" t="str">
        <f>RawList!A318</f>
        <v>Low-Level Electronics</v>
      </c>
      <c r="C348" s="50" t="str">
        <f>RawList!B318</f>
        <v>Buttons/Switches/Knobs</v>
      </c>
      <c r="D348" s="50" t="str">
        <f>RawList!C318</f>
        <v>SparkFun</v>
      </c>
      <c r="E348" s="50" t="str">
        <f>RawList!H318</f>
        <v>LED Tactile Button- White</v>
      </c>
      <c r="F348" s="50" t="str">
        <f>RawList!D318</f>
        <v>COM-10439</v>
      </c>
      <c r="G348" s="137">
        <f>RawList!E318</f>
        <v>1</v>
      </c>
      <c r="H348" s="50" t="str">
        <f>IF(EquipmentTable[[#This Row],[Units]]&gt;0,"Quantity &gt; 0 Items","Quantity = 0 Items")</f>
        <v>Quantity &gt; 0 Items</v>
      </c>
      <c r="I348" s="141">
        <f>RawList!J318</f>
        <v>1.95</v>
      </c>
      <c r="J348" s="24">
        <f>VALUE(EquipmentTable[[#This Row],[Units]]*EquipmentTable[[#This Row],[Unit
 Price]])</f>
        <v>1.95</v>
      </c>
      <c r="K348" s="50" t="str">
        <f>RawList!G318</f>
        <v>https://cdn.sparkfun.com/r/92-92/assets/parts/4/9/2/7/10439-01.jpg</v>
      </c>
      <c r="L348" s="50"/>
      <c r="M348" s="50" t="str">
        <f>RawList!F318</f>
        <v>https://www.sparkfun.com/products/10439</v>
      </c>
    </row>
    <row r="349" spans="2:13" x14ac:dyDescent="0.3">
      <c r="B349" s="50" t="str">
        <f>RawList!A319</f>
        <v>Low-Level Electronics</v>
      </c>
      <c r="C349" s="50" t="str">
        <f>RawList!B319</f>
        <v>Buttons/Switches/Knobs</v>
      </c>
      <c r="D349" s="50" t="str">
        <f>RawList!C319</f>
        <v>Adafruit</v>
      </c>
      <c r="E349" s="50" t="str">
        <f>RawList!H319</f>
        <v xml:space="preserve">Tactile Switch Buttons (12mm square, 6mm tall) x 10 pack </v>
      </c>
      <c r="F349" s="50" t="str">
        <f>RawList!D319</f>
        <v>1119</v>
      </c>
      <c r="G349" s="137">
        <f>RawList!E319</f>
        <v>0</v>
      </c>
      <c r="H349" s="50" t="str">
        <f>IF(EquipmentTable[[#This Row],[Units]]&gt;0,"Quantity &gt; 0 Items","Quantity = 0 Items")</f>
        <v>Quantity = 0 Items</v>
      </c>
      <c r="I349" s="141">
        <f>RawList!J319</f>
        <v>2.5</v>
      </c>
      <c r="J349" s="24">
        <f>VALUE(EquipmentTable[[#This Row],[Units]]*EquipmentTable[[#This Row],[Unit
 Price]])</f>
        <v>0</v>
      </c>
      <c r="K349" s="50">
        <f>RawList!G319</f>
        <v>0</v>
      </c>
      <c r="L349" s="50"/>
      <c r="M349" s="50">
        <f>RawList!F319</f>
        <v>0</v>
      </c>
    </row>
    <row r="350" spans="2:13" x14ac:dyDescent="0.3">
      <c r="B350" s="50" t="str">
        <f>RawList!A320</f>
        <v>Low-Level Electronics</v>
      </c>
      <c r="C350" s="50" t="str">
        <f>RawList!B320</f>
        <v>Buttons/Switches/Knobs</v>
      </c>
      <c r="D350" s="50" t="str">
        <f>RawList!C320</f>
        <v>SparkFun</v>
      </c>
      <c r="E350" s="50" t="str">
        <f>RawList!H320</f>
        <v>Mini Pushbutton Switch</v>
      </c>
      <c r="F350" s="50" t="str">
        <f>RawList!D320</f>
        <v>COM-00097</v>
      </c>
      <c r="G350" s="137">
        <f>RawList!E320</f>
        <v>2</v>
      </c>
      <c r="H350" s="50" t="str">
        <f>IF(EquipmentTable[[#This Row],[Units]]&gt;0,"Quantity &gt; 0 Items","Quantity = 0 Items")</f>
        <v>Quantity &gt; 0 Items</v>
      </c>
      <c r="I350" s="141">
        <f>RawList!J320</f>
        <v>0.35</v>
      </c>
      <c r="J350" s="24">
        <f>VALUE(EquipmentTable[[#This Row],[Units]]*EquipmentTable[[#This Row],[Unit
 Price]])</f>
        <v>0.7</v>
      </c>
      <c r="K350" s="50" t="str">
        <f>RawList!G320</f>
        <v>https://cdn.sparkfun.com/r/92-92/assets/parts/9/0/00097-03-L.jpg</v>
      </c>
      <c r="L350" s="50"/>
      <c r="M350" s="50" t="str">
        <f>RawList!F320</f>
        <v>https://www.sparkfun.com/products/97</v>
      </c>
    </row>
    <row r="351" spans="2:13" x14ac:dyDescent="0.3">
      <c r="B351" s="50" t="str">
        <f>RawList!A321</f>
        <v>Low-Level Electronics</v>
      </c>
      <c r="C351" s="50" t="str">
        <f>RawList!B321</f>
        <v>Buttons/Switches/Knobs</v>
      </c>
      <c r="D351" s="50" t="str">
        <f>RawList!C321</f>
        <v>SparkFun</v>
      </c>
      <c r="E351" s="50" t="str">
        <f>RawList!H321</f>
        <v>Mini Pushbutton Switch - Tall</v>
      </c>
      <c r="F351" s="50" t="str">
        <f>RawList!D321</f>
        <v>COM-08605</v>
      </c>
      <c r="G351" s="137">
        <f>RawList!E321</f>
        <v>2</v>
      </c>
      <c r="H351" s="50" t="str">
        <f>IF(EquipmentTable[[#This Row],[Units]]&gt;0,"Quantity &gt; 0 Items","Quantity = 0 Items")</f>
        <v>Quantity &gt; 0 Items</v>
      </c>
      <c r="I351" s="141">
        <f>RawList!J321</f>
        <v>0.5</v>
      </c>
      <c r="J351" s="24">
        <f>VALUE(EquipmentTable[[#This Row],[Units]]*EquipmentTable[[#This Row],[Unit
 Price]])</f>
        <v>1</v>
      </c>
      <c r="K351" s="50" t="str">
        <f>RawList!G321</f>
        <v>https://cdn.sparkfun.com/r/92-92/assets/parts/1/6/7/9/08605-04-L.jpg</v>
      </c>
      <c r="L351" s="50"/>
      <c r="M351" s="50" t="str">
        <f>RawList!F321</f>
        <v>https://www.sparkfun.com/products/8605</v>
      </c>
    </row>
    <row r="352" spans="2:13" x14ac:dyDescent="0.3">
      <c r="B352" s="50" t="str">
        <f>RawList!A322</f>
        <v>Low-Level Electronics</v>
      </c>
      <c r="C352" s="50" t="str">
        <f>RawList!B322</f>
        <v>Buttons/Switches/Knobs</v>
      </c>
      <c r="D352" s="50" t="str">
        <f>RawList!C322</f>
        <v>SparkFun</v>
      </c>
      <c r="E352" s="50" t="str">
        <f>RawList!H322</f>
        <v>Momentary Pushbutton Switch - 12mm Square</v>
      </c>
      <c r="F352" s="50" t="str">
        <f>RawList!D322</f>
        <v>COM-09190</v>
      </c>
      <c r="G352" s="137">
        <f>RawList!E322</f>
        <v>2</v>
      </c>
      <c r="H352" s="50" t="str">
        <f>IF(EquipmentTable[[#This Row],[Units]]&gt;0,"Quantity &gt; 0 Items","Quantity = 0 Items")</f>
        <v>Quantity &gt; 0 Items</v>
      </c>
      <c r="I352" s="141">
        <f>RawList!J322</f>
        <v>0.5</v>
      </c>
      <c r="J352" s="24">
        <f>VALUE(EquipmentTable[[#This Row],[Units]]*EquipmentTable[[#This Row],[Unit
 Price]])</f>
        <v>1</v>
      </c>
      <c r="K352" s="50" t="str">
        <f>RawList!G322</f>
        <v>https://cdn.sparkfun.com/r/92-92/assets/parts/2/6/2/9/09190-03-L.jpg</v>
      </c>
      <c r="L352" s="50"/>
      <c r="M352" s="50" t="str">
        <f>RawList!F322</f>
        <v>https://www.sparkfun.com/products/9190</v>
      </c>
    </row>
    <row r="353" spans="2:13" x14ac:dyDescent="0.3">
      <c r="B353" s="50" t="str">
        <f>RawList!A323</f>
        <v>Low-Level Electronics</v>
      </c>
      <c r="C353" s="50" t="str">
        <f>RawList!B323</f>
        <v>Buttons/Switches/Knobs</v>
      </c>
      <c r="D353" s="50" t="str">
        <f>RawList!C323</f>
        <v>Adafruit</v>
      </c>
      <c r="E353" s="50" t="str">
        <f>RawList!H323</f>
        <v xml:space="preserve">Mini Illuminated Momentary Pushbutton - Blue Power Symbol </v>
      </c>
      <c r="F353" s="50" t="str">
        <f>RawList!D323</f>
        <v>3105</v>
      </c>
      <c r="G353" s="137">
        <f>RawList!E323</f>
        <v>0</v>
      </c>
      <c r="H353" s="50" t="str">
        <f>IF(EquipmentTable[[#This Row],[Units]]&gt;0,"Quantity &gt; 0 Items","Quantity = 0 Items")</f>
        <v>Quantity = 0 Items</v>
      </c>
      <c r="I353" s="141">
        <f>RawList!J323</f>
        <v>1.95</v>
      </c>
      <c r="J353" s="24">
        <f>VALUE(EquipmentTable[[#This Row],[Units]]*EquipmentTable[[#This Row],[Unit
 Price]])</f>
        <v>0</v>
      </c>
      <c r="K353" s="50">
        <f>RawList!G323</f>
        <v>0</v>
      </c>
      <c r="L353" s="50"/>
      <c r="M353" s="50">
        <f>RawList!F323</f>
        <v>0</v>
      </c>
    </row>
    <row r="354" spans="2:13" x14ac:dyDescent="0.3">
      <c r="B354" s="50" t="str">
        <f>RawList!A324</f>
        <v>Low-Level Electronics</v>
      </c>
      <c r="C354" s="50" t="str">
        <f>RawList!B324</f>
        <v>Buttons/Switches/Knobs</v>
      </c>
      <c r="D354" s="50" t="str">
        <f>RawList!C324</f>
        <v>Adafruit</v>
      </c>
      <c r="E354" s="50" t="str">
        <f>RawList!H324</f>
        <v>Mini Illuminated Momentary Pushbutton - Red Power Symbol</v>
      </c>
      <c r="F354" s="50" t="str">
        <f>RawList!D324</f>
        <v>3104</v>
      </c>
      <c r="G354" s="137">
        <f>RawList!E324</f>
        <v>0</v>
      </c>
      <c r="H354" s="50" t="str">
        <f>IF(EquipmentTable[[#This Row],[Units]]&gt;0,"Quantity &gt; 0 Items","Quantity = 0 Items")</f>
        <v>Quantity = 0 Items</v>
      </c>
      <c r="I354" s="141">
        <f>RawList!J324</f>
        <v>1.95</v>
      </c>
      <c r="J354" s="24">
        <f>VALUE(EquipmentTable[[#This Row],[Units]]*EquipmentTable[[#This Row],[Unit
 Price]])</f>
        <v>0</v>
      </c>
      <c r="K354" s="50">
        <f>RawList!G324</f>
        <v>0</v>
      </c>
      <c r="L354" s="50"/>
      <c r="M354" s="50">
        <f>RawList!F324</f>
        <v>0</v>
      </c>
    </row>
    <row r="355" spans="2:13" x14ac:dyDescent="0.3">
      <c r="B355" s="50" t="str">
        <f>RawList!A325</f>
        <v>Low-Level Electronics</v>
      </c>
      <c r="C355" s="50" t="str">
        <f>RawList!B325</f>
        <v>Buttons/Switches/Knobs</v>
      </c>
      <c r="D355" s="50" t="str">
        <f>RawList!C325</f>
        <v>SparkFun</v>
      </c>
      <c r="E355" s="50" t="str">
        <f>RawList!H325</f>
        <v>Right Angle Tactile Button</v>
      </c>
      <c r="F355" s="50" t="str">
        <f>RawList!D325</f>
        <v>COM-10791</v>
      </c>
      <c r="G355" s="137">
        <f>RawList!E325</f>
        <v>5</v>
      </c>
      <c r="H355" s="50" t="str">
        <f>IF(EquipmentTable[[#This Row],[Units]]&gt;0,"Quantity &gt; 0 Items","Quantity = 0 Items")</f>
        <v>Quantity &gt; 0 Items</v>
      </c>
      <c r="I355" s="141">
        <f>RawList!J325</f>
        <v>0.5</v>
      </c>
      <c r="J355" s="24">
        <f>VALUE(EquipmentTable[[#This Row],[Units]]*EquipmentTable[[#This Row],[Unit
 Price]])</f>
        <v>2.5</v>
      </c>
      <c r="K355" s="50" t="str">
        <f>RawList!G325</f>
        <v>https://cdn.sparkfun.com/r/92-92/assets/parts/5/7/7/6/10791-01.jpg</v>
      </c>
      <c r="L355" s="50"/>
      <c r="M355" s="50" t="str">
        <f>RawList!F325</f>
        <v>https://www.sparkfun.com/products/10791</v>
      </c>
    </row>
    <row r="356" spans="2:13" x14ac:dyDescent="0.3">
      <c r="B356" s="50" t="str">
        <f>RawList!A326</f>
        <v>Low-Level Electronics</v>
      </c>
      <c r="C356" s="50" t="str">
        <f>RawList!B326</f>
        <v>Buttons/Switches/Knobs</v>
      </c>
      <c r="D356" s="50" t="str">
        <f>RawList!C326</f>
        <v>SparkFun</v>
      </c>
      <c r="E356" s="50" t="str">
        <f>RawList!H326</f>
        <v>Rocker Switch - SPST (right-angle)</v>
      </c>
      <c r="F356" s="50" t="str">
        <f>RawList!D326</f>
        <v>COM-08837</v>
      </c>
      <c r="G356" s="137">
        <f>RawList!E326</f>
        <v>7</v>
      </c>
      <c r="H356" s="50" t="str">
        <f>IF(EquipmentTable[[#This Row],[Units]]&gt;0,"Quantity &gt; 0 Items","Quantity = 0 Items")</f>
        <v>Quantity &gt; 0 Items</v>
      </c>
      <c r="I356" s="141">
        <f>RawList!J326</f>
        <v>0.95</v>
      </c>
      <c r="J356" s="24">
        <f>VALUE(EquipmentTable[[#This Row],[Units]]*EquipmentTable[[#This Row],[Unit
 Price]])</f>
        <v>6.6499999999999995</v>
      </c>
      <c r="K356" s="50" t="str">
        <f>RawList!G326</f>
        <v>https://cdn.sparkfun.com/r/92-92/assets/parts/1/8/4/7/08837-03-L.jpg</v>
      </c>
      <c r="L356" s="50"/>
      <c r="M356" s="50" t="str">
        <f>RawList!F326</f>
        <v>https://www.sparkfun.com/products/8837</v>
      </c>
    </row>
    <row r="357" spans="2:13" x14ac:dyDescent="0.3">
      <c r="B357" s="50" t="str">
        <f>RawList!A327</f>
        <v>Low-Level Electronics</v>
      </c>
      <c r="C357" s="50" t="str">
        <f>RawList!B327</f>
        <v>Buttons/Switches/Knobs</v>
      </c>
      <c r="D357" s="50" t="str">
        <f>RawList!C327</f>
        <v>SparkFun</v>
      </c>
      <c r="E357" s="50" t="str">
        <f>RawList!H327</f>
        <v>SPDT Mini Power Switch</v>
      </c>
      <c r="F357" s="50" t="str">
        <f>RawList!D327</f>
        <v>COM-00102</v>
      </c>
      <c r="G357" s="137">
        <f>RawList!E327</f>
        <v>2</v>
      </c>
      <c r="H357" s="50" t="str">
        <f>IF(EquipmentTable[[#This Row],[Units]]&gt;0,"Quantity &gt; 0 Items","Quantity = 0 Items")</f>
        <v>Quantity &gt; 0 Items</v>
      </c>
      <c r="I357" s="141">
        <f>RawList!J327</f>
        <v>1.5</v>
      </c>
      <c r="J357" s="24">
        <f>VALUE(EquipmentTable[[#This Row],[Units]]*EquipmentTable[[#This Row],[Unit
 Price]])</f>
        <v>3</v>
      </c>
      <c r="K357" s="50" t="str">
        <f>RawList!G327</f>
        <v>https://cdn.sparkfun.com/r/92-92/assets/parts/9/5/00102-02-L.jpg</v>
      </c>
      <c r="L357" s="50"/>
      <c r="M357" s="50" t="str">
        <f>RawList!F327</f>
        <v>https://www.sparkfun.com/products/102</v>
      </c>
    </row>
    <row r="358" spans="2:13" x14ac:dyDescent="0.3">
      <c r="B358" s="50" t="str">
        <f>RawList!A328</f>
        <v>Low-Level Electronics</v>
      </c>
      <c r="C358" s="50" t="str">
        <f>RawList!B328</f>
        <v>Buttons/Switches/Knobs</v>
      </c>
      <c r="D358" s="50" t="str">
        <f>RawList!C328</f>
        <v>SparkFun</v>
      </c>
      <c r="E358" s="50" t="str">
        <f>RawList!H328</f>
        <v>SPDT Slide Switch</v>
      </c>
      <c r="F358" s="50" t="str">
        <f>RawList!D328</f>
        <v>COM-09609</v>
      </c>
      <c r="G358" s="137">
        <f>RawList!E328</f>
        <v>5</v>
      </c>
      <c r="H358" s="50" t="str">
        <f>IF(EquipmentTable[[#This Row],[Units]]&gt;0,"Quantity &gt; 0 Items","Quantity = 0 Items")</f>
        <v>Quantity &gt; 0 Items</v>
      </c>
      <c r="I358" s="141">
        <f>RawList!J328</f>
        <v>0.75</v>
      </c>
      <c r="J358" s="24">
        <f>VALUE(EquipmentTable[[#This Row],[Units]]*EquipmentTable[[#This Row],[Unit
 Price]])</f>
        <v>3.75</v>
      </c>
      <c r="K358" s="50" t="str">
        <f>RawList!G328</f>
        <v>https://cdn.sparkfun.com/r/92-92/assets/parts/3/4/3/1/09609-01.jpg</v>
      </c>
      <c r="L358" s="50"/>
      <c r="M358" s="50" t="str">
        <f>RawList!F328</f>
        <v>https://www.sparkfun.com/products/9609</v>
      </c>
    </row>
    <row r="359" spans="2:13" x14ac:dyDescent="0.3">
      <c r="B359" s="50" t="str">
        <f>RawList!A329</f>
        <v>Low-Level Electronics</v>
      </c>
      <c r="C359" s="50" t="str">
        <f>RawList!B329</f>
        <v>Buttons/Switches/Knobs</v>
      </c>
      <c r="D359" s="50" t="str">
        <f>RawList!C329</f>
        <v>SparkFun</v>
      </c>
      <c r="E359" s="50" t="str">
        <f>RawList!H329</f>
        <v>Cherry MX Switch</v>
      </c>
      <c r="F359" s="50" t="str">
        <f>RawList!D329</f>
        <v>COM-13834</v>
      </c>
      <c r="G359" s="137">
        <f>RawList!E329</f>
        <v>1</v>
      </c>
      <c r="H359" s="50" t="str">
        <f>IF(EquipmentTable[[#This Row],[Units]]&gt;0,"Quantity &gt; 0 Items","Quantity = 0 Items")</f>
        <v>Quantity &gt; 0 Items</v>
      </c>
      <c r="I359" s="141">
        <f>RawList!J329</f>
        <v>0.95</v>
      </c>
      <c r="J359" s="24">
        <f>VALUE(EquipmentTable[[#This Row],[Units]]*EquipmentTable[[#This Row],[Unit
 Price]])</f>
        <v>0.95</v>
      </c>
      <c r="K359" s="50" t="str">
        <f>RawList!G329</f>
        <v>https://cdn.sparkfun.com/r/92-92/assets/parts/1/1/4/3/1/13834-01.jpg</v>
      </c>
      <c r="L359" s="50"/>
      <c r="M359" s="50" t="str">
        <f>RawList!F329</f>
        <v>https://www.sparkfun.com/products/13834</v>
      </c>
    </row>
    <row r="360" spans="2:13" x14ac:dyDescent="0.3">
      <c r="B360" s="50" t="str">
        <f>RawList!A330</f>
        <v>Low-Level Electronics</v>
      </c>
      <c r="C360" s="50" t="str">
        <f>RawList!B330</f>
        <v>Buttons/Switches/Knobs</v>
      </c>
      <c r="D360" s="50" t="str">
        <f>RawList!C330</f>
        <v>SparkFun</v>
      </c>
      <c r="E360" s="50" t="str">
        <f>RawList!H330</f>
        <v>5-way Tactile Switch</v>
      </c>
      <c r="F360" s="50" t="str">
        <f>RawList!D330</f>
        <v>COM-10063</v>
      </c>
      <c r="G360" s="137">
        <f>RawList!E330</f>
        <v>1</v>
      </c>
      <c r="H360" s="50" t="str">
        <f>IF(EquipmentTable[[#This Row],[Units]]&gt;0,"Quantity &gt; 0 Items","Quantity = 0 Items")</f>
        <v>Quantity &gt; 0 Items</v>
      </c>
      <c r="I360" s="141">
        <f>RawList!J330</f>
        <v>1.95</v>
      </c>
      <c r="J360" s="24">
        <f>VALUE(EquipmentTable[[#This Row],[Units]]*EquipmentTable[[#This Row],[Unit
 Price]])</f>
        <v>1.95</v>
      </c>
      <c r="K360" s="50" t="str">
        <f>RawList!G330</f>
        <v>https://cdn.sparkfun.com/r/92-92/assets/parts/4/3/3/7/10063-01.jpg</v>
      </c>
      <c r="L360" s="50"/>
      <c r="M360" s="50" t="str">
        <f>RawList!F330</f>
        <v>https://www.sparkfun.com/products/10063</v>
      </c>
    </row>
    <row r="361" spans="2:13" x14ac:dyDescent="0.3">
      <c r="B361" s="50" t="str">
        <f>RawList!A331</f>
        <v>Low-Level Electronics</v>
      </c>
      <c r="C361" s="50" t="str">
        <f>RawList!B331</f>
        <v>Buttons/Switches/Knobs</v>
      </c>
      <c r="D361" s="50" t="str">
        <f>RawList!C331</f>
        <v>SparkFun</v>
      </c>
      <c r="E361" s="50" t="str">
        <f>RawList!H331</f>
        <v>Thumb Slide Joystick</v>
      </c>
      <c r="F361" s="50" t="str">
        <f>RawList!D331</f>
        <v>COM-09426</v>
      </c>
      <c r="G361" s="137">
        <f>RawList!E331</f>
        <v>1</v>
      </c>
      <c r="H361" s="50" t="str">
        <f>IF(EquipmentTable[[#This Row],[Units]]&gt;0,"Quantity &gt; 0 Items","Quantity = 0 Items")</f>
        <v>Quantity &gt; 0 Items</v>
      </c>
      <c r="I361" s="141">
        <f>RawList!J331</f>
        <v>3.5</v>
      </c>
      <c r="J361" s="24">
        <f>VALUE(EquipmentTable[[#This Row],[Units]]*EquipmentTable[[#This Row],[Unit
 Price]])</f>
        <v>3.5</v>
      </c>
      <c r="K361" s="50" t="str">
        <f>RawList!G331</f>
        <v>https://cdn.sparkfun.com/r/92-92/assets/parts/3/0/7/2/09426-01.jpg</v>
      </c>
      <c r="L361" s="50"/>
      <c r="M361" s="50" t="str">
        <f>RawList!F331</f>
        <v>https://www.sparkfun.com/products/9426</v>
      </c>
    </row>
    <row r="362" spans="2:13" x14ac:dyDescent="0.3">
      <c r="B362" s="50" t="str">
        <f>RawList!A332</f>
        <v>Low-Level Electronics</v>
      </c>
      <c r="C362" s="50" t="str">
        <f>RawList!B332</f>
        <v>Buttons/Switches/Knobs</v>
      </c>
      <c r="D362" s="50" t="str">
        <f>RawList!C332</f>
        <v>SparkFun</v>
      </c>
      <c r="E362" s="50" t="str">
        <f>RawList!H332</f>
        <v>Black Metal Knob - 14x24mm</v>
      </c>
      <c r="F362" s="50" t="str">
        <f>RawList!D332</f>
        <v>COM-10002</v>
      </c>
      <c r="G362" s="137">
        <f>RawList!E332</f>
        <v>3</v>
      </c>
      <c r="H362" s="50" t="str">
        <f>IF(EquipmentTable[[#This Row],[Units]]&gt;0,"Quantity &gt; 0 Items","Quantity = 0 Items")</f>
        <v>Quantity &gt; 0 Items</v>
      </c>
      <c r="I362" s="141">
        <f>RawList!J332</f>
        <v>1.5</v>
      </c>
      <c r="J362" s="24">
        <f>VALUE(EquipmentTable[[#This Row],[Units]]*EquipmentTable[[#This Row],[Unit
 Price]])</f>
        <v>4.5</v>
      </c>
      <c r="K362" s="50" t="str">
        <f>RawList!G332</f>
        <v>https://cdn.sparkfun.com/r/92-92/assets/parts/4/1/4/6/10002-01.jpg</v>
      </c>
      <c r="L362" s="50"/>
      <c r="M362" s="50" t="str">
        <f>RawList!F332</f>
        <v>https://www.sparkfun.com/products/10002</v>
      </c>
    </row>
    <row r="363" spans="2:13" x14ac:dyDescent="0.3">
      <c r="B363" s="50" t="str">
        <f>RawList!A333</f>
        <v>Low-Level Electronics</v>
      </c>
      <c r="C363" s="50" t="str">
        <f>RawList!B333</f>
        <v>Buttons/Switches/Knobs</v>
      </c>
      <c r="D363" s="50" t="str">
        <f>RawList!C333</f>
        <v>SparkFun</v>
      </c>
      <c r="E363" s="50" t="str">
        <f>RawList!H333</f>
        <v>Silver Metal Knob - 14x24mm</v>
      </c>
      <c r="F363" s="50" t="str">
        <f>RawList!D333</f>
        <v>COM-10001</v>
      </c>
      <c r="G363" s="137">
        <f>RawList!E333</f>
        <v>0</v>
      </c>
      <c r="H363" s="50" t="str">
        <f>IF(EquipmentTable[[#This Row],[Units]]&gt;0,"Quantity &gt; 0 Items","Quantity = 0 Items")</f>
        <v>Quantity = 0 Items</v>
      </c>
      <c r="I363" s="141">
        <f>RawList!J333</f>
        <v>1.5</v>
      </c>
      <c r="J363" s="24">
        <f>VALUE(EquipmentTable[[#This Row],[Units]]*EquipmentTable[[#This Row],[Unit
 Price]])</f>
        <v>0</v>
      </c>
      <c r="K363" s="50" t="str">
        <f>RawList!G333</f>
        <v>https://cdn.sparkfun.com/r/92-92/assets/parts/4/1/4/6/10002-01.jpg</v>
      </c>
      <c r="L363" s="50"/>
      <c r="M363" s="50" t="str">
        <f>RawList!F333</f>
        <v>https://www.sparkfun.com/products/10002</v>
      </c>
    </row>
    <row r="364" spans="2:13" x14ac:dyDescent="0.3">
      <c r="B364" s="50" t="str">
        <f>RawList!A334</f>
        <v>Low-Level Electronics</v>
      </c>
      <c r="C364" s="50" t="str">
        <f>RawList!B334</f>
        <v>Buttons/Switches/Knobs</v>
      </c>
      <c r="D364" s="50" t="str">
        <f>RawList!C334</f>
        <v>Adafruit</v>
      </c>
      <c r="E364" s="50" t="str">
        <f>RawList!H334</f>
        <v xml:space="preserve">Potentiometer Knob - Soft Touch T18 - White </v>
      </c>
      <c r="F364" s="50" t="str">
        <f>RawList!D334</f>
        <v>2047</v>
      </c>
      <c r="G364" s="137">
        <f>RawList!E334</f>
        <v>0</v>
      </c>
      <c r="H364" s="50" t="str">
        <f>IF(EquipmentTable[[#This Row],[Units]]&gt;0,"Quantity &gt; 0 Items","Quantity = 0 Items")</f>
        <v>Quantity = 0 Items</v>
      </c>
      <c r="I364" s="141">
        <f>RawList!J334</f>
        <v>0.5</v>
      </c>
      <c r="J364" s="24">
        <f>VALUE(EquipmentTable[[#This Row],[Units]]*EquipmentTable[[#This Row],[Unit
 Price]])</f>
        <v>0</v>
      </c>
      <c r="K364" s="50">
        <f>RawList!G334</f>
        <v>0</v>
      </c>
      <c r="L364" s="50"/>
      <c r="M364" s="50">
        <f>RawList!F334</f>
        <v>0</v>
      </c>
    </row>
    <row r="365" spans="2:13" x14ac:dyDescent="0.3">
      <c r="B365" s="50" t="str">
        <f>RawList!A335</f>
        <v>Low-Level Electronics</v>
      </c>
      <c r="C365" s="50" t="str">
        <f>RawList!B335</f>
        <v>Buttons/Switches/Knobs</v>
      </c>
      <c r="D365" s="50" t="str">
        <f>RawList!C335</f>
        <v>Adafruit</v>
      </c>
      <c r="E365" s="50" t="str">
        <f>RawList!H335</f>
        <v xml:space="preserve">Scrubber Knob for Rotary Encoder - 35mm </v>
      </c>
      <c r="F365" s="50" t="str">
        <f>RawList!D335</f>
        <v>2055</v>
      </c>
      <c r="G365" s="137">
        <f>RawList!E335</f>
        <v>0</v>
      </c>
      <c r="H365" s="50" t="str">
        <f>IF(EquipmentTable[[#This Row],[Units]]&gt;0,"Quantity &gt; 0 Items","Quantity = 0 Items")</f>
        <v>Quantity = 0 Items</v>
      </c>
      <c r="I365" s="141">
        <f>RawList!J335</f>
        <v>0.95</v>
      </c>
      <c r="J365" s="24">
        <f>VALUE(EquipmentTable[[#This Row],[Units]]*EquipmentTable[[#This Row],[Unit
 Price]])</f>
        <v>0</v>
      </c>
      <c r="K365" s="50">
        <f>RawList!G335</f>
        <v>0</v>
      </c>
      <c r="L365" s="50"/>
      <c r="M365" s="50">
        <f>RawList!F335</f>
        <v>0</v>
      </c>
    </row>
    <row r="366" spans="2:13" x14ac:dyDescent="0.3">
      <c r="B366" s="50" t="str">
        <f>RawList!A336</f>
        <v>Low-Level Electronics</v>
      </c>
      <c r="C366" s="50" t="str">
        <f>RawList!B336</f>
        <v>Buttons/Switches/Knobs</v>
      </c>
      <c r="D366" s="50" t="str">
        <f>RawList!C336</f>
        <v>Adafruit</v>
      </c>
      <c r="E366" s="50" t="str">
        <f>RawList!H336</f>
        <v xml:space="preserve">Slim Metal Potentiometer Knob - 10mm Diameter x 10mm - T18 </v>
      </c>
      <c r="F366" s="50" t="str">
        <f>RawList!D336</f>
        <v>2058</v>
      </c>
      <c r="G366" s="137">
        <f>RawList!E336</f>
        <v>0</v>
      </c>
      <c r="H366" s="50" t="str">
        <f>IF(EquipmentTable[[#This Row],[Units]]&gt;0,"Quantity &gt; 0 Items","Quantity = 0 Items")</f>
        <v>Quantity = 0 Items</v>
      </c>
      <c r="I366" s="141">
        <f>RawList!J336</f>
        <v>0.95</v>
      </c>
      <c r="J366" s="24">
        <f>VALUE(EquipmentTable[[#This Row],[Units]]*EquipmentTable[[#This Row],[Unit
 Price]])</f>
        <v>0</v>
      </c>
      <c r="K366" s="50">
        <f>RawList!G336</f>
        <v>0</v>
      </c>
      <c r="L366" s="50"/>
      <c r="M366" s="50">
        <f>RawList!F336</f>
        <v>0</v>
      </c>
    </row>
    <row r="367" spans="2:13" x14ac:dyDescent="0.3">
      <c r="B367" s="50" t="str">
        <f>RawList!A337</f>
        <v>Low-Level Electronics</v>
      </c>
      <c r="C367" s="50" t="str">
        <f>RawList!B337</f>
        <v>Buttons/Switches/Knobs</v>
      </c>
      <c r="D367" s="50" t="str">
        <f>RawList!C337</f>
        <v>Adafruit</v>
      </c>
      <c r="E367" s="50" t="str">
        <f>RawList!H337</f>
        <v xml:space="preserve">Solid Machined Metal Knob - 1" Diameter </v>
      </c>
      <c r="F367" s="50" t="str">
        <f>RawList!D337</f>
        <v>2056</v>
      </c>
      <c r="G367" s="137">
        <f>RawList!E337</f>
        <v>0</v>
      </c>
      <c r="H367" s="50" t="str">
        <f>IF(EquipmentTable[[#This Row],[Units]]&gt;0,"Quantity &gt; 0 Items","Quantity = 0 Items")</f>
        <v>Quantity = 0 Items</v>
      </c>
      <c r="I367" s="141">
        <f>RawList!J337</f>
        <v>3.95</v>
      </c>
      <c r="J367" s="24">
        <f>VALUE(EquipmentTable[[#This Row],[Units]]*EquipmentTable[[#This Row],[Unit
 Price]])</f>
        <v>0</v>
      </c>
      <c r="K367" s="50">
        <f>RawList!G337</f>
        <v>0</v>
      </c>
      <c r="L367" s="50"/>
      <c r="M367" s="50">
        <f>RawList!F337</f>
        <v>0</v>
      </c>
    </row>
    <row r="368" spans="2:13" x14ac:dyDescent="0.3">
      <c r="B368" s="50" t="str">
        <f>RawList!A338</f>
        <v>Low-Level Electronics</v>
      </c>
      <c r="C368" s="50" t="str">
        <f>RawList!B338</f>
        <v>Connectors, IDC</v>
      </c>
      <c r="D368" s="50" t="str">
        <f>RawList!C338</f>
        <v>Adafruit</v>
      </c>
      <c r="E368" s="50" t="str">
        <f>RawList!H338</f>
        <v xml:space="preserve">IDC Breakout Helper - 2x16 (32 pin) </v>
      </c>
      <c r="F368" s="50" t="str">
        <f>RawList!D338</f>
        <v>2103</v>
      </c>
      <c r="G368" s="137">
        <f>RawList!E338</f>
        <v>0</v>
      </c>
      <c r="H368" s="50" t="str">
        <f>IF(EquipmentTable[[#This Row],[Units]]&gt;0,"Quantity &gt; 0 Items","Quantity = 0 Items")</f>
        <v>Quantity = 0 Items</v>
      </c>
      <c r="I368" s="141">
        <f>RawList!J338</f>
        <v>1.95</v>
      </c>
      <c r="J368" s="24">
        <f>VALUE(EquipmentTable[[#This Row],[Units]]*EquipmentTable[[#This Row],[Unit
 Price]])</f>
        <v>0</v>
      </c>
      <c r="K368" s="50">
        <f>RawList!G338</f>
        <v>0</v>
      </c>
      <c r="L368" s="50"/>
      <c r="M368" s="50">
        <f>RawList!F338</f>
        <v>0</v>
      </c>
    </row>
    <row r="369" spans="2:13" x14ac:dyDescent="0.3">
      <c r="B369" s="50" t="str">
        <f>RawList!A339</f>
        <v>Low-Level Electronics</v>
      </c>
      <c r="C369" s="50" t="str">
        <f>RawList!B339</f>
        <v>Connectors, IDC</v>
      </c>
      <c r="D369" s="50" t="str">
        <f>RawList!C339</f>
        <v>Adafruit</v>
      </c>
      <c r="E369" s="50" t="str">
        <f>RawList!H339</f>
        <v>IDC Breakout Helper - 2x20 (40 pin)</v>
      </c>
      <c r="F369" s="50" t="str">
        <f>RawList!D339</f>
        <v>2270</v>
      </c>
      <c r="G369" s="137">
        <f>RawList!E339</f>
        <v>0</v>
      </c>
      <c r="H369" s="50" t="str">
        <f>IF(EquipmentTable[[#This Row],[Units]]&gt;0,"Quantity &gt; 0 Items","Quantity = 0 Items")</f>
        <v>Quantity = 0 Items</v>
      </c>
      <c r="I369" s="141">
        <f>RawList!J339</f>
        <v>2.25</v>
      </c>
      <c r="J369" s="24">
        <f>VALUE(EquipmentTable[[#This Row],[Units]]*EquipmentTable[[#This Row],[Unit
 Price]])</f>
        <v>0</v>
      </c>
      <c r="K369" s="50">
        <f>RawList!G339</f>
        <v>0</v>
      </c>
      <c r="L369" s="50"/>
      <c r="M369" s="50">
        <f>RawList!F339</f>
        <v>0</v>
      </c>
    </row>
    <row r="370" spans="2:13" x14ac:dyDescent="0.3">
      <c r="B370" s="50" t="str">
        <f>RawList!A340</f>
        <v>Low-Level Electronics</v>
      </c>
      <c r="C370" s="50" t="str">
        <f>RawList!B340</f>
        <v>Connectors, IDC</v>
      </c>
      <c r="D370" s="50" t="str">
        <f>RawList!C340</f>
        <v>Adafruit</v>
      </c>
      <c r="E370" s="50" t="str">
        <f>RawList!H340</f>
        <v>IDC Breakout Helper - 2x5 (10 pin)</v>
      </c>
      <c r="F370" s="50" t="str">
        <f>RawList!D340</f>
        <v>2102</v>
      </c>
      <c r="G370" s="137">
        <f>RawList!E340</f>
        <v>10</v>
      </c>
      <c r="H370" s="50" t="str">
        <f>IF(EquipmentTable[[#This Row],[Units]]&gt;0,"Quantity &gt; 0 Items","Quantity = 0 Items")</f>
        <v>Quantity &gt; 0 Items</v>
      </c>
      <c r="I370" s="141">
        <f>RawList!J340</f>
        <v>0.95</v>
      </c>
      <c r="J370" s="24">
        <f>VALUE(EquipmentTable[[#This Row],[Units]]*EquipmentTable[[#This Row],[Unit
 Price]])</f>
        <v>9.5</v>
      </c>
      <c r="K370" s="50">
        <f>RawList!G340</f>
        <v>0</v>
      </c>
      <c r="L370" s="50"/>
      <c r="M370" s="50">
        <f>RawList!F340</f>
        <v>0</v>
      </c>
    </row>
    <row r="371" spans="2:13" x14ac:dyDescent="0.3">
      <c r="B371" s="50" t="str">
        <f>RawList!A341</f>
        <v>Low-Level Electronics</v>
      </c>
      <c r="C371" s="50" t="str">
        <f>RawList!B341</f>
        <v>Connectors, JST</v>
      </c>
      <c r="D371" s="50" t="str">
        <f>RawList!C341</f>
        <v>SparkFun</v>
      </c>
      <c r="E371" s="50" t="str">
        <f>RawList!H341</f>
        <v>JST Right-Angle Connector - Through-Hole 2-Pin</v>
      </c>
      <c r="F371" s="50" t="str">
        <f>RawList!D341</f>
        <v>PRT-09749</v>
      </c>
      <c r="G371" s="137">
        <f>RawList!E341</f>
        <v>10</v>
      </c>
      <c r="H371" s="50" t="str">
        <f>IF(EquipmentTable[[#This Row],[Units]]&gt;0,"Quantity &gt; 0 Items","Quantity = 0 Items")</f>
        <v>Quantity &gt; 0 Items</v>
      </c>
      <c r="I371" s="141">
        <f>RawList!J341</f>
        <v>0.95</v>
      </c>
      <c r="J371" s="24">
        <f>VALUE(EquipmentTable[[#This Row],[Units]]*EquipmentTable[[#This Row],[Unit
 Price]])</f>
        <v>9.5</v>
      </c>
      <c r="K371" s="50" t="str">
        <f>RawList!G341</f>
        <v>https://cdn.sparkfun.com/r/92-92/assets/parts/3/7/0/9/09749-01.jpg</v>
      </c>
      <c r="L371" s="50"/>
      <c r="M371" s="50" t="str">
        <f>RawList!F341</f>
        <v>https://www.sparkfun.com/products/9749</v>
      </c>
    </row>
    <row r="372" spans="2:13" x14ac:dyDescent="0.3">
      <c r="B372" s="50" t="str">
        <f>RawList!A342</f>
        <v>Low-Level Electronics</v>
      </c>
      <c r="C372" s="50" t="str">
        <f>RawList!B342</f>
        <v>Connectors, JST</v>
      </c>
      <c r="D372" s="50" t="str">
        <f>RawList!C342</f>
        <v>SparkFun</v>
      </c>
      <c r="E372" s="50" t="str">
        <f>RawList!H342</f>
        <v>JST Right Angle Connector - Through-Hole 3-Pin</v>
      </c>
      <c r="F372" s="50" t="str">
        <f>RawList!D342</f>
        <v>PRT-09750</v>
      </c>
      <c r="G372" s="137">
        <f>RawList!E342</f>
        <v>5</v>
      </c>
      <c r="H372" s="50" t="str">
        <f>IF(EquipmentTable[[#This Row],[Units]]&gt;0,"Quantity &gt; 0 Items","Quantity = 0 Items")</f>
        <v>Quantity &gt; 0 Items</v>
      </c>
      <c r="I372" s="141">
        <f>RawList!J342</f>
        <v>0.95</v>
      </c>
      <c r="J372" s="24">
        <f>VALUE(EquipmentTable[[#This Row],[Units]]*EquipmentTable[[#This Row],[Unit
 Price]])</f>
        <v>4.75</v>
      </c>
      <c r="K372" s="50" t="str">
        <f>RawList!G342</f>
        <v>https://cdn.sparkfun.com/r/92-92/assets/parts/3/7/1/0/09750-01.jpg</v>
      </c>
      <c r="L372" s="50"/>
      <c r="M372" s="50" t="str">
        <f>RawList!F342</f>
        <v>https://www.sparkfun.com/products/9750</v>
      </c>
    </row>
    <row r="373" spans="2:13" x14ac:dyDescent="0.3">
      <c r="B373" s="50" t="str">
        <f>RawList!A343</f>
        <v>Low-Level Electronics</v>
      </c>
      <c r="C373" s="50" t="str">
        <f>RawList!B343</f>
        <v>Connectors, JST</v>
      </c>
      <c r="D373" s="50" t="str">
        <f>RawList!C343</f>
        <v>SparkFun</v>
      </c>
      <c r="E373" s="50" t="str">
        <f>RawList!H343</f>
        <v>JST RCY Connector - Male/Female Set (2-pin)</v>
      </c>
      <c r="F373" s="50" t="str">
        <f>RawList!D343</f>
        <v>PRT-10501</v>
      </c>
      <c r="G373" s="137">
        <f>RawList!E343</f>
        <v>0</v>
      </c>
      <c r="H373" s="50" t="str">
        <f>IF(EquipmentTable[[#This Row],[Units]]&gt;0,"Quantity &gt; 0 Items","Quantity = 0 Items")</f>
        <v>Quantity = 0 Items</v>
      </c>
      <c r="I373" s="141">
        <f>RawList!J343</f>
        <v>0.5</v>
      </c>
      <c r="J373" s="24">
        <f>VALUE(EquipmentTable[[#This Row],[Units]]*EquipmentTable[[#This Row],[Unit
 Price]])</f>
        <v>0</v>
      </c>
      <c r="K373" s="50" t="str">
        <f>RawList!G343</f>
        <v>https://cdn.sparkfun.com/r/92-92/assets/parts/5/0/3/5/10501-01.jpg</v>
      </c>
      <c r="L373" s="50"/>
      <c r="M373" s="50" t="str">
        <f>RawList!F343</f>
        <v>https://www.sparkfun.com/products/10501</v>
      </c>
    </row>
    <row r="374" spans="2:13" x14ac:dyDescent="0.3">
      <c r="B374" s="50" t="str">
        <f>RawList!A344</f>
        <v>Low-Level Electronics</v>
      </c>
      <c r="C374" s="50" t="str">
        <f>RawList!B344</f>
        <v>Connectors, JST</v>
      </c>
      <c r="D374" s="50" t="str">
        <f>RawList!C344</f>
        <v>SparkFun</v>
      </c>
      <c r="E374" s="50" t="str">
        <f>RawList!H344</f>
        <v>JST Right Angle Connector - White</v>
      </c>
      <c r="F374" s="50" t="str">
        <f>RawList!D344</f>
        <v>PRT-08612</v>
      </c>
      <c r="G374" s="137">
        <f>RawList!E344</f>
        <v>0</v>
      </c>
      <c r="H374" s="50" t="str">
        <f>IF(EquipmentTable[[#This Row],[Units]]&gt;0,"Quantity &gt; 0 Items","Quantity = 0 Items")</f>
        <v>Quantity = 0 Items</v>
      </c>
      <c r="I374" s="141">
        <f>RawList!J344</f>
        <v>0.95</v>
      </c>
      <c r="J374" s="24">
        <f>VALUE(EquipmentTable[[#This Row],[Units]]*EquipmentTable[[#This Row],[Unit
 Price]])</f>
        <v>0</v>
      </c>
      <c r="K374" s="50" t="str">
        <f>RawList!G344</f>
        <v>https://cdn.sparkfun.com/r/92-92/assets/parts/1/6/9/6/08612-04-L.jpg</v>
      </c>
      <c r="L374" s="50"/>
      <c r="M374" s="50" t="str">
        <f>RawList!F344</f>
        <v>https://www.sparkfun.com/products/8612</v>
      </c>
    </row>
    <row r="375" spans="2:13" x14ac:dyDescent="0.3">
      <c r="B375" s="50" t="str">
        <f>RawList!A345</f>
        <v>Low-Level Electronics</v>
      </c>
      <c r="C375" s="50" t="str">
        <f>RawList!B345</f>
        <v>Connectors, JST</v>
      </c>
      <c r="D375" s="50" t="str">
        <f>RawList!C345</f>
        <v>SparkFun</v>
      </c>
      <c r="E375" s="50" t="str">
        <f>RawList!H345</f>
        <v>JST Vertical Connector</v>
      </c>
      <c r="F375" s="50" t="str">
        <f>RawList!D345</f>
        <v>PRT-08613</v>
      </c>
      <c r="G375" s="137">
        <f>RawList!E345</f>
        <v>0</v>
      </c>
      <c r="H375" s="50" t="str">
        <f>IF(EquipmentTable[[#This Row],[Units]]&gt;0,"Quantity &gt; 0 Items","Quantity = 0 Items")</f>
        <v>Quantity = 0 Items</v>
      </c>
      <c r="I375" s="141">
        <f>RawList!J345</f>
        <v>0.95</v>
      </c>
      <c r="J375" s="24">
        <f>VALUE(EquipmentTable[[#This Row],[Units]]*EquipmentTable[[#This Row],[Unit
 Price]])</f>
        <v>0</v>
      </c>
      <c r="K375" s="50" t="str">
        <f>RawList!G345</f>
        <v>https://cdn.sparkfun.com/r/92-92/assets/parts/1/6/9/7/08613-04-L.jpg</v>
      </c>
      <c r="L375" s="50"/>
      <c r="M375" s="50" t="str">
        <f>RawList!F345</f>
        <v>https://www.sparkfun.com/products/8613</v>
      </c>
    </row>
    <row r="376" spans="2:13" x14ac:dyDescent="0.3">
      <c r="B376" s="50" t="str">
        <f>RawList!A346</f>
        <v>Low-Level Electronics</v>
      </c>
      <c r="C376" s="50" t="str">
        <f>RawList!B346</f>
        <v>Connectors, JST</v>
      </c>
      <c r="D376" s="50" t="str">
        <f>RawList!C346</f>
        <v>Adafruit</v>
      </c>
      <c r="E376" s="50" t="str">
        <f>RawList!H346</f>
        <v xml:space="preserve">JST-PH 2-Pin SMT Right Angle Breakout Board </v>
      </c>
      <c r="F376" s="50" t="str">
        <f>RawList!D346</f>
        <v>1862</v>
      </c>
      <c r="G376" s="137">
        <f>RawList!E346</f>
        <v>0</v>
      </c>
      <c r="H376" s="50" t="str">
        <f>IF(EquipmentTable[[#This Row],[Units]]&gt;0,"Quantity &gt; 0 Items","Quantity = 0 Items")</f>
        <v>Quantity = 0 Items</v>
      </c>
      <c r="I376" s="141">
        <f>RawList!J346</f>
        <v>1.5</v>
      </c>
      <c r="J376" s="24">
        <f>VALUE(EquipmentTable[[#This Row],[Units]]*EquipmentTable[[#This Row],[Unit
 Price]])</f>
        <v>0</v>
      </c>
      <c r="K376" s="50">
        <f>RawList!G346</f>
        <v>0</v>
      </c>
      <c r="L376" s="50"/>
      <c r="M376" s="50">
        <f>RawList!F346</f>
        <v>0</v>
      </c>
    </row>
    <row r="377" spans="2:13" x14ac:dyDescent="0.3">
      <c r="B377" s="50" t="str">
        <f>RawList!A347</f>
        <v>Low-Level Electronics</v>
      </c>
      <c r="C377" s="50" t="str">
        <f>RawList!B347</f>
        <v>Connectors, JST</v>
      </c>
      <c r="D377" s="50" t="str">
        <f>RawList!C347</f>
        <v>Adafruit</v>
      </c>
      <c r="E377" s="50" t="str">
        <f>RawList!H347</f>
        <v xml:space="preserve">JST-PH 2-Pin SMT Right Angle Connector </v>
      </c>
      <c r="F377" s="50" t="str">
        <f>RawList!D347</f>
        <v>1769</v>
      </c>
      <c r="G377" s="137">
        <f>RawList!E347</f>
        <v>0</v>
      </c>
      <c r="H377" s="50" t="str">
        <f>IF(EquipmentTable[[#This Row],[Units]]&gt;0,"Quantity &gt; 0 Items","Quantity = 0 Items")</f>
        <v>Quantity = 0 Items</v>
      </c>
      <c r="I377" s="141">
        <f>RawList!J347</f>
        <v>0.75</v>
      </c>
      <c r="J377" s="24">
        <f>VALUE(EquipmentTable[[#This Row],[Units]]*EquipmentTable[[#This Row],[Unit
 Price]])</f>
        <v>0</v>
      </c>
      <c r="K377" s="50">
        <f>RawList!G347</f>
        <v>0</v>
      </c>
      <c r="L377" s="50"/>
      <c r="M377" s="50">
        <f>RawList!F347</f>
        <v>0</v>
      </c>
    </row>
    <row r="378" spans="2:13" x14ac:dyDescent="0.3">
      <c r="B378" s="50" t="str">
        <f>RawList!A348</f>
        <v>Low-Level Electronics</v>
      </c>
      <c r="C378" s="50" t="str">
        <f>RawList!B348</f>
        <v>Connectors, JST</v>
      </c>
      <c r="D378" s="50" t="str">
        <f>RawList!C348</f>
        <v>Adafruit</v>
      </c>
      <c r="E378" s="50" t="str">
        <f>RawList!H348</f>
        <v xml:space="preserve">Switched JST-PH 2-Pin SMT Right Angle Breakout Board </v>
      </c>
      <c r="F378" s="50" t="str">
        <f>RawList!D348</f>
        <v>1863</v>
      </c>
      <c r="G378" s="137">
        <f>RawList!E348</f>
        <v>0</v>
      </c>
      <c r="H378" s="50" t="str">
        <f>IF(EquipmentTable[[#This Row],[Units]]&gt;0,"Quantity &gt; 0 Items","Quantity = 0 Items")</f>
        <v>Quantity = 0 Items</v>
      </c>
      <c r="I378" s="141">
        <f>RawList!J348</f>
        <v>2.5</v>
      </c>
      <c r="J378" s="24">
        <f>VALUE(EquipmentTable[[#This Row],[Units]]*EquipmentTable[[#This Row],[Unit
 Price]])</f>
        <v>0</v>
      </c>
      <c r="K378" s="50">
        <f>RawList!G348</f>
        <v>0</v>
      </c>
      <c r="L378" s="50"/>
      <c r="M378" s="50">
        <f>RawList!F348</f>
        <v>0</v>
      </c>
    </row>
    <row r="379" spans="2:13" x14ac:dyDescent="0.3">
      <c r="B379" s="50" t="str">
        <f>RawList!A349</f>
        <v>Low-Level Electronics</v>
      </c>
      <c r="C379" s="50" t="str">
        <f>RawList!B349</f>
        <v>Connectors, Polarized (Molex)</v>
      </c>
      <c r="D379" s="50" t="str">
        <f>RawList!C349</f>
        <v>SparkFun</v>
      </c>
      <c r="E379" s="50" t="str">
        <f>RawList!H349</f>
        <v>Polarized Connectors - Header (2-Pin)</v>
      </c>
      <c r="F379" s="50" t="str">
        <f>RawList!D349</f>
        <v>PRT-08233</v>
      </c>
      <c r="G379" s="137">
        <f>RawList!E349</f>
        <v>0</v>
      </c>
      <c r="H379" s="50" t="str">
        <f>IF(EquipmentTable[[#This Row],[Units]]&gt;0,"Quantity &gt; 0 Items","Quantity = 0 Items")</f>
        <v>Quantity = 0 Items</v>
      </c>
      <c r="I379" s="141">
        <f>RawList!J349</f>
        <v>0.45</v>
      </c>
      <c r="J379" s="24">
        <f>VALUE(EquipmentTable[[#This Row],[Units]]*EquipmentTable[[#This Row],[Unit
 Price]])</f>
        <v>0</v>
      </c>
      <c r="K379" s="50" t="str">
        <f>RawList!G349</f>
        <v>https://cdn.sparkfun.com/r/92-92/assets/parts/5/5/8/Connectors.jpg</v>
      </c>
      <c r="L379" s="50"/>
      <c r="M379" s="50" t="str">
        <f>RawList!F349</f>
        <v>https://www.sparkfun.com/products/8233</v>
      </c>
    </row>
    <row r="380" spans="2:13" x14ac:dyDescent="0.3">
      <c r="B380" s="50" t="str">
        <f>RawList!A350</f>
        <v>Low-Level Electronics</v>
      </c>
      <c r="C380" s="50" t="str">
        <f>RawList!B350</f>
        <v>Connectors, Polarized (Molex)</v>
      </c>
      <c r="D380" s="50" t="str">
        <f>RawList!C350</f>
        <v>SparkFun</v>
      </c>
      <c r="E380" s="50" t="str">
        <f>RawList!H350</f>
        <v>Polarized Connectors - Housing (2-Pin)</v>
      </c>
      <c r="F380" s="50" t="str">
        <f>RawList!D350</f>
        <v>PRT-08095</v>
      </c>
      <c r="G380" s="137">
        <f>RawList!E350</f>
        <v>0</v>
      </c>
      <c r="H380" s="50" t="str">
        <f>IF(EquipmentTable[[#This Row],[Units]]&gt;0,"Quantity &gt; 0 Items","Quantity = 0 Items")</f>
        <v>Quantity = 0 Items</v>
      </c>
      <c r="I380" s="141">
        <f>RawList!J350</f>
        <v>0.45</v>
      </c>
      <c r="J380" s="24">
        <f>VALUE(EquipmentTable[[#This Row],[Units]]*EquipmentTable[[#This Row],[Unit
 Price]])</f>
        <v>0</v>
      </c>
      <c r="K380" s="50" t="str">
        <f>RawList!G350</f>
        <v>https://cdn.sparkfun.com/r/92-92/assets/parts/6/6/1/08095-03-L.jpg</v>
      </c>
      <c r="L380" s="50"/>
      <c r="M380" s="50" t="str">
        <f>RawList!F350</f>
        <v>https://www.sparkfun.com/products/8095</v>
      </c>
    </row>
    <row r="381" spans="2:13" x14ac:dyDescent="0.3">
      <c r="B381" s="50" t="str">
        <f>RawList!A351</f>
        <v>Low-Level Electronics</v>
      </c>
      <c r="C381" s="50" t="str">
        <f>RawList!B351</f>
        <v>Connectors, Polarized (Molex)</v>
      </c>
      <c r="D381" s="50" t="str">
        <f>RawList!C351</f>
        <v>SparkFun</v>
      </c>
      <c r="E381" s="50" t="str">
        <f>RawList!H351</f>
        <v>Polarized Connectors - Header (3-Pin)</v>
      </c>
      <c r="F381" s="50" t="str">
        <f>RawList!D351</f>
        <v>PRT-08232</v>
      </c>
      <c r="G381" s="137">
        <f>RawList!E351</f>
        <v>6</v>
      </c>
      <c r="H381" s="50" t="str">
        <f>IF(EquipmentTable[[#This Row],[Units]]&gt;0,"Quantity &gt; 0 Items","Quantity = 0 Items")</f>
        <v>Quantity &gt; 0 Items</v>
      </c>
      <c r="I381" s="141">
        <f>RawList!J351</f>
        <v>0.45</v>
      </c>
      <c r="J381" s="24">
        <f>VALUE(EquipmentTable[[#This Row],[Units]]*EquipmentTable[[#This Row],[Unit
 Price]])</f>
        <v>2.7</v>
      </c>
      <c r="K381" s="50" t="str">
        <f>RawList!G351</f>
        <v>https://cdn.sparkfun.com/r/92-92/assets/parts/1/7/0/8/Connectors.jpg</v>
      </c>
      <c r="L381" s="50"/>
      <c r="M381" s="50" t="str">
        <f>RawList!F351</f>
        <v>https://www.sparkfun.com/products/8232</v>
      </c>
    </row>
    <row r="382" spans="2:13" x14ac:dyDescent="0.3">
      <c r="B382" s="50" t="str">
        <f>RawList!A352</f>
        <v>Low-Level Electronics</v>
      </c>
      <c r="C382" s="50" t="str">
        <f>RawList!B352</f>
        <v>Connectors, Polarized (Molex)</v>
      </c>
      <c r="D382" s="50" t="str">
        <f>RawList!C352</f>
        <v>SparkFun</v>
      </c>
      <c r="E382" s="50" t="str">
        <f>RawList!H352</f>
        <v>Polarized Connectors - Housing (3-Pin)</v>
      </c>
      <c r="F382" s="50" t="str">
        <f>RawList!D352</f>
        <v>PRT-08096</v>
      </c>
      <c r="G382" s="137">
        <f>RawList!E352</f>
        <v>6</v>
      </c>
      <c r="H382" s="50" t="str">
        <f>IF(EquipmentTable[[#This Row],[Units]]&gt;0,"Quantity &gt; 0 Items","Quantity = 0 Items")</f>
        <v>Quantity &gt; 0 Items</v>
      </c>
      <c r="I382" s="141">
        <f>RawList!J352</f>
        <v>0.45</v>
      </c>
      <c r="J382" s="24">
        <f>VALUE(EquipmentTable[[#This Row],[Units]]*EquipmentTable[[#This Row],[Unit
 Price]])</f>
        <v>2.7</v>
      </c>
      <c r="K382" s="50" t="str">
        <f>RawList!G352</f>
        <v>https://cdn.sparkfun.com/r/92-92/assets/parts/6/6/2/Connectors.jpg</v>
      </c>
      <c r="L382" s="50"/>
      <c r="M382" s="50" t="str">
        <f>RawList!F352</f>
        <v>https://www.sparkfun.com/products/8096</v>
      </c>
    </row>
    <row r="383" spans="2:13" x14ac:dyDescent="0.3">
      <c r="B383" s="50" t="str">
        <f>RawList!A353</f>
        <v>Low-Level Electronics</v>
      </c>
      <c r="C383" s="50" t="str">
        <f>RawList!B353</f>
        <v>Connectors, Polarized (Molex)</v>
      </c>
      <c r="D383" s="50" t="str">
        <f>RawList!C353</f>
        <v>SparkFun</v>
      </c>
      <c r="E383" s="50" t="str">
        <f>RawList!H353</f>
        <v>Polarized Connectors - Header (4-Pin)</v>
      </c>
      <c r="F383" s="50" t="str">
        <f>RawList!D353</f>
        <v>PRT-08231</v>
      </c>
      <c r="G383" s="137">
        <f>RawList!E353</f>
        <v>6</v>
      </c>
      <c r="H383" s="50" t="str">
        <f>IF(EquipmentTable[[#This Row],[Units]]&gt;0,"Quantity &gt; 0 Items","Quantity = 0 Items")</f>
        <v>Quantity &gt; 0 Items</v>
      </c>
      <c r="I383" s="141">
        <f>RawList!J353</f>
        <v>0.45</v>
      </c>
      <c r="J383" s="24">
        <f>VALUE(EquipmentTable[[#This Row],[Units]]*EquipmentTable[[#This Row],[Unit
 Price]])</f>
        <v>2.7</v>
      </c>
      <c r="K383" s="50" t="str">
        <f>RawList!G353</f>
        <v>https://cdn.sparkfun.com/r/92-92/assets/parts/4/9/9/Connectors.jpg</v>
      </c>
      <c r="L383" s="50"/>
      <c r="M383" s="50" t="str">
        <f>RawList!F353</f>
        <v>https://www.sparkfun.com/products/8231</v>
      </c>
    </row>
    <row r="384" spans="2:13" x14ac:dyDescent="0.3">
      <c r="B384" s="50" t="str">
        <f>RawList!A354</f>
        <v>Low-Level Electronics</v>
      </c>
      <c r="C384" s="50" t="str">
        <f>RawList!B354</f>
        <v>Connectors, Polarized (Molex)</v>
      </c>
      <c r="D384" s="50" t="str">
        <f>RawList!C354</f>
        <v>SparkFun</v>
      </c>
      <c r="E384" s="50" t="str">
        <f>RawList!H354</f>
        <v>Polarized Connectors - Housing (4-Pin)</v>
      </c>
      <c r="F384" s="50" t="str">
        <f>RawList!D354</f>
        <v>PRT-08097</v>
      </c>
      <c r="G384" s="137">
        <f>RawList!E354</f>
        <v>6</v>
      </c>
      <c r="H384" s="50" t="str">
        <f>IF(EquipmentTable[[#This Row],[Units]]&gt;0,"Quantity &gt; 0 Items","Quantity = 0 Items")</f>
        <v>Quantity &gt; 0 Items</v>
      </c>
      <c r="I384" s="141">
        <f>RawList!J354</f>
        <v>0.45</v>
      </c>
      <c r="J384" s="24">
        <f>VALUE(EquipmentTable[[#This Row],[Units]]*EquipmentTable[[#This Row],[Unit
 Price]])</f>
        <v>2.7</v>
      </c>
      <c r="K384" s="50" t="str">
        <f>RawList!G354</f>
        <v>https://cdn.sparkfun.com/r/92-92/assets/parts/6/6/3/Connectors.jpg</v>
      </c>
      <c r="L384" s="50"/>
      <c r="M384" s="50" t="str">
        <f>RawList!F354</f>
        <v>https://www.sparkfun.com/products/8097</v>
      </c>
    </row>
    <row r="385" spans="2:13" x14ac:dyDescent="0.3">
      <c r="B385" s="50" t="str">
        <f>RawList!A355</f>
        <v>Low-Level Electronics</v>
      </c>
      <c r="C385" s="50" t="str">
        <f>RawList!B355</f>
        <v>Connectors, Polarized (Molex)</v>
      </c>
      <c r="D385" s="50" t="str">
        <f>RawList!C355</f>
        <v>SparkFun</v>
      </c>
      <c r="E385" s="50" t="str">
        <f>RawList!H355</f>
        <v>Polarized Connectors - Crimp Pins</v>
      </c>
      <c r="F385" s="50" t="str">
        <f>RawList!D355</f>
        <v>PRT-08100</v>
      </c>
      <c r="G385" s="137">
        <f>RawList!E355</f>
        <v>6</v>
      </c>
      <c r="H385" s="50" t="str">
        <f>IF(EquipmentTable[[#This Row],[Units]]&gt;0,"Quantity &gt; 0 Items","Quantity = 0 Items")</f>
        <v>Quantity &gt; 0 Items</v>
      </c>
      <c r="I385" s="141">
        <f>RawList!J355</f>
        <v>1.95</v>
      </c>
      <c r="J385" s="24">
        <f>VALUE(EquipmentTable[[#This Row],[Units]]*EquipmentTable[[#This Row],[Unit
 Price]])</f>
        <v>11.7</v>
      </c>
      <c r="K385" s="50" t="str">
        <f>RawList!G355</f>
        <v>https://cdn.sparkfun.com/r/92-92/assets/parts/6/6/6/08100-01a.jpg</v>
      </c>
      <c r="L385" s="50"/>
      <c r="M385" s="50" t="str">
        <f>RawList!F355</f>
        <v>https://www.sparkfun.com/products/8100</v>
      </c>
    </row>
    <row r="386" spans="2:13" x14ac:dyDescent="0.3">
      <c r="B386" s="50" t="str">
        <f>RawList!A356</f>
        <v>Low-Level Electronics</v>
      </c>
      <c r="C386" s="50" t="str">
        <f>RawList!B356</f>
        <v>Connectors, Ribbon Crimp</v>
      </c>
      <c r="D386" s="50" t="str">
        <f>RawList!C356</f>
        <v>SparkFun</v>
      </c>
      <c r="E386" s="50" t="str">
        <f>RawList!H356</f>
        <v>Ribbon Crimp Connector - 6-pin (2x3, Female)</v>
      </c>
      <c r="F386" s="50" t="str">
        <f>RawList!D356</f>
        <v>PRT-10651</v>
      </c>
      <c r="G386" s="137">
        <f>RawList!E356</f>
        <v>10</v>
      </c>
      <c r="H386" s="50" t="str">
        <f>IF(EquipmentTable[[#This Row],[Units]]&gt;0,"Quantity &gt; 0 Items","Quantity = 0 Items")</f>
        <v>Quantity &gt; 0 Items</v>
      </c>
      <c r="I386" s="141">
        <f>RawList!J356</f>
        <v>0.35</v>
      </c>
      <c r="J386" s="24">
        <f>VALUE(EquipmentTable[[#This Row],[Units]]*EquipmentTable[[#This Row],[Unit
 Price]])</f>
        <v>3.5</v>
      </c>
      <c r="K386" s="50" t="str">
        <f>RawList!G356</f>
        <v>https://cdn.sparkfun.com/r/92-92/assets/parts/5/4/2/6/10651-02.jpg</v>
      </c>
      <c r="L386" s="50"/>
      <c r="M386" s="50" t="str">
        <f>RawList!F356</f>
        <v>https://www.sparkfun.com/products/10651</v>
      </c>
    </row>
    <row r="387" spans="2:13" x14ac:dyDescent="0.3">
      <c r="B387" s="50" t="str">
        <f>RawList!A357</f>
        <v>Low-Level Electronics</v>
      </c>
      <c r="C387" s="50" t="str">
        <f>RawList!B357</f>
        <v>Connectors, Ribbon Crimp</v>
      </c>
      <c r="D387" s="50" t="str">
        <f>RawList!C357</f>
        <v>SparkFun</v>
      </c>
      <c r="E387" s="50" t="str">
        <f>RawList!H357</f>
        <v>Ribbon Crimp Connector - 10-pin (2x5, Female)</v>
      </c>
      <c r="F387" s="50" t="str">
        <f>RawList!D357</f>
        <v>PRT-10650</v>
      </c>
      <c r="G387" s="137">
        <f>RawList!E357</f>
        <v>10</v>
      </c>
      <c r="H387" s="50" t="str">
        <f>IF(EquipmentTable[[#This Row],[Units]]&gt;0,"Quantity &gt; 0 Items","Quantity = 0 Items")</f>
        <v>Quantity &gt; 0 Items</v>
      </c>
      <c r="I387" s="141">
        <f>RawList!J357</f>
        <v>0.5</v>
      </c>
      <c r="J387" s="24">
        <f>VALUE(EquipmentTable[[#This Row],[Units]]*EquipmentTable[[#This Row],[Unit
 Price]])</f>
        <v>5</v>
      </c>
      <c r="K387" s="50" t="str">
        <f>RawList!G357</f>
        <v>https://cdn.sparkfun.com/r/92-92/assets/parts/5/4/2/5/10650-02.jpg</v>
      </c>
      <c r="L387" s="50"/>
      <c r="M387" s="50" t="str">
        <f>RawList!F357</f>
        <v>https://www.sparkfun.com/products/10650</v>
      </c>
    </row>
    <row r="388" spans="2:13" x14ac:dyDescent="0.3">
      <c r="B388" s="50" t="str">
        <f>RawList!A358</f>
        <v>Low-Level Electronics</v>
      </c>
      <c r="C388" s="50" t="str">
        <f>RawList!B358</f>
        <v>Connectors, Spring/Screw Terminals</v>
      </c>
      <c r="D388" s="50" t="str">
        <f>RawList!C358</f>
        <v>SparkFun</v>
      </c>
      <c r="E388" s="50" t="str">
        <f>RawList!H358</f>
        <v>Screw Terminals 2.54mm Pitch (2-Pin)</v>
      </c>
      <c r="F388" s="50" t="str">
        <f>RawList!D358</f>
        <v>PRT-10571</v>
      </c>
      <c r="G388" s="137">
        <f>RawList!E358</f>
        <v>0</v>
      </c>
      <c r="H388" s="50" t="str">
        <f>IF(EquipmentTable[[#This Row],[Units]]&gt;0,"Quantity &gt; 0 Items","Quantity = 0 Items")</f>
        <v>Quantity = 0 Items</v>
      </c>
      <c r="I388" s="141">
        <f>RawList!J358</f>
        <v>0.75</v>
      </c>
      <c r="J388" s="24">
        <f>VALUE(EquipmentTable[[#This Row],[Units]]*EquipmentTable[[#This Row],[Unit
 Price]])</f>
        <v>0</v>
      </c>
      <c r="K388" s="50" t="str">
        <f>RawList!G358</f>
        <v>https://cdn.sparkfun.com/r/92-92/assets/parts/5/2/0/4/10571-01.jpg</v>
      </c>
      <c r="L388" s="50"/>
      <c r="M388" s="50" t="str">
        <f>RawList!F358</f>
        <v>https://www.sparkfun.com/products/10571</v>
      </c>
    </row>
    <row r="389" spans="2:13" x14ac:dyDescent="0.3">
      <c r="B389" s="50" t="str">
        <f>RawList!A359</f>
        <v>Low-Level Electronics</v>
      </c>
      <c r="C389" s="50" t="str">
        <f>RawList!B359</f>
        <v>Connectors, Spring/Screw Terminals</v>
      </c>
      <c r="D389" s="50" t="str">
        <f>RawList!C359</f>
        <v>SparkFun</v>
      </c>
      <c r="E389" s="50" t="str">
        <f>RawList!H359</f>
        <v>Screw Terminals 5mm Pitch (2-Pin)</v>
      </c>
      <c r="F389" s="50" t="str">
        <f>RawList!D359</f>
        <v>PRT-08432</v>
      </c>
      <c r="G389" s="137">
        <f>RawList!E359</f>
        <v>10</v>
      </c>
      <c r="H389" s="50" t="str">
        <f>IF(EquipmentTable[[#This Row],[Units]]&gt;0,"Quantity &gt; 0 Items","Quantity = 0 Items")</f>
        <v>Quantity &gt; 0 Items</v>
      </c>
      <c r="I389" s="141">
        <f>RawList!J359</f>
        <v>0.95</v>
      </c>
      <c r="J389" s="24">
        <f>VALUE(EquipmentTable[[#This Row],[Units]]*EquipmentTable[[#This Row],[Unit
 Price]])</f>
        <v>9.5</v>
      </c>
      <c r="K389" s="50" t="str">
        <f>RawList!G359</f>
        <v>https://cdn.sparkfun.com/r/92-92/assets/parts/1/3/6/5/2PinScrewTerminal-01-L.jpg</v>
      </c>
      <c r="L389" s="50"/>
      <c r="M389" s="50" t="str">
        <f>RawList!F359</f>
        <v>https://www.sparkfun.com/products/8432</v>
      </c>
    </row>
    <row r="390" spans="2:13" x14ac:dyDescent="0.3">
      <c r="B390" s="50" t="str">
        <f>RawList!A360</f>
        <v>Low-Level Electronics</v>
      </c>
      <c r="C390" s="50" t="str">
        <f>RawList!B360</f>
        <v>Connectors, Spring/Screw Terminals</v>
      </c>
      <c r="D390" s="50" t="str">
        <f>RawList!C360</f>
        <v>SparkFun</v>
      </c>
      <c r="E390" s="50" t="str">
        <f>RawList!H360</f>
        <v>Screw Terminals 5mm Pitch (3-Pin)</v>
      </c>
      <c r="F390" s="50" t="str">
        <f>RawList!D360</f>
        <v>PRT-08433</v>
      </c>
      <c r="G390" s="137">
        <f>RawList!E360</f>
        <v>10</v>
      </c>
      <c r="H390" s="50" t="str">
        <f>IF(EquipmentTable[[#This Row],[Units]]&gt;0,"Quantity &gt; 0 Items","Quantity = 0 Items")</f>
        <v>Quantity &gt; 0 Items</v>
      </c>
      <c r="I390" s="141">
        <f>RawList!J360</f>
        <v>0.95</v>
      </c>
      <c r="J390" s="24">
        <f>VALUE(EquipmentTable[[#This Row],[Units]]*EquipmentTable[[#This Row],[Unit
 Price]])</f>
        <v>9.5</v>
      </c>
      <c r="K390" s="50" t="str">
        <f>RawList!G360</f>
        <v>https://cdn.sparkfun.com/r/92-92/assets/parts/1/3/6/4/3PinScrewTerminal-01-L.jpg</v>
      </c>
      <c r="L390" s="50"/>
      <c r="M390" s="50" t="str">
        <f>RawList!F360</f>
        <v>https://www.sparkfun.com/products/8433</v>
      </c>
    </row>
    <row r="391" spans="2:13" x14ac:dyDescent="0.3">
      <c r="B391" s="50" t="str">
        <f>RawList!A361</f>
        <v>Low-Level Electronics</v>
      </c>
      <c r="C391" s="50" t="str">
        <f>RawList!B361</f>
        <v>Connectors, Spring/Screw Terminals</v>
      </c>
      <c r="D391" s="50" t="str">
        <f>RawList!C361</f>
        <v>SparkFun</v>
      </c>
      <c r="E391" s="50" t="str">
        <f>RawList!H361</f>
        <v>Spring Terminals - PCB Mount (2-Pin)</v>
      </c>
      <c r="F391" s="50" t="str">
        <f>RawList!D361</f>
        <v>PRT-08073</v>
      </c>
      <c r="G391" s="137">
        <f>RawList!E361</f>
        <v>0</v>
      </c>
      <c r="H391" s="50" t="str">
        <f>IF(EquipmentTable[[#This Row],[Units]]&gt;0,"Quantity &gt; 0 Items","Quantity = 0 Items")</f>
        <v>Quantity = 0 Items</v>
      </c>
      <c r="I391" s="141">
        <f>RawList!J361</f>
        <v>1.5</v>
      </c>
      <c r="J391" s="24">
        <f>VALUE(EquipmentTable[[#This Row],[Units]]*EquipmentTable[[#This Row],[Unit
 Price]])</f>
        <v>0</v>
      </c>
      <c r="K391" s="50" t="str">
        <f>RawList!G361</f>
        <v>https://cdn.sparkfun.com/r/92-92/assets/parts/6/5/2/08073-01.jpg</v>
      </c>
      <c r="L391" s="50"/>
      <c r="M391" s="50" t="str">
        <f>RawList!F361</f>
        <v>https://www.sparkfun.com/products/8073</v>
      </c>
    </row>
    <row r="392" spans="2:13" x14ac:dyDescent="0.3">
      <c r="B392" s="50" t="str">
        <f>RawList!A362</f>
        <v>Low-Level Electronics</v>
      </c>
      <c r="C392" s="50" t="str">
        <f>RawList!B362</f>
        <v>Connectors, Spring/Screw Terminals</v>
      </c>
      <c r="D392" s="50" t="str">
        <f>RawList!C362</f>
        <v>SparkFun</v>
      </c>
      <c r="E392" s="50" t="str">
        <f>RawList!H362</f>
        <v>Spring Terminals - PCB Mount (3-Pin)</v>
      </c>
      <c r="F392" s="50" t="str">
        <f>RawList!D362</f>
        <v>PRT-08074</v>
      </c>
      <c r="G392" s="137">
        <f>RawList!E362</f>
        <v>0</v>
      </c>
      <c r="H392" s="50" t="str">
        <f>IF(EquipmentTable[[#This Row],[Units]]&gt;0,"Quantity &gt; 0 Items","Quantity = 0 Items")</f>
        <v>Quantity = 0 Items</v>
      </c>
      <c r="I392" s="141">
        <f>RawList!J362</f>
        <v>1.5</v>
      </c>
      <c r="J392" s="24">
        <f>VALUE(EquipmentTable[[#This Row],[Units]]*EquipmentTable[[#This Row],[Unit
 Price]])</f>
        <v>0</v>
      </c>
      <c r="K392" s="50" t="str">
        <f>RawList!G362</f>
        <v>https://cdn.sparkfun.com/r/92-92/assets/parts/6/5/3/08074-01.jpg</v>
      </c>
      <c r="L392" s="50"/>
      <c r="M392" s="50" t="str">
        <f>RawList!F362</f>
        <v>https://www.sparkfun.com/products/8074</v>
      </c>
    </row>
    <row r="393" spans="2:13" x14ac:dyDescent="0.3">
      <c r="B393" s="50" t="str">
        <f>RawList!A363</f>
        <v>Low-Level Electronics</v>
      </c>
      <c r="C393" s="50" t="str">
        <f>RawList!B363</f>
        <v>Connectors, Spring/Screw Terminals</v>
      </c>
      <c r="D393" s="50" t="str">
        <f>RawList!C363</f>
        <v>SparkFun</v>
      </c>
      <c r="E393" s="50" t="str">
        <f>RawList!H363</f>
        <v>Spring Terminals - PCB Mount (4-Pin)</v>
      </c>
      <c r="F393" s="50" t="str">
        <f>RawList!D363</f>
        <v>PRT-08075</v>
      </c>
      <c r="G393" s="137">
        <f>RawList!E363</f>
        <v>0</v>
      </c>
      <c r="H393" s="50" t="str">
        <f>IF(EquipmentTable[[#This Row],[Units]]&gt;0,"Quantity &gt; 0 Items","Quantity = 0 Items")</f>
        <v>Quantity = 0 Items</v>
      </c>
      <c r="I393" s="141">
        <f>RawList!J363</f>
        <v>1.5</v>
      </c>
      <c r="J393" s="24">
        <f>VALUE(EquipmentTable[[#This Row],[Units]]*EquipmentTable[[#This Row],[Unit
 Price]])</f>
        <v>0</v>
      </c>
      <c r="K393" s="50" t="str">
        <f>RawList!G363</f>
        <v>https://cdn.sparkfun.com/r/92-92/assets/parts/6/5/4/08075-01.jpg</v>
      </c>
      <c r="L393" s="50"/>
      <c r="M393" s="50" t="str">
        <f>RawList!F363</f>
        <v>https://www.sparkfun.com/products/8075</v>
      </c>
    </row>
    <row r="394" spans="2:13" x14ac:dyDescent="0.3">
      <c r="B394" s="50" t="str">
        <f>RawList!A364</f>
        <v>Low-Level Electronics</v>
      </c>
      <c r="C394" s="50" t="str">
        <f>RawList!B364</f>
        <v>Connectors, Spring/Screw Terminals</v>
      </c>
      <c r="D394" s="50" t="str">
        <f>RawList!C364</f>
        <v>SparkFun</v>
      </c>
      <c r="E394" s="50" t="str">
        <f>RawList!H364</f>
        <v>Spring Terminals - PCB Mount (6-Pin)</v>
      </c>
      <c r="F394" s="50" t="str">
        <f>RawList!D364</f>
        <v>PRT-08077</v>
      </c>
      <c r="G394" s="137">
        <f>RawList!E364</f>
        <v>2</v>
      </c>
      <c r="H394" s="50" t="str">
        <f>IF(EquipmentTable[[#This Row],[Units]]&gt;0,"Quantity &gt; 0 Items","Quantity = 0 Items")</f>
        <v>Quantity &gt; 0 Items</v>
      </c>
      <c r="I394" s="141">
        <f>RawList!J364</f>
        <v>1.5</v>
      </c>
      <c r="J394" s="24">
        <f>VALUE(EquipmentTable[[#This Row],[Units]]*EquipmentTable[[#This Row],[Unit
 Price]])</f>
        <v>3</v>
      </c>
      <c r="K394" s="50" t="str">
        <f>RawList!G364</f>
        <v>https://cdn.sparkfun.com/r/92-92/assets/parts/6/5/6/08077-01.jpg</v>
      </c>
      <c r="L394" s="50"/>
      <c r="M394" s="50" t="str">
        <f>RawList!F364</f>
        <v>https://www.sparkfun.com/products/8077</v>
      </c>
    </row>
    <row r="395" spans="2:13" x14ac:dyDescent="0.3">
      <c r="B395" s="50" t="str">
        <f>RawList!A365</f>
        <v>Low-Level Electronics</v>
      </c>
      <c r="C395" s="50" t="str">
        <f>RawList!B365</f>
        <v>Connectors, USB</v>
      </c>
      <c r="D395" s="50" t="str">
        <f>RawList!C365</f>
        <v>SparkFun</v>
      </c>
      <c r="E395" s="50" t="str">
        <f>RawList!H365</f>
        <v>USB Female Type B Connector</v>
      </c>
      <c r="F395" s="50" t="str">
        <f>RawList!D365</f>
        <v>PRT-00139</v>
      </c>
      <c r="G395" s="137">
        <f>RawList!E365</f>
        <v>0</v>
      </c>
      <c r="H395" s="50" t="str">
        <f>IF(EquipmentTable[[#This Row],[Units]]&gt;0,"Quantity &gt; 0 Items","Quantity = 0 Items")</f>
        <v>Quantity = 0 Items</v>
      </c>
      <c r="I395" s="141">
        <f>RawList!J365</f>
        <v>1.25</v>
      </c>
      <c r="J395" s="24">
        <f>VALUE(EquipmentTable[[#This Row],[Units]]*EquipmentTable[[#This Row],[Unit
 Price]])</f>
        <v>0</v>
      </c>
      <c r="K395" s="50" t="str">
        <f>RawList!G365</f>
        <v>https://cdn.sparkfun.com/r/92-92/assets/parts/1/2/3/00139-03-L.jpg</v>
      </c>
      <c r="L395" s="50"/>
      <c r="M395" s="50" t="str">
        <f>RawList!F365</f>
        <v>https://www.sparkfun.com/products/139</v>
      </c>
    </row>
    <row r="396" spans="2:13" x14ac:dyDescent="0.3">
      <c r="B396" s="50" t="str">
        <f>RawList!A366</f>
        <v>Low-Level Electronics</v>
      </c>
      <c r="C396" s="50" t="str">
        <f>RawList!B366</f>
        <v>Connectors, USB</v>
      </c>
      <c r="D396" s="50" t="str">
        <f>RawList!C366</f>
        <v>SparkFun</v>
      </c>
      <c r="E396" s="50" t="str">
        <f>RawList!H366</f>
        <v>SparkFun microB USB Breakout</v>
      </c>
      <c r="F396" s="50" t="str">
        <f>RawList!D366</f>
        <v>BOB-12035</v>
      </c>
      <c r="G396" s="137">
        <f>RawList!E366</f>
        <v>0</v>
      </c>
      <c r="H396" s="50" t="str">
        <f>IF(EquipmentTable[[#This Row],[Units]]&gt;0,"Quantity &gt; 0 Items","Quantity = 0 Items")</f>
        <v>Quantity = 0 Items</v>
      </c>
      <c r="I396" s="141">
        <f>RawList!J366</f>
        <v>1.95</v>
      </c>
      <c r="J396" s="24">
        <f>VALUE(EquipmentTable[[#This Row],[Units]]*EquipmentTable[[#This Row],[Unit
 Price]])</f>
        <v>0</v>
      </c>
      <c r="K396" s="50" t="str">
        <f>RawList!G366</f>
        <v>https://cdn.sparkfun.com/r/92-92/assets/parts/8/5/7/8/12035-01.jpg</v>
      </c>
      <c r="L396" s="50"/>
      <c r="M396" s="50" t="str">
        <f>RawList!F366</f>
        <v>https://www.sparkfun.com/products/12035</v>
      </c>
    </row>
    <row r="397" spans="2:13" x14ac:dyDescent="0.3">
      <c r="B397" s="50" t="str">
        <f>RawList!A367</f>
        <v>Low-Level Electronics</v>
      </c>
      <c r="C397" s="50" t="str">
        <f>RawList!B367</f>
        <v>Connectors, USB</v>
      </c>
      <c r="D397" s="50" t="str">
        <f>RawList!C367</f>
        <v>SparkFun</v>
      </c>
      <c r="E397" s="50" t="str">
        <f>RawList!H367</f>
        <v>SparkFun USB MicroB Plug Breakout</v>
      </c>
      <c r="F397" s="50" t="str">
        <f>RawList!D367</f>
        <v>BOB-10031</v>
      </c>
      <c r="G397" s="137">
        <f>RawList!E367</f>
        <v>0</v>
      </c>
      <c r="H397" s="50" t="str">
        <f>IF(EquipmentTable[[#This Row],[Units]]&gt;0,"Quantity &gt; 0 Items","Quantity = 0 Items")</f>
        <v>Quantity = 0 Items</v>
      </c>
      <c r="I397" s="141">
        <f>RawList!J367</f>
        <v>3.95</v>
      </c>
      <c r="J397" s="24">
        <f>VALUE(EquipmentTable[[#This Row],[Units]]*EquipmentTable[[#This Row],[Unit
 Price]])</f>
        <v>0</v>
      </c>
      <c r="K397" s="50" t="str">
        <f>RawList!G367</f>
        <v>https://cdn.sparkfun.com/r/92-92/assets/parts/4/2/1/8/10031-01a.jpg</v>
      </c>
      <c r="L397" s="50"/>
      <c r="M397" s="50" t="str">
        <f>RawList!F367</f>
        <v>https://www.sparkfun.com/products/10031</v>
      </c>
    </row>
    <row r="398" spans="2:13" x14ac:dyDescent="0.3">
      <c r="B398" s="50" t="str">
        <f>RawList!A368</f>
        <v>Low-Level Electronics</v>
      </c>
      <c r="C398" s="50" t="str">
        <f>RawList!B368</f>
        <v>Connectors, USB</v>
      </c>
      <c r="D398" s="50" t="str">
        <f>RawList!C368</f>
        <v>SparkFun</v>
      </c>
      <c r="E398" s="50" t="str">
        <f>RawList!H368</f>
        <v>SparkFun USB Mini-B Breakout</v>
      </c>
      <c r="F398" s="50" t="str">
        <f>RawList!D368</f>
        <v>BOB-09966</v>
      </c>
      <c r="G398" s="137">
        <f>RawList!E368</f>
        <v>0</v>
      </c>
      <c r="H398" s="50" t="str">
        <f>IF(EquipmentTable[[#This Row],[Units]]&gt;0,"Quantity &gt; 0 Items","Quantity = 0 Items")</f>
        <v>Quantity = 0 Items</v>
      </c>
      <c r="I398" s="141">
        <f>RawList!J368</f>
        <v>1.95</v>
      </c>
      <c r="J398" s="24">
        <f>VALUE(EquipmentTable[[#This Row],[Units]]*EquipmentTable[[#This Row],[Unit
 Price]])</f>
        <v>0</v>
      </c>
      <c r="K398" s="50" t="str">
        <f>RawList!G368</f>
        <v>https://cdn.sparkfun.com/r/92-92/assets/parts/4/0/9/9/09966-01.jpg</v>
      </c>
      <c r="L398" s="50"/>
      <c r="M398" s="50" t="str">
        <f>RawList!F368</f>
        <v>https://www.sparkfun.com/products/9966</v>
      </c>
    </row>
    <row r="399" spans="2:13" x14ac:dyDescent="0.3">
      <c r="B399" s="50" t="str">
        <f>RawList!A369</f>
        <v>Low-Level Electronics</v>
      </c>
      <c r="C399" s="50" t="str">
        <f>RawList!B369</f>
        <v>Connectors/Sockets/Terminals, Other</v>
      </c>
      <c r="D399" s="50" t="str">
        <f>RawList!C369</f>
        <v>SparkFun</v>
      </c>
      <c r="E399" s="50" t="str">
        <f>RawList!H369</f>
        <v>Amphenol FCI Clincher Connector (2 Position, Female)</v>
      </c>
      <c r="F399" s="50" t="str">
        <f>RawList!D369</f>
        <v>COM-14194</v>
      </c>
      <c r="G399" s="137">
        <f>RawList!E369</f>
        <v>0</v>
      </c>
      <c r="H399" s="50" t="str">
        <f>IF(EquipmentTable[[#This Row],[Units]]&gt;0,"Quantity &gt; 0 Items","Quantity = 0 Items")</f>
        <v>Quantity = 0 Items</v>
      </c>
      <c r="I399" s="141">
        <f>RawList!J369</f>
        <v>1.95</v>
      </c>
      <c r="J399" s="24">
        <f>VALUE(EquipmentTable[[#This Row],[Units]]*EquipmentTable[[#This Row],[Unit
 Price]])</f>
        <v>0</v>
      </c>
      <c r="K399" s="50" t="str">
        <f>RawList!G369</f>
        <v>https://cdn.sparkfun.com/r/92-92/assets/parts/1/2/1/3/3/14194-01.jpg</v>
      </c>
      <c r="L399" s="50"/>
      <c r="M399" s="50" t="str">
        <f>RawList!F369</f>
        <v>https://www.sparkfun.com/products/14194</v>
      </c>
    </row>
    <row r="400" spans="2:13" x14ac:dyDescent="0.3">
      <c r="B400" s="50" t="str">
        <f>RawList!A370</f>
        <v>Low-Level Electronics</v>
      </c>
      <c r="C400" s="50" t="str">
        <f>RawList!B370</f>
        <v>Connectors/Sockets/Terminals, Other</v>
      </c>
      <c r="D400" s="50" t="str">
        <f>RawList!C370</f>
        <v>SparkFun</v>
      </c>
      <c r="E400" s="50" t="str">
        <f>RawList!H370</f>
        <v>Amphenol FCI Clincher Connector (2 Position, Male)</v>
      </c>
      <c r="F400" s="50" t="str">
        <f>RawList!D370</f>
        <v>COM-14195</v>
      </c>
      <c r="G400" s="137">
        <f>RawList!E370</f>
        <v>9</v>
      </c>
      <c r="H400" s="50" t="str">
        <f>IF(EquipmentTable[[#This Row],[Units]]&gt;0,"Quantity &gt; 0 Items","Quantity = 0 Items")</f>
        <v>Quantity &gt; 0 Items</v>
      </c>
      <c r="I400" s="141">
        <f>RawList!J370</f>
        <v>1.95</v>
      </c>
      <c r="J400" s="24">
        <f>VALUE(EquipmentTable[[#This Row],[Units]]*EquipmentTable[[#This Row],[Unit
 Price]])</f>
        <v>17.55</v>
      </c>
      <c r="K400" s="50" t="str">
        <f>RawList!G370</f>
        <v>https://cdn.sparkfun.com/r/92-92/assets/parts/1/2/1/3/4/14195-01.jpg</v>
      </c>
      <c r="L400" s="50"/>
      <c r="M400" s="50" t="str">
        <f>RawList!F370</f>
        <v>https://www.sparkfun.com/products/14195</v>
      </c>
    </row>
    <row r="401" spans="2:13" x14ac:dyDescent="0.3">
      <c r="B401" s="50" t="str">
        <f>RawList!A371</f>
        <v>Low-Level Electronics</v>
      </c>
      <c r="C401" s="50" t="str">
        <f>RawList!B371</f>
        <v>Connectors/Sockets/Terminals, Other</v>
      </c>
      <c r="D401" s="50" t="str">
        <f>RawList!C371</f>
        <v>SparkFun</v>
      </c>
      <c r="E401" s="50" t="str">
        <f>RawList!H371</f>
        <v>Jumper - 2 Pin</v>
      </c>
      <c r="F401" s="50" t="str">
        <f>RawList!D371</f>
        <v>PRT-09044</v>
      </c>
      <c r="G401" s="137">
        <f>RawList!E371</f>
        <v>0</v>
      </c>
      <c r="H401" s="50" t="str">
        <f>IF(EquipmentTable[[#This Row],[Units]]&gt;0,"Quantity &gt; 0 Items","Quantity = 0 Items")</f>
        <v>Quantity = 0 Items</v>
      </c>
      <c r="I401" s="141">
        <f>RawList!J371</f>
        <v>0.35</v>
      </c>
      <c r="J401" s="24">
        <f>VALUE(EquipmentTable[[#This Row],[Units]]*EquipmentTable[[#This Row],[Unit
 Price]])</f>
        <v>0</v>
      </c>
      <c r="K401" s="50" t="str">
        <f>RawList!G371</f>
        <v>https://cdn.sparkfun.com/r/92-92/assets/parts/2/4/0/7/09044-02-L.jpg</v>
      </c>
      <c r="L401" s="50"/>
      <c r="M401" s="50" t="str">
        <f>RawList!F371</f>
        <v>https://www.sparkfun.com/products/9044</v>
      </c>
    </row>
    <row r="402" spans="2:13" x14ac:dyDescent="0.3">
      <c r="B402" s="50" t="str">
        <f>RawList!A372</f>
        <v>Low-Level Electronics</v>
      </c>
      <c r="C402" s="50" t="str">
        <f>RawList!B372</f>
        <v>Connectors/Sockets/Terminals, Other</v>
      </c>
      <c r="D402" s="50" t="str">
        <f>RawList!C372</f>
        <v>Adafruit</v>
      </c>
      <c r="E402" s="50" t="str">
        <f>RawList!H372</f>
        <v xml:space="preserve">Jumper Shunt with Handle (0.1" / 2.54mm) – 10 Pack </v>
      </c>
      <c r="F402" s="50">
        <f>RawList!D372</f>
        <v>3525</v>
      </c>
      <c r="G402" s="137">
        <f>RawList!E372</f>
        <v>1</v>
      </c>
      <c r="H402" s="50" t="str">
        <f>IF(EquipmentTable[[#This Row],[Units]]&gt;0,"Quantity &gt; 0 Items","Quantity = 0 Items")</f>
        <v>Quantity &gt; 0 Items</v>
      </c>
      <c r="I402" s="141">
        <f>RawList!J372</f>
        <v>0.95</v>
      </c>
      <c r="J402" s="24">
        <f>VALUE(EquipmentTable[[#This Row],[Units]]*EquipmentTable[[#This Row],[Unit
 Price]])</f>
        <v>0.95</v>
      </c>
      <c r="K402" s="50">
        <f>RawList!G372</f>
        <v>0</v>
      </c>
      <c r="L402" s="50"/>
      <c r="M402" s="50">
        <f>RawList!F372</f>
        <v>0</v>
      </c>
    </row>
    <row r="403" spans="2:13" x14ac:dyDescent="0.3">
      <c r="B403" s="50" t="str">
        <f>RawList!A373</f>
        <v>Low-Level Electronics</v>
      </c>
      <c r="C403" s="50" t="str">
        <f>RawList!B373</f>
        <v>DIP/TO-#/SMD Components</v>
      </c>
      <c r="D403" s="50" t="str">
        <f>RawList!C373</f>
        <v>SparkFun</v>
      </c>
      <c r="E403" s="50" t="str">
        <f>RawList!H373</f>
        <v>SparkFun Beginner Parts Kit</v>
      </c>
      <c r="F403" s="50" t="str">
        <f>RawList!D373</f>
        <v>KIT-13973</v>
      </c>
      <c r="G403" s="137">
        <f>RawList!E373</f>
        <v>0</v>
      </c>
      <c r="H403" s="50" t="str">
        <f>IF(EquipmentTable[[#This Row],[Units]]&gt;0,"Quantity &gt; 0 Items","Quantity = 0 Items")</f>
        <v>Quantity = 0 Items</v>
      </c>
      <c r="I403" s="141">
        <f>RawList!J373</f>
        <v>14.95</v>
      </c>
      <c r="J403" s="24">
        <f>VALUE(EquipmentTable[[#This Row],[Units]]*EquipmentTable[[#This Row],[Unit
 Price]])</f>
        <v>0</v>
      </c>
      <c r="K403" s="50" t="str">
        <f>RawList!G373</f>
        <v>https://cdn.sparkfun.com/r/92-92/assets/parts/1/1/7/1/5/13973-05.jpg</v>
      </c>
      <c r="L403" s="50"/>
      <c r="M403" s="50" t="str">
        <f>RawList!F373</f>
        <v>https://www.sparkfun.com/products/13973</v>
      </c>
    </row>
    <row r="404" spans="2:13" x14ac:dyDescent="0.3">
      <c r="B404" s="50" t="str">
        <f>RawList!A374</f>
        <v>Low-Level Electronics</v>
      </c>
      <c r="C404" s="50" t="str">
        <f>RawList!B374</f>
        <v>DIP/TO-#/SMD Components</v>
      </c>
      <c r="D404" s="50" t="str">
        <f>RawList!C374</f>
        <v>Adafruit</v>
      </c>
      <c r="E404" s="50" t="str">
        <f>RawList!H374</f>
        <v>Adafruit Parts Pal</v>
      </c>
      <c r="F404" s="50" t="str">
        <f>RawList!D374</f>
        <v>2975</v>
      </c>
      <c r="G404" s="137">
        <f>RawList!E374</f>
        <v>1</v>
      </c>
      <c r="H404" s="50" t="str">
        <f>IF(EquipmentTable[[#This Row],[Units]]&gt;0,"Quantity &gt; 0 Items","Quantity = 0 Items")</f>
        <v>Quantity &gt; 0 Items</v>
      </c>
      <c r="I404" s="141">
        <f>RawList!J374</f>
        <v>19.95</v>
      </c>
      <c r="J404" s="24">
        <f>VALUE(EquipmentTable[[#This Row],[Units]]*EquipmentTable[[#This Row],[Unit
 Price]])</f>
        <v>19.95</v>
      </c>
      <c r="K404" s="50">
        <f>RawList!G374</f>
        <v>0</v>
      </c>
      <c r="L404" s="50"/>
      <c r="M404" s="50">
        <f>RawList!F374</f>
        <v>0</v>
      </c>
    </row>
    <row r="405" spans="2:13" x14ac:dyDescent="0.3">
      <c r="B405" s="50" t="str">
        <f>RawList!A375</f>
        <v>Low-Level Electronics</v>
      </c>
      <c r="C405" s="50" t="str">
        <f>RawList!B375</f>
        <v>DIP/TO-#/SMD Components</v>
      </c>
      <c r="D405" s="50" t="str">
        <f>RawList!C375</f>
        <v>SparkFun</v>
      </c>
      <c r="E405" s="50" t="str">
        <f>RawList!H375</f>
        <v>Transistor - PNP (2N3906)</v>
      </c>
      <c r="F405" s="50" t="str">
        <f>RawList!D375</f>
        <v>COM-00522</v>
      </c>
      <c r="G405" s="137">
        <f>RawList!E375</f>
        <v>0</v>
      </c>
      <c r="H405" s="50" t="str">
        <f>IF(EquipmentTable[[#This Row],[Units]]&gt;0,"Quantity &gt; 0 Items","Quantity = 0 Items")</f>
        <v>Quantity = 0 Items</v>
      </c>
      <c r="I405" s="141">
        <f>RawList!J375</f>
        <v>0.5</v>
      </c>
      <c r="J405" s="24">
        <f>VALUE(EquipmentTable[[#This Row],[Units]]*EquipmentTable[[#This Row],[Unit
 Price]])</f>
        <v>0</v>
      </c>
      <c r="K405" s="50" t="str">
        <f>RawList!G375</f>
        <v>https://cdn.sparkfun.com/r/92-92/assets/parts/1/6/5/00522-1.jpg</v>
      </c>
      <c r="L405" s="50"/>
      <c r="M405" s="50" t="str">
        <f>RawList!F375</f>
        <v>https://www.sparkfun.com/products/522</v>
      </c>
    </row>
    <row r="406" spans="2:13" x14ac:dyDescent="0.3">
      <c r="B406" s="50" t="str">
        <f>RawList!A376</f>
        <v>Low-Level Electronics</v>
      </c>
      <c r="C406" s="50" t="str">
        <f>RawList!B376</f>
        <v>DIP/TO-#/SMD Components</v>
      </c>
      <c r="D406" s="50" t="str">
        <f>RawList!C376</f>
        <v>SparkFun</v>
      </c>
      <c r="E406" s="50" t="str">
        <f>RawList!H376</f>
        <v>Transistor - NPN (2N3904)</v>
      </c>
      <c r="F406" s="50" t="str">
        <f>RawList!D376</f>
        <v>COM-00521</v>
      </c>
      <c r="G406" s="137">
        <f>RawList!E376</f>
        <v>0</v>
      </c>
      <c r="H406" s="50" t="str">
        <f>IF(EquipmentTable[[#This Row],[Units]]&gt;0,"Quantity &gt; 0 Items","Quantity = 0 Items")</f>
        <v>Quantity = 0 Items</v>
      </c>
      <c r="I406" s="141">
        <f>RawList!J376</f>
        <v>0.5</v>
      </c>
      <c r="J406" s="24">
        <f>VALUE(EquipmentTable[[#This Row],[Units]]*EquipmentTable[[#This Row],[Unit
 Price]])</f>
        <v>0</v>
      </c>
      <c r="K406" s="50" t="str">
        <f>RawList!G376</f>
        <v>https://cdn.sparkfun.com/r/92-92/assets/parts/2/9/9/00521-1.jpg</v>
      </c>
      <c r="L406" s="50"/>
      <c r="M406" s="50" t="str">
        <f>RawList!F376</f>
        <v>https://www.sparkfun.com/products/521</v>
      </c>
    </row>
    <row r="407" spans="2:13" x14ac:dyDescent="0.3">
      <c r="B407" s="50" t="str">
        <f>RawList!A377</f>
        <v>Low-Level Electronics</v>
      </c>
      <c r="C407" s="50" t="str">
        <f>RawList!B377</f>
        <v>DIP/TO-#/SMD Components</v>
      </c>
      <c r="D407" s="50" t="str">
        <f>RawList!C377</f>
        <v>SparkFun</v>
      </c>
      <c r="E407" s="50" t="str">
        <f>RawList!H377</f>
        <v>Transistor - NPN (BC547)</v>
      </c>
      <c r="F407" s="50" t="str">
        <f>RawList!D377</f>
        <v>COM-08928</v>
      </c>
      <c r="G407" s="137">
        <f>RawList!E377</f>
        <v>0</v>
      </c>
      <c r="H407" s="50" t="str">
        <f>IF(EquipmentTable[[#This Row],[Units]]&gt;0,"Quantity &gt; 0 Items","Quantity = 0 Items")</f>
        <v>Quantity = 0 Items</v>
      </c>
      <c r="I407" s="141">
        <f>RawList!J377</f>
        <v>0.5</v>
      </c>
      <c r="J407" s="24">
        <f>VALUE(EquipmentTable[[#This Row],[Units]]*EquipmentTable[[#This Row],[Unit
 Price]])</f>
        <v>0</v>
      </c>
      <c r="K407" s="50" t="str">
        <f>RawList!G377</f>
        <v>https://cdn.sparkfun.com/r/92-92/assets/parts/2/2/0/7/08928-03-L.jpg</v>
      </c>
      <c r="L407" s="50"/>
      <c r="M407" s="50" t="str">
        <f>RawList!F377</f>
        <v>https://www.sparkfun.com/products/8928</v>
      </c>
    </row>
    <row r="408" spans="2:13" x14ac:dyDescent="0.3">
      <c r="B408" s="50" t="str">
        <f>RawList!A378</f>
        <v>Low-Level Electronics</v>
      </c>
      <c r="C408" s="50" t="str">
        <f>RawList!B378</f>
        <v>DIP/TO-#/SMD Components</v>
      </c>
      <c r="D408" s="50" t="str">
        <f>RawList!C378</f>
        <v>SparkFun</v>
      </c>
      <c r="E408" s="50" t="str">
        <f>RawList!H378</f>
        <v>N-Channel MOSFET 60V 30A</v>
      </c>
      <c r="F408" s="50" t="str">
        <f>RawList!D378</f>
        <v>COM-10213</v>
      </c>
      <c r="G408" s="137">
        <f>RawList!E378</f>
        <v>0</v>
      </c>
      <c r="H408" s="50" t="str">
        <f>IF(EquipmentTable[[#This Row],[Units]]&gt;0,"Quantity &gt; 0 Items","Quantity = 0 Items")</f>
        <v>Quantity = 0 Items</v>
      </c>
      <c r="I408" s="141">
        <f>RawList!J378</f>
        <v>0.95</v>
      </c>
      <c r="J408" s="24">
        <f>VALUE(EquipmentTable[[#This Row],[Units]]*EquipmentTable[[#This Row],[Unit
 Price]])</f>
        <v>0</v>
      </c>
      <c r="K408" s="50" t="str">
        <f>RawList!G378</f>
        <v>https://cdn.sparkfun.com/r/92-92/assets/parts/4/5/5/5/10213-01.jpg</v>
      </c>
      <c r="L408" s="50"/>
      <c r="M408" s="50" t="str">
        <f>RawList!F378</f>
        <v>https://www.sparkfun.com/products/10213</v>
      </c>
    </row>
    <row r="409" spans="2:13" x14ac:dyDescent="0.3">
      <c r="B409" s="50" t="str">
        <f>RawList!A379</f>
        <v>Low-Level Electronics</v>
      </c>
      <c r="C409" s="50" t="str">
        <f>RawList!B379</f>
        <v>DIP/TO-#/SMD Components</v>
      </c>
      <c r="D409" s="50" t="str">
        <f>RawList!C379</f>
        <v>SparkFun</v>
      </c>
      <c r="E409" s="50" t="str">
        <f>RawList!H379</f>
        <v>P-Channel MOSFET 60V 27A</v>
      </c>
      <c r="F409" s="50" t="str">
        <f>RawList!D379</f>
        <v>COM-10349</v>
      </c>
      <c r="G409" s="137">
        <f>RawList!E379</f>
        <v>0</v>
      </c>
      <c r="H409" s="50" t="str">
        <f>IF(EquipmentTable[[#This Row],[Units]]&gt;0,"Quantity &gt; 0 Items","Quantity = 0 Items")</f>
        <v>Quantity = 0 Items</v>
      </c>
      <c r="I409" s="141">
        <f>RawList!J379</f>
        <v>0.95</v>
      </c>
      <c r="J409" s="24">
        <f>VALUE(EquipmentTable[[#This Row],[Units]]*EquipmentTable[[#This Row],[Unit
 Price]])</f>
        <v>0</v>
      </c>
      <c r="K409" s="50" t="str">
        <f>RawList!G379</f>
        <v>https://cdn.sparkfun.com/r/92-92/assets/parts/4/7/7/8/10349-01.jpg</v>
      </c>
      <c r="L409" s="50"/>
      <c r="M409" s="50" t="str">
        <f>RawList!F379</f>
        <v>https://www.sparkfun.com/products/10349</v>
      </c>
    </row>
    <row r="410" spans="2:13" x14ac:dyDescent="0.3">
      <c r="B410" s="50" t="str">
        <f>RawList!A380</f>
        <v>Low-Level Electronics</v>
      </c>
      <c r="C410" s="50" t="str">
        <f>RawList!B380</f>
        <v>DIP/TO-#/SMD Components</v>
      </c>
      <c r="D410" s="50" t="str">
        <f>RawList!C380</f>
        <v>SparkFun</v>
      </c>
      <c r="E410" s="50" t="str">
        <f>RawList!H380</f>
        <v>P-Channel MOSFET 20V 24A - low Vgs(th)</v>
      </c>
      <c r="F410" s="50" t="str">
        <f>RawList!D380</f>
        <v>COM-12901</v>
      </c>
      <c r="G410" s="137">
        <f>RawList!E380</f>
        <v>0</v>
      </c>
      <c r="H410" s="50" t="str">
        <f>IF(EquipmentTable[[#This Row],[Units]]&gt;0,"Quantity &gt; 0 Items","Quantity = 0 Items")</f>
        <v>Quantity = 0 Items</v>
      </c>
      <c r="I410" s="141">
        <f>RawList!J380</f>
        <v>1.95</v>
      </c>
      <c r="J410" s="24">
        <f>VALUE(EquipmentTable[[#This Row],[Units]]*EquipmentTable[[#This Row],[Unit
 Price]])</f>
        <v>0</v>
      </c>
      <c r="K410" s="50" t="str">
        <f>RawList!G380</f>
        <v>https://cdn.sparkfun.com/r/92-92/assets/parts/9/8/0/2/12901-01.jpg</v>
      </c>
      <c r="L410" s="50"/>
      <c r="M410" s="50" t="str">
        <f>RawList!F380</f>
        <v>https://www.sparkfun.com/products/12901</v>
      </c>
    </row>
    <row r="411" spans="2:13" x14ac:dyDescent="0.3">
      <c r="B411" s="50" t="str">
        <f>RawList!A381</f>
        <v>Low-Level Electronics</v>
      </c>
      <c r="C411" s="50" t="str">
        <f>RawList!B381</f>
        <v>DIP/TO-#/SMD Components</v>
      </c>
      <c r="D411" s="50" t="str">
        <f>RawList!C381</f>
        <v>SparkFun</v>
      </c>
      <c r="E411" s="50" t="str">
        <f>RawList!H381</f>
        <v>TL431 - Voltage Reference</v>
      </c>
      <c r="F411" s="50" t="str">
        <f>RawList!D381</f>
        <v>COM-11078</v>
      </c>
      <c r="G411" s="137">
        <f>RawList!E381</f>
        <v>6</v>
      </c>
      <c r="H411" s="50" t="str">
        <f>IF(EquipmentTable[[#This Row],[Units]]&gt;0,"Quantity &gt; 0 Items","Quantity = 0 Items")</f>
        <v>Quantity &gt; 0 Items</v>
      </c>
      <c r="I411" s="141">
        <f>RawList!J381</f>
        <v>0.5</v>
      </c>
      <c r="J411" s="24">
        <f>VALUE(EquipmentTable[[#This Row],[Units]]*EquipmentTable[[#This Row],[Unit
 Price]])</f>
        <v>3</v>
      </c>
      <c r="K411" s="50" t="str">
        <f>RawList!G381</f>
        <v>https://cdn.sparkfun.com/r/92-92/assets/parts/6/4/6/8/11078-01.jpg</v>
      </c>
      <c r="L411" s="50"/>
      <c r="M411" s="50" t="str">
        <f>RawList!F381</f>
        <v>https://www.sparkfun.com/products/11078</v>
      </c>
    </row>
    <row r="412" spans="2:13" x14ac:dyDescent="0.3">
      <c r="B412" s="50" t="str">
        <f>RawList!A382</f>
        <v>Low-Level Electronics</v>
      </c>
      <c r="C412" s="50" t="str">
        <f>RawList!B382</f>
        <v>DIP/TO-#/SMD Components</v>
      </c>
      <c r="D412" s="50" t="str">
        <f>RawList!C382</f>
        <v>SparkFun</v>
      </c>
      <c r="E412" s="50" t="str">
        <f>RawList!H382</f>
        <v>Voltage Regulator - 3.3V</v>
      </c>
      <c r="F412" s="50" t="str">
        <f>RawList!D382</f>
        <v>COM-00526</v>
      </c>
      <c r="G412" s="137">
        <f>RawList!E382</f>
        <v>2</v>
      </c>
      <c r="H412" s="50" t="str">
        <f>IF(EquipmentTable[[#This Row],[Units]]&gt;0,"Quantity &gt; 0 Items","Quantity = 0 Items")</f>
        <v>Quantity &gt; 0 Items</v>
      </c>
      <c r="I412" s="141">
        <f>RawList!J382</f>
        <v>1.95</v>
      </c>
      <c r="J412" s="24">
        <f>VALUE(EquipmentTable[[#This Row],[Units]]*EquipmentTable[[#This Row],[Unit
 Price]])</f>
        <v>3.9</v>
      </c>
      <c r="K412" s="50" t="str">
        <f>RawList!G382</f>
        <v>https://cdn.sparkfun.com/r/92-92/assets/parts/3/0/2/00526-03-L.jpg</v>
      </c>
      <c r="L412" s="50"/>
      <c r="M412" s="50" t="str">
        <f>RawList!F382</f>
        <v>https://www.sparkfun.com/products/526</v>
      </c>
    </row>
    <row r="413" spans="2:13" x14ac:dyDescent="0.3">
      <c r="B413" s="50" t="str">
        <f>RawList!A383</f>
        <v>Low-Level Electronics</v>
      </c>
      <c r="C413" s="50" t="str">
        <f>RawList!B383</f>
        <v>DIP/TO-#/SMD Components</v>
      </c>
      <c r="D413" s="50" t="str">
        <f>RawList!C383</f>
        <v>SparkFun</v>
      </c>
      <c r="E413" s="50" t="str">
        <f>RawList!H383</f>
        <v>Voltage Regulator - 5V</v>
      </c>
      <c r="F413" s="50" t="str">
        <f>RawList!D383</f>
        <v>COM-00107</v>
      </c>
      <c r="G413" s="137">
        <f>RawList!E383</f>
        <v>3</v>
      </c>
      <c r="H413" s="50" t="str">
        <f>IF(EquipmentTable[[#This Row],[Units]]&gt;0,"Quantity &gt; 0 Items","Quantity = 0 Items")</f>
        <v>Quantity &gt; 0 Items</v>
      </c>
      <c r="I413" s="141">
        <f>RawList!J383</f>
        <v>0.95</v>
      </c>
      <c r="J413" s="24">
        <f>VALUE(EquipmentTable[[#This Row],[Units]]*EquipmentTable[[#This Row],[Unit
 Price]])</f>
        <v>2.8499999999999996</v>
      </c>
      <c r="K413" s="50" t="str">
        <f>RawList!G383</f>
        <v>https://cdn.sparkfun.com/r/92-92/assets/parts/9/9/00107-1.jpg</v>
      </c>
      <c r="L413" s="50"/>
      <c r="M413" s="50" t="str">
        <f>RawList!F383</f>
        <v>https://www.sparkfun.com/products/107</v>
      </c>
    </row>
    <row r="414" spans="2:13" x14ac:dyDescent="0.3">
      <c r="B414" s="50" t="str">
        <f>RawList!A384</f>
        <v>Low-Level Electronics</v>
      </c>
      <c r="C414" s="50" t="str">
        <f>RawList!B384</f>
        <v>DIP/TO-#/SMD Components</v>
      </c>
      <c r="D414" s="50" t="str">
        <f>RawList!C384</f>
        <v>SparkFun</v>
      </c>
      <c r="E414" s="50" t="str">
        <f>RawList!H384</f>
        <v>Voltage Regulator - 12V</v>
      </c>
      <c r="F414" s="50" t="str">
        <f>RawList!D384</f>
        <v>COM-12766</v>
      </c>
      <c r="G414" s="137">
        <f>RawList!E384</f>
        <v>2</v>
      </c>
      <c r="H414" s="50" t="str">
        <f>IF(EquipmentTable[[#This Row],[Units]]&gt;0,"Quantity &gt; 0 Items","Quantity = 0 Items")</f>
        <v>Quantity &gt; 0 Items</v>
      </c>
      <c r="I414" s="141">
        <f>RawList!J384</f>
        <v>1.5</v>
      </c>
      <c r="J414" s="24">
        <f>VALUE(EquipmentTable[[#This Row],[Units]]*EquipmentTable[[#This Row],[Unit
 Price]])</f>
        <v>3</v>
      </c>
      <c r="K414" s="50" t="str">
        <f>RawList!G384</f>
        <v>https://cdn.sparkfun.com/r/92-92/assets/parts/4/4/2/4/12766-01.jpg</v>
      </c>
      <c r="L414" s="50"/>
      <c r="M414" s="50" t="str">
        <f>RawList!F384</f>
        <v>https://www.sparkfun.com/products/12766</v>
      </c>
    </row>
    <row r="415" spans="2:13" x14ac:dyDescent="0.3">
      <c r="B415" s="50" t="str">
        <f>RawList!A385</f>
        <v>Low-Level Electronics</v>
      </c>
      <c r="C415" s="50" t="str">
        <f>RawList!B385</f>
        <v>DIP/TO-#/SMD Components</v>
      </c>
      <c r="D415" s="50" t="str">
        <f>RawList!C385</f>
        <v>SparkFun</v>
      </c>
      <c r="E415" s="50" t="str">
        <f>RawList!H385</f>
        <v>Voltage Regulator - Adjustable</v>
      </c>
      <c r="F415" s="50" t="str">
        <f>RawList!D385</f>
        <v>COM-00527</v>
      </c>
      <c r="G415" s="137">
        <f>RawList!E385</f>
        <v>1</v>
      </c>
      <c r="H415" s="50" t="str">
        <f>IF(EquipmentTable[[#This Row],[Units]]&gt;0,"Quantity &gt; 0 Items","Quantity = 0 Items")</f>
        <v>Quantity &gt; 0 Items</v>
      </c>
      <c r="I415" s="141">
        <f>RawList!J385</f>
        <v>1.95</v>
      </c>
      <c r="J415" s="24">
        <f>VALUE(EquipmentTable[[#This Row],[Units]]*EquipmentTable[[#This Row],[Unit
 Price]])</f>
        <v>1.95</v>
      </c>
      <c r="K415" s="50" t="str">
        <f>RawList!G385</f>
        <v>https://cdn.sparkfun.com/r/92-92/assets/parts/3/5/8/LM317.jpg</v>
      </c>
      <c r="L415" s="50"/>
      <c r="M415" s="50" t="str">
        <f>RawList!F385</f>
        <v>https://www.sparkfun.com/products/527</v>
      </c>
    </row>
    <row r="416" spans="2:13" x14ac:dyDescent="0.3">
      <c r="B416" s="50" t="str">
        <f>RawList!A386</f>
        <v>Low-Level Electronics</v>
      </c>
      <c r="C416" s="50" t="str">
        <f>RawList!B386</f>
        <v>DIP/TO-#/SMD Components</v>
      </c>
      <c r="D416" s="50" t="str">
        <f>RawList!C386</f>
        <v>SparkFun</v>
      </c>
      <c r="E416" s="50" t="str">
        <f>RawList!H386</f>
        <v>DIP Sockets Solder Tail - 8-Pin</v>
      </c>
      <c r="F416" s="50" t="str">
        <f>RawList!D386</f>
        <v>PRT-07937</v>
      </c>
      <c r="G416" s="137">
        <f>RawList!E386</f>
        <v>1</v>
      </c>
      <c r="H416" s="50" t="str">
        <f>IF(EquipmentTable[[#This Row],[Units]]&gt;0,"Quantity &gt; 0 Items","Quantity = 0 Items")</f>
        <v>Quantity &gt; 0 Items</v>
      </c>
      <c r="I416" s="141">
        <f>RawList!J386</f>
        <v>0.5</v>
      </c>
      <c r="J416" s="24">
        <f>VALUE(EquipmentTable[[#This Row],[Units]]*EquipmentTable[[#This Row],[Unit
 Price]])</f>
        <v>0.5</v>
      </c>
      <c r="K416" s="50" t="str">
        <f>RawList!G386</f>
        <v>https://cdn.sparkfun.com/r/92-92/assets/parts/2/2/4/DIP-8.jpg</v>
      </c>
      <c r="L416" s="50"/>
      <c r="M416" s="50" t="str">
        <f>RawList!F386</f>
        <v>https://www.sparkfun.com/products/7937</v>
      </c>
    </row>
    <row r="417" spans="2:13" x14ac:dyDescent="0.3">
      <c r="B417" s="50" t="str">
        <f>RawList!A387</f>
        <v>Low-Level Electronics</v>
      </c>
      <c r="C417" s="50" t="str">
        <f>RawList!B387</f>
        <v>DIP/TO-#/SMD Components</v>
      </c>
      <c r="D417" s="50" t="str">
        <f>RawList!C387</f>
        <v>Adafruit</v>
      </c>
      <c r="E417" s="50" t="str">
        <f>RawList!H387</f>
        <v>IC Socket - for 8-pin 0.3" Chips - Pack of 3</v>
      </c>
      <c r="F417" s="50" t="str">
        <f>RawList!D387</f>
        <v>2202</v>
      </c>
      <c r="G417" s="137">
        <f>RawList!E387</f>
        <v>0</v>
      </c>
      <c r="H417" s="50" t="str">
        <f>IF(EquipmentTable[[#This Row],[Units]]&gt;0,"Quantity &gt; 0 Items","Quantity = 0 Items")</f>
        <v>Quantity = 0 Items</v>
      </c>
      <c r="I417" s="141">
        <f>RawList!J387</f>
        <v>0.75</v>
      </c>
      <c r="J417" s="24">
        <f>VALUE(EquipmentTable[[#This Row],[Units]]*EquipmentTable[[#This Row],[Unit
 Price]])</f>
        <v>0</v>
      </c>
      <c r="K417" s="50">
        <f>RawList!G387</f>
        <v>0</v>
      </c>
      <c r="L417" s="50"/>
      <c r="M417" s="50">
        <f>RawList!F387</f>
        <v>0</v>
      </c>
    </row>
    <row r="418" spans="2:13" x14ac:dyDescent="0.3">
      <c r="B418" s="50" t="str">
        <f>RawList!A388</f>
        <v>Low-Level Electronics</v>
      </c>
      <c r="C418" s="50" t="str">
        <f>RawList!B388</f>
        <v>DIP/TO-#/SMD Components</v>
      </c>
      <c r="D418" s="50" t="str">
        <f>RawList!C388</f>
        <v>SparkFun</v>
      </c>
      <c r="E418" s="50" t="str">
        <f>RawList!H388</f>
        <v>Op-Amp (Through-Hole) - LM358</v>
      </c>
      <c r="F418" s="50" t="str">
        <f>RawList!D388</f>
        <v>COM-09456</v>
      </c>
      <c r="G418" s="137">
        <f>RawList!E388</f>
        <v>5</v>
      </c>
      <c r="H418" s="50" t="str">
        <f>IF(EquipmentTable[[#This Row],[Units]]&gt;0,"Quantity &gt; 0 Items","Quantity = 0 Items")</f>
        <v>Quantity &gt; 0 Items</v>
      </c>
      <c r="I418" s="141">
        <f>RawList!J388</f>
        <v>0.95</v>
      </c>
      <c r="J418" s="24">
        <f>VALUE(EquipmentTable[[#This Row],[Units]]*EquipmentTable[[#This Row],[Unit
 Price]])</f>
        <v>4.75</v>
      </c>
      <c r="K418" s="50" t="str">
        <f>RawList!G388</f>
        <v>https://cdn.sparkfun.com/r/92-92/assets/parts/2/7/8/8/09456-01.jpg</v>
      </c>
      <c r="L418" s="50"/>
      <c r="M418" s="50" t="str">
        <f>RawList!F388</f>
        <v>https://www.sparkfun.com/products/9456</v>
      </c>
    </row>
    <row r="419" spans="2:13" x14ac:dyDescent="0.3">
      <c r="B419" s="50" t="str">
        <f>RawList!A389</f>
        <v>Low-Level Electronics</v>
      </c>
      <c r="C419" s="50" t="str">
        <f>RawList!B389</f>
        <v>DIP/TO-#/SMD Components</v>
      </c>
      <c r="D419" s="50" t="str">
        <f>RawList!C389</f>
        <v>SparkFun</v>
      </c>
      <c r="E419" s="50" t="str">
        <f>RawList!H389</f>
        <v>Digital Potentiometer - 10K</v>
      </c>
      <c r="F419" s="50" t="str">
        <f>RawList!D389</f>
        <v>COM-10613</v>
      </c>
      <c r="G419" s="137">
        <f>RawList!E389</f>
        <v>1</v>
      </c>
      <c r="H419" s="50" t="str">
        <f>IF(EquipmentTable[[#This Row],[Units]]&gt;0,"Quantity &gt; 0 Items","Quantity = 0 Items")</f>
        <v>Quantity &gt; 0 Items</v>
      </c>
      <c r="I419" s="141">
        <f>RawList!J389</f>
        <v>1.5</v>
      </c>
      <c r="J419" s="24">
        <f>VALUE(EquipmentTable[[#This Row],[Units]]*EquipmentTable[[#This Row],[Unit
 Price]])</f>
        <v>1.5</v>
      </c>
      <c r="K419" s="50" t="str">
        <f>RawList!G389</f>
        <v>https://cdn.sparkfun.com/r/92-92/assets/parts/5/2/6/9/10613-01.jpg</v>
      </c>
      <c r="L419" s="50"/>
      <c r="M419" s="50" t="str">
        <f>RawList!F389</f>
        <v>https://www.sparkfun.com/products/10613</v>
      </c>
    </row>
    <row r="420" spans="2:13" x14ac:dyDescent="0.3">
      <c r="B420" s="50" t="str">
        <f>RawList!A390</f>
        <v>Low-Level Electronics</v>
      </c>
      <c r="C420" s="50" t="str">
        <f>RawList!B390</f>
        <v>DIP/TO-#/SMD Components</v>
      </c>
      <c r="D420" s="50" t="str">
        <f>RawList!C390</f>
        <v>SparkFun</v>
      </c>
      <c r="E420" s="50" t="str">
        <f>RawList!H390</f>
        <v>555 Timer</v>
      </c>
      <c r="F420" s="50" t="str">
        <f>RawList!D390</f>
        <v>COM-09273</v>
      </c>
      <c r="G420" s="137">
        <f>RawList!E390</f>
        <v>2</v>
      </c>
      <c r="H420" s="50" t="str">
        <f>IF(EquipmentTable[[#This Row],[Units]]&gt;0,"Quantity &gt; 0 Items","Quantity = 0 Items")</f>
        <v>Quantity &gt; 0 Items</v>
      </c>
      <c r="I420" s="141">
        <f>RawList!J390</f>
        <v>0.95</v>
      </c>
      <c r="J420" s="24">
        <f>VALUE(EquipmentTable[[#This Row],[Units]]*EquipmentTable[[#This Row],[Unit
 Price]])</f>
        <v>1.9</v>
      </c>
      <c r="K420" s="50" t="str">
        <f>RawList!G390</f>
        <v>https://cdn.sparkfun.com/r/92-92/assets/parts/2/7/9/0/09273-1.jpg</v>
      </c>
      <c r="L420" s="50"/>
      <c r="M420" s="50" t="str">
        <f>RawList!F390</f>
        <v>https://www.sparkfun.com/products/9273</v>
      </c>
    </row>
    <row r="421" spans="2:13" x14ac:dyDescent="0.3">
      <c r="B421" s="50" t="str">
        <f>RawList!A391</f>
        <v>Low-Level Electronics</v>
      </c>
      <c r="C421" s="50" t="str">
        <f>RawList!B391</f>
        <v>DIP/TO-#/SMD Components</v>
      </c>
      <c r="D421" s="50" t="str">
        <f>RawList!C391</f>
        <v>SparkFun</v>
      </c>
      <c r="E421" s="50" t="str">
        <f>RawList!H391</f>
        <v>Analog to Digital Converter - MCP3002</v>
      </c>
      <c r="F421" s="50" t="str">
        <f>RawList!D391</f>
        <v>COM-08636</v>
      </c>
      <c r="G421" s="137">
        <f>RawList!E391</f>
        <v>3</v>
      </c>
      <c r="H421" s="50" t="str">
        <f>IF(EquipmentTable[[#This Row],[Units]]&gt;0,"Quantity &gt; 0 Items","Quantity = 0 Items")</f>
        <v>Quantity &gt; 0 Items</v>
      </c>
      <c r="I421" s="141">
        <f>RawList!J391</f>
        <v>2.2999999999999998</v>
      </c>
      <c r="J421" s="24">
        <f>VALUE(EquipmentTable[[#This Row],[Units]]*EquipmentTable[[#This Row],[Unit
 Price]])</f>
        <v>6.8999999999999995</v>
      </c>
      <c r="K421" s="50" t="str">
        <f>RawList!G391</f>
        <v>https://cdn.sparkfun.com/r/92-92/assets/parts/1/7/7/0/08636-03-L.jpg</v>
      </c>
      <c r="L421" s="50"/>
      <c r="M421" s="50" t="str">
        <f>RawList!F391</f>
        <v>https://www.sparkfun.com/products/8636</v>
      </c>
    </row>
    <row r="422" spans="2:13" x14ac:dyDescent="0.3">
      <c r="B422" s="50" t="str">
        <f>RawList!A392</f>
        <v>Low-Level Electronics</v>
      </c>
      <c r="C422" s="50" t="str">
        <f>RawList!B392</f>
        <v>DIP/TO-#/SMD Components</v>
      </c>
      <c r="D422" s="50" t="str">
        <f>RawList!C392</f>
        <v>SparkFun</v>
      </c>
      <c r="E422" s="50" t="str">
        <f>RawList!H392</f>
        <v>Step Up/Down Inverting Switching Regulator</v>
      </c>
      <c r="F422" s="50" t="str">
        <f>RawList!D392</f>
        <v>COM-00317</v>
      </c>
      <c r="G422" s="137">
        <f>RawList!E392</f>
        <v>1</v>
      </c>
      <c r="H422" s="50" t="str">
        <f>IF(EquipmentTable[[#This Row],[Units]]&gt;0,"Quantity &gt; 0 Items","Quantity = 0 Items")</f>
        <v>Quantity &gt; 0 Items</v>
      </c>
      <c r="I422" s="141">
        <f>RawList!J392</f>
        <v>1.95</v>
      </c>
      <c r="J422" s="24">
        <f>VALUE(EquipmentTable[[#This Row],[Units]]*EquipmentTable[[#This Row],[Unit
 Price]])</f>
        <v>1.95</v>
      </c>
      <c r="K422" s="50" t="str">
        <f>RawList!G392</f>
        <v>https://cdn.sparkfun.com/r/92-92/assets/parts/2/5/3/dc_dc_regulator.jpg</v>
      </c>
      <c r="L422" s="50"/>
      <c r="M422" s="50" t="str">
        <f>RawList!F392</f>
        <v>https://www.sparkfun.com/products/317</v>
      </c>
    </row>
    <row r="423" spans="2:13" x14ac:dyDescent="0.3">
      <c r="B423" s="50" t="str">
        <f>RawList!A393</f>
        <v>Low-Level Electronics</v>
      </c>
      <c r="C423" s="50" t="str">
        <f>RawList!B393</f>
        <v>DIP/TO-#/SMD Components</v>
      </c>
      <c r="D423" s="50" t="str">
        <f>RawList!C393</f>
        <v>Adafruit</v>
      </c>
      <c r="E423" s="50" t="str">
        <f>RawList!H393</f>
        <v xml:space="preserve">74AHCT125 - Quad Level-Shifter (3V to 5V) - 74AHCT125 </v>
      </c>
      <c r="F423" s="50" t="str">
        <f>RawList!D393</f>
        <v>1787</v>
      </c>
      <c r="G423" s="137">
        <f>RawList!E393</f>
        <v>0</v>
      </c>
      <c r="H423" s="50" t="str">
        <f>IF(EquipmentTable[[#This Row],[Units]]&gt;0,"Quantity &gt; 0 Items","Quantity = 0 Items")</f>
        <v>Quantity = 0 Items</v>
      </c>
      <c r="I423" s="141">
        <f>RawList!J393</f>
        <v>1.5</v>
      </c>
      <c r="J423" s="24">
        <f>VALUE(EquipmentTable[[#This Row],[Units]]*EquipmentTable[[#This Row],[Unit
 Price]])</f>
        <v>0</v>
      </c>
      <c r="K423" s="50">
        <f>RawList!G393</f>
        <v>0</v>
      </c>
      <c r="L423" s="50"/>
      <c r="M423" s="50">
        <f>RawList!F393</f>
        <v>0</v>
      </c>
    </row>
    <row r="424" spans="2:13" x14ac:dyDescent="0.3">
      <c r="B424" s="50" t="str">
        <f>RawList!A394</f>
        <v>Low-Level Electronics</v>
      </c>
      <c r="C424" s="50" t="str">
        <f>RawList!B394</f>
        <v>DIP/TO-#/SMD Components</v>
      </c>
      <c r="D424" s="50" t="str">
        <f>RawList!C394</f>
        <v>SparkFun</v>
      </c>
      <c r="E424" s="50" t="str">
        <f>RawList!H394</f>
        <v>I2C EEPROM - 256kbit</v>
      </c>
      <c r="F424" s="50" t="str">
        <f>RawList!D394</f>
        <v>COM-00525</v>
      </c>
      <c r="G424" s="137">
        <f>RawList!E394</f>
        <v>0</v>
      </c>
      <c r="H424" s="50" t="str">
        <f>IF(EquipmentTable[[#This Row],[Units]]&gt;0,"Quantity &gt; 0 Items","Quantity = 0 Items")</f>
        <v>Quantity = 0 Items</v>
      </c>
      <c r="I424" s="141">
        <f>RawList!J394</f>
        <v>1.95</v>
      </c>
      <c r="J424" s="24">
        <f>VALUE(EquipmentTable[[#This Row],[Units]]*EquipmentTable[[#This Row],[Unit
 Price]])</f>
        <v>0</v>
      </c>
      <c r="K424" s="50" t="str">
        <f>RawList!G394</f>
        <v>https://cdn.sparkfun.com/r/92-92/assets/parts/3/0/5/EEPROM.jpg</v>
      </c>
      <c r="L424" s="50"/>
      <c r="M424" s="50" t="str">
        <f>RawList!F394</f>
        <v>https://www.sparkfun.com/products/525</v>
      </c>
    </row>
    <row r="425" spans="2:13" x14ac:dyDescent="0.3">
      <c r="B425" s="50" t="str">
        <f>RawList!A395</f>
        <v>Low-Level Electronics</v>
      </c>
      <c r="C425" s="50" t="str">
        <f>RawList!B395</f>
        <v>DIP/TO-#/SMD Components</v>
      </c>
      <c r="D425" s="50" t="str">
        <f>RawList!C395</f>
        <v>SparkFun</v>
      </c>
      <c r="E425" s="50" t="str">
        <f>RawList!H395</f>
        <v>Shift Register 8-Bit - SN74HC595</v>
      </c>
      <c r="F425" s="50" t="str">
        <f>RawList!D395</f>
        <v>COM-13699</v>
      </c>
      <c r="G425" s="137">
        <f>RawList!E395</f>
        <v>0</v>
      </c>
      <c r="H425" s="50" t="str">
        <f>IF(EquipmentTable[[#This Row],[Units]]&gt;0,"Quantity &gt; 0 Items","Quantity = 0 Items")</f>
        <v>Quantity = 0 Items</v>
      </c>
      <c r="I425" s="141">
        <f>RawList!J395</f>
        <v>0.95</v>
      </c>
      <c r="J425" s="24">
        <f>VALUE(EquipmentTable[[#This Row],[Units]]*EquipmentTable[[#This Row],[Unit
 Price]])</f>
        <v>0</v>
      </c>
      <c r="K425" s="50" t="str">
        <f>RawList!G395</f>
        <v>https://cdn.sparkfun.com/r/92-92/assets/parts/1/1/1/7/5/13699-01.jpg</v>
      </c>
      <c r="L425" s="50"/>
      <c r="M425" s="50" t="str">
        <f>RawList!F395</f>
        <v>https://www.sparkfun.com/products/13699</v>
      </c>
    </row>
    <row r="426" spans="2:13" x14ac:dyDescent="0.3">
      <c r="B426" s="50" t="str">
        <f>RawList!A396</f>
        <v>Low-Level Electronics</v>
      </c>
      <c r="C426" s="50" t="str">
        <f>RawList!B396</f>
        <v>DIP/TO-#/SMD Components</v>
      </c>
      <c r="D426" s="50" t="str">
        <f>RawList!C396</f>
        <v>SparkFun</v>
      </c>
      <c r="E426" s="50" t="str">
        <f>RawList!H396</f>
        <v>SparkFun Shift-In Breakout - SN74HC165</v>
      </c>
      <c r="F426" s="50" t="str">
        <f>RawList!D396</f>
        <v>BOB-11733</v>
      </c>
      <c r="G426" s="137">
        <f>RawList!E396</f>
        <v>0</v>
      </c>
      <c r="H426" s="50" t="str">
        <f>IF(EquipmentTable[[#This Row],[Units]]&gt;0,"Quantity &gt; 0 Items","Quantity = 0 Items")</f>
        <v>Quantity = 0 Items</v>
      </c>
      <c r="I426" s="141">
        <f>RawList!J396</f>
        <v>3.95</v>
      </c>
      <c r="J426" s="24">
        <f>VALUE(EquipmentTable[[#This Row],[Units]]*EquipmentTable[[#This Row],[Unit
 Price]])</f>
        <v>0</v>
      </c>
      <c r="K426" s="50" t="str">
        <f>RawList!G396</f>
        <v>https://cdn.sparkfun.com/r/92-92/assets/parts/7/9/4/5/11733-01a.jpg</v>
      </c>
      <c r="L426" s="50"/>
      <c r="M426" s="50" t="str">
        <f>RawList!F396</f>
        <v>https://www.sparkfun.com/products/11733</v>
      </c>
    </row>
    <row r="427" spans="2:13" x14ac:dyDescent="0.3">
      <c r="B427" s="50" t="str">
        <f>RawList!A397</f>
        <v>Low-Level Electronics</v>
      </c>
      <c r="C427" s="50" t="str">
        <f>RawList!B397</f>
        <v>DIP/TO-#/SMD Components</v>
      </c>
      <c r="D427" s="50" t="str">
        <f>RawList!C397</f>
        <v>SparkFun</v>
      </c>
      <c r="E427" s="50" t="str">
        <f>RawList!H397</f>
        <v>DIP Switch - 8 Position</v>
      </c>
      <c r="F427" s="50" t="str">
        <f>RawList!D397</f>
        <v>COM-08034</v>
      </c>
      <c r="G427" s="137">
        <f>RawList!E397</f>
        <v>5</v>
      </c>
      <c r="H427" s="50" t="str">
        <f>IF(EquipmentTable[[#This Row],[Units]]&gt;0,"Quantity &gt; 0 Items","Quantity = 0 Items")</f>
        <v>Quantity &gt; 0 Items</v>
      </c>
      <c r="I427" s="141">
        <f>RawList!J397</f>
        <v>1.5</v>
      </c>
      <c r="J427" s="24">
        <f>VALUE(EquipmentTable[[#This Row],[Units]]*EquipmentTable[[#This Row],[Unit
 Price]])</f>
        <v>7.5</v>
      </c>
      <c r="K427" s="50" t="str">
        <f>RawList!G397</f>
        <v>https://cdn.sparkfun.com/r/92-92/assets/parts/6/5/0/08034-1.jpg</v>
      </c>
      <c r="L427" s="50"/>
      <c r="M427" s="50" t="str">
        <f>RawList!F397</f>
        <v>https://www.sparkfun.com/products/8034</v>
      </c>
    </row>
    <row r="428" spans="2:13" x14ac:dyDescent="0.3">
      <c r="B428" s="50" t="str">
        <f>RawList!A398</f>
        <v>Low-Level Electronics</v>
      </c>
      <c r="C428" s="50" t="str">
        <f>RawList!B398</f>
        <v>Headers, Stackable</v>
      </c>
      <c r="D428" s="50" t="str">
        <f>RawList!C398</f>
        <v>SparkFun</v>
      </c>
      <c r="E428" s="50" t="str">
        <f>RawList!H398</f>
        <v>Stackable Header - 3 Pin (Female, 0.1\")</v>
      </c>
      <c r="F428" s="50" t="str">
        <f>RawList!D398</f>
        <v>PRT-13875</v>
      </c>
      <c r="G428" s="137">
        <f>RawList!E398</f>
        <v>0</v>
      </c>
      <c r="H428" s="50" t="str">
        <f>IF(EquipmentTable[[#This Row],[Units]]&gt;0,"Quantity &gt; 0 Items","Quantity = 0 Items")</f>
        <v>Quantity = 0 Items</v>
      </c>
      <c r="I428" s="141">
        <f>RawList!J398</f>
        <v>0.5</v>
      </c>
      <c r="J428" s="24">
        <f>VALUE(EquipmentTable[[#This Row],[Units]]*EquipmentTable[[#This Row],[Unit
 Price]])</f>
        <v>0</v>
      </c>
      <c r="K428" s="50" t="str">
        <f>RawList!G398</f>
        <v>https://cdn.sparkfun.com/r/92-92/assets/parts/1/1/3/2/7/13875-02.jpg</v>
      </c>
      <c r="L428" s="50"/>
      <c r="M428" s="50" t="str">
        <f>RawList!F398</f>
        <v>https://www.sparkfun.com/products/13875</v>
      </c>
    </row>
    <row r="429" spans="2:13" x14ac:dyDescent="0.3">
      <c r="B429" s="50" t="str">
        <f>RawList!A399</f>
        <v>Low-Level Electronics</v>
      </c>
      <c r="C429" s="50" t="str">
        <f>RawList!B399</f>
        <v>Headers, Stackable</v>
      </c>
      <c r="D429" s="50" t="str">
        <f>RawList!C399</f>
        <v>SparkFun</v>
      </c>
      <c r="E429" s="50" t="str">
        <f>RawList!H399</f>
        <v>Stackable Header - 2x23 Pin Female</v>
      </c>
      <c r="F429" s="50" t="str">
        <f>RawList!D399</f>
        <v>PRT-12790</v>
      </c>
      <c r="G429" s="137">
        <f>RawList!E399</f>
        <v>1</v>
      </c>
      <c r="H429" s="50" t="str">
        <f>IF(EquipmentTable[[#This Row],[Units]]&gt;0,"Quantity &gt; 0 Items","Quantity = 0 Items")</f>
        <v>Quantity &gt; 0 Items</v>
      </c>
      <c r="I429" s="141">
        <f>RawList!J399</f>
        <v>2.95</v>
      </c>
      <c r="J429" s="24">
        <f>VALUE(EquipmentTable[[#This Row],[Units]]*EquipmentTable[[#This Row],[Unit
 Price]])</f>
        <v>2.95</v>
      </c>
      <c r="K429" s="50" t="str">
        <f>RawList!G399</f>
        <v>https://cdn.sparkfun.com/r/92-92/assets/parts/9/6/0/8/12790-01.jpg</v>
      </c>
      <c r="L429" s="50"/>
      <c r="M429" s="50" t="str">
        <f>RawList!F399</f>
        <v>https://www.sparkfun.com/products/12790</v>
      </c>
    </row>
    <row r="430" spans="2:13" x14ac:dyDescent="0.3">
      <c r="B430" s="50" t="str">
        <f>RawList!A400</f>
        <v>Low-Level Electronics</v>
      </c>
      <c r="C430" s="50" t="str">
        <f>RawList!B400</f>
        <v>Headers, Stackable</v>
      </c>
      <c r="D430" s="50" t="str">
        <f>RawList!C400</f>
        <v>SparkFun</v>
      </c>
      <c r="E430" s="50" t="str">
        <f>RawList!H400</f>
        <v>Arduino Stackable Header Kit</v>
      </c>
      <c r="F430" s="50" t="str">
        <f>RawList!D400</f>
        <v>PRT-10007</v>
      </c>
      <c r="G430" s="137">
        <f>RawList!E400</f>
        <v>0</v>
      </c>
      <c r="H430" s="50" t="str">
        <f>IF(EquipmentTable[[#This Row],[Units]]&gt;0,"Quantity &gt; 0 Items","Quantity = 0 Items")</f>
        <v>Quantity = 0 Items</v>
      </c>
      <c r="I430" s="141">
        <f>RawList!J400</f>
        <v>1.5</v>
      </c>
      <c r="J430" s="24">
        <f>VALUE(EquipmentTable[[#This Row],[Units]]*EquipmentTable[[#This Row],[Unit
 Price]])</f>
        <v>0</v>
      </c>
      <c r="K430" s="50" t="str">
        <f>RawList!G400</f>
        <v>https://cdn.sparkfun.com/r/92-92/assets/parts/4/1/6/6/10007-01.jpg</v>
      </c>
      <c r="L430" s="50"/>
      <c r="M430" s="50" t="str">
        <f>RawList!F400</f>
        <v>https://www.sparkfun.com/products/10007</v>
      </c>
    </row>
    <row r="431" spans="2:13" x14ac:dyDescent="0.3">
      <c r="B431" s="50" t="str">
        <f>RawList!A401</f>
        <v>Low-Level Electronics</v>
      </c>
      <c r="C431" s="50" t="str">
        <f>RawList!B401</f>
        <v>Headers, Stackable</v>
      </c>
      <c r="D431" s="50" t="str">
        <f>RawList!C401</f>
        <v>SparkFun</v>
      </c>
      <c r="E431" s="50" t="str">
        <f>RawList!H401</f>
        <v>Arduino Stackable Header - 10 Pin</v>
      </c>
      <c r="F431" s="50" t="str">
        <f>RawList!D401</f>
        <v>PRT-11376</v>
      </c>
      <c r="G431" s="137">
        <f>RawList!E401</f>
        <v>0</v>
      </c>
      <c r="H431" s="50" t="str">
        <f>IF(EquipmentTable[[#This Row],[Units]]&gt;0,"Quantity &gt; 0 Items","Quantity = 0 Items")</f>
        <v>Quantity = 0 Items</v>
      </c>
      <c r="I431" s="141">
        <f>RawList!J401</f>
        <v>0.5</v>
      </c>
      <c r="J431" s="24">
        <f>VALUE(EquipmentTable[[#This Row],[Units]]*EquipmentTable[[#This Row],[Unit
 Price]])</f>
        <v>0</v>
      </c>
      <c r="K431" s="50" t="str">
        <f>RawList!G401</f>
        <v>https://cdn.sparkfun.com/r/92-92/assets/parts/7/1/2/2/11376-01a.jpg</v>
      </c>
      <c r="L431" s="50"/>
      <c r="M431" s="50" t="str">
        <f>RawList!F401</f>
        <v>https://www.sparkfun.com/products/11376</v>
      </c>
    </row>
    <row r="432" spans="2:13" x14ac:dyDescent="0.3">
      <c r="B432" s="50" t="str">
        <f>RawList!A402</f>
        <v>Low-Level Electronics</v>
      </c>
      <c r="C432" s="50" t="str">
        <f>RawList!B402</f>
        <v>Headers, Stackable</v>
      </c>
      <c r="D432" s="50" t="str">
        <f>RawList!C402</f>
        <v>SparkFun</v>
      </c>
      <c r="E432" s="50" t="str">
        <f>RawList!H402</f>
        <v>ESP32 Thing Stackable Header Set</v>
      </c>
      <c r="F432" s="50" t="str">
        <f>RawList!D402</f>
        <v>PRT-14311</v>
      </c>
      <c r="G432" s="137">
        <f>RawList!E402</f>
        <v>0</v>
      </c>
      <c r="H432" s="50" t="str">
        <f>IF(EquipmentTable[[#This Row],[Units]]&gt;0,"Quantity &gt; 0 Items","Quantity = 0 Items")</f>
        <v>Quantity = 0 Items</v>
      </c>
      <c r="I432" s="141">
        <f>RawList!J402</f>
        <v>1.5</v>
      </c>
      <c r="J432" s="24">
        <f>VALUE(EquipmentTable[[#This Row],[Units]]*EquipmentTable[[#This Row],[Unit
 Price]])</f>
        <v>0</v>
      </c>
      <c r="K432" s="50" t="str">
        <f>RawList!G402</f>
        <v>https://cdn.sparkfun.com/r/92-92/assets/parts/1/2/2/7/9/14311-01.jpg</v>
      </c>
      <c r="L432" s="50"/>
      <c r="M432" s="50" t="str">
        <f>RawList!F402</f>
        <v>https://www.sparkfun.com/products/14311</v>
      </c>
    </row>
    <row r="433" spans="2:13" x14ac:dyDescent="0.3">
      <c r="B433" s="50" t="str">
        <f>RawList!A403</f>
        <v>Low-Level Electronics</v>
      </c>
      <c r="C433" s="50" t="str">
        <f>RawList!B403</f>
        <v>Headers, Stackable</v>
      </c>
      <c r="D433" s="50" t="str">
        <f>RawList!C403</f>
        <v>SparkFun</v>
      </c>
      <c r="E433" s="50" t="str">
        <f>RawList!H403</f>
        <v>Photon Stackable Header - 12 Pin</v>
      </c>
      <c r="F433" s="50" t="str">
        <f>RawList!D403</f>
        <v>PRT-14322</v>
      </c>
      <c r="G433" s="137">
        <f>RawList!E403</f>
        <v>0</v>
      </c>
      <c r="H433" s="50" t="str">
        <f>IF(EquipmentTable[[#This Row],[Units]]&gt;0,"Quantity &gt; 0 Items","Quantity = 0 Items")</f>
        <v>Quantity = 0 Items</v>
      </c>
      <c r="I433" s="141">
        <f>RawList!J403</f>
        <v>0.5</v>
      </c>
      <c r="J433" s="24">
        <f>VALUE(EquipmentTable[[#This Row],[Units]]*EquipmentTable[[#This Row],[Unit
 Price]])</f>
        <v>0</v>
      </c>
      <c r="K433" s="50" t="str">
        <f>RawList!G403</f>
        <v>https://cdn.sparkfun.com/r/92-92/assets/parts/1/0/6/5/6/14322-02.jpg</v>
      </c>
      <c r="L433" s="50"/>
      <c r="M433" s="50" t="str">
        <f>RawList!F403</f>
        <v>https://www.sparkfun.com/products/14322</v>
      </c>
    </row>
    <row r="434" spans="2:13" x14ac:dyDescent="0.3">
      <c r="B434" s="50" t="str">
        <f>RawList!A404</f>
        <v>Low-Level Electronics</v>
      </c>
      <c r="C434" s="50" t="str">
        <f>RawList!B404</f>
        <v>Headers, Stackable</v>
      </c>
      <c r="D434" s="50" t="str">
        <f>RawList!C404</f>
        <v>SparkFun</v>
      </c>
      <c r="E434" s="50" t="str">
        <f>RawList!H404</f>
        <v>Teensy Header Kit</v>
      </c>
      <c r="F434" s="50" t="str">
        <f>RawList!D404</f>
        <v>PRT-13925</v>
      </c>
      <c r="G434" s="137">
        <f>RawList!E404</f>
        <v>0</v>
      </c>
      <c r="H434" s="50" t="str">
        <f>IF(EquipmentTable[[#This Row],[Units]]&gt;0,"Quantity &gt; 0 Items","Quantity = 0 Items")</f>
        <v>Quantity = 0 Items</v>
      </c>
      <c r="I434" s="141">
        <f>RawList!J404</f>
        <v>1.5</v>
      </c>
      <c r="J434" s="24">
        <f>VALUE(EquipmentTable[[#This Row],[Units]]*EquipmentTable[[#This Row],[Unit
 Price]])</f>
        <v>0</v>
      </c>
      <c r="K434" s="50" t="str">
        <f>RawList!G404</f>
        <v>https://cdn.sparkfun.com/r/92-92/assets/parts/1/1/5/9/7/13925-01.jpg</v>
      </c>
      <c r="L434" s="50"/>
      <c r="M434" s="50" t="str">
        <f>RawList!F404</f>
        <v>https://www.sparkfun.com/products/13925</v>
      </c>
    </row>
    <row r="435" spans="2:13" x14ac:dyDescent="0.3">
      <c r="B435" s="50" t="str">
        <f>RawList!A405</f>
        <v>Low-Level Electronics</v>
      </c>
      <c r="C435" s="50" t="str">
        <f>RawList!B405</f>
        <v>Headers, Stackable</v>
      </c>
      <c r="D435" s="50" t="str">
        <f>RawList!C405</f>
        <v>Adafruit</v>
      </c>
      <c r="E435" s="50" t="str">
        <f>RawList!H405</f>
        <v>Shield stacking headers for Arduino (R3 Compatible)</v>
      </c>
      <c r="F435" s="50" t="str">
        <f>RawList!D405</f>
        <v>85</v>
      </c>
      <c r="G435" s="137">
        <f>RawList!E405</f>
        <v>5</v>
      </c>
      <c r="H435" s="50" t="str">
        <f>IF(EquipmentTable[[#This Row],[Units]]&gt;0,"Quantity &gt; 0 Items","Quantity = 0 Items")</f>
        <v>Quantity &gt; 0 Items</v>
      </c>
      <c r="I435" s="141">
        <f>RawList!J405</f>
        <v>1.95</v>
      </c>
      <c r="J435" s="24">
        <f>VALUE(EquipmentTable[[#This Row],[Units]]*EquipmentTable[[#This Row],[Unit
 Price]])</f>
        <v>9.75</v>
      </c>
      <c r="K435" s="50">
        <f>RawList!G405</f>
        <v>0</v>
      </c>
      <c r="L435" s="50"/>
      <c r="M435" s="50">
        <f>RawList!F405</f>
        <v>0</v>
      </c>
    </row>
    <row r="436" spans="2:13" x14ac:dyDescent="0.3">
      <c r="B436" s="50" t="str">
        <f>RawList!A406</f>
        <v>Low-Level Electronics</v>
      </c>
      <c r="C436" s="50" t="str">
        <f>RawList!B406</f>
        <v>Headers, Stackable</v>
      </c>
      <c r="D436" s="50" t="str">
        <f>RawList!C406</f>
        <v>Adafruit</v>
      </c>
      <c r="E436" s="50" t="str">
        <f>RawList!H406</f>
        <v>36-pin Stacking header - pack of 5!</v>
      </c>
      <c r="F436" s="50" t="str">
        <f>RawList!D406</f>
        <v>3366</v>
      </c>
      <c r="G436" s="137">
        <f>RawList!E406</f>
        <v>1</v>
      </c>
      <c r="H436" s="50" t="str">
        <f>IF(EquipmentTable[[#This Row],[Units]]&gt;0,"Quantity &gt; 0 Items","Quantity = 0 Items")</f>
        <v>Quantity &gt; 0 Items</v>
      </c>
      <c r="I436" s="141">
        <f>RawList!J406</f>
        <v>2.95</v>
      </c>
      <c r="J436" s="24">
        <f>VALUE(EquipmentTable[[#This Row],[Units]]*EquipmentTable[[#This Row],[Unit
 Price]])</f>
        <v>2.95</v>
      </c>
      <c r="K436" s="50">
        <f>RawList!G406</f>
        <v>0</v>
      </c>
      <c r="L436" s="50"/>
      <c r="M436" s="50">
        <f>RawList!F406</f>
        <v>0</v>
      </c>
    </row>
    <row r="437" spans="2:13" x14ac:dyDescent="0.3">
      <c r="B437" s="50" t="str">
        <f>RawList!A407</f>
        <v>Low-Level Electronics</v>
      </c>
      <c r="C437" s="50" t="str">
        <f>RawList!B407</f>
        <v>Headers, Male</v>
      </c>
      <c r="D437" s="50" t="str">
        <f>RawList!C407</f>
        <v>SparkFun</v>
      </c>
      <c r="E437" s="50" t="str">
        <f>RawList!H407</f>
        <v>Header - 2x3 (Male, 0.1\")</v>
      </c>
      <c r="F437" s="50" t="str">
        <f>RawList!D407</f>
        <v>PRT-12807</v>
      </c>
      <c r="G437" s="137">
        <f>RawList!E407</f>
        <v>0</v>
      </c>
      <c r="H437" s="50" t="str">
        <f>IF(EquipmentTable[[#This Row],[Units]]&gt;0,"Quantity &gt; 0 Items","Quantity = 0 Items")</f>
        <v>Quantity = 0 Items</v>
      </c>
      <c r="I437" s="141">
        <f>RawList!J407</f>
        <v>0.5</v>
      </c>
      <c r="J437" s="24">
        <f>VALUE(EquipmentTable[[#This Row],[Units]]*EquipmentTable[[#This Row],[Unit
 Price]])</f>
        <v>0</v>
      </c>
      <c r="K437" s="50" t="str">
        <f>RawList!G407</f>
        <v>https://cdn.sparkfun.com/r/92-92/assets/parts/3/8/1/2/12807-02.jpg</v>
      </c>
      <c r="L437" s="50"/>
      <c r="M437" s="50" t="str">
        <f>RawList!F407</f>
        <v>https://www.sparkfun.com/products/12807</v>
      </c>
    </row>
    <row r="438" spans="2:13" x14ac:dyDescent="0.3">
      <c r="B438" s="50" t="str">
        <f>RawList!A408</f>
        <v>Low-Level Electronics</v>
      </c>
      <c r="C438" s="50" t="str">
        <f>RawList!B408</f>
        <v>Headers, Male</v>
      </c>
      <c r="D438" s="50" t="str">
        <f>RawList!C408</f>
        <v>SparkFun</v>
      </c>
      <c r="E438" s="50" t="str">
        <f>RawList!H408</f>
        <v xml:space="preserve">Header - 2x8 (Male, 0.1\") </v>
      </c>
      <c r="F438" s="50" t="str">
        <f>RawList!D408</f>
        <v>PRT-13156</v>
      </c>
      <c r="G438" s="137">
        <f>RawList!E408</f>
        <v>0</v>
      </c>
      <c r="H438" s="50" t="str">
        <f>IF(EquipmentTable[[#This Row],[Units]]&gt;0,"Quantity &gt; 0 Items","Quantity = 0 Items")</f>
        <v>Quantity = 0 Items</v>
      </c>
      <c r="I438" s="141">
        <f>RawList!J408</f>
        <v>0.95</v>
      </c>
      <c r="J438" s="24">
        <f>VALUE(EquipmentTable[[#This Row],[Units]]*EquipmentTable[[#This Row],[Unit
 Price]])</f>
        <v>0</v>
      </c>
      <c r="K438" s="50" t="str">
        <f>RawList!G408</f>
        <v>https://cdn.sparkfun.com/r/92-92/assets/parts/5/6/1/7/13156-01.jpg</v>
      </c>
      <c r="L438" s="50"/>
      <c r="M438" s="50" t="str">
        <f>RawList!F408</f>
        <v>https://www.sparkfun.com/products/13156</v>
      </c>
    </row>
    <row r="439" spans="2:13" x14ac:dyDescent="0.3">
      <c r="B439" s="50" t="str">
        <f>RawList!A409</f>
        <v>Low-Level Electronics</v>
      </c>
      <c r="C439" s="50" t="str">
        <f>RawList!B409</f>
        <v>Headers, Male</v>
      </c>
      <c r="D439" s="50" t="str">
        <f>RawList!C409</f>
        <v>SparkFun</v>
      </c>
      <c r="E439" s="50" t="str">
        <f>RawList!H409</f>
        <v>Header - 2x23-pin Male (PTH, 0.1\")</v>
      </c>
      <c r="F439" s="50" t="str">
        <f>RawList!D409</f>
        <v>PRT-12791</v>
      </c>
      <c r="G439" s="137">
        <f>RawList!E409</f>
        <v>1</v>
      </c>
      <c r="H439" s="50" t="str">
        <f>IF(EquipmentTable[[#This Row],[Units]]&gt;0,"Quantity &gt; 0 Items","Quantity = 0 Items")</f>
        <v>Quantity &gt; 0 Items</v>
      </c>
      <c r="I439" s="141">
        <f>RawList!J409</f>
        <v>0.95</v>
      </c>
      <c r="J439" s="24">
        <f>VALUE(EquipmentTable[[#This Row],[Units]]*EquipmentTable[[#This Row],[Unit
 Price]])</f>
        <v>0.95</v>
      </c>
      <c r="K439" s="50" t="str">
        <f>RawList!G409</f>
        <v>https://cdn.sparkfun.com/r/92-92/assets/parts/9/6/0/9/12791-01.jpg</v>
      </c>
      <c r="L439" s="50"/>
      <c r="M439" s="50" t="str">
        <f>RawList!F409</f>
        <v>https://www.sparkfun.com/products/12791</v>
      </c>
    </row>
    <row r="440" spans="2:13" x14ac:dyDescent="0.3">
      <c r="B440" s="50" t="str">
        <f>RawList!A410</f>
        <v>Low-Level Electronics</v>
      </c>
      <c r="C440" s="50" t="str">
        <f>RawList!B410</f>
        <v>Headers, Male</v>
      </c>
      <c r="D440" s="50" t="str">
        <f>RawList!C410</f>
        <v>SparkFun</v>
      </c>
      <c r="E440" s="50" t="str">
        <f>RawList!H410</f>
        <v>Break Away Headers - Straight</v>
      </c>
      <c r="F440" s="50" t="str">
        <f>RawList!D410</f>
        <v>PRT-00116</v>
      </c>
      <c r="G440" s="137">
        <f>RawList!E410</f>
        <v>0</v>
      </c>
      <c r="H440" s="50" t="str">
        <f>IF(EquipmentTable[[#This Row],[Units]]&gt;0,"Quantity &gt; 0 Items","Quantity = 0 Items")</f>
        <v>Quantity = 0 Items</v>
      </c>
      <c r="I440" s="141">
        <f>RawList!J410</f>
        <v>1.5</v>
      </c>
      <c r="J440" s="24">
        <f>VALUE(EquipmentTable[[#This Row],[Units]]*EquipmentTable[[#This Row],[Unit
 Price]])</f>
        <v>0</v>
      </c>
      <c r="K440" s="50" t="str">
        <f>RawList!G410</f>
        <v>https://cdn.sparkfun.com/r/92-92/assets/parts/1/0/6/00116-02-L.jpg</v>
      </c>
      <c r="L440" s="50"/>
      <c r="M440" s="50" t="str">
        <f>RawList!F410</f>
        <v>https://www.sparkfun.com/products/116</v>
      </c>
    </row>
    <row r="441" spans="2:13" x14ac:dyDescent="0.3">
      <c r="B441" s="50" t="str">
        <f>RawList!A411</f>
        <v>Low-Level Electronics</v>
      </c>
      <c r="C441" s="50" t="str">
        <f>RawList!B411</f>
        <v>Headers, Male</v>
      </c>
      <c r="D441" s="50" t="str">
        <f>RawList!C411</f>
        <v>Adafruit</v>
      </c>
      <c r="E441" s="50" t="str">
        <f>RawList!H411</f>
        <v>Break-away 0.1" 36-pin strip male header (10 pieces)</v>
      </c>
      <c r="F441" s="50" t="str">
        <f>RawList!D411</f>
        <v>392</v>
      </c>
      <c r="G441" s="137">
        <f>RawList!E411</f>
        <v>1</v>
      </c>
      <c r="H441" s="50" t="str">
        <f>IF(EquipmentTable[[#This Row],[Units]]&gt;0,"Quantity &gt; 0 Items","Quantity = 0 Items")</f>
        <v>Quantity &gt; 0 Items</v>
      </c>
      <c r="I441" s="141">
        <f>RawList!J411</f>
        <v>4.95</v>
      </c>
      <c r="J441" s="24">
        <f>VALUE(EquipmentTable[[#This Row],[Units]]*EquipmentTable[[#This Row],[Unit
 Price]])</f>
        <v>4.95</v>
      </c>
      <c r="K441" s="50">
        <f>RawList!G411</f>
        <v>0</v>
      </c>
      <c r="L441" s="50"/>
      <c r="M441" s="50">
        <f>RawList!F411</f>
        <v>0</v>
      </c>
    </row>
    <row r="442" spans="2:13" x14ac:dyDescent="0.3">
      <c r="B442" s="50" t="str">
        <f>RawList!A412</f>
        <v>Low-Level Electronics</v>
      </c>
      <c r="C442" s="50" t="str">
        <f>RawList!B412</f>
        <v>Headers, Male</v>
      </c>
      <c r="D442" s="50" t="str">
        <f>RawList!C412</f>
        <v>Adafruit</v>
      </c>
      <c r="E442" s="50" t="str">
        <f>RawList!H412</f>
        <v xml:space="preserve">36-pin 0.1" Short Break-away Male Header - Pack of 10 </v>
      </c>
      <c r="F442" s="50" t="str">
        <f>RawList!D412</f>
        <v>3009</v>
      </c>
      <c r="G442" s="137">
        <f>RawList!E412</f>
        <v>1</v>
      </c>
      <c r="H442" s="50" t="str">
        <f>IF(EquipmentTable[[#This Row],[Units]]&gt;0,"Quantity &gt; 0 Items","Quantity = 0 Items")</f>
        <v>Quantity &gt; 0 Items</v>
      </c>
      <c r="I442" s="141">
        <f>RawList!J412</f>
        <v>4.95</v>
      </c>
      <c r="J442" s="24">
        <f>VALUE(EquipmentTable[[#This Row],[Units]]*EquipmentTable[[#This Row],[Unit
 Price]])</f>
        <v>4.95</v>
      </c>
      <c r="K442" s="50">
        <f>RawList!G412</f>
        <v>0</v>
      </c>
      <c r="L442" s="50"/>
      <c r="M442" s="50">
        <f>RawList!F412</f>
        <v>0</v>
      </c>
    </row>
    <row r="443" spans="2:13" x14ac:dyDescent="0.3">
      <c r="B443" s="50" t="str">
        <f>RawList!A413</f>
        <v>Low-Level Electronics</v>
      </c>
      <c r="C443" s="50" t="str">
        <f>RawList!B413</f>
        <v>Headers, Male</v>
      </c>
      <c r="D443" s="50" t="str">
        <f>RawList!C413</f>
        <v>SparkFun</v>
      </c>
      <c r="E443" s="50" t="str">
        <f>RawList!H413</f>
        <v>Break Away Headers - Long</v>
      </c>
      <c r="F443" s="50" t="str">
        <f>RawList!D413</f>
        <v>PRT-10158</v>
      </c>
      <c r="G443" s="137">
        <f>RawList!E413</f>
        <v>5</v>
      </c>
      <c r="H443" s="50" t="str">
        <f>IF(EquipmentTable[[#This Row],[Units]]&gt;0,"Quantity &gt; 0 Items","Quantity = 0 Items")</f>
        <v>Quantity &gt; 0 Items</v>
      </c>
      <c r="I443" s="141">
        <f>RawList!J413</f>
        <v>2.95</v>
      </c>
      <c r="J443" s="24">
        <f>VALUE(EquipmentTable[[#This Row],[Units]]*EquipmentTable[[#This Row],[Unit
 Price]])</f>
        <v>14.75</v>
      </c>
      <c r="K443" s="50" t="str">
        <f>RawList!G413</f>
        <v>https://cdn.sparkfun.com/r/92-92/assets/parts/4/4/5/2/10158-01.jpg</v>
      </c>
      <c r="L443" s="50"/>
      <c r="M443" s="50" t="str">
        <f>RawList!F413</f>
        <v>https://www.sparkfun.com/products/10158</v>
      </c>
    </row>
    <row r="444" spans="2:13" x14ac:dyDescent="0.3">
      <c r="B444" s="50" t="str">
        <f>RawList!A414</f>
        <v>Low-Level Electronics</v>
      </c>
      <c r="C444" s="50" t="str">
        <f>RawList!B414</f>
        <v>Headers, Male</v>
      </c>
      <c r="D444" s="50" t="str">
        <f>RawList!C414</f>
        <v>SparkFun</v>
      </c>
      <c r="E444" s="50" t="str">
        <f>RawList!H414</f>
        <v>Break Away Headers - 40-pin Male (Long Centered, PTH, 0.1\")</v>
      </c>
      <c r="F444" s="50" t="str">
        <f>RawList!D414</f>
        <v>PRT-12693</v>
      </c>
      <c r="G444" s="137">
        <f>RawList!E414</f>
        <v>5</v>
      </c>
      <c r="H444" s="50" t="str">
        <f>IF(EquipmentTable[[#This Row],[Units]]&gt;0,"Quantity &gt; 0 Items","Quantity = 0 Items")</f>
        <v>Quantity &gt; 0 Items</v>
      </c>
      <c r="I444" s="141">
        <f>RawList!J414</f>
        <v>0.75</v>
      </c>
      <c r="J444" s="24">
        <f>VALUE(EquipmentTable[[#This Row],[Units]]*EquipmentTable[[#This Row],[Unit
 Price]])</f>
        <v>3.75</v>
      </c>
      <c r="K444" s="50" t="str">
        <f>RawList!G414</f>
        <v>https://cdn.sparkfun.com/r/92-92/assets/parts/9/4/2/7/12693-02.jpg</v>
      </c>
      <c r="L444" s="50"/>
      <c r="M444" s="50" t="str">
        <f>RawList!F414</f>
        <v>https://www.sparkfun.com/products/12693</v>
      </c>
    </row>
    <row r="445" spans="2:13" x14ac:dyDescent="0.3">
      <c r="B445" s="50" t="str">
        <f>RawList!A415</f>
        <v>Low-Level Electronics</v>
      </c>
      <c r="C445" s="50" t="str">
        <f>RawList!B415</f>
        <v>Headers, Male</v>
      </c>
      <c r="D445" s="50" t="str">
        <f>RawList!C415</f>
        <v>Adafruit</v>
      </c>
      <c r="E445" s="50" t="str">
        <f>RawList!H415</f>
        <v>Extra-long break-away 0.1" 16-pin strip male header (5 pieces)</v>
      </c>
      <c r="F445" s="50" t="str">
        <f>RawList!D415</f>
        <v>400</v>
      </c>
      <c r="G445" s="137">
        <f>RawList!E415</f>
        <v>0</v>
      </c>
      <c r="H445" s="50" t="str">
        <f>IF(EquipmentTable[[#This Row],[Units]]&gt;0,"Quantity &gt; 0 Items","Quantity = 0 Items")</f>
        <v>Quantity = 0 Items</v>
      </c>
      <c r="I445" s="141">
        <f>RawList!J415</f>
        <v>3</v>
      </c>
      <c r="J445" s="24">
        <f>VALUE(EquipmentTable[[#This Row],[Units]]*EquipmentTable[[#This Row],[Unit
 Price]])</f>
        <v>0</v>
      </c>
      <c r="K445" s="50">
        <f>RawList!G415</f>
        <v>0</v>
      </c>
      <c r="L445" s="50"/>
      <c r="M445" s="50">
        <f>RawList!F415</f>
        <v>0</v>
      </c>
    </row>
    <row r="446" spans="2:13" x14ac:dyDescent="0.3">
      <c r="B446" s="50" t="str">
        <f>RawList!A416</f>
        <v>Low-Level Electronics</v>
      </c>
      <c r="C446" s="50" t="str">
        <f>RawList!B416</f>
        <v>Headers, Male</v>
      </c>
      <c r="D446" s="50" t="str">
        <f>RawList!C416</f>
        <v>SparkFun</v>
      </c>
      <c r="E446" s="50" t="str">
        <f>RawList!H416</f>
        <v>Break Away Male Headers - Right Angle</v>
      </c>
      <c r="F446" s="50" t="str">
        <f>RawList!D416</f>
        <v>PRT-00553</v>
      </c>
      <c r="G446" s="137">
        <f>RawList!E416</f>
        <v>0</v>
      </c>
      <c r="H446" s="50" t="str">
        <f>IF(EquipmentTable[[#This Row],[Units]]&gt;0,"Quantity &gt; 0 Items","Quantity = 0 Items")</f>
        <v>Quantity = 0 Items</v>
      </c>
      <c r="I446" s="141">
        <f>RawList!J416</f>
        <v>1.95</v>
      </c>
      <c r="J446" s="24">
        <f>VALUE(EquipmentTable[[#This Row],[Units]]*EquipmentTable[[#This Row],[Unit
 Price]])</f>
        <v>0</v>
      </c>
      <c r="K446" s="50" t="str">
        <f>RawList!G416</f>
        <v>https://cdn.sparkfun.com/r/92-92/assets/parts/3/7/8/00553-03-L.jpg</v>
      </c>
      <c r="L446" s="50"/>
      <c r="M446" s="50" t="str">
        <f>RawList!F416</f>
        <v>https://www.sparkfun.com/products/553</v>
      </c>
    </row>
    <row r="447" spans="2:13" x14ac:dyDescent="0.3">
      <c r="B447" s="50" t="str">
        <f>RawList!A417</f>
        <v>Low-Level Electronics</v>
      </c>
      <c r="C447" s="50" t="str">
        <f>RawList!B417</f>
        <v>Headers, Male</v>
      </c>
      <c r="D447" s="50" t="str">
        <f>RawList!C417</f>
        <v>Adafruit</v>
      </c>
      <c r="E447" s="50" t="str">
        <f>RawList!H417</f>
        <v xml:space="preserve">Break-away 0.1" 36-pin strip right-angle male header (10 pack) </v>
      </c>
      <c r="F447" s="50" t="str">
        <f>RawList!D417</f>
        <v>1540</v>
      </c>
      <c r="G447" s="137">
        <f>RawList!E417</f>
        <v>0</v>
      </c>
      <c r="H447" s="50" t="str">
        <f>IF(EquipmentTable[[#This Row],[Units]]&gt;0,"Quantity &gt; 0 Items","Quantity = 0 Items")</f>
        <v>Quantity = 0 Items</v>
      </c>
      <c r="I447" s="141">
        <f>RawList!J417</f>
        <v>5.95</v>
      </c>
      <c r="J447" s="24">
        <f>VALUE(EquipmentTable[[#This Row],[Units]]*EquipmentTable[[#This Row],[Unit
 Price]])</f>
        <v>0</v>
      </c>
      <c r="K447" s="50">
        <f>RawList!G417</f>
        <v>0</v>
      </c>
      <c r="L447" s="50"/>
      <c r="M447" s="50">
        <f>RawList!F417</f>
        <v>0</v>
      </c>
    </row>
    <row r="448" spans="2:13" x14ac:dyDescent="0.3">
      <c r="B448" s="50" t="str">
        <f>RawList!A418</f>
        <v>Low-Level Electronics</v>
      </c>
      <c r="C448" s="50" t="str">
        <f>RawList!B418</f>
        <v>Headers, Male</v>
      </c>
      <c r="D448" s="50" t="str">
        <f>RawList!C418</f>
        <v>Adafruit</v>
      </c>
      <c r="E448" s="50" t="str">
        <f>RawList!H418</f>
        <v>Break-away 0.1" 2x20-pin Strip Dual Male Header</v>
      </c>
      <c r="F448" s="50" t="str">
        <f>RawList!D418</f>
        <v>2822</v>
      </c>
      <c r="G448" s="137">
        <f>RawList!E418</f>
        <v>0</v>
      </c>
      <c r="H448" s="50" t="str">
        <f>IF(EquipmentTable[[#This Row],[Units]]&gt;0,"Quantity &gt; 0 Items","Quantity = 0 Items")</f>
        <v>Quantity = 0 Items</v>
      </c>
      <c r="I448" s="141">
        <f>RawList!J418</f>
        <v>0.95</v>
      </c>
      <c r="J448" s="24">
        <f>VALUE(EquipmentTable[[#This Row],[Units]]*EquipmentTable[[#This Row],[Unit
 Price]])</f>
        <v>0</v>
      </c>
      <c r="K448" s="50">
        <f>RawList!G418</f>
        <v>0</v>
      </c>
      <c r="L448" s="50"/>
      <c r="M448" s="50">
        <f>RawList!F418</f>
        <v>0</v>
      </c>
    </row>
    <row r="449" spans="2:13" x14ac:dyDescent="0.3">
      <c r="B449" s="50" t="str">
        <f>RawList!A419</f>
        <v>Low-Level Electronics</v>
      </c>
      <c r="C449" s="50" t="str">
        <f>RawList!B419</f>
        <v>Headers, Male</v>
      </c>
      <c r="D449" s="50" t="str">
        <f>RawList!C419</f>
        <v>Adafruit</v>
      </c>
      <c r="E449" s="50" t="str">
        <f>RawList!H419</f>
        <v>Break-away 0.1" 2x36-pin strip dual male header (10 pieces)</v>
      </c>
      <c r="F449" s="50" t="str">
        <f>RawList!D419</f>
        <v>1539</v>
      </c>
      <c r="G449" s="137">
        <f>RawList!E419</f>
        <v>1</v>
      </c>
      <c r="H449" s="50" t="str">
        <f>IF(EquipmentTable[[#This Row],[Units]]&gt;0,"Quantity &gt; 0 Items","Quantity = 0 Items")</f>
        <v>Quantity &gt; 0 Items</v>
      </c>
      <c r="I449" s="141">
        <f>RawList!J419</f>
        <v>7.5</v>
      </c>
      <c r="J449" s="24">
        <f>VALUE(EquipmentTable[[#This Row],[Units]]*EquipmentTable[[#This Row],[Unit
 Price]])</f>
        <v>7.5</v>
      </c>
      <c r="K449" s="50">
        <f>RawList!G419</f>
        <v>0</v>
      </c>
      <c r="L449" s="50"/>
      <c r="M449" s="50">
        <f>RawList!F419</f>
        <v>0</v>
      </c>
    </row>
    <row r="450" spans="2:13" x14ac:dyDescent="0.3">
      <c r="B450" s="50" t="str">
        <f>RawList!A420</f>
        <v>Low-Level Electronics</v>
      </c>
      <c r="C450" s="50" t="str">
        <f>RawList!B420</f>
        <v>Headers, Male</v>
      </c>
      <c r="D450" s="50" t="str">
        <f>RawList!C420</f>
        <v>Adafruit</v>
      </c>
      <c r="E450" s="50" t="str">
        <f>RawList!H420</f>
        <v xml:space="preserve">Break-away 0.1" 2x36-pin strip right-angle male header (5 pack) </v>
      </c>
      <c r="F450" s="50" t="str">
        <f>RawList!D420</f>
        <v>1541</v>
      </c>
      <c r="G450" s="137">
        <f>RawList!E420</f>
        <v>1</v>
      </c>
      <c r="H450" s="50" t="str">
        <f>IF(EquipmentTable[[#This Row],[Units]]&gt;0,"Quantity &gt; 0 Items","Quantity = 0 Items")</f>
        <v>Quantity &gt; 0 Items</v>
      </c>
      <c r="I450" s="141">
        <f>RawList!J420</f>
        <v>5.95</v>
      </c>
      <c r="J450" s="24">
        <f>VALUE(EquipmentTable[[#This Row],[Units]]*EquipmentTable[[#This Row],[Unit
 Price]])</f>
        <v>5.95</v>
      </c>
      <c r="K450" s="50">
        <f>RawList!G420</f>
        <v>0</v>
      </c>
      <c r="L450" s="50"/>
      <c r="M450" s="50">
        <f>RawList!F420</f>
        <v>0</v>
      </c>
    </row>
    <row r="451" spans="2:13" x14ac:dyDescent="0.3">
      <c r="B451" s="50" t="str">
        <f>RawList!A421</f>
        <v>Low-Level Electronics</v>
      </c>
      <c r="C451" s="50" t="str">
        <f>RawList!B421</f>
        <v>Headers, Male</v>
      </c>
      <c r="D451" s="50" t="str">
        <f>RawList!C421</f>
        <v>SparkFun</v>
      </c>
      <c r="E451" s="50" t="str">
        <f>RawList!H421</f>
        <v>Break Away Headers - Right Angle 2x40</v>
      </c>
      <c r="F451" s="50" t="str">
        <f>RawList!D421</f>
        <v>COM-12792</v>
      </c>
      <c r="G451" s="137">
        <f>RawList!E421</f>
        <v>0</v>
      </c>
      <c r="H451" s="50" t="str">
        <f>IF(EquipmentTable[[#This Row],[Units]]&gt;0,"Quantity &gt; 0 Items","Quantity = 0 Items")</f>
        <v>Quantity = 0 Items</v>
      </c>
      <c r="I451" s="141">
        <f>RawList!J421</f>
        <v>1.95</v>
      </c>
      <c r="J451" s="24">
        <f>VALUE(EquipmentTable[[#This Row],[Units]]*EquipmentTable[[#This Row],[Unit
 Price]])</f>
        <v>0</v>
      </c>
      <c r="K451" s="50" t="str">
        <f>RawList!G421</f>
        <v>https://cdn.sparkfun.com/r/92-92/assets/parts/9/6/1/0/12792-01.jpg</v>
      </c>
      <c r="L451" s="50"/>
      <c r="M451" s="50" t="str">
        <f>RawList!F421</f>
        <v>https://www.sparkfun.com/products/12792</v>
      </c>
    </row>
    <row r="452" spans="2:13" x14ac:dyDescent="0.3">
      <c r="B452" s="50" t="str">
        <f>RawList!A422</f>
        <v>Low-Level Electronics</v>
      </c>
      <c r="C452" s="50" t="str">
        <f>RawList!B422</f>
        <v>Headers, Male</v>
      </c>
      <c r="D452" s="50" t="str">
        <f>RawList!C422</f>
        <v>SparkFun</v>
      </c>
      <c r="E452" s="50" t="str">
        <f>RawList!H422</f>
        <v>Break Away Headers - Right Angle 3x40</v>
      </c>
      <c r="F452" s="50" t="str">
        <f>RawList!D422</f>
        <v>COM-10095</v>
      </c>
      <c r="G452" s="137">
        <f>RawList!E422</f>
        <v>0</v>
      </c>
      <c r="H452" s="50" t="str">
        <f>IF(EquipmentTable[[#This Row],[Units]]&gt;0,"Quantity &gt; 0 Items","Quantity = 0 Items")</f>
        <v>Quantity = 0 Items</v>
      </c>
      <c r="I452" s="141">
        <f>RawList!J422</f>
        <v>4.95</v>
      </c>
      <c r="J452" s="24">
        <f>VALUE(EquipmentTable[[#This Row],[Units]]*EquipmentTable[[#This Row],[Unit
 Price]])</f>
        <v>0</v>
      </c>
      <c r="K452" s="50" t="str">
        <f>RawList!G422</f>
        <v>https://cdn.sparkfun.com/r/92-92/assets/parts/4/3/1/9/10095-01.jpg</v>
      </c>
      <c r="L452" s="50"/>
      <c r="M452" s="50" t="str">
        <f>RawList!F422</f>
        <v>https://www.sparkfun.com/products/10095</v>
      </c>
    </row>
    <row r="453" spans="2:13" x14ac:dyDescent="0.3">
      <c r="B453" s="50" t="str">
        <f>RawList!A423</f>
        <v>Low-Level Electronics</v>
      </c>
      <c r="C453" s="50" t="str">
        <f>RawList!B423</f>
        <v>Headers, Male</v>
      </c>
      <c r="D453" s="50" t="str">
        <f>RawList!C423</f>
        <v>SparkFun</v>
      </c>
      <c r="E453" s="50" t="str">
        <f>RawList!H423</f>
        <v>2mm 10pin XBee Header</v>
      </c>
      <c r="F453" s="50" t="str">
        <f>RawList!D423</f>
        <v>PRT-10112</v>
      </c>
      <c r="G453" s="137">
        <f>RawList!E423</f>
        <v>0</v>
      </c>
      <c r="H453" s="50" t="str">
        <f>IF(EquipmentTable[[#This Row],[Units]]&gt;0,"Quantity &gt; 0 Items","Quantity = 0 Items")</f>
        <v>Quantity = 0 Items</v>
      </c>
      <c r="I453" s="141">
        <f>RawList!J423</f>
        <v>0.95</v>
      </c>
      <c r="J453" s="24">
        <f>VALUE(EquipmentTable[[#This Row],[Units]]*EquipmentTable[[#This Row],[Unit
 Price]])</f>
        <v>0</v>
      </c>
      <c r="K453" s="50" t="str">
        <f>RawList!G423</f>
        <v>https://cdn.sparkfun.com/r/92-92/assets/parts/4/3/6/0/10112-01.jpg</v>
      </c>
      <c r="L453" s="50"/>
      <c r="M453" s="50" t="str">
        <f>RawList!F423</f>
        <v>https://www.sparkfun.com/products/10112</v>
      </c>
    </row>
    <row r="454" spans="2:13" x14ac:dyDescent="0.3">
      <c r="B454" s="50" t="str">
        <f>RawList!A424</f>
        <v>Low-Level Electronics</v>
      </c>
      <c r="C454" s="50" t="str">
        <f>RawList!B424</f>
        <v>Headers, Male</v>
      </c>
      <c r="D454" s="50" t="str">
        <f>RawList!C424</f>
        <v>Adafruit</v>
      </c>
      <c r="E454" s="50" t="str">
        <f>RawList!H424</f>
        <v>2mm Pitch 40-Pin Break-apart Male Headers - Pack of 5</v>
      </c>
      <c r="F454" s="50" t="str">
        <f>RawList!D424</f>
        <v>2671</v>
      </c>
      <c r="G454" s="137">
        <f>RawList!E424</f>
        <v>1</v>
      </c>
      <c r="H454" s="50" t="str">
        <f>IF(EquipmentTable[[#This Row],[Units]]&gt;0,"Quantity &gt; 0 Items","Quantity = 0 Items")</f>
        <v>Quantity &gt; 0 Items</v>
      </c>
      <c r="I454" s="141">
        <f>RawList!J424</f>
        <v>2.95</v>
      </c>
      <c r="J454" s="24">
        <f>VALUE(EquipmentTable[[#This Row],[Units]]*EquipmentTable[[#This Row],[Unit
 Price]])</f>
        <v>2.95</v>
      </c>
      <c r="K454" s="50">
        <f>RawList!G424</f>
        <v>0</v>
      </c>
      <c r="L454" s="50"/>
      <c r="M454" s="50">
        <f>RawList!F424</f>
        <v>0</v>
      </c>
    </row>
    <row r="455" spans="2:13" x14ac:dyDescent="0.3">
      <c r="B455" s="50" t="str">
        <f>RawList!A425</f>
        <v>Low-Level Electronics</v>
      </c>
      <c r="C455" s="50" t="str">
        <f>RawList!B425</f>
        <v>Headers, Female</v>
      </c>
      <c r="D455" s="50" t="str">
        <f>RawList!C425</f>
        <v>Adafruit</v>
      </c>
      <c r="E455" s="50" t="str">
        <f>RawList!H425</f>
        <v xml:space="preserve">Feather Header Kit - 12-pin and 16-pin Female Header Set </v>
      </c>
      <c r="F455" s="50" t="str">
        <f>RawList!D425</f>
        <v>2886</v>
      </c>
      <c r="G455" s="137">
        <f>RawList!E425</f>
        <v>0</v>
      </c>
      <c r="H455" s="50" t="str">
        <f>IF(EquipmentTable[[#This Row],[Units]]&gt;0,"Quantity &gt; 0 Items","Quantity = 0 Items")</f>
        <v>Quantity = 0 Items</v>
      </c>
      <c r="I455" s="141">
        <f>RawList!J425</f>
        <v>0.95</v>
      </c>
      <c r="J455" s="24">
        <f>VALUE(EquipmentTable[[#This Row],[Units]]*EquipmentTable[[#This Row],[Unit
 Price]])</f>
        <v>0</v>
      </c>
      <c r="K455" s="50">
        <f>RawList!G425</f>
        <v>0</v>
      </c>
      <c r="L455" s="50"/>
      <c r="M455" s="50">
        <f>RawList!F425</f>
        <v>0</v>
      </c>
    </row>
    <row r="456" spans="2:13" x14ac:dyDescent="0.3">
      <c r="B456" s="50" t="str">
        <f>RawList!A426</f>
        <v>Low-Level Electronics</v>
      </c>
      <c r="C456" s="50" t="str">
        <f>RawList!B426</f>
        <v>Headers, Female</v>
      </c>
      <c r="D456" s="50" t="str">
        <f>RawList!C426</f>
        <v>Adafruit</v>
      </c>
      <c r="E456" s="50" t="str">
        <f>RawList!H426</f>
        <v>36-pin 0.1" Female header - pack of 5!</v>
      </c>
      <c r="F456" s="50" t="str">
        <f>RawList!D426</f>
        <v>598</v>
      </c>
      <c r="G456" s="137">
        <f>RawList!E426</f>
        <v>1</v>
      </c>
      <c r="H456" s="50" t="str">
        <f>IF(EquipmentTable[[#This Row],[Units]]&gt;0,"Quantity &gt; 0 Items","Quantity = 0 Items")</f>
        <v>Quantity &gt; 0 Items</v>
      </c>
      <c r="I456" s="141">
        <f>RawList!J426</f>
        <v>2.95</v>
      </c>
      <c r="J456" s="24">
        <f>VALUE(EquipmentTable[[#This Row],[Units]]*EquipmentTable[[#This Row],[Unit
 Price]])</f>
        <v>2.95</v>
      </c>
      <c r="K456" s="50">
        <f>RawList!G426</f>
        <v>0</v>
      </c>
      <c r="L456" s="50"/>
      <c r="M456" s="50">
        <f>RawList!F426</f>
        <v>0</v>
      </c>
    </row>
    <row r="457" spans="2:13" x14ac:dyDescent="0.3">
      <c r="B457" s="50" t="str">
        <f>RawList!A427</f>
        <v>Low-Level Electronics</v>
      </c>
      <c r="C457" s="50" t="str">
        <f>RawList!B427</f>
        <v>Headers, Female</v>
      </c>
      <c r="D457" s="50" t="str">
        <f>RawList!C427</f>
        <v>Adafruit</v>
      </c>
      <c r="E457" s="50" t="str">
        <f>RawList!H427</f>
        <v xml:space="preserve">36-pin 0.1" Short Female Header - Pack of 5 </v>
      </c>
      <c r="F457" s="50" t="str">
        <f>RawList!D427</f>
        <v>3008</v>
      </c>
      <c r="G457" s="137">
        <f>RawList!E427</f>
        <v>1</v>
      </c>
      <c r="H457" s="50" t="str">
        <f>IF(EquipmentTable[[#This Row],[Units]]&gt;0,"Quantity &gt; 0 Items","Quantity = 0 Items")</f>
        <v>Quantity &gt; 0 Items</v>
      </c>
      <c r="I457" s="141">
        <f>RawList!J427</f>
        <v>7.95</v>
      </c>
      <c r="J457" s="24">
        <f>VALUE(EquipmentTable[[#This Row],[Units]]*EquipmentTable[[#This Row],[Unit
 Price]])</f>
        <v>7.95</v>
      </c>
      <c r="K457" s="50">
        <f>RawList!G427</f>
        <v>0</v>
      </c>
      <c r="L457" s="50"/>
      <c r="M457" s="50">
        <f>RawList!F427</f>
        <v>0</v>
      </c>
    </row>
    <row r="458" spans="2:13" x14ac:dyDescent="0.3">
      <c r="B458" s="50" t="str">
        <f>RawList!A428</f>
        <v>Low-Level Electronics</v>
      </c>
      <c r="C458" s="50" t="str">
        <f>RawList!B428</f>
        <v>Headers, Female</v>
      </c>
      <c r="D458" s="50" t="str">
        <f>RawList!C428</f>
        <v>Adafruit</v>
      </c>
      <c r="E458" s="50" t="str">
        <f>RawList!H428</f>
        <v>0.1" 36-pin Strip Right-Angle Female/Socket Header (5 pack)</v>
      </c>
      <c r="F458" s="50" t="str">
        <f>RawList!D428</f>
        <v>1542</v>
      </c>
      <c r="G458" s="137">
        <f>RawList!E428</f>
        <v>1</v>
      </c>
      <c r="H458" s="50" t="str">
        <f>IF(EquipmentTable[[#This Row],[Units]]&gt;0,"Quantity &gt; 0 Items","Quantity = 0 Items")</f>
        <v>Quantity &gt; 0 Items</v>
      </c>
      <c r="I458" s="141">
        <f>RawList!J428</f>
        <v>4.95</v>
      </c>
      <c r="J458" s="24">
        <f>VALUE(EquipmentTable[[#This Row],[Units]]*EquipmentTable[[#This Row],[Unit
 Price]])</f>
        <v>4.95</v>
      </c>
      <c r="K458" s="50">
        <f>RawList!G428</f>
        <v>0</v>
      </c>
      <c r="L458" s="50"/>
      <c r="M458" s="50">
        <f>RawList!F428</f>
        <v>0</v>
      </c>
    </row>
    <row r="459" spans="2:13" x14ac:dyDescent="0.3">
      <c r="B459" s="50" t="str">
        <f>RawList!A429</f>
        <v>Low-Level Electronics</v>
      </c>
      <c r="C459" s="50" t="str">
        <f>RawList!B429</f>
        <v>Headers, Female</v>
      </c>
      <c r="D459" s="50" t="str">
        <f>RawList!C429</f>
        <v>Adafruit</v>
      </c>
      <c r="E459" s="50" t="str">
        <f>RawList!H429</f>
        <v>0.1" 2x36-pin Strip Straight Socket (Female) Header (5 pack)</v>
      </c>
      <c r="F459" s="50" t="str">
        <f>RawList!D429</f>
        <v>1544</v>
      </c>
      <c r="G459" s="137">
        <f>RawList!E429</f>
        <v>1</v>
      </c>
      <c r="H459" s="50" t="str">
        <f>IF(EquipmentTable[[#This Row],[Units]]&gt;0,"Quantity &gt; 0 Items","Quantity = 0 Items")</f>
        <v>Quantity &gt; 0 Items</v>
      </c>
      <c r="I459" s="141">
        <f>RawList!J429</f>
        <v>5.95</v>
      </c>
      <c r="J459" s="24">
        <f>VALUE(EquipmentTable[[#This Row],[Units]]*EquipmentTable[[#This Row],[Unit
 Price]])</f>
        <v>5.95</v>
      </c>
      <c r="K459" s="50">
        <f>RawList!G429</f>
        <v>0</v>
      </c>
      <c r="L459" s="50"/>
      <c r="M459" s="50">
        <f>RawList!F429</f>
        <v>0</v>
      </c>
    </row>
    <row r="460" spans="2:13" x14ac:dyDescent="0.3">
      <c r="B460" s="50" t="str">
        <f>RawList!A430</f>
        <v>Low-Level Electronics</v>
      </c>
      <c r="C460" s="50" t="str">
        <f>RawList!B430</f>
        <v>Headers, Female</v>
      </c>
      <c r="D460" s="50" t="str">
        <f>RawList!C430</f>
        <v>Adafruit</v>
      </c>
      <c r="E460" s="50" t="str">
        <f>RawList!H430</f>
        <v xml:space="preserve">0.1" 2x20-pin Strip Right Angle Female Header </v>
      </c>
      <c r="F460" s="50" t="str">
        <f>RawList!D430</f>
        <v>2823</v>
      </c>
      <c r="G460" s="137">
        <f>RawList!E430</f>
        <v>0</v>
      </c>
      <c r="H460" s="50" t="str">
        <f>IF(EquipmentTable[[#This Row],[Units]]&gt;0,"Quantity &gt; 0 Items","Quantity = 0 Items")</f>
        <v>Quantity = 0 Items</v>
      </c>
      <c r="I460" s="141">
        <f>RawList!J430</f>
        <v>1.5</v>
      </c>
      <c r="J460" s="24">
        <f>VALUE(EquipmentTable[[#This Row],[Units]]*EquipmentTable[[#This Row],[Unit
 Price]])</f>
        <v>0</v>
      </c>
      <c r="K460" s="50">
        <f>RawList!G430</f>
        <v>0</v>
      </c>
      <c r="L460" s="50"/>
      <c r="M460" s="50">
        <f>RawList!F430</f>
        <v>0</v>
      </c>
    </row>
    <row r="461" spans="2:13" x14ac:dyDescent="0.3">
      <c r="B461" s="50" t="str">
        <f>RawList!A431</f>
        <v>Low-Level Electronics</v>
      </c>
      <c r="C461" s="50" t="str">
        <f>RawList!B431</f>
        <v>Headers, Female</v>
      </c>
      <c r="D461" s="50" t="str">
        <f>RawList!C431</f>
        <v>Adafruit</v>
      </c>
      <c r="E461" s="50" t="str">
        <f>RawList!H431</f>
        <v>0.1" 2x36-pin Strip Right-Angle Socket (Female) Header (5 pack)</v>
      </c>
      <c r="F461" s="50" t="str">
        <f>RawList!D431</f>
        <v>1543</v>
      </c>
      <c r="G461" s="137">
        <f>RawList!E431</f>
        <v>1</v>
      </c>
      <c r="H461" s="50" t="str">
        <f>IF(EquipmentTable[[#This Row],[Units]]&gt;0,"Quantity &gt; 0 Items","Quantity = 0 Items")</f>
        <v>Quantity &gt; 0 Items</v>
      </c>
      <c r="I461" s="141">
        <f>RawList!J431</f>
        <v>7.95</v>
      </c>
      <c r="J461" s="24">
        <f>VALUE(EquipmentTable[[#This Row],[Units]]*EquipmentTable[[#This Row],[Unit
 Price]])</f>
        <v>7.95</v>
      </c>
      <c r="K461" s="50">
        <f>RawList!G431</f>
        <v>0</v>
      </c>
      <c r="L461" s="50"/>
      <c r="M461" s="50">
        <f>RawList!F431</f>
        <v>0</v>
      </c>
    </row>
    <row r="462" spans="2:13" x14ac:dyDescent="0.3">
      <c r="B462" s="50" t="str">
        <f>RawList!A432</f>
        <v>Low-Level Electronics</v>
      </c>
      <c r="C462" s="50" t="str">
        <f>RawList!B432</f>
        <v>Headers, Female</v>
      </c>
      <c r="D462" s="50" t="str">
        <f>RawList!C432</f>
        <v>Adafruit</v>
      </c>
      <c r="E462" s="50" t="str">
        <f>RawList!H432</f>
        <v xml:space="preserve">2x40 Right Angle Edge Connector for micro:bit </v>
      </c>
      <c r="F462" s="50" t="str">
        <f>RawList!D432</f>
        <v>3342</v>
      </c>
      <c r="G462" s="137">
        <f>RawList!E432</f>
        <v>0</v>
      </c>
      <c r="H462" s="50" t="str">
        <f>IF(EquipmentTable[[#This Row],[Units]]&gt;0,"Quantity &gt; 0 Items","Quantity = 0 Items")</f>
        <v>Quantity = 0 Items</v>
      </c>
      <c r="I462" s="141">
        <f>RawList!J432</f>
        <v>0</v>
      </c>
      <c r="J462" s="24">
        <f>VALUE(EquipmentTable[[#This Row],[Units]]*EquipmentTable[[#This Row],[Unit
 Price]])</f>
        <v>0</v>
      </c>
      <c r="K462" s="50">
        <f>RawList!G432</f>
        <v>0</v>
      </c>
      <c r="L462" s="50"/>
      <c r="M462" s="50">
        <f>RawList!F432</f>
        <v>0</v>
      </c>
    </row>
    <row r="463" spans="2:13" x14ac:dyDescent="0.3">
      <c r="B463" s="50" t="str">
        <f>RawList!A433</f>
        <v>Low-Level Electronics</v>
      </c>
      <c r="C463" s="50" t="str">
        <f>RawList!B433</f>
        <v>Headers, Female</v>
      </c>
      <c r="D463" s="50" t="str">
        <f>RawList!C433</f>
        <v>SparkFun</v>
      </c>
      <c r="E463" s="50" t="str">
        <f>RawList!H433</f>
        <v>Header - 2x3 (Female, 0.1\")</v>
      </c>
      <c r="F463" s="50" t="str">
        <f>RawList!D433</f>
        <v>PRT-13010</v>
      </c>
      <c r="G463" s="137">
        <f>RawList!E433</f>
        <v>0</v>
      </c>
      <c r="H463" s="50" t="str">
        <f>IF(EquipmentTable[[#This Row],[Units]]&gt;0,"Quantity &gt; 0 Items","Quantity = 0 Items")</f>
        <v>Quantity = 0 Items</v>
      </c>
      <c r="I463" s="141">
        <f>RawList!J433</f>
        <v>0.5</v>
      </c>
      <c r="J463" s="24">
        <f>VALUE(EquipmentTable[[#This Row],[Units]]*EquipmentTable[[#This Row],[Unit
 Price]])</f>
        <v>0</v>
      </c>
      <c r="K463" s="50" t="str">
        <f>RawList!G433</f>
        <v>https://cdn.sparkfun.com/r/92-92/assets/parts/8/1/2/1/13010-01a.jpg</v>
      </c>
      <c r="L463" s="50"/>
      <c r="M463" s="50" t="str">
        <f>RawList!F433</f>
        <v>https://www.sparkfun.com/products/13010</v>
      </c>
    </row>
    <row r="464" spans="2:13" x14ac:dyDescent="0.3">
      <c r="B464" s="50" t="str">
        <f>RawList!A434</f>
        <v>Low-Level Electronics</v>
      </c>
      <c r="C464" s="50" t="str">
        <f>RawList!B434</f>
        <v>Headers, Female</v>
      </c>
      <c r="D464" s="50" t="str">
        <f>RawList!C434</f>
        <v>SparkFun</v>
      </c>
      <c r="E464" s="50" t="str">
        <f>RawList!H434</f>
        <v>2x3 Pin Shrouded Header</v>
      </c>
      <c r="F464" s="50" t="str">
        <f>RawList!D434</f>
        <v>PRT-10877</v>
      </c>
      <c r="G464" s="137">
        <f>RawList!E434</f>
        <v>5</v>
      </c>
      <c r="H464" s="50" t="str">
        <f>IF(EquipmentTable[[#This Row],[Units]]&gt;0,"Quantity &gt; 0 Items","Quantity = 0 Items")</f>
        <v>Quantity &gt; 0 Items</v>
      </c>
      <c r="I464" s="141">
        <f>RawList!J434</f>
        <v>1.5</v>
      </c>
      <c r="J464" s="24">
        <f>VALUE(EquipmentTable[[#This Row],[Units]]*EquipmentTable[[#This Row],[Unit
 Price]])</f>
        <v>7.5</v>
      </c>
      <c r="K464" s="50" t="str">
        <f>RawList!G434</f>
        <v>https://cdn.sparkfun.com/r/92-92/assets/parts/5/9/3/3/10877-01b.jpg</v>
      </c>
      <c r="L464" s="50"/>
      <c r="M464" s="50" t="str">
        <f>RawList!F434</f>
        <v>https://www.sparkfun.com/products/10877</v>
      </c>
    </row>
    <row r="465" spans="2:13" x14ac:dyDescent="0.3">
      <c r="B465" s="50" t="str">
        <f>RawList!A435</f>
        <v>Low-Level Electronics</v>
      </c>
      <c r="C465" s="50" t="str">
        <f>RawList!B435</f>
        <v>Headers, Female</v>
      </c>
      <c r="D465" s="50" t="str">
        <f>RawList!C435</f>
        <v>SparkFun</v>
      </c>
      <c r="E465" s="50" t="str">
        <f>RawList!H435</f>
        <v>2x5 Pin Shrouded Header</v>
      </c>
      <c r="F465" s="50" t="str">
        <f>RawList!D435</f>
        <v>PRT-08506</v>
      </c>
      <c r="G465" s="137">
        <f>RawList!E435</f>
        <v>5</v>
      </c>
      <c r="H465" s="50" t="str">
        <f>IF(EquipmentTable[[#This Row],[Units]]&gt;0,"Quantity &gt; 0 Items","Quantity = 0 Items")</f>
        <v>Quantity &gt; 0 Items</v>
      </c>
      <c r="I465" s="141">
        <f>RawList!J435</f>
        <v>1.5</v>
      </c>
      <c r="J465" s="24">
        <f>VALUE(EquipmentTable[[#This Row],[Units]]*EquipmentTable[[#This Row],[Unit
 Price]])</f>
        <v>7.5</v>
      </c>
      <c r="K465" s="50" t="str">
        <f>RawList!G435</f>
        <v>https://cdn.sparkfun.com/r/92-92/assets/parts/1/1/7/4/08506-02.jpg</v>
      </c>
      <c r="L465" s="50"/>
      <c r="M465" s="50" t="str">
        <f>RawList!F435</f>
        <v>https://www.sparkfun.com/products/8506</v>
      </c>
    </row>
    <row r="466" spans="2:13" x14ac:dyDescent="0.3">
      <c r="B466" s="50" t="str">
        <f>RawList!A436</f>
        <v>Low-Level Electronics</v>
      </c>
      <c r="C466" s="50" t="str">
        <f>RawList!B436</f>
        <v>Headers, Female</v>
      </c>
      <c r="D466" s="50" t="str">
        <f>RawList!C436</f>
        <v>Adafruit</v>
      </c>
      <c r="E466" s="50" t="str">
        <f>RawList!H436</f>
        <v>Adafruit 6-pin AVR ISP Breadboard Adapter Mini Kit</v>
      </c>
      <c r="F466" s="50" t="str">
        <f>RawList!D436</f>
        <v>1465</v>
      </c>
      <c r="G466" s="137">
        <f>RawList!E436</f>
        <v>0</v>
      </c>
      <c r="H466" s="50" t="str">
        <f>IF(EquipmentTable[[#This Row],[Units]]&gt;0,"Quantity &gt; 0 Items","Quantity = 0 Items")</f>
        <v>Quantity = 0 Items</v>
      </c>
      <c r="I466" s="141">
        <f>RawList!J436</f>
        <v>0.95</v>
      </c>
      <c r="J466" s="24">
        <f>VALUE(EquipmentTable[[#This Row],[Units]]*EquipmentTable[[#This Row],[Unit
 Price]])</f>
        <v>0</v>
      </c>
      <c r="K466" s="50">
        <f>RawList!G436</f>
        <v>0</v>
      </c>
      <c r="L466" s="50"/>
      <c r="M466" s="50">
        <f>RawList!F436</f>
        <v>0</v>
      </c>
    </row>
    <row r="467" spans="2:13" x14ac:dyDescent="0.3">
      <c r="B467" s="50" t="str">
        <f>RawList!A437</f>
        <v>Low-Level Electronics</v>
      </c>
      <c r="C467" s="50" t="str">
        <f>RawList!B437</f>
        <v>Headers, Female</v>
      </c>
      <c r="D467" s="50" t="str">
        <f>RawList!C437</f>
        <v>SparkFun</v>
      </c>
      <c r="E467" s="50" t="str">
        <f>RawList!H437</f>
        <v>2mm 10pin XBee Socket</v>
      </c>
      <c r="F467" s="50" t="str">
        <f>RawList!D437</f>
        <v>PRT-08272</v>
      </c>
      <c r="G467" s="137">
        <f>RawList!E437</f>
        <v>0</v>
      </c>
      <c r="H467" s="50" t="str">
        <f>IF(EquipmentTable[[#This Row],[Units]]&gt;0,"Quantity &gt; 0 Items","Quantity = 0 Items")</f>
        <v>Quantity = 0 Items</v>
      </c>
      <c r="I467" s="141">
        <f>RawList!J437</f>
        <v>1</v>
      </c>
      <c r="J467" s="24">
        <f>VALUE(EquipmentTable[[#This Row],[Units]]*EquipmentTable[[#This Row],[Unit
 Price]])</f>
        <v>0</v>
      </c>
      <c r="K467" s="50" t="str">
        <f>RawList!G437</f>
        <v>https://cdn.sparkfun.com/r/92-92/assets/parts/1/8/8/1/2mmSocket-01-L.jpg</v>
      </c>
      <c r="L467" s="50"/>
      <c r="M467" s="50" t="str">
        <f>RawList!F437</f>
        <v>https://www.sparkfun.com/products/8272</v>
      </c>
    </row>
    <row r="468" spans="2:13" x14ac:dyDescent="0.3">
      <c r="B468" s="50" t="str">
        <f>RawList!A438</f>
        <v>Low-Level Electronics</v>
      </c>
      <c r="C468" s="50" t="str">
        <f>RawList!B438</f>
        <v>Headers, Female</v>
      </c>
      <c r="D468" s="50" t="str">
        <f>RawList!C438</f>
        <v>Adafruit</v>
      </c>
      <c r="E468" s="50" t="str">
        <f>RawList!H438</f>
        <v>2mm 10 pin Socket Headers (for XBee) - Pack of 2</v>
      </c>
      <c r="F468" s="50" t="str">
        <f>RawList!D438</f>
        <v>366</v>
      </c>
      <c r="G468" s="137">
        <f>RawList!E438</f>
        <v>2</v>
      </c>
      <c r="H468" s="50" t="str">
        <f>IF(EquipmentTable[[#This Row],[Units]]&gt;0,"Quantity &gt; 0 Items","Quantity = 0 Items")</f>
        <v>Quantity &gt; 0 Items</v>
      </c>
      <c r="I468" s="141">
        <f>RawList!J438</f>
        <v>0.95</v>
      </c>
      <c r="J468" s="24">
        <f>VALUE(EquipmentTable[[#This Row],[Units]]*EquipmentTable[[#This Row],[Unit
 Price]])</f>
        <v>1.9</v>
      </c>
      <c r="K468" s="50">
        <f>RawList!G438</f>
        <v>0</v>
      </c>
      <c r="L468" s="50"/>
      <c r="M468" s="50">
        <f>RawList!F438</f>
        <v>0</v>
      </c>
    </row>
    <row r="469" spans="2:13" x14ac:dyDescent="0.3">
      <c r="B469" s="50" t="str">
        <f>RawList!A439</f>
        <v>Low-Level Electronics</v>
      </c>
      <c r="C469" s="50" t="str">
        <f>RawList!B439</f>
        <v>Headers, Female</v>
      </c>
      <c r="D469" s="50" t="str">
        <f>RawList!C439</f>
        <v>Adafruit</v>
      </c>
      <c r="E469" s="50" t="str">
        <f>RawList!H439</f>
        <v>2mm Pitch 25-Pin Female Socket Headers - Pack of 5</v>
      </c>
      <c r="F469" s="50" t="str">
        <f>RawList!D439</f>
        <v>2672</v>
      </c>
      <c r="G469" s="137">
        <f>RawList!E439</f>
        <v>1</v>
      </c>
      <c r="H469" s="50" t="str">
        <f>IF(EquipmentTable[[#This Row],[Units]]&gt;0,"Quantity &gt; 0 Items","Quantity = 0 Items")</f>
        <v>Quantity &gt; 0 Items</v>
      </c>
      <c r="I469" s="141">
        <f>RawList!J439</f>
        <v>3.95</v>
      </c>
      <c r="J469" s="24">
        <f>VALUE(EquipmentTable[[#This Row],[Units]]*EquipmentTable[[#This Row],[Unit
 Price]])</f>
        <v>3.95</v>
      </c>
      <c r="K469" s="50">
        <f>RawList!G439</f>
        <v>0</v>
      </c>
      <c r="L469" s="50"/>
      <c r="M469" s="50">
        <f>RawList!F439</f>
        <v>0</v>
      </c>
    </row>
    <row r="470" spans="2:13" x14ac:dyDescent="0.3">
      <c r="B470" s="50" t="str">
        <f>RawList!A440</f>
        <v>Low-Level Electronics</v>
      </c>
      <c r="C470" s="50" t="str">
        <f>RawList!B440</f>
        <v>Flip-Pins</v>
      </c>
      <c r="D470" s="50" t="str">
        <f>RawList!C440</f>
        <v>SparkFun</v>
      </c>
      <c r="E470" s="50" t="str">
        <f>RawList!H440</f>
        <v>Flip-Pin (20-pins)</v>
      </c>
      <c r="F470" s="50" t="str">
        <f>RawList!D440</f>
        <v>COM-14087</v>
      </c>
      <c r="G470" s="137">
        <f>RawList!E440</f>
        <v>15</v>
      </c>
      <c r="H470" s="50" t="str">
        <f>IF(EquipmentTable[[#This Row],[Units]]&gt;0,"Quantity &gt; 0 Items","Quantity = 0 Items")</f>
        <v>Quantity &gt; 0 Items</v>
      </c>
      <c r="I470" s="141">
        <f>RawList!J440</f>
        <v>1.95</v>
      </c>
      <c r="J470" s="24">
        <f>VALUE(EquipmentTable[[#This Row],[Units]]*EquipmentTable[[#This Row],[Unit
 Price]])</f>
        <v>29.25</v>
      </c>
      <c r="K470" s="50" t="str">
        <f>RawList!G440</f>
        <v>https://cdn.sparkfun.com/r/92-92/assets/parts/1/1/9/5/2/14087-03.jpg</v>
      </c>
      <c r="L470" s="50"/>
      <c r="M470" s="50" t="str">
        <f>RawList!F440</f>
        <v>https://www.sparkfun.com/products/14087</v>
      </c>
    </row>
    <row r="471" spans="2:13" x14ac:dyDescent="0.3">
      <c r="B471" s="50" t="str">
        <f>RawList!A441</f>
        <v>Low-Level Electronics</v>
      </c>
      <c r="C471" s="50" t="str">
        <f>RawList!B441</f>
        <v>Flip-Pins</v>
      </c>
      <c r="D471" s="50" t="str">
        <f>RawList!C441</f>
        <v>SparkFun</v>
      </c>
      <c r="E471" s="50" t="str">
        <f>RawList!H441</f>
        <v>Flip-Pin (8-pins)</v>
      </c>
      <c r="F471" s="50" t="str">
        <f>RawList!D441</f>
        <v>COM-14085</v>
      </c>
      <c r="G471" s="137">
        <f>RawList!E441</f>
        <v>0</v>
      </c>
      <c r="H471" s="50" t="str">
        <f>IF(EquipmentTable[[#This Row],[Units]]&gt;0,"Quantity &gt; 0 Items","Quantity = 0 Items")</f>
        <v>Quantity = 0 Items</v>
      </c>
      <c r="I471" s="141">
        <f>RawList!J441</f>
        <v>0.95</v>
      </c>
      <c r="J471" s="24">
        <f>VALUE(EquipmentTable[[#This Row],[Units]]*EquipmentTable[[#This Row],[Unit
 Price]])</f>
        <v>0</v>
      </c>
      <c r="K471" s="50" t="str">
        <f>RawList!G441</f>
        <v>https://cdn.sparkfun.com/r/92-92/assets/parts/1/1/9/5/0/14085-03.jpg</v>
      </c>
      <c r="L471" s="50"/>
      <c r="M471" s="50" t="str">
        <f>RawList!F441</f>
        <v>https://www.sparkfun.com/products/14085</v>
      </c>
    </row>
    <row r="472" spans="2:13" x14ac:dyDescent="0.3">
      <c r="B472" s="50" t="str">
        <f>RawList!A442</f>
        <v>Low-Level Electronics</v>
      </c>
      <c r="C472" s="50" t="str">
        <f>RawList!B442</f>
        <v>Jumper Wires, DIY</v>
      </c>
      <c r="D472" s="50" t="str">
        <f>RawList!C442</f>
        <v>Adafruit</v>
      </c>
      <c r="E472" s="50" t="str">
        <f>RawList!H442</f>
        <v>Small Single Row Wire Housing Pack for DIY Jumper Cables</v>
      </c>
      <c r="F472" s="50" t="str">
        <f>RawList!D442</f>
        <v>3145</v>
      </c>
      <c r="G472" s="137">
        <f>RawList!E442</f>
        <v>3</v>
      </c>
      <c r="H472" s="50" t="str">
        <f>IF(EquipmentTable[[#This Row],[Units]]&gt;0,"Quantity &gt; 0 Items","Quantity = 0 Items")</f>
        <v>Quantity &gt; 0 Items</v>
      </c>
      <c r="I472" s="141">
        <f>RawList!J442</f>
        <v>1.95</v>
      </c>
      <c r="J472" s="24">
        <f>VALUE(EquipmentTable[[#This Row],[Units]]*EquipmentTable[[#This Row],[Unit
 Price]])</f>
        <v>5.85</v>
      </c>
      <c r="K472" s="50">
        <f>RawList!G442</f>
        <v>0</v>
      </c>
      <c r="L472" s="50"/>
      <c r="M472" s="50">
        <f>RawList!F442</f>
        <v>0</v>
      </c>
    </row>
    <row r="473" spans="2:13" x14ac:dyDescent="0.3">
      <c r="B473" s="50" t="str">
        <f>RawList!A443</f>
        <v>Low-Level Electronics</v>
      </c>
      <c r="C473" s="50" t="str">
        <f>RawList!B443</f>
        <v>Jumper Wires, DIY</v>
      </c>
      <c r="D473" s="50" t="str">
        <f>RawList!C443</f>
        <v>Adafruit</v>
      </c>
      <c r="E473" s="50" t="str">
        <f>RawList!H443</f>
        <v>Large Dual Row Wire Housing Pack for DIY Jumper Cables</v>
      </c>
      <c r="F473" s="50" t="str">
        <f>RawList!D443</f>
        <v>3144</v>
      </c>
      <c r="G473" s="137">
        <f>RawList!E443</f>
        <v>1</v>
      </c>
      <c r="H473" s="50" t="str">
        <f>IF(EquipmentTable[[#This Row],[Units]]&gt;0,"Quantity &gt; 0 Items","Quantity = 0 Items")</f>
        <v>Quantity &gt; 0 Items</v>
      </c>
      <c r="I473" s="141">
        <f>RawList!J443</f>
        <v>3.95</v>
      </c>
      <c r="J473" s="24">
        <f>VALUE(EquipmentTable[[#This Row],[Units]]*EquipmentTable[[#This Row],[Unit
 Price]])</f>
        <v>3.95</v>
      </c>
      <c r="K473" s="50">
        <f>RawList!G443</f>
        <v>0</v>
      </c>
      <c r="L473" s="50"/>
      <c r="M473" s="50">
        <f>RawList!F443</f>
        <v>0</v>
      </c>
    </row>
    <row r="474" spans="2:13" x14ac:dyDescent="0.3">
      <c r="B474" s="50" t="str">
        <f>RawList!A444</f>
        <v>Low-Level Electronics</v>
      </c>
      <c r="C474" s="50" t="str">
        <f>RawList!B444</f>
        <v>Jumper Wires, DIY</v>
      </c>
      <c r="D474" s="50" t="str">
        <f>RawList!C444</f>
        <v>Adafruit</v>
      </c>
      <c r="E474" s="50" t="str">
        <f>RawList!H444</f>
        <v>Small Dual Row Wire Housing Pack for DIY Jumper Cables</v>
      </c>
      <c r="F474" s="50" t="str">
        <f>RawList!D444</f>
        <v>3143</v>
      </c>
      <c r="G474" s="137">
        <f>RawList!E444</f>
        <v>2</v>
      </c>
      <c r="H474" s="50" t="str">
        <f>IF(EquipmentTable[[#This Row],[Units]]&gt;0,"Quantity &gt; 0 Items","Quantity = 0 Items")</f>
        <v>Quantity &gt; 0 Items</v>
      </c>
      <c r="I474" s="141">
        <f>RawList!J444</f>
        <v>1.95</v>
      </c>
      <c r="J474" s="24">
        <f>VALUE(EquipmentTable[[#This Row],[Units]]*EquipmentTable[[#This Row],[Unit
 Price]])</f>
        <v>3.9</v>
      </c>
      <c r="K474" s="50">
        <f>RawList!G444</f>
        <v>0</v>
      </c>
      <c r="L474" s="50"/>
      <c r="M474" s="50">
        <f>RawList!F444</f>
        <v>0</v>
      </c>
    </row>
    <row r="475" spans="2:13" x14ac:dyDescent="0.3">
      <c r="B475" s="50" t="str">
        <f>RawList!A445</f>
        <v>Low-Level Electronics</v>
      </c>
      <c r="C475" s="50" t="str">
        <f>RawList!B445</f>
        <v>Jumper Wires, DIY</v>
      </c>
      <c r="D475" s="50" t="str">
        <f>RawList!C445</f>
        <v>Adafruit</v>
      </c>
      <c r="E475" s="50" t="str">
        <f>RawList!H445</f>
        <v>Large Single Row Housing Pack for DIY Jumper Cables</v>
      </c>
      <c r="F475" s="50" t="str">
        <f>RawList!D445</f>
        <v>3146</v>
      </c>
      <c r="G475" s="137">
        <f>RawList!E445</f>
        <v>1</v>
      </c>
      <c r="H475" s="50" t="str">
        <f>IF(EquipmentTable[[#This Row],[Units]]&gt;0,"Quantity &gt; 0 Items","Quantity = 0 Items")</f>
        <v>Quantity &gt; 0 Items</v>
      </c>
      <c r="I475" s="141">
        <f>RawList!J445</f>
        <v>2.95</v>
      </c>
      <c r="J475" s="24">
        <f>VALUE(EquipmentTable[[#This Row],[Units]]*EquipmentTable[[#This Row],[Unit
 Price]])</f>
        <v>2.95</v>
      </c>
      <c r="K475" s="50">
        <f>RawList!G445</f>
        <v>0</v>
      </c>
      <c r="L475" s="50"/>
      <c r="M475" s="50">
        <f>RawList!F445</f>
        <v>0</v>
      </c>
    </row>
    <row r="476" spans="2:13" x14ac:dyDescent="0.3">
      <c r="B476" s="50" t="str">
        <f>RawList!A446</f>
        <v>Low-Level Electronics</v>
      </c>
      <c r="C476" s="50" t="str">
        <f>RawList!B446</f>
        <v>Jumper Wires, DIY</v>
      </c>
      <c r="D476" s="50" t="str">
        <f>RawList!C446</f>
        <v>Adafruit</v>
      </c>
      <c r="E476" s="50" t="str">
        <f>RawList!H446</f>
        <v>Premium Female/Female Raw Custom Jumper Wires - 40 x 6" (150mm)</v>
      </c>
      <c r="F476" s="50" t="str">
        <f>RawList!D446</f>
        <v>3141</v>
      </c>
      <c r="G476" s="137">
        <f>RawList!E446</f>
        <v>5</v>
      </c>
      <c r="H476" s="50" t="str">
        <f>IF(EquipmentTable[[#This Row],[Units]]&gt;0,"Quantity &gt; 0 Items","Quantity = 0 Items")</f>
        <v>Quantity &gt; 0 Items</v>
      </c>
      <c r="I476" s="141">
        <f>RawList!J446</f>
        <v>2.95</v>
      </c>
      <c r="J476" s="24">
        <f>VALUE(EquipmentTable[[#This Row],[Units]]*EquipmentTable[[#This Row],[Unit
 Price]])</f>
        <v>14.75</v>
      </c>
      <c r="K476" s="50">
        <f>RawList!G446</f>
        <v>0</v>
      </c>
      <c r="L476" s="50"/>
      <c r="M476" s="50">
        <f>RawList!F446</f>
        <v>0</v>
      </c>
    </row>
    <row r="477" spans="2:13" x14ac:dyDescent="0.3">
      <c r="B477" s="50" t="str">
        <f>RawList!A447</f>
        <v>Low-Level Electronics</v>
      </c>
      <c r="C477" s="50" t="str">
        <f>RawList!B447</f>
        <v>Jumper Wires, DIY</v>
      </c>
      <c r="D477" s="50" t="str">
        <f>RawList!C447</f>
        <v>Adafruit</v>
      </c>
      <c r="E477" s="50" t="str">
        <f>RawList!H447</f>
        <v>Premium Male/Male Raw Jumper Wires - 40 x 6" (150mm)</v>
      </c>
      <c r="F477" s="50" t="str">
        <f>RawList!D447</f>
        <v>3142</v>
      </c>
      <c r="G477" s="137">
        <f>RawList!E447</f>
        <v>5</v>
      </c>
      <c r="H477" s="50" t="str">
        <f>IF(EquipmentTable[[#This Row],[Units]]&gt;0,"Quantity &gt; 0 Items","Quantity = 0 Items")</f>
        <v>Quantity &gt; 0 Items</v>
      </c>
      <c r="I477" s="141">
        <f>RawList!J447</f>
        <v>3.95</v>
      </c>
      <c r="J477" s="24">
        <f>VALUE(EquipmentTable[[#This Row],[Units]]*EquipmentTable[[#This Row],[Unit
 Price]])</f>
        <v>19.75</v>
      </c>
      <c r="K477" s="50">
        <f>RawList!G447</f>
        <v>0</v>
      </c>
      <c r="L477" s="50"/>
      <c r="M477" s="50">
        <f>RawList!F447</f>
        <v>0</v>
      </c>
    </row>
    <row r="478" spans="2:13" x14ac:dyDescent="0.3">
      <c r="B478" s="50" t="str">
        <f>RawList!A448</f>
        <v>Low-Level Electronics</v>
      </c>
      <c r="C478" s="50" t="str">
        <f>RawList!B448</f>
        <v>Jumper Wires, JST-PH</v>
      </c>
      <c r="D478" s="50" t="str">
        <f>RawList!C448</f>
        <v>SparkFun</v>
      </c>
      <c r="E478" s="50" t="str">
        <f>RawList!H448</f>
        <v>Jumper Wire - JST Black Blue</v>
      </c>
      <c r="F478" s="50" t="str">
        <f>RawList!D448</f>
        <v>PRT-08671</v>
      </c>
      <c r="G478" s="137">
        <f>RawList!E448</f>
        <v>0</v>
      </c>
      <c r="H478" s="50" t="str">
        <f>IF(EquipmentTable[[#This Row],[Units]]&gt;0,"Quantity &gt; 0 Items","Quantity = 0 Items")</f>
        <v>Quantity = 0 Items</v>
      </c>
      <c r="I478" s="141">
        <f>RawList!J448</f>
        <v>0.95</v>
      </c>
      <c r="J478" s="24">
        <f>VALUE(EquipmentTable[[#This Row],[Units]]*EquipmentTable[[#This Row],[Unit
 Price]])</f>
        <v>0</v>
      </c>
      <c r="K478" s="50" t="str">
        <f>RawList!G448</f>
        <v>https://cdn.sparkfun.com/r/92-92/assets/parts/1/8/2/7/08671-03-L.jpg</v>
      </c>
      <c r="L478" s="50"/>
      <c r="M478" s="50" t="str">
        <f>RawList!F448</f>
        <v>https://www.sparkfun.com/products/8671</v>
      </c>
    </row>
    <row r="479" spans="2:13" x14ac:dyDescent="0.3">
      <c r="B479" s="50" t="str">
        <f>RawList!A449</f>
        <v>Low-Level Electronics</v>
      </c>
      <c r="C479" s="50" t="str">
        <f>RawList!B449</f>
        <v>Jumper Wires, JST-PH</v>
      </c>
      <c r="D479" s="50" t="str">
        <f>RawList!C449</f>
        <v>SparkFun</v>
      </c>
      <c r="E479" s="50" t="str">
        <f>RawList!H449</f>
        <v>Jumper Wire - JST Black Red</v>
      </c>
      <c r="F479" s="50" t="str">
        <f>RawList!D449</f>
        <v>PRT-08670</v>
      </c>
      <c r="G479" s="137">
        <f>RawList!E449</f>
        <v>0</v>
      </c>
      <c r="H479" s="50" t="str">
        <f>IF(EquipmentTable[[#This Row],[Units]]&gt;0,"Quantity &gt; 0 Items","Quantity = 0 Items")</f>
        <v>Quantity = 0 Items</v>
      </c>
      <c r="I479" s="141">
        <f>RawList!J449</f>
        <v>0.95</v>
      </c>
      <c r="J479" s="24">
        <f>VALUE(EquipmentTable[[#This Row],[Units]]*EquipmentTable[[#This Row],[Unit
 Price]])</f>
        <v>0</v>
      </c>
      <c r="K479" s="50" t="str">
        <f>RawList!G449</f>
        <v>https://cdn.sparkfun.com/r/92-92/assets/parts/1/8/2/6/08670-03-L.jpg</v>
      </c>
      <c r="L479" s="50"/>
      <c r="M479" s="50" t="str">
        <f>RawList!F449</f>
        <v>https://www.sparkfun.com/products/8670</v>
      </c>
    </row>
    <row r="480" spans="2:13" x14ac:dyDescent="0.3">
      <c r="B480" s="50" t="str">
        <f>RawList!A450</f>
        <v>Low-Level Electronics</v>
      </c>
      <c r="C480" s="50" t="str">
        <f>RawList!B450</f>
        <v>Jumper Wires, JST-PH</v>
      </c>
      <c r="D480" s="50" t="str">
        <f>RawList!C450</f>
        <v>SparkFun</v>
      </c>
      <c r="E480" s="50" t="str">
        <f>RawList!H450</f>
        <v>JST Jumper 2 Wire Assembly</v>
      </c>
      <c r="F480" s="50" t="str">
        <f>RawList!D450</f>
        <v>PRT-09914</v>
      </c>
      <c r="G480" s="137">
        <f>RawList!E450</f>
        <v>10</v>
      </c>
      <c r="H480" s="50" t="str">
        <f>IF(EquipmentTable[[#This Row],[Units]]&gt;0,"Quantity &gt; 0 Items","Quantity = 0 Items")</f>
        <v>Quantity &gt; 0 Items</v>
      </c>
      <c r="I480" s="141">
        <f>RawList!J450</f>
        <v>0.95</v>
      </c>
      <c r="J480" s="24">
        <f>VALUE(EquipmentTable[[#This Row],[Units]]*EquipmentTable[[#This Row],[Unit
 Price]])</f>
        <v>9.5</v>
      </c>
      <c r="K480" s="50" t="str">
        <f>RawList!G450</f>
        <v>https://cdn.sparkfun.com/r/92-92/assets/parts/4/0/2/0/09914-02b.jpg</v>
      </c>
      <c r="L480" s="50"/>
      <c r="M480" s="50" t="str">
        <f>RawList!F450</f>
        <v>https://www.sparkfun.com/products/9914</v>
      </c>
    </row>
    <row r="481" spans="2:13" x14ac:dyDescent="0.3">
      <c r="B481" s="50" t="str">
        <f>RawList!A451</f>
        <v>Low-Level Electronics</v>
      </c>
      <c r="C481" s="50" t="str">
        <f>RawList!B451</f>
        <v>Jumper Wires, JST-PH</v>
      </c>
      <c r="D481" s="50" t="str">
        <f>RawList!C451</f>
        <v>SparkFun</v>
      </c>
      <c r="E481" s="50" t="str">
        <f>RawList!H451</f>
        <v>JST Jumper 3 Wire Assembly</v>
      </c>
      <c r="F481" s="50" t="str">
        <f>RawList!D451</f>
        <v>PRT-09915</v>
      </c>
      <c r="G481" s="137">
        <f>RawList!E451</f>
        <v>5</v>
      </c>
      <c r="H481" s="50" t="str">
        <f>IF(EquipmentTable[[#This Row],[Units]]&gt;0,"Quantity &gt; 0 Items","Quantity = 0 Items")</f>
        <v>Quantity &gt; 0 Items</v>
      </c>
      <c r="I481" s="141">
        <f>RawList!J451</f>
        <v>1.5</v>
      </c>
      <c r="J481" s="24">
        <f>VALUE(EquipmentTable[[#This Row],[Units]]*EquipmentTable[[#This Row],[Unit
 Price]])</f>
        <v>7.5</v>
      </c>
      <c r="K481" s="50" t="str">
        <f>RawList!G451</f>
        <v>https://cdn.sparkfun.com/r/92-92/assets/parts/4/0/2/1/09915-02b.jpg</v>
      </c>
      <c r="L481" s="50"/>
      <c r="M481" s="50" t="str">
        <f>RawList!F451</f>
        <v>https://www.sparkfun.com/products/9915</v>
      </c>
    </row>
    <row r="482" spans="2:13" x14ac:dyDescent="0.3">
      <c r="B482" s="50" t="str">
        <f>RawList!A452</f>
        <v>Low-Level Electronics</v>
      </c>
      <c r="C482" s="50" t="str">
        <f>RawList!B452</f>
        <v>Jumper Wires, JST-PH</v>
      </c>
      <c r="D482" s="50" t="str">
        <f>RawList!C452</f>
        <v>SparkFun</v>
      </c>
      <c r="E482" s="50" t="str">
        <f>RawList!H452</f>
        <v>JST Jumper 4 Wire Assembly</v>
      </c>
      <c r="F482" s="50" t="str">
        <f>RawList!D452</f>
        <v>PRT-09916</v>
      </c>
      <c r="G482" s="137">
        <f>RawList!E452</f>
        <v>10</v>
      </c>
      <c r="H482" s="50" t="str">
        <f>IF(EquipmentTable[[#This Row],[Units]]&gt;0,"Quantity &gt; 0 Items","Quantity = 0 Items")</f>
        <v>Quantity &gt; 0 Items</v>
      </c>
      <c r="I482" s="141">
        <f>RawList!J452</f>
        <v>1.5</v>
      </c>
      <c r="J482" s="24">
        <f>VALUE(EquipmentTable[[#This Row],[Units]]*EquipmentTable[[#This Row],[Unit
 Price]])</f>
        <v>15</v>
      </c>
      <c r="K482" s="50" t="str">
        <f>RawList!G452</f>
        <v>https://cdn.sparkfun.com/r/92-92/assets/parts/4/0/2/2/09916-02b.jpg</v>
      </c>
      <c r="L482" s="50"/>
      <c r="M482" s="50" t="str">
        <f>RawList!F452</f>
        <v>https://www.sparkfun.com/products/9916</v>
      </c>
    </row>
    <row r="483" spans="2:13" x14ac:dyDescent="0.3">
      <c r="B483" s="50" t="str">
        <f>RawList!A453</f>
        <v>Low-Level Electronics</v>
      </c>
      <c r="C483" s="50" t="str">
        <f>RawList!B453</f>
        <v>Jumper Wires, JST-PH</v>
      </c>
      <c r="D483" s="50" t="str">
        <f>RawList!C453</f>
        <v>Adafruit</v>
      </c>
      <c r="E483" s="50" t="str">
        <f>RawList!H453</f>
        <v xml:space="preserve">JST 2-pin Extension Cable with On/Off Switch - JST PH2 </v>
      </c>
      <c r="F483" s="50" t="str">
        <f>RawList!D453</f>
        <v>3064</v>
      </c>
      <c r="G483" s="137">
        <f>RawList!E453</f>
        <v>5</v>
      </c>
      <c r="H483" s="50" t="str">
        <f>IF(EquipmentTable[[#This Row],[Units]]&gt;0,"Quantity &gt; 0 Items","Quantity = 0 Items")</f>
        <v>Quantity &gt; 0 Items</v>
      </c>
      <c r="I483" s="141">
        <f>RawList!J453</f>
        <v>2.95</v>
      </c>
      <c r="J483" s="24">
        <f>VALUE(EquipmentTable[[#This Row],[Units]]*EquipmentTable[[#This Row],[Unit
 Price]])</f>
        <v>14.75</v>
      </c>
      <c r="K483" s="50">
        <f>RawList!G453</f>
        <v>0</v>
      </c>
      <c r="L483" s="50"/>
      <c r="M483" s="50">
        <f>RawList!F453</f>
        <v>0</v>
      </c>
    </row>
    <row r="484" spans="2:13" x14ac:dyDescent="0.3">
      <c r="B484" s="50" t="str">
        <f>RawList!A454</f>
        <v>Low-Level Electronics</v>
      </c>
      <c r="C484" s="50" t="str">
        <f>RawList!B454</f>
        <v>Jumper Wires, JST-PH</v>
      </c>
      <c r="D484" s="50" t="str">
        <f>RawList!C454</f>
        <v>Adafruit</v>
      </c>
      <c r="E484" s="50" t="str">
        <f>RawList!H454</f>
        <v>STEMMA Cable - 150mm/6" Long 4 Pin JST-PH Cable–Female/Female</v>
      </c>
      <c r="F484" s="50" t="str">
        <f>RawList!D454</f>
        <v>3568</v>
      </c>
      <c r="G484" s="137">
        <f>RawList!E454</f>
        <v>0</v>
      </c>
      <c r="H484" s="50" t="str">
        <f>IF(EquipmentTable[[#This Row],[Units]]&gt;0,"Quantity &gt; 0 Items","Quantity = 0 Items")</f>
        <v>Quantity = 0 Items</v>
      </c>
      <c r="I484" s="141">
        <f>RawList!J454</f>
        <v>0.75</v>
      </c>
      <c r="J484" s="24">
        <f>VALUE(EquipmentTable[[#This Row],[Units]]*EquipmentTable[[#This Row],[Unit
 Price]])</f>
        <v>0</v>
      </c>
      <c r="K484" s="50">
        <f>RawList!G454</f>
        <v>0</v>
      </c>
      <c r="L484" s="50"/>
      <c r="M484" s="50">
        <f>RawList!F454</f>
        <v>0</v>
      </c>
    </row>
    <row r="485" spans="2:13" hidden="1" x14ac:dyDescent="0.3">
      <c r="B485" s="50" t="str">
        <f>RawList!A455</f>
        <v>Low-Level Electronics</v>
      </c>
      <c r="C485" s="50" t="str">
        <f>RawList!B455</f>
        <v>Jumper Wires, JST-SH</v>
      </c>
      <c r="D485" s="50" t="str">
        <f>RawList!C455</f>
        <v>SparkFun</v>
      </c>
      <c r="E485" s="50" t="str">
        <f>RawList!H455</f>
        <v>JST SH Jumper 4 Wire Assembly - 8\"</v>
      </c>
      <c r="F485" s="50" t="str">
        <f>RawList!D455</f>
        <v>PRT-10359</v>
      </c>
      <c r="G485" s="137">
        <f>RawList!E455</f>
        <v>5</v>
      </c>
      <c r="H485" s="50" t="str">
        <f>IF(EquipmentTable[[#This Row],[Units]]&gt;0,"Quantity &gt; 0 Items","Quantity = 0 Items")</f>
        <v>Quantity &gt; 0 Items</v>
      </c>
      <c r="I485" s="141">
        <f>RawList!J455</f>
        <v>1.5</v>
      </c>
      <c r="J485" s="24">
        <f>VALUE(EquipmentTable[[#This Row],[Units]]*EquipmentTable[[#This Row],[Unit
 Price]])</f>
        <v>7.5</v>
      </c>
      <c r="K485" s="50" t="str">
        <f>RawList!G455</f>
        <v>https://cdn.sparkfun.com/r/92-92/assets/parts/4/8/1/1/10359-01.jpg</v>
      </c>
      <c r="L485" s="50"/>
      <c r="M485" s="50" t="str">
        <f>RawList!F455</f>
        <v>https://www.sparkfun.com/products/10359</v>
      </c>
    </row>
    <row r="486" spans="2:13" hidden="1" x14ac:dyDescent="0.3">
      <c r="B486" s="50" t="str">
        <f>RawList!A456</f>
        <v>Low-Level Electronics</v>
      </c>
      <c r="C486" s="50" t="str">
        <f>RawList!B456</f>
        <v>Jumper Wires, JST-SH</v>
      </c>
      <c r="D486" s="50" t="str">
        <f>RawList!C456</f>
        <v>SparkFun</v>
      </c>
      <c r="E486" s="50" t="str">
        <f>RawList!H456</f>
        <v>JST SH Jumper 6 Wire  - 1.75\"</v>
      </c>
      <c r="F486" s="50" t="str">
        <f>RawList!D456</f>
        <v>GPS-00574</v>
      </c>
      <c r="G486" s="137">
        <f>RawList!E456</f>
        <v>0</v>
      </c>
      <c r="H486" s="50" t="str">
        <f>IF(EquipmentTable[[#This Row],[Units]]&gt;0,"Quantity &gt; 0 Items","Quantity = 0 Items")</f>
        <v>Quantity = 0 Items</v>
      </c>
      <c r="I486" s="141">
        <f>RawList!J456</f>
        <v>2.95</v>
      </c>
      <c r="J486" s="24">
        <f>VALUE(EquipmentTable[[#This Row],[Units]]*EquipmentTable[[#This Row],[Unit
 Price]])</f>
        <v>0</v>
      </c>
      <c r="K486" s="50" t="str">
        <f>RawList!G456</f>
        <v>https://cdn.sparkfun.com/r/92-92/assets/parts/3/9/3/GPS-Cable.jpg</v>
      </c>
      <c r="L486" s="50"/>
      <c r="M486" s="50" t="str">
        <f>RawList!F456</f>
        <v>https://www.sparkfun.com/products/574</v>
      </c>
    </row>
    <row r="487" spans="2:13" hidden="1" x14ac:dyDescent="0.3">
      <c r="B487" s="50" t="str">
        <f>RawList!A457</f>
        <v>Low-Level Electronics</v>
      </c>
      <c r="C487" s="50" t="str">
        <f>RawList!B457</f>
        <v>Jumper Wires, JST-SH</v>
      </c>
      <c r="D487" s="50" t="str">
        <f>RawList!C457</f>
        <v>SparkFun</v>
      </c>
      <c r="E487" s="50" t="str">
        <f>RawList!H457</f>
        <v>JST SH Jumper 6 Wire Assembly - 8\"</v>
      </c>
      <c r="F487" s="50" t="str">
        <f>RawList!D457</f>
        <v>PRT-10361</v>
      </c>
      <c r="G487" s="137">
        <f>RawList!E457</f>
        <v>0</v>
      </c>
      <c r="H487" s="50" t="str">
        <f>IF(EquipmentTable[[#This Row],[Units]]&gt;0,"Quantity &gt; 0 Items","Quantity = 0 Items")</f>
        <v>Quantity = 0 Items</v>
      </c>
      <c r="I487" s="141">
        <f>RawList!J457</f>
        <v>1.5</v>
      </c>
      <c r="J487" s="24">
        <f>VALUE(EquipmentTable[[#This Row],[Units]]*EquipmentTable[[#This Row],[Unit
 Price]])</f>
        <v>0</v>
      </c>
      <c r="K487" s="50" t="str">
        <f>RawList!G457</f>
        <v>https://cdn.sparkfun.com/r/92-92/assets/parts/4/8/1/3/10361-01.jpg</v>
      </c>
      <c r="L487" s="50"/>
      <c r="M487" s="50" t="str">
        <f>RawList!F457</f>
        <v>https://www.sparkfun.com/products/10361</v>
      </c>
    </row>
    <row r="488" spans="2:13" hidden="1" x14ac:dyDescent="0.3">
      <c r="B488" s="50" t="str">
        <f>RawList!A458</f>
        <v>Low-Level Electronics</v>
      </c>
      <c r="C488" s="50" t="str">
        <f>RawList!B458</f>
        <v>Jumper Wires, JST-SH</v>
      </c>
      <c r="D488" s="50" t="str">
        <f>RawList!C458</f>
        <v>SparkFun</v>
      </c>
      <c r="E488" s="50" t="str">
        <f>RawList!H458</f>
        <v>JST SH Jumper 6 Wire  - 1 Foot</v>
      </c>
      <c r="F488" s="50" t="str">
        <f>RawList!D458</f>
        <v>GPS-09123</v>
      </c>
      <c r="G488" s="137">
        <f>RawList!E458</f>
        <v>0</v>
      </c>
      <c r="H488" s="50" t="str">
        <f>IF(EquipmentTable[[#This Row],[Units]]&gt;0,"Quantity &gt; 0 Items","Quantity = 0 Items")</f>
        <v>Quantity = 0 Items</v>
      </c>
      <c r="I488" s="141">
        <f>RawList!J458</f>
        <v>2.95</v>
      </c>
      <c r="J488" s="24">
        <f>VALUE(EquipmentTable[[#This Row],[Units]]*EquipmentTable[[#This Row],[Unit
 Price]])</f>
        <v>0</v>
      </c>
      <c r="K488" s="50" t="str">
        <f>RawList!G458</f>
        <v>https://cdn.sparkfun.com/r/92-92/assets/parts/2/5/3/7/09123-03-L.jpg</v>
      </c>
      <c r="L488" s="50"/>
      <c r="M488" s="50" t="str">
        <f>RawList!F458</f>
        <v>https://www.sparkfun.com/products/9123</v>
      </c>
    </row>
    <row r="489" spans="2:13" hidden="1" x14ac:dyDescent="0.3">
      <c r="B489" s="50" t="str">
        <f>RawList!A459</f>
        <v>Low-Level Electronics</v>
      </c>
      <c r="C489" s="50" t="str">
        <f>RawList!B459</f>
        <v>Jumper Wires, JST-SH</v>
      </c>
      <c r="D489" s="50" t="str">
        <f>RawList!C459</f>
        <v>SparkFun</v>
      </c>
      <c r="E489" s="50" t="str">
        <f>RawList!H459</f>
        <v>Mega Pro Mini Cable - 8\" (8-wire)</v>
      </c>
      <c r="F489" s="50" t="str">
        <f>RawList!D459</f>
        <v>PRT-10853</v>
      </c>
      <c r="G489" s="137">
        <f>RawList!E459</f>
        <v>0</v>
      </c>
      <c r="H489" s="50" t="str">
        <f>IF(EquipmentTable[[#This Row],[Units]]&gt;0,"Quantity &gt; 0 Items","Quantity = 0 Items")</f>
        <v>Quantity = 0 Items</v>
      </c>
      <c r="I489" s="141">
        <f>RawList!J459</f>
        <v>0.95</v>
      </c>
      <c r="J489" s="24">
        <f>VALUE(EquipmentTable[[#This Row],[Units]]*EquipmentTable[[#This Row],[Unit
 Price]])</f>
        <v>0</v>
      </c>
      <c r="K489" s="50" t="str">
        <f>RawList!G459</f>
        <v>https://cdn.sparkfun.com/r/92-92/assets/parts/5/8/6/5/10853-01b.jpg</v>
      </c>
      <c r="L489" s="50"/>
      <c r="M489" s="50" t="str">
        <f>RawList!F459</f>
        <v>https://www.sparkfun.com/products/10853</v>
      </c>
    </row>
    <row r="490" spans="2:13" hidden="1" x14ac:dyDescent="0.3">
      <c r="B490" s="50" t="str">
        <f>RawList!A460</f>
        <v>Low-Level Electronics</v>
      </c>
      <c r="C490" s="50" t="str">
        <f>RawList!B460</f>
        <v>Jumper Wires, JST-SM</v>
      </c>
      <c r="D490" s="50" t="str">
        <f>RawList!C460</f>
        <v>Adafruit</v>
      </c>
      <c r="E490" s="50" t="str">
        <f>RawList!H460</f>
        <v xml:space="preserve">4-pin JST SM Plug + Receptacle Cable Set </v>
      </c>
      <c r="F490" s="50" t="str">
        <f>RawList!D460</f>
        <v>578</v>
      </c>
      <c r="G490" s="137">
        <f>RawList!E460</f>
        <v>0</v>
      </c>
      <c r="H490" s="50" t="str">
        <f>IF(EquipmentTable[[#This Row],[Units]]&gt;0,"Quantity &gt; 0 Items","Quantity = 0 Items")</f>
        <v>Quantity = 0 Items</v>
      </c>
      <c r="I490" s="141">
        <f>RawList!J460</f>
        <v>1.5</v>
      </c>
      <c r="J490" s="24">
        <f>VALUE(EquipmentTable[[#This Row],[Units]]*EquipmentTable[[#This Row],[Unit
 Price]])</f>
        <v>0</v>
      </c>
      <c r="K490" s="50">
        <f>RawList!G460</f>
        <v>0</v>
      </c>
      <c r="L490" s="50"/>
      <c r="M490" s="50">
        <f>RawList!F460</f>
        <v>0</v>
      </c>
    </row>
    <row r="491" spans="2:13" x14ac:dyDescent="0.3">
      <c r="B491" s="50" t="str">
        <f>RawList!A461</f>
        <v>Low-Level Electronics</v>
      </c>
      <c r="C491" s="50" t="str">
        <f>RawList!B461</f>
        <v>Jumper Wires, Mixed</v>
      </c>
      <c r="D491" s="50" t="str">
        <f>RawList!C461</f>
        <v>SparkFun</v>
      </c>
      <c r="E491" s="50" t="str">
        <f>RawList!H461</f>
        <v>JST to Breadboard Jumper (3-pin)</v>
      </c>
      <c r="F491" s="50" t="str">
        <f>RawList!D461</f>
        <v>CAB-13685</v>
      </c>
      <c r="G491" s="137">
        <f>RawList!E461</f>
        <v>6</v>
      </c>
      <c r="H491" s="50" t="str">
        <f>IF(EquipmentTable[[#This Row],[Units]]&gt;0,"Quantity &gt; 0 Items","Quantity = 0 Items")</f>
        <v>Quantity &gt; 0 Items</v>
      </c>
      <c r="I491" s="141">
        <f>RawList!J461</f>
        <v>1.5</v>
      </c>
      <c r="J491" s="24">
        <f>VALUE(EquipmentTable[[#This Row],[Units]]*EquipmentTable[[#This Row],[Unit
 Price]])</f>
        <v>9</v>
      </c>
      <c r="K491" s="50" t="str">
        <f>RawList!G461</f>
        <v>https://cdn.sparkfun.com/r/92-92/assets/parts/1/1/1/4/7/13685-01.jpg</v>
      </c>
      <c r="L491" s="50"/>
      <c r="M491" s="50" t="str">
        <f>RawList!F461</f>
        <v>https://www.sparkfun.com/products/13685</v>
      </c>
    </row>
    <row r="492" spans="2:13" x14ac:dyDescent="0.3">
      <c r="B492" s="50" t="str">
        <f>RawList!A462</f>
        <v>Low-Level Electronics</v>
      </c>
      <c r="C492" s="50" t="str">
        <f>RawList!B462</f>
        <v>Jumper Wires, Mixed</v>
      </c>
      <c r="D492" s="50" t="str">
        <f>RawList!C462</f>
        <v>SparkFun</v>
      </c>
      <c r="E492" s="50" t="str">
        <f>RawList!H462</f>
        <v>Jumper Wire - JST to Female Connector</v>
      </c>
      <c r="F492" s="50" t="str">
        <f>RawList!D462</f>
        <v>PRT-08599</v>
      </c>
      <c r="G492" s="137">
        <f>RawList!E462</f>
        <v>0</v>
      </c>
      <c r="H492" s="50" t="str">
        <f>IF(EquipmentTable[[#This Row],[Units]]&gt;0,"Quantity &gt; 0 Items","Quantity = 0 Items")</f>
        <v>Quantity = 0 Items</v>
      </c>
      <c r="I492" s="141">
        <f>RawList!J462</f>
        <v>1.5</v>
      </c>
      <c r="J492" s="24">
        <f>VALUE(EquipmentTable[[#This Row],[Units]]*EquipmentTable[[#This Row],[Unit
 Price]])</f>
        <v>0</v>
      </c>
      <c r="K492" s="50" t="str">
        <f>RawList!G462</f>
        <v>https://cdn.sparkfun.com/r/92-92/assets/parts/1/6/4/1/08599-03-L.jpg</v>
      </c>
      <c r="L492" s="50"/>
      <c r="M492" s="50" t="str">
        <f>RawList!F462</f>
        <v>https://www.sparkfun.com/products/8599</v>
      </c>
    </row>
    <row r="493" spans="2:13" x14ac:dyDescent="0.3">
      <c r="B493" s="50" t="str">
        <f>RawList!A463</f>
        <v>Low-Level Electronics</v>
      </c>
      <c r="C493" s="50" t="str">
        <f>RawList!B463</f>
        <v>Jumper Wires, Mixed</v>
      </c>
      <c r="D493" s="50" t="str">
        <f>RawList!C463</f>
        <v>SparkFun</v>
      </c>
      <c r="E493" s="50" t="str">
        <f>RawList!H463</f>
        <v>Jumper Wire - JST to Molex</v>
      </c>
      <c r="F493" s="50" t="str">
        <f>RawList!D463</f>
        <v>PRT-08598</v>
      </c>
      <c r="G493" s="137">
        <f>RawList!E463</f>
        <v>0</v>
      </c>
      <c r="H493" s="50" t="str">
        <f>IF(EquipmentTable[[#This Row],[Units]]&gt;0,"Quantity &gt; 0 Items","Quantity = 0 Items")</f>
        <v>Quantity = 0 Items</v>
      </c>
      <c r="I493" s="141">
        <f>RawList!J463</f>
        <v>1.5</v>
      </c>
      <c r="J493" s="24">
        <f>VALUE(EquipmentTable[[#This Row],[Units]]*EquipmentTable[[#This Row],[Unit
 Price]])</f>
        <v>0</v>
      </c>
      <c r="K493" s="50" t="str">
        <f>RawList!G463</f>
        <v>https://cdn.sparkfun.com/r/92-92/assets/parts/1/6/3/9/08598-03-L.jpg</v>
      </c>
      <c r="L493" s="50"/>
      <c r="M493" s="50" t="str">
        <f>RawList!F463</f>
        <v>https://www.sparkfun.com/products/8598</v>
      </c>
    </row>
    <row r="494" spans="2:13" x14ac:dyDescent="0.3">
      <c r="B494" s="50" t="str">
        <f>RawList!A464</f>
        <v>Low-Level Electronics</v>
      </c>
      <c r="C494" s="50" t="str">
        <f>RawList!B464</f>
        <v>Jumper Wires, Mixed</v>
      </c>
      <c r="D494" s="50" t="str">
        <f>RawList!C464</f>
        <v>Adafruit</v>
      </c>
      <c r="E494" s="50" t="str">
        <f>RawList!H464</f>
        <v>4-pin AT/ATX/IDE power cable</v>
      </c>
      <c r="F494" s="50" t="str">
        <f>RawList!D464</f>
        <v>425</v>
      </c>
      <c r="G494" s="137">
        <f>RawList!E464</f>
        <v>0</v>
      </c>
      <c r="H494" s="50" t="str">
        <f>IF(EquipmentTable[[#This Row],[Units]]&gt;0,"Quantity &gt; 0 Items","Quantity = 0 Items")</f>
        <v>Quantity = 0 Items</v>
      </c>
      <c r="I494" s="141">
        <f>RawList!J464</f>
        <v>1.95</v>
      </c>
      <c r="J494" s="24">
        <f>VALUE(EquipmentTable[[#This Row],[Units]]*EquipmentTable[[#This Row],[Unit
 Price]])</f>
        <v>0</v>
      </c>
      <c r="K494" s="50">
        <f>RawList!G464</f>
        <v>0</v>
      </c>
      <c r="L494" s="50"/>
      <c r="M494" s="50">
        <f>RawList!F464</f>
        <v>0</v>
      </c>
    </row>
    <row r="495" spans="2:13" hidden="1" x14ac:dyDescent="0.3">
      <c r="B495" s="50" t="str">
        <f>RawList!A465</f>
        <v>Low-Level Electronics</v>
      </c>
      <c r="C495" s="50" t="str">
        <f>RawList!B465</f>
        <v>Jumper Wires, JST-SM</v>
      </c>
      <c r="D495" s="50" t="str">
        <f>RawList!C465</f>
        <v>Adafruit</v>
      </c>
      <c r="E495" s="50" t="str">
        <f>RawList!H465</f>
        <v>2-pin JST SM Plug + Receptacle Cable Set</v>
      </c>
      <c r="F495" s="50" t="str">
        <f>RawList!D465</f>
        <v>2880</v>
      </c>
      <c r="G495" s="137">
        <f>RawList!E465</f>
        <v>0</v>
      </c>
      <c r="H495" s="50" t="str">
        <f>IF(EquipmentTable[[#This Row],[Units]]&gt;0,"Quantity &gt; 0 Items","Quantity = 0 Items")</f>
        <v>Quantity = 0 Items</v>
      </c>
      <c r="I495" s="141">
        <f>RawList!J465</f>
        <v>0.75</v>
      </c>
      <c r="J495" s="24">
        <f>VALUE(EquipmentTable[[#This Row],[Units]]*EquipmentTable[[#This Row],[Unit
 Price]])</f>
        <v>0</v>
      </c>
      <c r="K495" s="50">
        <f>RawList!G465</f>
        <v>0</v>
      </c>
      <c r="L495" s="50"/>
      <c r="M495" s="50">
        <f>RawList!F465</f>
        <v>0</v>
      </c>
    </row>
    <row r="496" spans="2:13" x14ac:dyDescent="0.3">
      <c r="B496" s="50" t="str">
        <f>RawList!A466</f>
        <v>Low-Level Electronics</v>
      </c>
      <c r="C496" s="50" t="str">
        <f>RawList!B466</f>
        <v>Jumper Wires, JST-PH</v>
      </c>
      <c r="D496" s="50" t="str">
        <f>RawList!C466</f>
        <v>Adafruit</v>
      </c>
      <c r="E496" s="50" t="str">
        <f>RawList!H466</f>
        <v>JST 2-pin cable</v>
      </c>
      <c r="F496" s="50" t="str">
        <f>RawList!D466</f>
        <v>261</v>
      </c>
      <c r="G496" s="137">
        <f>RawList!E466</f>
        <v>0</v>
      </c>
      <c r="H496" s="50" t="str">
        <f>IF(EquipmentTable[[#This Row],[Units]]&gt;0,"Quantity &gt; 0 Items","Quantity = 0 Items")</f>
        <v>Quantity = 0 Items</v>
      </c>
      <c r="I496" s="141">
        <f>RawList!J466</f>
        <v>0.75</v>
      </c>
      <c r="J496" s="24">
        <f>VALUE(EquipmentTable[[#This Row],[Units]]*EquipmentTable[[#This Row],[Unit
 Price]])</f>
        <v>0</v>
      </c>
      <c r="K496" s="50">
        <f>RawList!G466</f>
        <v>0</v>
      </c>
      <c r="L496" s="50"/>
      <c r="M496" s="50">
        <f>RawList!F466</f>
        <v>0</v>
      </c>
    </row>
    <row r="497" spans="2:13" x14ac:dyDescent="0.3">
      <c r="B497" s="50" t="str">
        <f>RawList!A467</f>
        <v>Low-Level Electronics</v>
      </c>
      <c r="C497" s="50" t="str">
        <f>RawList!B467</f>
        <v>Jumper Wires, JST-PH</v>
      </c>
      <c r="D497" s="50" t="str">
        <f>RawList!C467</f>
        <v>Adafruit</v>
      </c>
      <c r="E497" s="50" t="str">
        <f>RawList!H467</f>
        <v>JST-PH 2-Pin SMT Right Angle Connector</v>
      </c>
      <c r="F497" s="50" t="str">
        <f>RawList!D467</f>
        <v>1769</v>
      </c>
      <c r="G497" s="137">
        <f>RawList!E467</f>
        <v>0</v>
      </c>
      <c r="H497" s="50" t="str">
        <f>IF(EquipmentTable[[#This Row],[Units]]&gt;0,"Quantity &gt; 0 Items","Quantity = 0 Items")</f>
        <v>Quantity = 0 Items</v>
      </c>
      <c r="I497" s="141">
        <f>RawList!J467</f>
        <v>0.75</v>
      </c>
      <c r="J497" s="24">
        <f>VALUE(EquipmentTable[[#This Row],[Units]]*EquipmentTable[[#This Row],[Unit
 Price]])</f>
        <v>0</v>
      </c>
      <c r="K497" s="50">
        <f>RawList!G467</f>
        <v>0</v>
      </c>
      <c r="L497" s="50"/>
      <c r="M497" s="50">
        <f>RawList!F467</f>
        <v>0</v>
      </c>
    </row>
    <row r="498" spans="2:13" x14ac:dyDescent="0.3">
      <c r="B498" s="50" t="str">
        <f>RawList!A468</f>
        <v>Low-Level Electronics</v>
      </c>
      <c r="C498" s="50" t="str">
        <f>RawList!B468</f>
        <v>Jumper Wires, Molex</v>
      </c>
      <c r="D498" s="50" t="str">
        <f>RawList!C468</f>
        <v>SparkFun</v>
      </c>
      <c r="E498" s="50" t="str">
        <f>RawList!H468</f>
        <v>Molex Jumper 2 Wire Assembly</v>
      </c>
      <c r="F498" s="50" t="str">
        <f>RawList!D468</f>
        <v>PRT-09918</v>
      </c>
      <c r="G498" s="137">
        <f>RawList!E468</f>
        <v>10</v>
      </c>
      <c r="H498" s="50" t="str">
        <f>IF(EquipmentTable[[#This Row],[Units]]&gt;0,"Quantity &gt; 0 Items","Quantity = 0 Items")</f>
        <v>Quantity &gt; 0 Items</v>
      </c>
      <c r="I498" s="141">
        <f>RawList!J468</f>
        <v>0.95</v>
      </c>
      <c r="J498" s="24">
        <f>VALUE(EquipmentTable[[#This Row],[Units]]*EquipmentTable[[#This Row],[Unit
 Price]])</f>
        <v>9.5</v>
      </c>
      <c r="K498" s="50" t="str">
        <f>RawList!G468</f>
        <v>https://cdn.sparkfun.com/r/92-92/assets/parts/4/0/2/4/09918-01.jpg</v>
      </c>
      <c r="L498" s="50"/>
      <c r="M498" s="50" t="str">
        <f>RawList!F468</f>
        <v>https://www.sparkfun.com/products/9918</v>
      </c>
    </row>
    <row r="499" spans="2:13" x14ac:dyDescent="0.3">
      <c r="B499" s="50" t="str">
        <f>RawList!A469</f>
        <v>Low-Level Electronics</v>
      </c>
      <c r="C499" s="50" t="str">
        <f>RawList!B469</f>
        <v>Jumper Wires, Molex</v>
      </c>
      <c r="D499" s="50" t="str">
        <f>RawList!C469</f>
        <v>SparkFun</v>
      </c>
      <c r="E499" s="50" t="str">
        <f>RawList!H469</f>
        <v>Molex Jumper 6 Wire Assembly</v>
      </c>
      <c r="F499" s="50" t="str">
        <f>RawList!D469</f>
        <v>PRT-09922</v>
      </c>
      <c r="G499" s="137">
        <f>RawList!E469</f>
        <v>10</v>
      </c>
      <c r="H499" s="50" t="str">
        <f>IF(EquipmentTable[[#This Row],[Units]]&gt;0,"Quantity &gt; 0 Items","Quantity = 0 Items")</f>
        <v>Quantity &gt; 0 Items</v>
      </c>
      <c r="I499" s="141">
        <f>RawList!J469</f>
        <v>1.95</v>
      </c>
      <c r="J499" s="24">
        <f>VALUE(EquipmentTable[[#This Row],[Units]]*EquipmentTable[[#This Row],[Unit
 Price]])</f>
        <v>19.5</v>
      </c>
      <c r="K499" s="50" t="str">
        <f>RawList!G469</f>
        <v>https://cdn.sparkfun.com/r/92-92/assets/parts/4/0/2/8/09922-01.jpg</v>
      </c>
      <c r="L499" s="50"/>
      <c r="M499" s="50" t="str">
        <f>RawList!F469</f>
        <v>https://www.sparkfun.com/products/9922</v>
      </c>
    </row>
    <row r="500" spans="2:13" x14ac:dyDescent="0.3">
      <c r="B500" s="50" t="str">
        <f>RawList!A470</f>
        <v>Low-Level Electronics</v>
      </c>
      <c r="C500" s="50" t="str">
        <f>RawList!B470</f>
        <v>Jumper Wires, PTH</v>
      </c>
      <c r="D500" s="50" t="str">
        <f>RawList!C470</f>
        <v>SparkFun</v>
      </c>
      <c r="E500" s="50" t="str">
        <f>RawList!H470</f>
        <v>Jumper Wire - Female to Female Connector</v>
      </c>
      <c r="F500" s="50" t="str">
        <f>RawList!D470</f>
        <v>PRT-08614</v>
      </c>
      <c r="G500" s="137">
        <f>RawList!E470</f>
        <v>0</v>
      </c>
      <c r="H500" s="50" t="str">
        <f>IF(EquipmentTable[[#This Row],[Units]]&gt;0,"Quantity &gt; 0 Items","Quantity = 0 Items")</f>
        <v>Quantity = 0 Items</v>
      </c>
      <c r="I500" s="141">
        <f>RawList!J470</f>
        <v>1.5</v>
      </c>
      <c r="J500" s="24">
        <f>VALUE(EquipmentTable[[#This Row],[Units]]*EquipmentTable[[#This Row],[Unit
 Price]])</f>
        <v>0</v>
      </c>
      <c r="K500" s="50" t="str">
        <f>RawList!G470</f>
        <v>https://cdn.sparkfun.com/r/92-92/assets/parts/1/6/9/8/08614-03-L.jpg</v>
      </c>
      <c r="L500" s="50"/>
      <c r="M500" s="50" t="str">
        <f>RawList!F470</f>
        <v>https://www.sparkfun.com/products/8614</v>
      </c>
    </row>
    <row r="501" spans="2:13" x14ac:dyDescent="0.3">
      <c r="B501" s="50" t="str">
        <f>RawList!A471</f>
        <v>Low-Level Electronics</v>
      </c>
      <c r="C501" s="50" t="str">
        <f>RawList!B471</f>
        <v>Jumper Wires, PTH</v>
      </c>
      <c r="D501" s="50" t="str">
        <f>RawList!C471</f>
        <v>SparkFun</v>
      </c>
      <c r="E501" s="50" t="str">
        <f>RawList!H471</f>
        <v>Jumper Wire - PTH Black White</v>
      </c>
      <c r="F501" s="50" t="str">
        <f>RawList!D471</f>
        <v>PRT-08672</v>
      </c>
      <c r="G501" s="137">
        <f>RawList!E471</f>
        <v>0</v>
      </c>
      <c r="H501" s="50" t="str">
        <f>IF(EquipmentTable[[#This Row],[Units]]&gt;0,"Quantity &gt; 0 Items","Quantity = 0 Items")</f>
        <v>Quantity = 0 Items</v>
      </c>
      <c r="I501" s="141">
        <f>RawList!J471</f>
        <v>0.95</v>
      </c>
      <c r="J501" s="24">
        <f>VALUE(EquipmentTable[[#This Row],[Units]]*EquipmentTable[[#This Row],[Unit
 Price]])</f>
        <v>0</v>
      </c>
      <c r="K501" s="50" t="str">
        <f>RawList!G471</f>
        <v>https://cdn.sparkfun.com/r/92-92/assets/parts/1/8/2/8/08672-03-L.jpg</v>
      </c>
      <c r="L501" s="50"/>
      <c r="M501" s="50" t="str">
        <f>RawList!F471</f>
        <v>https://www.sparkfun.com/products/8672</v>
      </c>
    </row>
    <row r="502" spans="2:13" x14ac:dyDescent="0.3">
      <c r="B502" s="50" t="str">
        <f>RawList!A472</f>
        <v>Low-Level Electronics</v>
      </c>
      <c r="C502" s="50" t="str">
        <f>RawList!B472</f>
        <v>Jumper Wires, PTH</v>
      </c>
      <c r="D502" s="50" t="str">
        <f>RawList!C472</f>
        <v>SparkFun</v>
      </c>
      <c r="E502" s="50" t="str">
        <f>RawList!H472</f>
        <v>Jumper Wire - 0.1\", 2-pin, 6\"</v>
      </c>
      <c r="F502" s="50" t="str">
        <f>RawList!D472</f>
        <v>PRT-10367</v>
      </c>
      <c r="G502" s="137">
        <f>RawList!E472</f>
        <v>0</v>
      </c>
      <c r="H502" s="50" t="str">
        <f>IF(EquipmentTable[[#This Row],[Units]]&gt;0,"Quantity &gt; 0 Items","Quantity = 0 Items")</f>
        <v>Quantity = 0 Items</v>
      </c>
      <c r="I502" s="141">
        <f>RawList!J472</f>
        <v>1.5</v>
      </c>
      <c r="J502" s="24">
        <f>VALUE(EquipmentTable[[#This Row],[Units]]*EquipmentTable[[#This Row],[Unit
 Price]])</f>
        <v>0</v>
      </c>
      <c r="K502" s="50" t="str">
        <f>RawList!G472</f>
        <v>https://cdn.sparkfun.com/r/92-92/assets/parts/4/8/1/9/10367-01.jpg</v>
      </c>
      <c r="L502" s="50"/>
      <c r="M502" s="50" t="str">
        <f>RawList!F472</f>
        <v>https://www.sparkfun.com/products/10367</v>
      </c>
    </row>
    <row r="503" spans="2:13" x14ac:dyDescent="0.3">
      <c r="B503" s="50" t="str">
        <f>RawList!A473</f>
        <v>Low-Level Electronics</v>
      </c>
      <c r="C503" s="50" t="str">
        <f>RawList!B473</f>
        <v>Jumper Wires, PTH</v>
      </c>
      <c r="D503" s="50" t="str">
        <f>RawList!C473</f>
        <v>SparkFun</v>
      </c>
      <c r="E503" s="50" t="str">
        <f>RawList!H473</f>
        <v>Jumper Wire - 0.1\", 3-pin, 12\"</v>
      </c>
      <c r="F503" s="50" t="str">
        <f>RawList!D473</f>
        <v>PRT-10373</v>
      </c>
      <c r="G503" s="137">
        <f>RawList!E473</f>
        <v>0</v>
      </c>
      <c r="H503" s="50" t="str">
        <f>IF(EquipmentTable[[#This Row],[Units]]&gt;0,"Quantity &gt; 0 Items","Quantity = 0 Items")</f>
        <v>Quantity = 0 Items</v>
      </c>
      <c r="I503" s="141">
        <f>RawList!J473</f>
        <v>1.95</v>
      </c>
      <c r="J503" s="24">
        <f>VALUE(EquipmentTable[[#This Row],[Units]]*EquipmentTable[[#This Row],[Unit
 Price]])</f>
        <v>0</v>
      </c>
      <c r="K503" s="50" t="str">
        <f>RawList!G473</f>
        <v>https://cdn.sparkfun.com/r/92-92/assets/parts/4/8/2/5/10373-02.jpg</v>
      </c>
      <c r="L503" s="50"/>
      <c r="M503" s="50" t="str">
        <f>RawList!F473</f>
        <v>https://www.sparkfun.com/products/10373</v>
      </c>
    </row>
    <row r="504" spans="2:13" x14ac:dyDescent="0.3">
      <c r="B504" s="50" t="str">
        <f>RawList!A474</f>
        <v>Low-Level Electronics</v>
      </c>
      <c r="C504" s="50" t="str">
        <f>RawList!B474</f>
        <v>Jumper Wires, PTH</v>
      </c>
      <c r="D504" s="50" t="str">
        <f>RawList!C474</f>
        <v>SparkFun</v>
      </c>
      <c r="E504" s="50" t="str">
        <f>RawList!H474</f>
        <v>Jumper Wire - 0.1\", 3-pin, 6\" (Black, Red, White)</v>
      </c>
      <c r="F504" s="50" t="str">
        <f>RawList!D474</f>
        <v>PRT-13164</v>
      </c>
      <c r="G504" s="137">
        <f>RawList!E474</f>
        <v>0</v>
      </c>
      <c r="H504" s="50" t="str">
        <f>IF(EquipmentTable[[#This Row],[Units]]&gt;0,"Quantity &gt; 0 Items","Quantity = 0 Items")</f>
        <v>Quantity = 0 Items</v>
      </c>
      <c r="I504" s="141">
        <f>RawList!J474</f>
        <v>1.5</v>
      </c>
      <c r="J504" s="24">
        <f>VALUE(EquipmentTable[[#This Row],[Units]]*EquipmentTable[[#This Row],[Unit
 Price]])</f>
        <v>0</v>
      </c>
      <c r="K504" s="50" t="str">
        <f>RawList!G474</f>
        <v>https://cdn.sparkfun.com/r/92-92/assets/parts/1/0/2/8/5/13164-01.jpg</v>
      </c>
      <c r="L504" s="50"/>
      <c r="M504" s="50" t="str">
        <f>RawList!F474</f>
        <v>https://www.sparkfun.com/products/13164</v>
      </c>
    </row>
    <row r="505" spans="2:13" x14ac:dyDescent="0.3">
      <c r="B505" s="50" t="str">
        <f>RawList!A475</f>
        <v>Low-Level Electronics</v>
      </c>
      <c r="C505" s="50" t="str">
        <f>RawList!B475</f>
        <v>Jumper Wires, PTH</v>
      </c>
      <c r="D505" s="50" t="str">
        <f>RawList!C475</f>
        <v>SparkFun</v>
      </c>
      <c r="E505" s="50" t="str">
        <f>RawList!H475</f>
        <v>Jumper Wire - 0.1\", 4-pin, 6\"</v>
      </c>
      <c r="F505" s="50" t="str">
        <f>RawList!D475</f>
        <v>PRT-10369</v>
      </c>
      <c r="G505" s="137">
        <f>RawList!E475</f>
        <v>0</v>
      </c>
      <c r="H505" s="50" t="str">
        <f>IF(EquipmentTable[[#This Row],[Units]]&gt;0,"Quantity &gt; 0 Items","Quantity = 0 Items")</f>
        <v>Quantity = 0 Items</v>
      </c>
      <c r="I505" s="141">
        <f>RawList!J475</f>
        <v>1.5</v>
      </c>
      <c r="J505" s="24">
        <f>VALUE(EquipmentTable[[#This Row],[Units]]*EquipmentTable[[#This Row],[Unit
 Price]])</f>
        <v>0</v>
      </c>
      <c r="K505" s="50" t="str">
        <f>RawList!G475</f>
        <v>https://cdn.sparkfun.com/r/92-92/assets/parts/4/8/2/1/10369-01.jpg</v>
      </c>
      <c r="L505" s="50"/>
      <c r="M505" s="50" t="str">
        <f>RawList!F475</f>
        <v>https://www.sparkfun.com/products/10369</v>
      </c>
    </row>
    <row r="506" spans="2:13" x14ac:dyDescent="0.3">
      <c r="B506" s="50" t="str">
        <f>RawList!A476</f>
        <v>Low-Level Electronics</v>
      </c>
      <c r="C506" s="50" t="str">
        <f>RawList!B476</f>
        <v>Jumper Wires, PTH</v>
      </c>
      <c r="D506" s="50" t="str">
        <f>RawList!C476</f>
        <v>SparkFun</v>
      </c>
      <c r="E506" s="50" t="str">
        <f>RawList!H476</f>
        <v>Jumper Wire - 0.1\", 5-pin, 6\"</v>
      </c>
      <c r="F506" s="50" t="str">
        <f>RawList!D476</f>
        <v>PRT-10370</v>
      </c>
      <c r="G506" s="137">
        <f>RawList!E476</f>
        <v>0</v>
      </c>
      <c r="H506" s="50" t="str">
        <f>IF(EquipmentTable[[#This Row],[Units]]&gt;0,"Quantity &gt; 0 Items","Quantity = 0 Items")</f>
        <v>Quantity = 0 Items</v>
      </c>
      <c r="I506" s="141">
        <f>RawList!J476</f>
        <v>1.5</v>
      </c>
      <c r="J506" s="24">
        <f>VALUE(EquipmentTable[[#This Row],[Units]]*EquipmentTable[[#This Row],[Unit
 Price]])</f>
        <v>0</v>
      </c>
      <c r="K506" s="50" t="str">
        <f>RawList!G476</f>
        <v>https://cdn.sparkfun.com/r/92-92/assets/parts/4/8/2/2/10370-01.jpg</v>
      </c>
      <c r="L506" s="50"/>
      <c r="M506" s="50" t="str">
        <f>RawList!F476</f>
        <v>https://www.sparkfun.com/products/10370</v>
      </c>
    </row>
    <row r="507" spans="2:13" x14ac:dyDescent="0.3">
      <c r="B507" s="50" t="str">
        <f>RawList!A477</f>
        <v>Low-Level Electronics</v>
      </c>
      <c r="C507" s="50" t="str">
        <f>RawList!B477</f>
        <v>Jumper Wires, PTH</v>
      </c>
      <c r="D507" s="50" t="str">
        <f>RawList!C477</f>
        <v>SparkFun</v>
      </c>
      <c r="E507" s="50" t="str">
        <f>RawList!H477</f>
        <v>Jumper Wire - 0.1\", 6-pin, 12\"</v>
      </c>
      <c r="F507" s="50" t="str">
        <f>RawList!D477</f>
        <v>PRT-10376</v>
      </c>
      <c r="G507" s="137">
        <f>RawList!E477</f>
        <v>0</v>
      </c>
      <c r="H507" s="50" t="str">
        <f>IF(EquipmentTable[[#This Row],[Units]]&gt;0,"Quantity &gt; 0 Items","Quantity = 0 Items")</f>
        <v>Quantity = 0 Items</v>
      </c>
      <c r="I507" s="141">
        <f>RawList!J477</f>
        <v>1.95</v>
      </c>
      <c r="J507" s="24">
        <f>VALUE(EquipmentTable[[#This Row],[Units]]*EquipmentTable[[#This Row],[Unit
 Price]])</f>
        <v>0</v>
      </c>
      <c r="K507" s="50" t="str">
        <f>RawList!G477</f>
        <v>https://cdn.sparkfun.com/r/92-92/assets/parts/4/8/2/8/10376-01.jpg</v>
      </c>
      <c r="L507" s="50"/>
      <c r="M507" s="50" t="str">
        <f>RawList!F477</f>
        <v>https://www.sparkfun.com/products/10376</v>
      </c>
    </row>
    <row r="508" spans="2:13" x14ac:dyDescent="0.3">
      <c r="B508" s="50" t="str">
        <f>RawList!A478</f>
        <v>Low-Level Electronics</v>
      </c>
      <c r="C508" s="50" t="str">
        <f>RawList!B478</f>
        <v>Jumper Wires, PTH</v>
      </c>
      <c r="D508" s="50" t="str">
        <f>RawList!C478</f>
        <v>SparkFun</v>
      </c>
      <c r="E508" s="50" t="str">
        <f>RawList!H478</f>
        <v>Jumper Wire - 0.1\", 6-pin, 6\"</v>
      </c>
      <c r="F508" s="50" t="str">
        <f>RawList!D478</f>
        <v>PRT-10371</v>
      </c>
      <c r="G508" s="137">
        <f>RawList!E478</f>
        <v>0</v>
      </c>
      <c r="H508" s="50" t="str">
        <f>IF(EquipmentTable[[#This Row],[Units]]&gt;0,"Quantity &gt; 0 Items","Quantity = 0 Items")</f>
        <v>Quantity = 0 Items</v>
      </c>
      <c r="I508" s="141">
        <f>RawList!J478</f>
        <v>1.5</v>
      </c>
      <c r="J508" s="24">
        <f>VALUE(EquipmentTable[[#This Row],[Units]]*EquipmentTable[[#This Row],[Unit
 Price]])</f>
        <v>0</v>
      </c>
      <c r="K508" s="50" t="str">
        <f>RawList!G478</f>
        <v>https://cdn.sparkfun.com/r/92-92/assets/parts/4/8/2/3/10371-01.jpg</v>
      </c>
      <c r="L508" s="50"/>
      <c r="M508" s="50" t="str">
        <f>RawList!F478</f>
        <v>https://www.sparkfun.com/products/10371</v>
      </c>
    </row>
    <row r="509" spans="2:13" x14ac:dyDescent="0.3">
      <c r="B509" s="50" t="str">
        <f>RawList!A479</f>
        <v>Low-Level Electronics</v>
      </c>
      <c r="C509" s="50" t="str">
        <f>RawList!B479</f>
        <v>Jumper Wires, PTH</v>
      </c>
      <c r="D509" s="50" t="str">
        <f>RawList!C479</f>
        <v>SparkFun</v>
      </c>
      <c r="E509" s="50" t="str">
        <f>RawList!H479</f>
        <v>Jumper Wires - Connected 6\" (F/F, 20 pack)</v>
      </c>
      <c r="F509" s="50" t="str">
        <f>RawList!D479</f>
        <v>PRT-12796</v>
      </c>
      <c r="G509" s="137">
        <f>RawList!E479</f>
        <v>0</v>
      </c>
      <c r="H509" s="50" t="str">
        <f>IF(EquipmentTable[[#This Row],[Units]]&gt;0,"Quantity &gt; 0 Items","Quantity = 0 Items")</f>
        <v>Quantity = 0 Items</v>
      </c>
      <c r="I509" s="141">
        <f>RawList!J479</f>
        <v>1.95</v>
      </c>
      <c r="J509" s="24">
        <f>VALUE(EquipmentTable[[#This Row],[Units]]*EquipmentTable[[#This Row],[Unit
 Price]])</f>
        <v>0</v>
      </c>
      <c r="K509" s="50" t="str">
        <f>RawList!G479</f>
        <v>https://cdn.sparkfun.com/r/92-92/assets/parts/9/6/1/4/12796-00.jpg</v>
      </c>
      <c r="L509" s="50"/>
      <c r="M509" s="50" t="str">
        <f>RawList!F479</f>
        <v>https://www.sparkfun.com/products/12796</v>
      </c>
    </row>
    <row r="510" spans="2:13" x14ac:dyDescent="0.3">
      <c r="B510" s="50" t="str">
        <f>RawList!A480</f>
        <v>Low-Level Electronics</v>
      </c>
      <c r="C510" s="50" t="str">
        <f>RawList!B480</f>
        <v>Jumper Wires, PTH</v>
      </c>
      <c r="D510" s="50" t="str">
        <f>RawList!C480</f>
        <v>SparkFun</v>
      </c>
      <c r="E510" s="50" t="str">
        <f>RawList!H480</f>
        <v>Jumper Wires Premium 6\" F/F - 20 AWG (10 Pack)</v>
      </c>
      <c r="F510" s="50" t="str">
        <f>RawList!D480</f>
        <v>PRT-11710</v>
      </c>
      <c r="G510" s="137">
        <f>RawList!E480</f>
        <v>0</v>
      </c>
      <c r="H510" s="50" t="str">
        <f>IF(EquipmentTable[[#This Row],[Units]]&gt;0,"Quantity &gt; 0 Items","Quantity = 0 Items")</f>
        <v>Quantity = 0 Items</v>
      </c>
      <c r="I510" s="141">
        <f>RawList!J480</f>
        <v>4.95</v>
      </c>
      <c r="J510" s="24">
        <f>VALUE(EquipmentTable[[#This Row],[Units]]*EquipmentTable[[#This Row],[Unit
 Price]])</f>
        <v>0</v>
      </c>
      <c r="K510" s="50" t="str">
        <f>RawList!G480</f>
        <v>https://cdn.sparkfun.com/r/92-92/assets/parts/7/8/9/3/11710-01.jpg</v>
      </c>
      <c r="L510" s="50"/>
      <c r="M510" s="50" t="str">
        <f>RawList!F480</f>
        <v>https://www.sparkfun.com/products/11710</v>
      </c>
    </row>
    <row r="511" spans="2:13" x14ac:dyDescent="0.3">
      <c r="B511" s="50" t="str">
        <f>RawList!A481</f>
        <v>Low-Level Electronics</v>
      </c>
      <c r="C511" s="50" t="str">
        <f>RawList!B481</f>
        <v>Jumper Wires, PTH</v>
      </c>
      <c r="D511" s="50" t="str">
        <f>RawList!C481</f>
        <v>SparkFun</v>
      </c>
      <c r="E511" s="50" t="str">
        <f>RawList!H481</f>
        <v>Jumper Wires Premium 12\" F/F Pack of 10</v>
      </c>
      <c r="F511" s="50" t="str">
        <f>RawList!D481</f>
        <v>PRT-09389</v>
      </c>
      <c r="G511" s="137">
        <f>RawList!E481</f>
        <v>0</v>
      </c>
      <c r="H511" s="50" t="str">
        <f>IF(EquipmentTable[[#This Row],[Units]]&gt;0,"Quantity &gt; 0 Items","Quantity = 0 Items")</f>
        <v>Quantity = 0 Items</v>
      </c>
      <c r="I511" s="141">
        <f>RawList!J481</f>
        <v>4.5</v>
      </c>
      <c r="J511" s="24">
        <f>VALUE(EquipmentTable[[#This Row],[Units]]*EquipmentTable[[#This Row],[Unit
 Price]])</f>
        <v>0</v>
      </c>
      <c r="K511" s="50" t="str">
        <f>RawList!G481</f>
        <v>https://cdn.sparkfun.com/r/92-92/assets/parts/2/9/9/1/09389-01.jpg</v>
      </c>
      <c r="L511" s="50"/>
      <c r="M511" s="50" t="str">
        <f>RawList!F481</f>
        <v>https://www.sparkfun.com/products/9389</v>
      </c>
    </row>
    <row r="512" spans="2:13" x14ac:dyDescent="0.3">
      <c r="B512" s="50" t="str">
        <f>RawList!A482</f>
        <v>Low-Level Electronics</v>
      </c>
      <c r="C512" s="50" t="str">
        <f>RawList!B482</f>
        <v>Jumper Wires, PTH</v>
      </c>
      <c r="D512" s="50" t="str">
        <f>RawList!C482</f>
        <v>SparkFun</v>
      </c>
      <c r="E512" s="50" t="str">
        <f>RawList!H482</f>
        <v>Jumper Wires Premium 6\" M/F Pack of 10</v>
      </c>
      <c r="F512" s="50" t="str">
        <f>RawList!D482</f>
        <v>PRT-09140</v>
      </c>
      <c r="G512" s="137">
        <f>RawList!E482</f>
        <v>0</v>
      </c>
      <c r="H512" s="50" t="str">
        <f>IF(EquipmentTable[[#This Row],[Units]]&gt;0,"Quantity &gt; 0 Items","Quantity = 0 Items")</f>
        <v>Quantity = 0 Items</v>
      </c>
      <c r="I512" s="141">
        <f>RawList!J482</f>
        <v>3.95</v>
      </c>
      <c r="J512" s="24">
        <f>VALUE(EquipmentTable[[#This Row],[Units]]*EquipmentTable[[#This Row],[Unit
 Price]])</f>
        <v>0</v>
      </c>
      <c r="K512" s="50" t="str">
        <f>RawList!G482</f>
        <v>https://cdn.sparkfun.com/r/92-92/assets/parts/2/5/5/7/09140-02-L.jpg</v>
      </c>
      <c r="L512" s="50"/>
      <c r="M512" s="50" t="str">
        <f>RawList!F482</f>
        <v>https://www.sparkfun.com/products/9140</v>
      </c>
    </row>
    <row r="513" spans="2:13" x14ac:dyDescent="0.3">
      <c r="B513" s="50" t="str">
        <f>RawList!A483</f>
        <v>Low-Level Electronics</v>
      </c>
      <c r="C513" s="50" t="str">
        <f>RawList!B483</f>
        <v>Jumper Wires, PTH</v>
      </c>
      <c r="D513" s="50" t="str">
        <f>RawList!C483</f>
        <v>SparkFun</v>
      </c>
      <c r="E513" s="50" t="str">
        <f>RawList!H483</f>
        <v>Jumper Wires Premium 12\" M/F Pack of 10</v>
      </c>
      <c r="F513" s="50" t="str">
        <f>RawList!D483</f>
        <v>PRT-09385</v>
      </c>
      <c r="G513" s="137">
        <f>RawList!E483</f>
        <v>0</v>
      </c>
      <c r="H513" s="50" t="str">
        <f>IF(EquipmentTable[[#This Row],[Units]]&gt;0,"Quantity &gt; 0 Items","Quantity = 0 Items")</f>
        <v>Quantity = 0 Items</v>
      </c>
      <c r="I513" s="141">
        <f>RawList!J483</f>
        <v>4.5</v>
      </c>
      <c r="J513" s="24">
        <f>VALUE(EquipmentTable[[#This Row],[Units]]*EquipmentTable[[#This Row],[Unit
 Price]])</f>
        <v>0</v>
      </c>
      <c r="K513" s="50" t="str">
        <f>RawList!G483</f>
        <v>https://cdn.sparkfun.com/r/92-92/assets/parts/2/9/8/7/09385-03.jpg</v>
      </c>
      <c r="L513" s="50"/>
      <c r="M513" s="50" t="str">
        <f>RawList!F483</f>
        <v>https://www.sparkfun.com/products/9385</v>
      </c>
    </row>
    <row r="514" spans="2:13" x14ac:dyDescent="0.3">
      <c r="B514" s="50" t="str">
        <f>RawList!A484</f>
        <v>Low-Level Electronics</v>
      </c>
      <c r="C514" s="50" t="str">
        <f>RawList!B484</f>
        <v>Jumper Wires, PTH</v>
      </c>
      <c r="D514" s="50" t="str">
        <f>RawList!C484</f>
        <v>SparkFun</v>
      </c>
      <c r="E514" s="50" t="str">
        <f>RawList!H484</f>
        <v>Jumper Wires Premium 4\" M/M - 26 AWG (30 Pack)</v>
      </c>
      <c r="F514" s="50" t="str">
        <f>RawList!D484</f>
        <v>PRT-14284</v>
      </c>
      <c r="G514" s="137">
        <f>RawList!E484</f>
        <v>0</v>
      </c>
      <c r="H514" s="50" t="str">
        <f>IF(EquipmentTable[[#This Row],[Units]]&gt;0,"Quantity &gt; 0 Items","Quantity = 0 Items")</f>
        <v>Quantity = 0 Items</v>
      </c>
      <c r="I514" s="141">
        <f>RawList!J484</f>
        <v>1.95</v>
      </c>
      <c r="J514" s="24">
        <f>VALUE(EquipmentTable[[#This Row],[Units]]*EquipmentTable[[#This Row],[Unit
 Price]])</f>
        <v>0</v>
      </c>
      <c r="K514" s="50" t="str">
        <f>RawList!G484</f>
        <v>https://cdn.sparkfun.com/r/92-92/assets/parts/1/2/2/4/2/13870-01.jpg</v>
      </c>
      <c r="L514" s="50"/>
      <c r="M514" s="50" t="str">
        <f>RawList!F484</f>
        <v>https://www.sparkfun.com/products/14284</v>
      </c>
    </row>
    <row r="515" spans="2:13" x14ac:dyDescent="0.3">
      <c r="B515" s="50" t="str">
        <f>RawList!A485</f>
        <v>Low-Level Electronics</v>
      </c>
      <c r="C515" s="50" t="str">
        <f>RawList!B485</f>
        <v>Jumper Wires, PTH</v>
      </c>
      <c r="D515" s="50" t="str">
        <f>RawList!C485</f>
        <v>SparkFun</v>
      </c>
      <c r="E515" s="50" t="str">
        <f>RawList!H485</f>
        <v>Jumper Wires Premium 6\" M/M - 20 AWG (10 Pack)</v>
      </c>
      <c r="F515" s="50" t="str">
        <f>RawList!D485</f>
        <v>PRT-11709</v>
      </c>
      <c r="G515" s="137">
        <f>RawList!E485</f>
        <v>0</v>
      </c>
      <c r="H515" s="50" t="str">
        <f>IF(EquipmentTable[[#This Row],[Units]]&gt;0,"Quantity &gt; 0 Items","Quantity = 0 Items")</f>
        <v>Quantity = 0 Items</v>
      </c>
      <c r="I515" s="141">
        <f>RawList!J485</f>
        <v>4.95</v>
      </c>
      <c r="J515" s="24">
        <f>VALUE(EquipmentTable[[#This Row],[Units]]*EquipmentTable[[#This Row],[Unit
 Price]])</f>
        <v>0</v>
      </c>
      <c r="K515" s="50" t="str">
        <f>RawList!G485</f>
        <v>https://cdn.sparkfun.com/r/92-92/assets/parts/7/8/9/3/11710-01.jpg</v>
      </c>
      <c r="L515" s="50"/>
      <c r="M515" s="50" t="str">
        <f>RawList!F485</f>
        <v>https://www.sparkfun.com/products/11710</v>
      </c>
    </row>
    <row r="516" spans="2:13" x14ac:dyDescent="0.3">
      <c r="B516" s="50" t="str">
        <f>RawList!A486</f>
        <v>Low-Level Electronics</v>
      </c>
      <c r="C516" s="50" t="str">
        <f>RawList!B486</f>
        <v>Jumper Wires, PTH</v>
      </c>
      <c r="D516" s="50" t="str">
        <f>RawList!C486</f>
        <v>SparkFun</v>
      </c>
      <c r="E516" s="50" t="str">
        <f>RawList!H486</f>
        <v>Jumper Wires Premium 6\" M/M Pack of 10</v>
      </c>
      <c r="F516" s="50" t="str">
        <f>RawList!D486</f>
        <v>PRT-08431</v>
      </c>
      <c r="G516" s="137">
        <f>RawList!E486</f>
        <v>0</v>
      </c>
      <c r="H516" s="50" t="str">
        <f>IF(EquipmentTable[[#This Row],[Units]]&gt;0,"Quantity &gt; 0 Items","Quantity = 0 Items")</f>
        <v>Quantity = 0 Items</v>
      </c>
      <c r="I516" s="141">
        <f>RawList!J486</f>
        <v>3.95</v>
      </c>
      <c r="J516" s="24">
        <f>VALUE(EquipmentTable[[#This Row],[Units]]*EquipmentTable[[#This Row],[Unit
 Price]])</f>
        <v>0</v>
      </c>
      <c r="K516" s="50" t="str">
        <f>RawList!G486</f>
        <v>https://cdn.sparkfun.com/r/92-92/assets/parts/1/1/8/1/JumperWire-Male-01-L.jpg</v>
      </c>
      <c r="L516" s="50"/>
      <c r="M516" s="50" t="str">
        <f>RawList!F486</f>
        <v>https://www.sparkfun.com/products/8431</v>
      </c>
    </row>
    <row r="517" spans="2:13" x14ac:dyDescent="0.3">
      <c r="B517" s="50" t="str">
        <f>RawList!A487</f>
        <v>Low-Level Electronics</v>
      </c>
      <c r="C517" s="50" t="str">
        <f>RawList!B487</f>
        <v>Jumper Wires, PTH</v>
      </c>
      <c r="D517" s="50" t="str">
        <f>RawList!C487</f>
        <v>SparkFun</v>
      </c>
      <c r="E517" s="50" t="str">
        <f>RawList!H487</f>
        <v>Jumper Wires Standard 7\" M/M - 30 AWG (30 Pack)</v>
      </c>
      <c r="F517" s="50" t="str">
        <f>RawList!D487</f>
        <v>PRT-11026</v>
      </c>
      <c r="G517" s="137">
        <f>RawList!E487</f>
        <v>0</v>
      </c>
      <c r="H517" s="50" t="str">
        <f>IF(EquipmentTable[[#This Row],[Units]]&gt;0,"Quantity &gt; 0 Items","Quantity = 0 Items")</f>
        <v>Quantity = 0 Items</v>
      </c>
      <c r="I517" s="141">
        <f>RawList!J487</f>
        <v>1.95</v>
      </c>
      <c r="J517" s="24">
        <f>VALUE(EquipmentTable[[#This Row],[Units]]*EquipmentTable[[#This Row],[Unit
 Price]])</f>
        <v>0</v>
      </c>
      <c r="K517" s="50" t="str">
        <f>RawList!G487</f>
        <v>https://cdn.sparkfun.com/r/92-92/assets/parts/3/7/0/4/11026-02.jpg</v>
      </c>
      <c r="L517" s="50"/>
      <c r="M517" s="50" t="str">
        <f>RawList!F487</f>
        <v>https://www.sparkfun.com/products/11026</v>
      </c>
    </row>
    <row r="518" spans="2:13" x14ac:dyDescent="0.3">
      <c r="B518" s="50" t="str">
        <f>RawList!A488</f>
        <v>Low-Level Electronics</v>
      </c>
      <c r="C518" s="50" t="str">
        <f>RawList!B488</f>
        <v>Passive Components</v>
      </c>
      <c r="D518" s="50" t="str">
        <f>RawList!C488</f>
        <v>SparkFun</v>
      </c>
      <c r="E518" s="50" t="str">
        <f>RawList!H488</f>
        <v>Resistor Kit - 1/4W (500 total)</v>
      </c>
      <c r="F518" s="50" t="str">
        <f>RawList!D488</f>
        <v>COM-10969</v>
      </c>
      <c r="G518" s="137">
        <f>RawList!E488</f>
        <v>1</v>
      </c>
      <c r="H518" s="50" t="str">
        <f>IF(EquipmentTable[[#This Row],[Units]]&gt;0,"Quantity &gt; 0 Items","Quantity = 0 Items")</f>
        <v>Quantity &gt; 0 Items</v>
      </c>
      <c r="I518" s="141">
        <f>RawList!J488</f>
        <v>7.95</v>
      </c>
      <c r="J518" s="24">
        <f>VALUE(EquipmentTable[[#This Row],[Units]]*EquipmentTable[[#This Row],[Unit
 Price]])</f>
        <v>7.95</v>
      </c>
      <c r="K518" s="50" t="str">
        <f>RawList!G488</f>
        <v>https://cdn.sparkfun.com/r/92-92/assets/parts/6/1/7/1/10969-01.jpg</v>
      </c>
      <c r="L518" s="50"/>
      <c r="M518" s="50" t="str">
        <f>RawList!F488</f>
        <v>https://www.sparkfun.com/products/10969</v>
      </c>
    </row>
    <row r="519" spans="2:13" x14ac:dyDescent="0.3">
      <c r="B519" s="50" t="str">
        <f>RawList!A489</f>
        <v>Low-Level Electronics</v>
      </c>
      <c r="C519" s="50" t="str">
        <f>RawList!B489</f>
        <v>Passive Components</v>
      </c>
      <c r="D519" s="50" t="str">
        <f>RawList!C489</f>
        <v>SparkFun</v>
      </c>
      <c r="E519" s="50" t="str">
        <f>RawList!H489</f>
        <v>Resistor Network - 10K Ohm (6-pin bussed)</v>
      </c>
      <c r="F519" s="50" t="str">
        <f>RawList!D489</f>
        <v>COM-10856</v>
      </c>
      <c r="G519" s="137">
        <f>RawList!E489</f>
        <v>5</v>
      </c>
      <c r="H519" s="50" t="str">
        <f>IF(EquipmentTable[[#This Row],[Units]]&gt;0,"Quantity &gt; 0 Items","Quantity = 0 Items")</f>
        <v>Quantity &gt; 0 Items</v>
      </c>
      <c r="I519" s="141">
        <f>RawList!J489</f>
        <v>0.5</v>
      </c>
      <c r="J519" s="24">
        <f>VALUE(EquipmentTable[[#This Row],[Units]]*EquipmentTable[[#This Row],[Unit
 Price]])</f>
        <v>2.5</v>
      </c>
      <c r="K519" s="50" t="str">
        <f>RawList!G489</f>
        <v>https://cdn.sparkfun.com/r/92-92/assets/parts/5/8/6/9/10856-01a.jpg</v>
      </c>
      <c r="L519" s="50"/>
      <c r="M519" s="50" t="str">
        <f>RawList!F489</f>
        <v>https://www.sparkfun.com/products/10856</v>
      </c>
    </row>
    <row r="520" spans="2:13" x14ac:dyDescent="0.3">
      <c r="B520" s="50" t="str">
        <f>RawList!A490</f>
        <v>Low-Level Electronics</v>
      </c>
      <c r="C520" s="50" t="str">
        <f>RawList!B490</f>
        <v>Passive Components</v>
      </c>
      <c r="D520" s="50" t="str">
        <f>RawList!C490</f>
        <v>SparkFun</v>
      </c>
      <c r="E520" s="50" t="str">
        <f>RawList!H490</f>
        <v>Resistor Network - 330 Ohm (6-pin bussed)</v>
      </c>
      <c r="F520" s="50" t="str">
        <f>RawList!D490</f>
        <v>COM-10855</v>
      </c>
      <c r="G520" s="137">
        <f>RawList!E490</f>
        <v>5</v>
      </c>
      <c r="H520" s="50" t="str">
        <f>IF(EquipmentTable[[#This Row],[Units]]&gt;0,"Quantity &gt; 0 Items","Quantity = 0 Items")</f>
        <v>Quantity &gt; 0 Items</v>
      </c>
      <c r="I520" s="141">
        <f>RawList!J490</f>
        <v>0.5</v>
      </c>
      <c r="J520" s="24">
        <f>VALUE(EquipmentTable[[#This Row],[Units]]*EquipmentTable[[#This Row],[Unit
 Price]])</f>
        <v>2.5</v>
      </c>
      <c r="K520" s="50" t="str">
        <f>RawList!G490</f>
        <v>https://cdn.sparkfun.com/r/92-92/assets/parts/5/8/6/8/10855-01d.jpg</v>
      </c>
      <c r="L520" s="50"/>
      <c r="M520" s="50" t="str">
        <f>RawList!F490</f>
        <v>https://www.sparkfun.com/products/10855</v>
      </c>
    </row>
    <row r="521" spans="2:13" x14ac:dyDescent="0.3">
      <c r="B521" s="50" t="str">
        <f>RawList!A491</f>
        <v>Low-Level Electronics</v>
      </c>
      <c r="C521" s="50" t="str">
        <f>RawList!B491</f>
        <v>Passive Components</v>
      </c>
      <c r="D521" s="50" t="str">
        <f>RawList!C491</f>
        <v>SparkFun</v>
      </c>
      <c r="E521" s="50" t="str">
        <f>RawList!H491</f>
        <v>Slide Potentiometer Knob</v>
      </c>
      <c r="F521" s="50" t="str">
        <f>RawList!D491</f>
        <v>COM-09120</v>
      </c>
      <c r="G521" s="137">
        <f>RawList!E491</f>
        <v>1</v>
      </c>
      <c r="H521" s="50" t="str">
        <f>IF(EquipmentTable[[#This Row],[Units]]&gt;0,"Quantity &gt; 0 Items","Quantity = 0 Items")</f>
        <v>Quantity &gt; 0 Items</v>
      </c>
      <c r="I521" s="141">
        <f>RawList!J491</f>
        <v>0.95</v>
      </c>
      <c r="J521" s="24">
        <f>VALUE(EquipmentTable[[#This Row],[Units]]*EquipmentTable[[#This Row],[Unit
 Price]])</f>
        <v>0.95</v>
      </c>
      <c r="K521" s="50" t="str">
        <f>RawList!G491</f>
        <v>https://cdn.sparkfun.com/r/92-92/assets/parts/2/5/2/5/09120-03-L.jpg</v>
      </c>
      <c r="L521" s="50"/>
      <c r="M521" s="50" t="str">
        <f>RawList!F491</f>
        <v>https://www.sparkfun.com/products/9120</v>
      </c>
    </row>
    <row r="522" spans="2:13" x14ac:dyDescent="0.3">
      <c r="B522" s="50" t="str">
        <f>RawList!A492</f>
        <v>Low-Level Electronics</v>
      </c>
      <c r="C522" s="50" t="str">
        <f>RawList!B492</f>
        <v>Passive Components</v>
      </c>
      <c r="D522" s="50" t="str">
        <f>RawList!C492</f>
        <v>SparkFun</v>
      </c>
      <c r="E522" s="50" t="str">
        <f>RawList!H492</f>
        <v>Slide Pot - Small (10k Linear Taper)</v>
      </c>
      <c r="F522" s="50" t="str">
        <f>RawList!D492</f>
        <v>COM-11620</v>
      </c>
      <c r="G522" s="137">
        <f>RawList!E492</f>
        <v>1</v>
      </c>
      <c r="H522" s="50" t="str">
        <f>IF(EquipmentTable[[#This Row],[Units]]&gt;0,"Quantity &gt; 0 Items","Quantity = 0 Items")</f>
        <v>Quantity &gt; 0 Items</v>
      </c>
      <c r="I522" s="141">
        <f>RawList!J492</f>
        <v>1.95</v>
      </c>
      <c r="J522" s="24">
        <f>VALUE(EquipmentTable[[#This Row],[Units]]*EquipmentTable[[#This Row],[Unit
 Price]])</f>
        <v>1.95</v>
      </c>
      <c r="K522" s="50" t="str">
        <f>RawList!G492</f>
        <v>https://cdn.sparkfun.com/r/92-92/assets/parts/7/6/5/4/11620-01.jpg</v>
      </c>
      <c r="L522" s="50"/>
      <c r="M522" s="50" t="str">
        <f>RawList!F492</f>
        <v>https://www.sparkfun.com/products/11620</v>
      </c>
    </row>
    <row r="523" spans="2:13" x14ac:dyDescent="0.3">
      <c r="B523" s="50" t="str">
        <f>RawList!A493</f>
        <v>Low-Level Electronics</v>
      </c>
      <c r="C523" s="50" t="str">
        <f>RawList!B493</f>
        <v>Passive Components</v>
      </c>
      <c r="D523" s="50" t="str">
        <f>RawList!C493</f>
        <v>SparkFun</v>
      </c>
      <c r="E523" s="50" t="str">
        <f>RawList!H493</f>
        <v>Slide Pot - Medium (10k Linear Taper)</v>
      </c>
      <c r="F523" s="50" t="str">
        <f>RawList!D493</f>
        <v>COM-11621</v>
      </c>
      <c r="G523" s="137">
        <f>RawList!E493</f>
        <v>1</v>
      </c>
      <c r="H523" s="50" t="str">
        <f>IF(EquipmentTable[[#This Row],[Units]]&gt;0,"Quantity &gt; 0 Items","Quantity = 0 Items")</f>
        <v>Quantity &gt; 0 Items</v>
      </c>
      <c r="I523" s="141">
        <f>RawList!J493</f>
        <v>2.5</v>
      </c>
      <c r="J523" s="24">
        <f>VALUE(EquipmentTable[[#This Row],[Units]]*EquipmentTable[[#This Row],[Unit
 Price]])</f>
        <v>2.5</v>
      </c>
      <c r="K523" s="50" t="str">
        <f>RawList!G493</f>
        <v>https://cdn.sparkfun.com/r/92-92/assets/parts/7/6/5/5/11621-01.jpg</v>
      </c>
      <c r="L523" s="50"/>
      <c r="M523" s="50" t="str">
        <f>RawList!F493</f>
        <v>https://www.sparkfun.com/products/11621</v>
      </c>
    </row>
    <row r="524" spans="2:13" x14ac:dyDescent="0.3">
      <c r="B524" s="50" t="str">
        <f>RawList!A494</f>
        <v>Low-Level Electronics</v>
      </c>
      <c r="C524" s="50" t="str">
        <f>RawList!B494</f>
        <v>Passive Components</v>
      </c>
      <c r="D524" s="50" t="str">
        <f>RawList!C494</f>
        <v>SparkFun</v>
      </c>
      <c r="E524" s="50" t="str">
        <f>RawList!H494</f>
        <v>Slide Pot - X-Large (10k Linear Taper)</v>
      </c>
      <c r="F524" s="50" t="str">
        <f>RawList!D494</f>
        <v>COM-09119</v>
      </c>
      <c r="G524" s="137">
        <f>RawList!E494</f>
        <v>1</v>
      </c>
      <c r="H524" s="50" t="str">
        <f>IF(EquipmentTable[[#This Row],[Units]]&gt;0,"Quantity &gt; 0 Items","Quantity = 0 Items")</f>
        <v>Quantity &gt; 0 Items</v>
      </c>
      <c r="I524" s="141">
        <f>RawList!J494</f>
        <v>2.95</v>
      </c>
      <c r="J524" s="24">
        <f>VALUE(EquipmentTable[[#This Row],[Units]]*EquipmentTable[[#This Row],[Unit
 Price]])</f>
        <v>2.95</v>
      </c>
      <c r="K524" s="50" t="str">
        <f>RawList!G494</f>
        <v>https://cdn.sparkfun.com/r/92-92/assets/parts/2/5/2/4/09119-01a.jpg</v>
      </c>
      <c r="L524" s="50"/>
      <c r="M524" s="50" t="str">
        <f>RawList!F494</f>
        <v>https://www.sparkfun.com/products/9119</v>
      </c>
    </row>
    <row r="525" spans="2:13" x14ac:dyDescent="0.3">
      <c r="B525" s="50" t="str">
        <f>RawList!A495</f>
        <v>Low-Level Electronics</v>
      </c>
      <c r="C525" s="50" t="str">
        <f>RawList!B495</f>
        <v>Passive Components</v>
      </c>
      <c r="D525" s="50" t="str">
        <f>RawList!C495</f>
        <v>SparkFun</v>
      </c>
      <c r="E525" s="50" t="str">
        <f>RawList!H495</f>
        <v>Trimpot 10K with Knob</v>
      </c>
      <c r="F525" s="50" t="str">
        <f>RawList!D495</f>
        <v>COM-09806</v>
      </c>
      <c r="G525" s="137">
        <f>RawList!E495</f>
        <v>4</v>
      </c>
      <c r="H525" s="50" t="str">
        <f>IF(EquipmentTable[[#This Row],[Units]]&gt;0,"Quantity &gt; 0 Items","Quantity = 0 Items")</f>
        <v>Quantity &gt; 0 Items</v>
      </c>
      <c r="I525" s="141">
        <f>RawList!J495</f>
        <v>0.95</v>
      </c>
      <c r="J525" s="24">
        <f>VALUE(EquipmentTable[[#This Row],[Units]]*EquipmentTable[[#This Row],[Unit
 Price]])</f>
        <v>3.8</v>
      </c>
      <c r="K525" s="50" t="str">
        <f>RawList!G495</f>
        <v>https://cdn.sparkfun.com/r/92-92/assets/parts/3/8/2/3/09806-01.jpg</v>
      </c>
      <c r="L525" s="50"/>
      <c r="M525" s="50" t="str">
        <f>RawList!F495</f>
        <v>https://www.sparkfun.com/products/9806</v>
      </c>
    </row>
    <row r="526" spans="2:13" x14ac:dyDescent="0.3">
      <c r="B526" s="50" t="str">
        <f>RawList!A496</f>
        <v>Low-Level Electronics</v>
      </c>
      <c r="C526" s="50" t="str">
        <f>RawList!B496</f>
        <v>Passive Components</v>
      </c>
      <c r="D526" s="50" t="str">
        <f>RawList!C496</f>
        <v>SparkFun</v>
      </c>
      <c r="E526" s="50" t="str">
        <f>RawList!H496</f>
        <v>SparkFun Capacitor Kit</v>
      </c>
      <c r="F526" s="50" t="str">
        <f>RawList!D496</f>
        <v>KIT-13698</v>
      </c>
      <c r="G526" s="137">
        <f>RawList!E496</f>
        <v>1</v>
      </c>
      <c r="H526" s="50" t="str">
        <f>IF(EquipmentTable[[#This Row],[Units]]&gt;0,"Quantity &gt; 0 Items","Quantity = 0 Items")</f>
        <v>Quantity &gt; 0 Items</v>
      </c>
      <c r="I526" s="141">
        <f>RawList!J496</f>
        <v>6.95</v>
      </c>
      <c r="J526" s="24">
        <f>VALUE(EquipmentTable[[#This Row],[Units]]*EquipmentTable[[#This Row],[Unit
 Price]])</f>
        <v>6.95</v>
      </c>
      <c r="K526" s="50" t="str">
        <f>RawList!G496</f>
        <v>https://cdn.sparkfun.com/r/92-92/assets/parts/1/1/1/7/0/13698-02.jpg</v>
      </c>
      <c r="L526" s="50"/>
      <c r="M526" s="50" t="str">
        <f>RawList!F496</f>
        <v>https://www.sparkfun.com/products/13698</v>
      </c>
    </row>
    <row r="527" spans="2:13" x14ac:dyDescent="0.3">
      <c r="B527" s="50" t="str">
        <f>RawList!A497</f>
        <v>Low-Level Electronics</v>
      </c>
      <c r="C527" s="50" t="str">
        <f>RawList!B497</f>
        <v>Passive Components</v>
      </c>
      <c r="D527" s="50" t="str">
        <f>RawList!C497</f>
        <v>SparkFun</v>
      </c>
      <c r="E527" s="50" t="str">
        <f>RawList!H497</f>
        <v>Electrolytic Decoupling Capacitors - 100uF/25V</v>
      </c>
      <c r="F527" s="50" t="str">
        <f>RawList!D497</f>
        <v>COM-00096</v>
      </c>
      <c r="G527" s="137">
        <f>RawList!E497</f>
        <v>3</v>
      </c>
      <c r="H527" s="50" t="str">
        <f>IF(EquipmentTable[[#This Row],[Units]]&gt;0,"Quantity &gt; 0 Items","Quantity = 0 Items")</f>
        <v>Quantity &gt; 0 Items</v>
      </c>
      <c r="I527" s="141">
        <f>RawList!J497</f>
        <v>0.35</v>
      </c>
      <c r="J527" s="24">
        <f>VALUE(EquipmentTable[[#This Row],[Units]]*EquipmentTable[[#This Row],[Unit
 Price]])</f>
        <v>1.0499999999999998</v>
      </c>
      <c r="K527" s="50" t="str">
        <f>RawList!G497</f>
        <v>https://cdn.sparkfun.com/r/92-92/assets/parts/8/9/00096-03-L.jpg</v>
      </c>
      <c r="L527" s="50"/>
      <c r="M527" s="50" t="str">
        <f>RawList!F497</f>
        <v>https://www.sparkfun.com/products/96</v>
      </c>
    </row>
    <row r="528" spans="2:13" x14ac:dyDescent="0.3">
      <c r="B528" s="50" t="str">
        <f>RawList!A498</f>
        <v>Low-Level Electronics</v>
      </c>
      <c r="C528" s="50" t="str">
        <f>RawList!B498</f>
        <v>Passive Components</v>
      </c>
      <c r="D528" s="50" t="str">
        <f>RawList!C498</f>
        <v>SparkFun</v>
      </c>
      <c r="E528" s="50" t="str">
        <f>RawList!H498</f>
        <v>Electrolytic Decoupling Capacitors - 10uF/25V</v>
      </c>
      <c r="F528" s="50" t="str">
        <f>RawList!D498</f>
        <v>COM-00523</v>
      </c>
      <c r="G528" s="137">
        <f>RawList!E498</f>
        <v>3</v>
      </c>
      <c r="H528" s="50" t="str">
        <f>IF(EquipmentTable[[#This Row],[Units]]&gt;0,"Quantity &gt; 0 Items","Quantity = 0 Items")</f>
        <v>Quantity &gt; 0 Items</v>
      </c>
      <c r="I528" s="141">
        <f>RawList!J498</f>
        <v>0.45</v>
      </c>
      <c r="J528" s="24">
        <f>VALUE(EquipmentTable[[#This Row],[Units]]*EquipmentTable[[#This Row],[Unit
 Price]])</f>
        <v>1.35</v>
      </c>
      <c r="K528" s="50" t="str">
        <f>RawList!G498</f>
        <v>https://cdn.sparkfun.com/r/92-92/assets/parts/3/0/0/00523-02-L.jpg</v>
      </c>
      <c r="L528" s="50"/>
      <c r="M528" s="50" t="str">
        <f>RawList!F498</f>
        <v>https://www.sparkfun.com/products/523</v>
      </c>
    </row>
    <row r="529" spans="2:13" x14ac:dyDescent="0.3">
      <c r="B529" s="50" t="str">
        <f>RawList!A499</f>
        <v>Low-Level Electronics</v>
      </c>
      <c r="C529" s="50" t="str">
        <f>RawList!B499</f>
        <v>Passive Components</v>
      </c>
      <c r="D529" s="50" t="str">
        <f>RawList!C499</f>
        <v>SparkFun</v>
      </c>
      <c r="E529" s="50" t="str">
        <f>RawList!H499</f>
        <v>Super Capacitor - 10F/2.5V</v>
      </c>
      <c r="F529" s="50" t="str">
        <f>RawList!D499</f>
        <v>COM-00746</v>
      </c>
      <c r="G529" s="137">
        <f>RawList!E499</f>
        <v>3</v>
      </c>
      <c r="H529" s="50" t="str">
        <f>IF(EquipmentTable[[#This Row],[Units]]&gt;0,"Quantity &gt; 0 Items","Quantity = 0 Items")</f>
        <v>Quantity &gt; 0 Items</v>
      </c>
      <c r="I529" s="141">
        <f>RawList!J499</f>
        <v>4.95</v>
      </c>
      <c r="J529" s="24">
        <f>VALUE(EquipmentTable[[#This Row],[Units]]*EquipmentTable[[#This Row],[Unit
 Price]])</f>
        <v>14.850000000000001</v>
      </c>
      <c r="K529" s="50" t="str">
        <f>RawList!G499</f>
        <v>https://cdn.sparkfun.com/r/92-92/assets/parts/5/1/9/SuperCap.jpg</v>
      </c>
      <c r="L529" s="50"/>
      <c r="M529" s="50" t="str">
        <f>RawList!F499</f>
        <v>https://www.sparkfun.com/products/746</v>
      </c>
    </row>
    <row r="530" spans="2:13" x14ac:dyDescent="0.3">
      <c r="B530" s="50" t="str">
        <f>RawList!A500</f>
        <v>Low-Level Electronics</v>
      </c>
      <c r="C530" s="50" t="str">
        <f>RawList!B500</f>
        <v>Passive Components</v>
      </c>
      <c r="D530" s="50" t="str">
        <f>RawList!C500</f>
        <v>SparkFun</v>
      </c>
      <c r="E530" s="50" t="str">
        <f>RawList!H500</f>
        <v>Thermistor 10K</v>
      </c>
      <c r="F530" s="50" t="str">
        <f>RawList!D500</f>
        <v>SEN-00250</v>
      </c>
      <c r="G530" s="137">
        <f>RawList!E500</f>
        <v>10</v>
      </c>
      <c r="H530" s="50" t="str">
        <f>IF(EquipmentTable[[#This Row],[Units]]&gt;0,"Quantity &gt; 0 Items","Quantity = 0 Items")</f>
        <v>Quantity &gt; 0 Items</v>
      </c>
      <c r="I530" s="141">
        <f>RawList!J500</f>
        <v>0.75</v>
      </c>
      <c r="J530" s="24">
        <f>VALUE(EquipmentTable[[#This Row],[Units]]*EquipmentTable[[#This Row],[Unit
 Price]])</f>
        <v>7.5</v>
      </c>
      <c r="K530" s="50" t="str">
        <f>RawList!G500</f>
        <v>https://cdn.sparkfun.com/r/92-92/assets/parts/1/9/2/thermistor.jpg</v>
      </c>
      <c r="L530" s="50"/>
      <c r="M530" s="50" t="str">
        <f>RawList!F500</f>
        <v>https://www.sparkfun.com/products/250</v>
      </c>
    </row>
    <row r="531" spans="2:13" x14ac:dyDescent="0.3">
      <c r="B531" s="50" t="str">
        <f>RawList!A501</f>
        <v>Low-Level Electronics</v>
      </c>
      <c r="C531" s="50" t="str">
        <f>RawList!B501</f>
        <v>Passive Components</v>
      </c>
      <c r="D531" s="50" t="str">
        <f>RawList!C501</f>
        <v>SparkFun</v>
      </c>
      <c r="E531" s="50" t="str">
        <f>RawList!H501</f>
        <v>Diode Rectifier - 1A 50V</v>
      </c>
      <c r="F531" s="50" t="str">
        <f>RawList!D501</f>
        <v>COM-08589</v>
      </c>
      <c r="G531" s="137">
        <f>RawList!E501</f>
        <v>10</v>
      </c>
      <c r="H531" s="50" t="str">
        <f>IF(EquipmentTable[[#This Row],[Units]]&gt;0,"Quantity &gt; 0 Items","Quantity = 0 Items")</f>
        <v>Quantity &gt; 0 Items</v>
      </c>
      <c r="I531" s="141">
        <f>RawList!J501</f>
        <v>0.15</v>
      </c>
      <c r="J531" s="24">
        <f>VALUE(EquipmentTable[[#This Row],[Units]]*EquipmentTable[[#This Row],[Unit
 Price]])</f>
        <v>1.5</v>
      </c>
      <c r="K531" s="50" t="str">
        <f>RawList!G501</f>
        <v>https://cdn.sparkfun.com/r/92-92/assets/parts/1/5/7/8/08588-02-L.jpg</v>
      </c>
      <c r="L531" s="50"/>
      <c r="M531" s="50" t="str">
        <f>RawList!F501</f>
        <v>https://www.sparkfun.com/products/8589</v>
      </c>
    </row>
    <row r="532" spans="2:13" x14ac:dyDescent="0.3">
      <c r="B532" s="50" t="str">
        <f>RawList!A502</f>
        <v>Low-Level Electronics</v>
      </c>
      <c r="C532" s="50" t="str">
        <f>RawList!B502</f>
        <v>Passive Components</v>
      </c>
      <c r="D532" s="50" t="str">
        <f>RawList!C502</f>
        <v>SparkFun</v>
      </c>
      <c r="E532" s="50" t="str">
        <f>RawList!H502</f>
        <v>Diode Small Signal - 1N4148</v>
      </c>
      <c r="F532" s="50" t="str">
        <f>RawList!D502</f>
        <v>COM-08588</v>
      </c>
      <c r="G532" s="137">
        <f>RawList!E502</f>
        <v>10</v>
      </c>
      <c r="H532" s="50" t="str">
        <f>IF(EquipmentTable[[#This Row],[Units]]&gt;0,"Quantity &gt; 0 Items","Quantity = 0 Items")</f>
        <v>Quantity &gt; 0 Items</v>
      </c>
      <c r="I532" s="141">
        <f>RawList!J502</f>
        <v>0.15</v>
      </c>
      <c r="J532" s="24">
        <f>VALUE(EquipmentTable[[#This Row],[Units]]*EquipmentTable[[#This Row],[Unit
 Price]])</f>
        <v>1.5</v>
      </c>
      <c r="K532" s="50" t="str">
        <f>RawList!G502</f>
        <v>https://cdn.sparkfun.com/r/92-92/assets/parts/1/5/6/7/08589-03-L.jpg</v>
      </c>
      <c r="L532" s="50"/>
      <c r="M532" s="50" t="str">
        <f>RawList!F502</f>
        <v>https://www.sparkfun.com/products/8588</v>
      </c>
    </row>
    <row r="533" spans="2:13" x14ac:dyDescent="0.3">
      <c r="B533" s="50" t="str">
        <f>RawList!A503</f>
        <v>Low-Level Electronics</v>
      </c>
      <c r="C533" s="50" t="str">
        <f>RawList!B503</f>
        <v>Passive Components</v>
      </c>
      <c r="D533" s="50" t="str">
        <f>RawList!C503</f>
        <v>SparkFun</v>
      </c>
      <c r="E533" s="50" t="str">
        <f>RawList!H503</f>
        <v>Schottky Diode</v>
      </c>
      <c r="F533" s="50" t="str">
        <f>RawList!D503</f>
        <v>COM-10926</v>
      </c>
      <c r="G533" s="137">
        <f>RawList!E503</f>
        <v>10</v>
      </c>
      <c r="H533" s="50" t="str">
        <f>IF(EquipmentTable[[#This Row],[Units]]&gt;0,"Quantity &gt; 0 Items","Quantity = 0 Items")</f>
        <v>Quantity &gt; 0 Items</v>
      </c>
      <c r="I533" s="141">
        <f>RawList!J503</f>
        <v>0.15</v>
      </c>
      <c r="J533" s="24">
        <f>VALUE(EquipmentTable[[#This Row],[Units]]*EquipmentTable[[#This Row],[Unit
 Price]])</f>
        <v>1.5</v>
      </c>
      <c r="K533" s="50" t="str">
        <f>RawList!G503</f>
        <v>https://cdn.sparkfun.com/r/92-92/assets/parts/6/0/6/0/10926-01b.jpg</v>
      </c>
      <c r="L533" s="50"/>
      <c r="M533" s="50" t="str">
        <f>RawList!F503</f>
        <v>https://www.sparkfun.com/products/10926</v>
      </c>
    </row>
    <row r="534" spans="2:13" x14ac:dyDescent="0.3">
      <c r="B534" s="50" t="str">
        <f>RawList!A504</f>
        <v>Low-Level Electronics</v>
      </c>
      <c r="C534" s="50" t="str">
        <f>RawList!B504</f>
        <v>Passive Components</v>
      </c>
      <c r="D534" s="50" t="str">
        <f>RawList!C504</f>
        <v>SparkFun</v>
      </c>
      <c r="E534" s="50" t="str">
        <f>RawList!H504</f>
        <v>Zener Diode - 5.1V 1W</v>
      </c>
      <c r="F534" s="50" t="str">
        <f>RawList!D504</f>
        <v>COM-10301</v>
      </c>
      <c r="G534" s="137">
        <f>RawList!E504</f>
        <v>10</v>
      </c>
      <c r="H534" s="50" t="str">
        <f>IF(EquipmentTable[[#This Row],[Units]]&gt;0,"Quantity &gt; 0 Items","Quantity = 0 Items")</f>
        <v>Quantity &gt; 0 Items</v>
      </c>
      <c r="I534" s="141">
        <f>RawList!J504</f>
        <v>0.25</v>
      </c>
      <c r="J534" s="24">
        <f>VALUE(EquipmentTable[[#This Row],[Units]]*EquipmentTable[[#This Row],[Unit
 Price]])</f>
        <v>2.5</v>
      </c>
      <c r="K534" s="50" t="str">
        <f>RawList!G504</f>
        <v>https://cdn.sparkfun.com/r/92-92/assets/parts/4/7/0/4/10301-01.jpg</v>
      </c>
      <c r="L534" s="50"/>
      <c r="M534" s="50" t="str">
        <f>RawList!F504</f>
        <v>https://www.sparkfun.com/products/10301</v>
      </c>
    </row>
    <row r="535" spans="2:13" x14ac:dyDescent="0.3">
      <c r="B535" s="50" t="str">
        <f>RawList!A505</f>
        <v>Low-Level Electronics</v>
      </c>
      <c r="C535" s="50" t="str">
        <f>RawList!B505</f>
        <v>Plugs/Jacks/Adapters, Audio</v>
      </c>
      <c r="D535" s="50" t="str">
        <f>RawList!C505</f>
        <v>SparkFun</v>
      </c>
      <c r="E535" s="50" t="str">
        <f>RawList!H505</f>
        <v>Audio Jack - 3.5mm (Panel Mount)</v>
      </c>
      <c r="F535" s="50" t="str">
        <f>RawList!D505</f>
        <v>COM-11154</v>
      </c>
      <c r="G535" s="137">
        <f>RawList!E505</f>
        <v>2</v>
      </c>
      <c r="H535" s="50" t="str">
        <f>IF(EquipmentTable[[#This Row],[Units]]&gt;0,"Quantity &gt; 0 Items","Quantity = 0 Items")</f>
        <v>Quantity &gt; 0 Items</v>
      </c>
      <c r="I535" s="141">
        <f>RawList!J505</f>
        <v>0.5</v>
      </c>
      <c r="J535" s="24">
        <f>VALUE(EquipmentTable[[#This Row],[Units]]*EquipmentTable[[#This Row],[Unit
 Price]])</f>
        <v>1</v>
      </c>
      <c r="K535" s="50" t="str">
        <f>RawList!G505</f>
        <v>https://cdn.sparkfun.com/r/92-92/assets/parts/6/6/1/5/11154-01.jpg</v>
      </c>
      <c r="L535" s="50"/>
      <c r="M535" s="50" t="str">
        <f>RawList!F505</f>
        <v>https://www.sparkfun.com/products/11154</v>
      </c>
    </row>
    <row r="536" spans="2:13" x14ac:dyDescent="0.3">
      <c r="B536" s="50" t="str">
        <f>RawList!A506</f>
        <v>Low-Level Electronics</v>
      </c>
      <c r="C536" s="50" t="str">
        <f>RawList!B506</f>
        <v>Plugs/Jacks/Adapters, Audio</v>
      </c>
      <c r="D536" s="50" t="str">
        <f>RawList!C506</f>
        <v>SparkFun</v>
      </c>
      <c r="E536" s="50" t="str">
        <f>RawList!H506</f>
        <v>Audio Jack 3.5mm</v>
      </c>
      <c r="F536" s="50" t="str">
        <f>RawList!D506</f>
        <v>PRT-08032</v>
      </c>
      <c r="G536" s="137">
        <f>RawList!E506</f>
        <v>4</v>
      </c>
      <c r="H536" s="50" t="str">
        <f>IF(EquipmentTable[[#This Row],[Units]]&gt;0,"Quantity &gt; 0 Items","Quantity = 0 Items")</f>
        <v>Quantity &gt; 0 Items</v>
      </c>
      <c r="I536" s="141">
        <f>RawList!J506</f>
        <v>1.5</v>
      </c>
      <c r="J536" s="24">
        <f>VALUE(EquipmentTable[[#This Row],[Units]]*EquipmentTable[[#This Row],[Unit
 Price]])</f>
        <v>6</v>
      </c>
      <c r="K536" s="50" t="str">
        <f>RawList!G506</f>
        <v>https://cdn.sparkfun.com/r/92-92/assets/parts/1/5/8/2/Audio-3.5mm.jpg</v>
      </c>
      <c r="L536" s="50"/>
      <c r="M536" s="50" t="str">
        <f>RawList!F506</f>
        <v>https://www.sparkfun.com/products/8032</v>
      </c>
    </row>
    <row r="537" spans="2:13" x14ac:dyDescent="0.3">
      <c r="B537" s="50" t="str">
        <f>RawList!A507</f>
        <v>Low-Level Electronics</v>
      </c>
      <c r="C537" s="50" t="str">
        <f>RawList!B507</f>
        <v>Plugs/Jacks/Adapters, Audio</v>
      </c>
      <c r="D537" s="50" t="str">
        <f>RawList!C507</f>
        <v>SparkFun</v>
      </c>
      <c r="E537" s="50" t="str">
        <f>RawList!H507</f>
        <v>Audio Plug - 3.5mm</v>
      </c>
      <c r="F537" s="50" t="str">
        <f>RawList!D507</f>
        <v>COM-11143</v>
      </c>
      <c r="G537" s="137">
        <f>RawList!E507</f>
        <v>8</v>
      </c>
      <c r="H537" s="50" t="str">
        <f>IF(EquipmentTable[[#This Row],[Units]]&gt;0,"Quantity &gt; 0 Items","Quantity = 0 Items")</f>
        <v>Quantity &gt; 0 Items</v>
      </c>
      <c r="I537" s="141">
        <f>RawList!J507</f>
        <v>0.5</v>
      </c>
      <c r="J537" s="24">
        <f>VALUE(EquipmentTable[[#This Row],[Units]]*EquipmentTable[[#This Row],[Unit
 Price]])</f>
        <v>4</v>
      </c>
      <c r="K537" s="50" t="str">
        <f>RawList!G507</f>
        <v>https://cdn.sparkfun.com/r/92-92/assets/parts/6/6/0/4/11143-01.jpg</v>
      </c>
      <c r="L537" s="50"/>
      <c r="M537" s="50" t="str">
        <f>RawList!F507</f>
        <v>https://www.sparkfun.com/products/11143</v>
      </c>
    </row>
    <row r="538" spans="2:13" x14ac:dyDescent="0.3">
      <c r="B538" s="50" t="str">
        <f>RawList!A508</f>
        <v>Low-Level Electronics</v>
      </c>
      <c r="C538" s="50" t="str">
        <f>RawList!B508</f>
        <v>Plugs/Jacks/Adapters, Audio</v>
      </c>
      <c r="D538" s="50" t="str">
        <f>RawList!C508</f>
        <v>SparkFun</v>
      </c>
      <c r="E538" s="50" t="str">
        <f>RawList!H508</f>
        <v>SparkFun Audio Jack Breakout</v>
      </c>
      <c r="F538" s="50" t="str">
        <f>RawList!D508</f>
        <v>PRT-10588</v>
      </c>
      <c r="G538" s="137">
        <f>RawList!E508</f>
        <v>5</v>
      </c>
      <c r="H538" s="50" t="str">
        <f>IF(EquipmentTable[[#This Row],[Units]]&gt;0,"Quantity &gt; 0 Items","Quantity = 0 Items")</f>
        <v>Quantity &gt; 0 Items</v>
      </c>
      <c r="I538" s="141">
        <f>RawList!J508</f>
        <v>0.95</v>
      </c>
      <c r="J538" s="24">
        <f>VALUE(EquipmentTable[[#This Row],[Units]]*EquipmentTable[[#This Row],[Unit
 Price]])</f>
        <v>4.75</v>
      </c>
      <c r="K538" s="50" t="str">
        <f>RawList!G508</f>
        <v>https://cdn.sparkfun.com/r/92-92/assets/parts/5/2/2/9/10588-01a.jpg</v>
      </c>
      <c r="L538" s="50"/>
      <c r="M538" s="50" t="str">
        <f>RawList!F508</f>
        <v>https://www.sparkfun.com/products/10588</v>
      </c>
    </row>
    <row r="539" spans="2:13" x14ac:dyDescent="0.3">
      <c r="B539" s="50" t="str">
        <f>RawList!A509</f>
        <v>Low-Level Electronics</v>
      </c>
      <c r="C539" s="50" t="str">
        <f>RawList!B509</f>
        <v>Plugs/Jacks/Adapters, Audio</v>
      </c>
      <c r="D539" s="50" t="str">
        <f>RawList!C509</f>
        <v>Adafruit</v>
      </c>
      <c r="E539" s="50" t="str">
        <f>RawList!H509</f>
        <v xml:space="preserve">1/4" (6.35mm) Stereo Plug Terminal Block </v>
      </c>
      <c r="F539" s="50" t="str">
        <f>RawList!D509</f>
        <v>2911</v>
      </c>
      <c r="G539" s="137">
        <f>RawList!E509</f>
        <v>0</v>
      </c>
      <c r="H539" s="50" t="str">
        <f>IF(EquipmentTable[[#This Row],[Units]]&gt;0,"Quantity &gt; 0 Items","Quantity = 0 Items")</f>
        <v>Quantity = 0 Items</v>
      </c>
      <c r="I539" s="141">
        <f>RawList!J509</f>
        <v>1.95</v>
      </c>
      <c r="J539" s="24">
        <f>VALUE(EquipmentTable[[#This Row],[Units]]*EquipmentTable[[#This Row],[Unit
 Price]])</f>
        <v>0</v>
      </c>
      <c r="K539" s="50">
        <f>RawList!G509</f>
        <v>0</v>
      </c>
      <c r="L539" s="50"/>
      <c r="M539" s="50">
        <f>RawList!F509</f>
        <v>0</v>
      </c>
    </row>
    <row r="540" spans="2:13" x14ac:dyDescent="0.3">
      <c r="B540" s="50" t="str">
        <f>RawList!A510</f>
        <v>Low-Level Electronics</v>
      </c>
      <c r="C540" s="50" t="str">
        <f>RawList!B510</f>
        <v>Plugs/Jacks/Adapters, Audio</v>
      </c>
      <c r="D540" s="50" t="str">
        <f>RawList!C510</f>
        <v>Adafruit</v>
      </c>
      <c r="E540" s="50" t="str">
        <f>RawList!H510</f>
        <v xml:space="preserve">3.5mm (1/8") Stereo Audio Jack Terminal Block </v>
      </c>
      <c r="F540" s="50" t="str">
        <f>RawList!D510</f>
        <v>2791</v>
      </c>
      <c r="G540" s="137">
        <f>RawList!E510</f>
        <v>0</v>
      </c>
      <c r="H540" s="50" t="str">
        <f>IF(EquipmentTable[[#This Row],[Units]]&gt;0,"Quantity &gt; 0 Items","Quantity = 0 Items")</f>
        <v>Quantity = 0 Items</v>
      </c>
      <c r="I540" s="141">
        <f>RawList!J510</f>
        <v>2.5</v>
      </c>
      <c r="J540" s="24">
        <f>VALUE(EquipmentTable[[#This Row],[Units]]*EquipmentTable[[#This Row],[Unit
 Price]])</f>
        <v>0</v>
      </c>
      <c r="K540" s="50">
        <f>RawList!G510</f>
        <v>0</v>
      </c>
      <c r="L540" s="50"/>
      <c r="M540" s="50">
        <f>RawList!F510</f>
        <v>0</v>
      </c>
    </row>
    <row r="541" spans="2:13" x14ac:dyDescent="0.3">
      <c r="B541" s="50" t="str">
        <f>RawList!A511</f>
        <v>Low-Level Electronics</v>
      </c>
      <c r="C541" s="50" t="str">
        <f>RawList!B511</f>
        <v>Plugs/Jacks/Adapters, Audio</v>
      </c>
      <c r="D541" s="50" t="str">
        <f>RawList!C511</f>
        <v>Adafruit</v>
      </c>
      <c r="E541" s="50" t="str">
        <f>RawList!H511</f>
        <v xml:space="preserve">3.5mm (1/8") Stereo Audio Plug Terminal Block </v>
      </c>
      <c r="F541" s="50" t="str">
        <f>RawList!D511</f>
        <v>2790</v>
      </c>
      <c r="G541" s="137">
        <f>RawList!E511</f>
        <v>0</v>
      </c>
      <c r="H541" s="50" t="str">
        <f>IF(EquipmentTable[[#This Row],[Units]]&gt;0,"Quantity &gt; 0 Items","Quantity = 0 Items")</f>
        <v>Quantity = 0 Items</v>
      </c>
      <c r="I541" s="141">
        <f>RawList!J511</f>
        <v>2.5</v>
      </c>
      <c r="J541" s="24">
        <f>VALUE(EquipmentTable[[#This Row],[Units]]*EquipmentTable[[#This Row],[Unit
 Price]])</f>
        <v>0</v>
      </c>
      <c r="K541" s="50">
        <f>RawList!G511</f>
        <v>0</v>
      </c>
      <c r="L541" s="50"/>
      <c r="M541" s="50">
        <f>RawList!F511</f>
        <v>0</v>
      </c>
    </row>
    <row r="542" spans="2:13" x14ac:dyDescent="0.3">
      <c r="B542" s="50" t="str">
        <f>RawList!A512</f>
        <v>Low-Level Electronics</v>
      </c>
      <c r="C542" s="50" t="str">
        <f>RawList!B512</f>
        <v>Plugs/Jacks/Adapters, Audio</v>
      </c>
      <c r="D542" s="50" t="str">
        <f>RawList!C512</f>
        <v>Adafruit</v>
      </c>
      <c r="E542" s="50" t="str">
        <f>RawList!H512</f>
        <v xml:space="preserve">Breadboard-Friendly 3.5mm Stereo Headphone Jack </v>
      </c>
      <c r="F542" s="50" t="str">
        <f>RawList!D512</f>
        <v>1699</v>
      </c>
      <c r="G542" s="137">
        <f>RawList!E512</f>
        <v>0</v>
      </c>
      <c r="H542" s="50" t="str">
        <f>IF(EquipmentTable[[#This Row],[Units]]&gt;0,"Quantity &gt; 0 Items","Quantity = 0 Items")</f>
        <v>Quantity = 0 Items</v>
      </c>
      <c r="I542" s="141">
        <f>RawList!J512</f>
        <v>0.95</v>
      </c>
      <c r="J542" s="24">
        <f>VALUE(EquipmentTable[[#This Row],[Units]]*EquipmentTable[[#This Row],[Unit
 Price]])</f>
        <v>0</v>
      </c>
      <c r="K542" s="50">
        <f>RawList!G512</f>
        <v>0</v>
      </c>
      <c r="L542" s="50"/>
      <c r="M542" s="50">
        <f>RawList!F512</f>
        <v>0</v>
      </c>
    </row>
    <row r="543" spans="2:13" hidden="1" x14ac:dyDescent="0.3">
      <c r="B543" s="50" t="str">
        <f>RawList!A513</f>
        <v>Low-Level Electronics</v>
      </c>
      <c r="C543" s="50" t="str">
        <f>RawList!B513</f>
        <v>PogoPins</v>
      </c>
      <c r="D543" s="50" t="str">
        <f>RawList!C513</f>
        <v>Adafruit</v>
      </c>
      <c r="E543" s="50" t="str">
        <f>RawList!H513</f>
        <v xml:space="preserve">Pogo Pins "Crown Head" (10 pack) - P75-H2 </v>
      </c>
      <c r="F543" s="50" t="str">
        <f>RawList!D513</f>
        <v>2429</v>
      </c>
      <c r="G543" s="137">
        <f>RawList!E513</f>
        <v>1</v>
      </c>
      <c r="H543" s="50" t="str">
        <f>IF(EquipmentTable[[#This Row],[Units]]&gt;0,"Quantity &gt; 0 Items","Quantity = 0 Items")</f>
        <v>Quantity &gt; 0 Items</v>
      </c>
      <c r="I543" s="141">
        <f>RawList!J513</f>
        <v>4.95</v>
      </c>
      <c r="J543" s="24">
        <f>VALUE(EquipmentTable[[#This Row],[Units]]*EquipmentTable[[#This Row],[Unit
 Price]])</f>
        <v>4.95</v>
      </c>
      <c r="K543" s="50">
        <f>RawList!G513</f>
        <v>0</v>
      </c>
      <c r="L543" s="50"/>
      <c r="M543" s="50">
        <f>RawList!F513</f>
        <v>0</v>
      </c>
    </row>
    <row r="544" spans="2:13" hidden="1" x14ac:dyDescent="0.3">
      <c r="B544" s="50" t="str">
        <f>RawList!A514</f>
        <v>Low-Level Electronics</v>
      </c>
      <c r="C544" s="50" t="str">
        <f>RawList!B514</f>
        <v>PogoPins</v>
      </c>
      <c r="D544" s="50" t="str">
        <f>RawList!C514</f>
        <v>Adafruit</v>
      </c>
      <c r="E544" s="50" t="str">
        <f>RawList!H514</f>
        <v xml:space="preserve">Pogo Pins "Cupped Head" (10 pack) - P75-A2 </v>
      </c>
      <c r="F544" s="50" t="str">
        <f>RawList!D514</f>
        <v>2428</v>
      </c>
      <c r="G544" s="137">
        <f>RawList!E514</f>
        <v>1</v>
      </c>
      <c r="H544" s="50" t="str">
        <f>IF(EquipmentTable[[#This Row],[Units]]&gt;0,"Quantity &gt; 0 Items","Quantity = 0 Items")</f>
        <v>Quantity &gt; 0 Items</v>
      </c>
      <c r="I544" s="141">
        <f>RawList!J514</f>
        <v>4.95</v>
      </c>
      <c r="J544" s="24">
        <f>VALUE(EquipmentTable[[#This Row],[Units]]*EquipmentTable[[#This Row],[Unit
 Price]])</f>
        <v>4.95</v>
      </c>
      <c r="K544" s="50">
        <f>RawList!G514</f>
        <v>0</v>
      </c>
      <c r="L544" s="50"/>
      <c r="M544" s="50">
        <f>RawList!F514</f>
        <v>0</v>
      </c>
    </row>
    <row r="545" spans="2:13" hidden="1" x14ac:dyDescent="0.3">
      <c r="B545" s="50" t="str">
        <f>RawList!A515</f>
        <v>Low-Level Electronics</v>
      </c>
      <c r="C545" s="50" t="str">
        <f>RawList!B515</f>
        <v>PogoPins</v>
      </c>
      <c r="D545" s="50" t="str">
        <f>RawList!C515</f>
        <v>Adafruit</v>
      </c>
      <c r="E545" s="50" t="str">
        <f>RawList!H515</f>
        <v>Pogo Pins "Needle Head" (10 pack) - P75-B1</v>
      </c>
      <c r="F545" s="50" t="str">
        <f>RawList!D515</f>
        <v>2430</v>
      </c>
      <c r="G545" s="137">
        <f>RawList!E515</f>
        <v>1</v>
      </c>
      <c r="H545" s="50" t="str">
        <f>IF(EquipmentTable[[#This Row],[Units]]&gt;0,"Quantity &gt; 0 Items","Quantity = 0 Items")</f>
        <v>Quantity &gt; 0 Items</v>
      </c>
      <c r="I545" s="141">
        <f>RawList!J515</f>
        <v>4.95</v>
      </c>
      <c r="J545" s="24">
        <f>VALUE(EquipmentTable[[#This Row],[Units]]*EquipmentTable[[#This Row],[Unit
 Price]])</f>
        <v>4.95</v>
      </c>
      <c r="K545" s="50">
        <f>RawList!G515</f>
        <v>0</v>
      </c>
      <c r="L545" s="50"/>
      <c r="M545" s="50">
        <f>RawList!F515</f>
        <v>0</v>
      </c>
    </row>
    <row r="546" spans="2:13" hidden="1" x14ac:dyDescent="0.3">
      <c r="B546" s="50" t="str">
        <f>RawList!A516</f>
        <v>Low-Level Electronics</v>
      </c>
      <c r="C546" s="50" t="str">
        <f>RawList!B516</f>
        <v>PogoPins</v>
      </c>
      <c r="D546" s="50" t="str">
        <f>RawList!C516</f>
        <v>Adafruit</v>
      </c>
      <c r="E546" s="50" t="str">
        <f>RawList!H516</f>
        <v xml:space="preserve">Pogo Pins "Spear Head" (10 pack) - P75-LM3 </v>
      </c>
      <c r="F546" s="50" t="str">
        <f>RawList!D516</f>
        <v>394</v>
      </c>
      <c r="G546" s="137">
        <f>RawList!E516</f>
        <v>1</v>
      </c>
      <c r="H546" s="50" t="str">
        <f>IF(EquipmentTable[[#This Row],[Units]]&gt;0,"Quantity &gt; 0 Items","Quantity = 0 Items")</f>
        <v>Quantity &gt; 0 Items</v>
      </c>
      <c r="I546" s="141">
        <f>RawList!J516</f>
        <v>7.5</v>
      </c>
      <c r="J546" s="24">
        <f>VALUE(EquipmentTable[[#This Row],[Units]]*EquipmentTable[[#This Row],[Unit
 Price]])</f>
        <v>7.5</v>
      </c>
      <c r="K546" s="50">
        <f>RawList!G516</f>
        <v>0</v>
      </c>
      <c r="L546" s="50"/>
      <c r="M546" s="50">
        <f>RawList!F516</f>
        <v>0</v>
      </c>
    </row>
    <row r="547" spans="2:13" x14ac:dyDescent="0.3">
      <c r="B547" s="50" t="str">
        <f>RawList!A517</f>
        <v>Low-Level Electronics</v>
      </c>
      <c r="C547" s="50" t="str">
        <f>RawList!B517</f>
        <v>Ribbon/IDC Cables</v>
      </c>
      <c r="D547" s="50" t="str">
        <f>RawList!C517</f>
        <v>SparkFun</v>
      </c>
      <c r="E547" s="50" t="str">
        <f>RawList!H517</f>
        <v>Ribbon Cable - 6 wire (15ft)</v>
      </c>
      <c r="F547" s="50" t="str">
        <f>RawList!D517</f>
        <v>CAB-10646</v>
      </c>
      <c r="G547" s="137">
        <f>RawList!E517</f>
        <v>2</v>
      </c>
      <c r="H547" s="50" t="str">
        <f>IF(EquipmentTable[[#This Row],[Units]]&gt;0,"Quantity &gt; 0 Items","Quantity = 0 Items")</f>
        <v>Quantity &gt; 0 Items</v>
      </c>
      <c r="I547" s="141">
        <f>RawList!J517</f>
        <v>2.95</v>
      </c>
      <c r="J547" s="24">
        <f>VALUE(EquipmentTable[[#This Row],[Units]]*EquipmentTable[[#This Row],[Unit
 Price]])</f>
        <v>5.9</v>
      </c>
      <c r="K547" s="50" t="str">
        <f>RawList!G517</f>
        <v>https://cdn.sparkfun.com/r/92-92/assets/parts/5/4/2/1/10646-02.jpg</v>
      </c>
      <c r="L547" s="50"/>
      <c r="M547" s="50" t="str">
        <f>RawList!F517</f>
        <v>https://www.sparkfun.com/products/10646</v>
      </c>
    </row>
    <row r="548" spans="2:13" x14ac:dyDescent="0.3">
      <c r="B548" s="50" t="str">
        <f>RawList!A518</f>
        <v>Low-Level Electronics</v>
      </c>
      <c r="C548" s="50" t="str">
        <f>RawList!B518</f>
        <v>Ribbon/IDC Cables</v>
      </c>
      <c r="D548" s="50" t="str">
        <f>RawList!C518</f>
        <v>Adafruit</v>
      </c>
      <c r="E548" s="50" t="str">
        <f>RawList!H518</f>
        <v>6-pin Socket/Socket IDC cable - 6"</v>
      </c>
      <c r="F548" s="50" t="str">
        <f>RawList!D518</f>
        <v>371</v>
      </c>
      <c r="G548" s="137">
        <f>RawList!E518</f>
        <v>0</v>
      </c>
      <c r="H548" s="50" t="str">
        <f>IF(EquipmentTable[[#This Row],[Units]]&gt;0,"Quantity &gt; 0 Items","Quantity = 0 Items")</f>
        <v>Quantity = 0 Items</v>
      </c>
      <c r="I548" s="141">
        <f>RawList!J518</f>
        <v>2</v>
      </c>
      <c r="J548" s="24">
        <f>VALUE(EquipmentTable[[#This Row],[Units]]*EquipmentTable[[#This Row],[Unit
 Price]])</f>
        <v>0</v>
      </c>
      <c r="K548" s="50">
        <f>RawList!G518</f>
        <v>0</v>
      </c>
      <c r="L548" s="50"/>
      <c r="M548" s="50">
        <f>RawList!F518</f>
        <v>0</v>
      </c>
    </row>
    <row r="549" spans="2:13" x14ac:dyDescent="0.3">
      <c r="B549" s="50" t="str">
        <f>RawList!A519</f>
        <v>Low-Level Electronics</v>
      </c>
      <c r="C549" s="50" t="str">
        <f>RawList!B519</f>
        <v>Ribbon/IDC Cables</v>
      </c>
      <c r="D549" s="50" t="str">
        <f>RawList!C519</f>
        <v>SparkFun</v>
      </c>
      <c r="E549" s="50" t="str">
        <f>RawList!H519</f>
        <v>Ribbon Cable - 10 wire (3ft)</v>
      </c>
      <c r="F549" s="50" t="str">
        <f>RawList!D519</f>
        <v>CAB-10649</v>
      </c>
      <c r="G549" s="137">
        <f>RawList!E519</f>
        <v>0</v>
      </c>
      <c r="H549" s="50" t="str">
        <f>IF(EquipmentTable[[#This Row],[Units]]&gt;0,"Quantity &gt; 0 Items","Quantity = 0 Items")</f>
        <v>Quantity = 0 Items</v>
      </c>
      <c r="I549" s="141">
        <f>RawList!J519</f>
        <v>0.95</v>
      </c>
      <c r="J549" s="24">
        <f>VALUE(EquipmentTable[[#This Row],[Units]]*EquipmentTable[[#This Row],[Unit
 Price]])</f>
        <v>0</v>
      </c>
      <c r="K549" s="50" t="str">
        <f>RawList!G519</f>
        <v>https://cdn.sparkfun.com/r/92-92/assets/parts/5/4/2/4/10649-01.jpg</v>
      </c>
      <c r="L549" s="50"/>
      <c r="M549" s="50" t="str">
        <f>RawList!F519</f>
        <v>https://www.sparkfun.com/products/10649</v>
      </c>
    </row>
    <row r="550" spans="2:13" x14ac:dyDescent="0.3">
      <c r="B550" s="50" t="str">
        <f>RawList!A520</f>
        <v>Low-Level Electronics</v>
      </c>
      <c r="C550" s="50" t="str">
        <f>RawList!B520</f>
        <v>Ribbon/IDC Cables</v>
      </c>
      <c r="D550" s="50" t="str">
        <f>RawList!C520</f>
        <v>SparkFun</v>
      </c>
      <c r="E550" s="50" t="str">
        <f>RawList!H520</f>
        <v>Ribbon Cable - 10 wire (15ft)</v>
      </c>
      <c r="F550" s="50" t="str">
        <f>RawList!D520</f>
        <v>CAB-10647</v>
      </c>
      <c r="G550" s="137">
        <f>RawList!E520</f>
        <v>1</v>
      </c>
      <c r="H550" s="50" t="str">
        <f>IF(EquipmentTable[[#This Row],[Units]]&gt;0,"Quantity &gt; 0 Items","Quantity = 0 Items")</f>
        <v>Quantity &gt; 0 Items</v>
      </c>
      <c r="I550" s="141">
        <f>RawList!J520</f>
        <v>4.95</v>
      </c>
      <c r="J550" s="24">
        <f>VALUE(EquipmentTable[[#This Row],[Units]]*EquipmentTable[[#This Row],[Unit
 Price]])</f>
        <v>4.95</v>
      </c>
      <c r="K550" s="50" t="str">
        <f>RawList!G520</f>
        <v>https://cdn.sparkfun.com/r/92-92/assets/parts/5/4/2/2/10647-04.jpg</v>
      </c>
      <c r="L550" s="50"/>
      <c r="M550" s="50" t="str">
        <f>RawList!F520</f>
        <v>https://www.sparkfun.com/products/10647</v>
      </c>
    </row>
    <row r="551" spans="2:13" x14ac:dyDescent="0.3">
      <c r="B551" s="50" t="str">
        <f>RawList!A521</f>
        <v>Low-Level Electronics</v>
      </c>
      <c r="C551" s="50" t="str">
        <f>RawList!B521</f>
        <v>Ribbon/IDC Cables</v>
      </c>
      <c r="D551" s="50" t="str">
        <f>RawList!C521</f>
        <v>Adafruit</v>
      </c>
      <c r="E551" s="50" t="str">
        <f>RawList!H521</f>
        <v>10-pin Socket/Socket IDC cable - Short 1.5"</v>
      </c>
      <c r="F551" s="50" t="str">
        <f>RawList!D521</f>
        <v>556</v>
      </c>
      <c r="G551" s="137">
        <f>RawList!E521</f>
        <v>0</v>
      </c>
      <c r="H551" s="50" t="str">
        <f>IF(EquipmentTable[[#This Row],[Units]]&gt;0,"Quantity &gt; 0 Items","Quantity = 0 Items")</f>
        <v>Quantity = 0 Items</v>
      </c>
      <c r="I551" s="141">
        <f>RawList!J521</f>
        <v>1.5</v>
      </c>
      <c r="J551" s="24">
        <f>VALUE(EquipmentTable[[#This Row],[Units]]*EquipmentTable[[#This Row],[Unit
 Price]])</f>
        <v>0</v>
      </c>
      <c r="K551" s="50">
        <f>RawList!G521</f>
        <v>0</v>
      </c>
      <c r="L551" s="50"/>
      <c r="M551" s="50">
        <f>RawList!F521</f>
        <v>0</v>
      </c>
    </row>
    <row r="552" spans="2:13" x14ac:dyDescent="0.3">
      <c r="B552" s="50" t="str">
        <f>RawList!A522</f>
        <v>Low-Level Electronics</v>
      </c>
      <c r="C552" s="50" t="str">
        <f>RawList!B522</f>
        <v>Ribbon/IDC Cables</v>
      </c>
      <c r="D552" s="50" t="str">
        <f>RawList!C522</f>
        <v>Adafruit</v>
      </c>
      <c r="E552" s="50" t="str">
        <f>RawList!H522</f>
        <v xml:space="preserve">10-pin Socket/Socket IDC cable - 6" </v>
      </c>
      <c r="F552" s="50" t="str">
        <f>RawList!D522</f>
        <v>370</v>
      </c>
      <c r="G552" s="137">
        <f>RawList!E522</f>
        <v>0</v>
      </c>
      <c r="H552" s="50" t="str">
        <f>IF(EquipmentTable[[#This Row],[Units]]&gt;0,"Quantity &gt; 0 Items","Quantity = 0 Items")</f>
        <v>Quantity = 0 Items</v>
      </c>
      <c r="I552" s="141">
        <f>RawList!J522</f>
        <v>2</v>
      </c>
      <c r="J552" s="24">
        <f>VALUE(EquipmentTable[[#This Row],[Units]]*EquipmentTable[[#This Row],[Unit
 Price]])</f>
        <v>0</v>
      </c>
      <c r="K552" s="50">
        <f>RawList!G522</f>
        <v>0</v>
      </c>
      <c r="L552" s="50"/>
      <c r="M552" s="50">
        <f>RawList!F522</f>
        <v>0</v>
      </c>
    </row>
    <row r="553" spans="2:13" x14ac:dyDescent="0.3">
      <c r="B553" s="50" t="str">
        <f>RawList!A523</f>
        <v>Low-Level Electronics</v>
      </c>
      <c r="C553" s="50" t="str">
        <f>RawList!B523</f>
        <v>Ribbon/IDC Cables</v>
      </c>
      <c r="D553" s="50" t="str">
        <f>RawList!C523</f>
        <v>Adafruit</v>
      </c>
      <c r="E553" s="50" t="str">
        <f>RawList!H523</f>
        <v>10-pin IDC Socket Rainbow Breakout Cable</v>
      </c>
      <c r="F553" s="50" t="str">
        <f>RawList!D523</f>
        <v>1199</v>
      </c>
      <c r="G553" s="137">
        <f>RawList!E523</f>
        <v>0</v>
      </c>
      <c r="H553" s="50" t="str">
        <f>IF(EquipmentTable[[#This Row],[Units]]&gt;0,"Quantity &gt; 0 Items","Quantity = 0 Items")</f>
        <v>Quantity = 0 Items</v>
      </c>
      <c r="I553" s="141">
        <f>RawList!J523</f>
        <v>3.95</v>
      </c>
      <c r="J553" s="24">
        <f>VALUE(EquipmentTable[[#This Row],[Units]]*EquipmentTable[[#This Row],[Unit
 Price]])</f>
        <v>0</v>
      </c>
      <c r="K553" s="50">
        <f>RawList!G523</f>
        <v>0</v>
      </c>
      <c r="L553" s="50"/>
      <c r="M553" s="50">
        <f>RawList!F523</f>
        <v>0</v>
      </c>
    </row>
    <row r="554" spans="2:13" x14ac:dyDescent="0.3">
      <c r="B554" s="50" t="str">
        <f>RawList!A524</f>
        <v>Low-Level Electronics</v>
      </c>
      <c r="C554" s="50" t="str">
        <f>RawList!B524</f>
        <v>Ribbon/IDC Cables</v>
      </c>
      <c r="D554" s="50" t="str">
        <f>RawList!C524</f>
        <v>SparkFun</v>
      </c>
      <c r="E554" s="50" t="str">
        <f>RawList!H524</f>
        <v>2x5 Pin IDC Ribbon Cable</v>
      </c>
      <c r="F554" s="50" t="str">
        <f>RawList!D524</f>
        <v>PRT-08535</v>
      </c>
      <c r="G554" s="137">
        <f>RawList!E524</f>
        <v>0</v>
      </c>
      <c r="H554" s="50" t="str">
        <f>IF(EquipmentTable[[#This Row],[Units]]&gt;0,"Quantity &gt; 0 Items","Quantity = 0 Items")</f>
        <v>Quantity = 0 Items</v>
      </c>
      <c r="I554" s="141">
        <f>RawList!J524</f>
        <v>1.5</v>
      </c>
      <c r="J554" s="24">
        <f>VALUE(EquipmentTable[[#This Row],[Units]]*EquipmentTable[[#This Row],[Unit
 Price]])</f>
        <v>0</v>
      </c>
      <c r="K554" s="50" t="str">
        <f>RawList!G524</f>
        <v>https://cdn.sparkfun.com/r/92-92/assets/parts/1/2/4/8/CAB-08535-03-L.jpg</v>
      </c>
      <c r="L554" s="50"/>
      <c r="M554" s="50" t="str">
        <f>RawList!F524</f>
        <v>https://www.sparkfun.com/products/8535</v>
      </c>
    </row>
    <row r="555" spans="2:13" x14ac:dyDescent="0.3">
      <c r="B555" s="50" t="str">
        <f>RawList!A525</f>
        <v>Low-Level Electronics</v>
      </c>
      <c r="C555" s="50" t="str">
        <f>RawList!B525</f>
        <v>Ribbon/IDC Cables</v>
      </c>
      <c r="D555" s="50" t="str">
        <f>RawList!C525</f>
        <v>Adafruit</v>
      </c>
      <c r="E555" s="50" t="str">
        <f>RawList!H525</f>
        <v>10-pin 2x5 Socket-Socket 1.27mm IDC (SWD) Cable - 150mm long</v>
      </c>
      <c r="F555" s="50" t="str">
        <f>RawList!D525</f>
        <v>1675</v>
      </c>
      <c r="G555" s="137">
        <f>RawList!E525</f>
        <v>0</v>
      </c>
      <c r="H555" s="50" t="str">
        <f>IF(EquipmentTable[[#This Row],[Units]]&gt;0,"Quantity &gt; 0 Items","Quantity = 0 Items")</f>
        <v>Quantity = 0 Items</v>
      </c>
      <c r="I555" s="141">
        <f>RawList!J525</f>
        <v>2.95</v>
      </c>
      <c r="J555" s="24">
        <f>VALUE(EquipmentTable[[#This Row],[Units]]*EquipmentTable[[#This Row],[Unit
 Price]])</f>
        <v>0</v>
      </c>
      <c r="K555" s="50">
        <f>RawList!G525</f>
        <v>0</v>
      </c>
      <c r="L555" s="50"/>
      <c r="M555" s="50">
        <f>RawList!F525</f>
        <v>0</v>
      </c>
    </row>
    <row r="556" spans="2:13" x14ac:dyDescent="0.3">
      <c r="B556" s="50" t="str">
        <f>RawList!A526</f>
        <v>Low-Level Electronics</v>
      </c>
      <c r="C556" s="50" t="str">
        <f>RawList!B526</f>
        <v>Rotary Potentiometers/Encoders/Switches</v>
      </c>
      <c r="D556" s="50" t="str">
        <f>RawList!C526</f>
        <v>SparkFun</v>
      </c>
      <c r="E556" s="50" t="str">
        <f>RawList!H526</f>
        <v>Rotary Potentiometer - 10k Ohm, Linear</v>
      </c>
      <c r="F556" s="50" t="str">
        <f>RawList!D526</f>
        <v>COM-09939</v>
      </c>
      <c r="G556" s="137">
        <f>RawList!E526</f>
        <v>0</v>
      </c>
      <c r="H556" s="50" t="str">
        <f>IF(EquipmentTable[[#This Row],[Units]]&gt;0,"Quantity &gt; 0 Items","Quantity = 0 Items")</f>
        <v>Quantity = 0 Items</v>
      </c>
      <c r="I556" s="141">
        <f>RawList!J526</f>
        <v>0.95</v>
      </c>
      <c r="J556" s="24">
        <f>VALUE(EquipmentTable[[#This Row],[Units]]*EquipmentTable[[#This Row],[Unit
 Price]])</f>
        <v>0</v>
      </c>
      <c r="K556" s="50" t="str">
        <f>RawList!G526</f>
        <v>https://cdn.sparkfun.com/r/92-92/assets/parts/4/0/4/9/09939-01.jpg</v>
      </c>
      <c r="L556" s="50"/>
      <c r="M556" s="50" t="str">
        <f>RawList!F526</f>
        <v>https://www.sparkfun.com/products/9939</v>
      </c>
    </row>
    <row r="557" spans="2:13" x14ac:dyDescent="0.3">
      <c r="B557" s="50" t="str">
        <f>RawList!A527</f>
        <v>Low-Level Electronics</v>
      </c>
      <c r="C557" s="50" t="str">
        <f>RawList!B527</f>
        <v>Rotary Potentiometers/Encoders/Switches</v>
      </c>
      <c r="D557" s="50" t="str">
        <f>RawList!C527</f>
        <v>SparkFun</v>
      </c>
      <c r="E557" s="50" t="str">
        <f>RawList!H527</f>
        <v>Rotary Potentiometer - 10k Ohm, Logarithmic</v>
      </c>
      <c r="F557" s="50" t="str">
        <f>RawList!D527</f>
        <v>COM-09940</v>
      </c>
      <c r="G557" s="137">
        <f>RawList!E527</f>
        <v>0</v>
      </c>
      <c r="H557" s="50" t="str">
        <f>IF(EquipmentTable[[#This Row],[Units]]&gt;0,"Quantity &gt; 0 Items","Quantity = 0 Items")</f>
        <v>Quantity = 0 Items</v>
      </c>
      <c r="I557" s="141">
        <f>RawList!J527</f>
        <v>0.95</v>
      </c>
      <c r="J557" s="24">
        <f>VALUE(EquipmentTable[[#This Row],[Units]]*EquipmentTable[[#This Row],[Unit
 Price]])</f>
        <v>0</v>
      </c>
      <c r="K557" s="50" t="str">
        <f>RawList!G527</f>
        <v>https://cdn.sparkfun.com/r/92-92/assets/parts/4/0/5/0/09940-01.jpg</v>
      </c>
      <c r="L557" s="50"/>
      <c r="M557" s="50" t="str">
        <f>RawList!F527</f>
        <v>https://www.sparkfun.com/products/9940</v>
      </c>
    </row>
    <row r="558" spans="2:13" x14ac:dyDescent="0.3">
      <c r="B558" s="50" t="str">
        <f>RawList!A528</f>
        <v>Low-Level Electronics</v>
      </c>
      <c r="C558" s="50" t="str">
        <f>RawList!B528</f>
        <v>Rotary Potentiometers/Encoders/Switches</v>
      </c>
      <c r="D558" s="50" t="str">
        <f>RawList!C528</f>
        <v>SparkFun</v>
      </c>
      <c r="E558" s="50" t="str">
        <f>RawList!H528</f>
        <v>Rotary Potentiometer - Linear (10k ohm)</v>
      </c>
      <c r="F558" s="50" t="str">
        <f>RawList!D528</f>
        <v>COM-09288</v>
      </c>
      <c r="G558" s="137">
        <f>RawList!E528</f>
        <v>5</v>
      </c>
      <c r="H558" s="50" t="str">
        <f>IF(EquipmentTable[[#This Row],[Units]]&gt;0,"Quantity &gt; 0 Items","Quantity = 0 Items")</f>
        <v>Quantity &gt; 0 Items</v>
      </c>
      <c r="I558" s="141">
        <f>RawList!J528</f>
        <v>0.95</v>
      </c>
      <c r="J558" s="24">
        <f>VALUE(EquipmentTable[[#This Row],[Units]]*EquipmentTable[[#This Row],[Unit
 Price]])</f>
        <v>4.75</v>
      </c>
      <c r="K558" s="50" t="str">
        <f>RawList!G528</f>
        <v>https://cdn.sparkfun.com/r/92-92/assets/parts/2/7/9/4/09288-1.jpg</v>
      </c>
      <c r="L558" s="50"/>
      <c r="M558" s="50" t="str">
        <f>RawList!F528</f>
        <v>https://www.sparkfun.com/products/9288</v>
      </c>
    </row>
    <row r="559" spans="2:13" x14ac:dyDescent="0.3">
      <c r="B559" s="50" t="str">
        <f>RawList!A529</f>
        <v>Low-Level Electronics</v>
      </c>
      <c r="C559" s="50" t="str">
        <f>RawList!B529</f>
        <v>Rotary Potentiometers/Encoders/Switches</v>
      </c>
      <c r="D559" s="50" t="str">
        <f>RawList!C529</f>
        <v>Adafruit</v>
      </c>
      <c r="E559" s="50" t="str">
        <f>RawList!H529</f>
        <v xml:space="preserve">Panel Mount 10K Dual Linear Potentiometer - 10K Dual Linear </v>
      </c>
      <c r="F559" s="50" t="str">
        <f>RawList!D529</f>
        <v>3392</v>
      </c>
      <c r="G559" s="137">
        <f>RawList!E529</f>
        <v>0</v>
      </c>
      <c r="H559" s="50" t="str">
        <f>IF(EquipmentTable[[#This Row],[Units]]&gt;0,"Quantity &gt; 0 Items","Quantity = 0 Items")</f>
        <v>Quantity = 0 Items</v>
      </c>
      <c r="I559" s="141">
        <f>RawList!J529</f>
        <v>1.5</v>
      </c>
      <c r="J559" s="24">
        <f>VALUE(EquipmentTable[[#This Row],[Units]]*EquipmentTable[[#This Row],[Unit
 Price]])</f>
        <v>0</v>
      </c>
      <c r="K559" s="50">
        <f>RawList!G529</f>
        <v>0</v>
      </c>
      <c r="L559" s="50"/>
      <c r="M559" s="50">
        <f>RawList!F529</f>
        <v>0</v>
      </c>
    </row>
    <row r="560" spans="2:13" x14ac:dyDescent="0.3">
      <c r="B560" s="50" t="str">
        <f>RawList!A530</f>
        <v>Low-Level Electronics</v>
      </c>
      <c r="C560" s="50" t="str">
        <f>RawList!B530</f>
        <v>Rotary Potentiometers/Encoders/Switches</v>
      </c>
      <c r="D560" s="50" t="str">
        <f>RawList!C530</f>
        <v>Adafruit</v>
      </c>
      <c r="E560" s="50" t="str">
        <f>RawList!H530</f>
        <v xml:space="preserve">Panel Mount 10K Dual Linear Potentiometer w/ On-Off Switch - 10K Dual Linear w/ Switch </v>
      </c>
      <c r="F560" s="50" t="str">
        <f>RawList!D530</f>
        <v>3393</v>
      </c>
      <c r="G560" s="137">
        <f>RawList!E530</f>
        <v>0</v>
      </c>
      <c r="H560" s="50" t="str">
        <f>IF(EquipmentTable[[#This Row],[Units]]&gt;0,"Quantity &gt; 0 Items","Quantity = 0 Items")</f>
        <v>Quantity = 0 Items</v>
      </c>
      <c r="I560" s="141">
        <f>RawList!J530</f>
        <v>1.75</v>
      </c>
      <c r="J560" s="24">
        <f>VALUE(EquipmentTable[[#This Row],[Units]]*EquipmentTable[[#This Row],[Unit
 Price]])</f>
        <v>0</v>
      </c>
      <c r="K560" s="50">
        <f>RawList!G530</f>
        <v>0</v>
      </c>
      <c r="L560" s="50"/>
      <c r="M560" s="50">
        <f>RawList!F530</f>
        <v>0</v>
      </c>
    </row>
    <row r="561" spans="2:13" x14ac:dyDescent="0.3">
      <c r="B561" s="50" t="str">
        <f>RawList!A531</f>
        <v>Low-Level Electronics</v>
      </c>
      <c r="C561" s="50" t="str">
        <f>RawList!B531</f>
        <v>Rotary Potentiometers/Encoders/Switches</v>
      </c>
      <c r="D561" s="50" t="str">
        <f>RawList!C531</f>
        <v>Adafruit</v>
      </c>
      <c r="E561" s="50" t="str">
        <f>RawList!H531</f>
        <v xml:space="preserve">Panel Mount 10K potentiometer (Breadboard Friendly) - 10K Linear </v>
      </c>
      <c r="F561" s="50" t="str">
        <f>RawList!D531</f>
        <v>562</v>
      </c>
      <c r="G561" s="137">
        <f>RawList!E531</f>
        <v>0</v>
      </c>
      <c r="H561" s="50" t="str">
        <f>IF(EquipmentTable[[#This Row],[Units]]&gt;0,"Quantity &gt; 0 Items","Quantity = 0 Items")</f>
        <v>Quantity = 0 Items</v>
      </c>
      <c r="I561" s="141">
        <f>RawList!J531</f>
        <v>0.95</v>
      </c>
      <c r="J561" s="24">
        <f>VALUE(EquipmentTable[[#This Row],[Units]]*EquipmentTable[[#This Row],[Unit
 Price]])</f>
        <v>0</v>
      </c>
      <c r="K561" s="50">
        <f>RawList!G531</f>
        <v>0</v>
      </c>
      <c r="L561" s="50"/>
      <c r="M561" s="50">
        <f>RawList!F531</f>
        <v>0</v>
      </c>
    </row>
    <row r="562" spans="2:13" x14ac:dyDescent="0.3">
      <c r="B562" s="50" t="str">
        <f>RawList!A532</f>
        <v>Low-Level Electronics</v>
      </c>
      <c r="C562" s="50" t="str">
        <f>RawList!B532</f>
        <v>Rotary Potentiometers/Encoders/Switches</v>
      </c>
      <c r="D562" s="50" t="str">
        <f>RawList!C532</f>
        <v>Adafruit</v>
      </c>
      <c r="E562" s="50" t="str">
        <f>RawList!H532</f>
        <v xml:space="preserve">Panel Mount 1K potentiometer (Breadboard Friendly) - 1K Linear </v>
      </c>
      <c r="F562" s="50" t="str">
        <f>RawList!D532</f>
        <v>1789</v>
      </c>
      <c r="G562" s="137">
        <f>RawList!E532</f>
        <v>0</v>
      </c>
      <c r="H562" s="50" t="str">
        <f>IF(EquipmentTable[[#This Row],[Units]]&gt;0,"Quantity &gt; 0 Items","Quantity = 0 Items")</f>
        <v>Quantity = 0 Items</v>
      </c>
      <c r="I562" s="141">
        <f>RawList!J532</f>
        <v>0.95</v>
      </c>
      <c r="J562" s="24">
        <f>VALUE(EquipmentTable[[#This Row],[Units]]*EquipmentTable[[#This Row],[Unit
 Price]])</f>
        <v>0</v>
      </c>
      <c r="K562" s="50">
        <f>RawList!G532</f>
        <v>0</v>
      </c>
      <c r="L562" s="50"/>
      <c r="M562" s="50">
        <f>RawList!F532</f>
        <v>0</v>
      </c>
    </row>
    <row r="563" spans="2:13" x14ac:dyDescent="0.3">
      <c r="B563" s="50" t="str">
        <f>RawList!A533</f>
        <v>Low-Level Electronics</v>
      </c>
      <c r="C563" s="50" t="str">
        <f>RawList!B533</f>
        <v>Rotary Potentiometers/Encoders/Switches</v>
      </c>
      <c r="D563" s="50" t="str">
        <f>RawList!C533</f>
        <v>Adafruit</v>
      </c>
      <c r="E563" s="50" t="str">
        <f>RawList!H533</f>
        <v xml:space="preserve">Panel Mount Right Angle 10K Linear Potentiometer w/On-Off Switch - 10K Linear w/ Switch </v>
      </c>
      <c r="F563" s="50" t="str">
        <f>RawList!D533</f>
        <v>3395</v>
      </c>
      <c r="G563" s="137">
        <f>RawList!E533</f>
        <v>5</v>
      </c>
      <c r="H563" s="50" t="str">
        <f>IF(EquipmentTable[[#This Row],[Units]]&gt;0,"Quantity &gt; 0 Items","Quantity = 0 Items")</f>
        <v>Quantity &gt; 0 Items</v>
      </c>
      <c r="I563" s="141">
        <f>RawList!J533</f>
        <v>1.5</v>
      </c>
      <c r="J563" s="24">
        <f>VALUE(EquipmentTable[[#This Row],[Units]]*EquipmentTable[[#This Row],[Unit
 Price]])</f>
        <v>7.5</v>
      </c>
      <c r="K563" s="50">
        <f>RawList!G533</f>
        <v>0</v>
      </c>
      <c r="L563" s="50"/>
      <c r="M563" s="50">
        <f>RawList!F533</f>
        <v>0</v>
      </c>
    </row>
    <row r="564" spans="2:13" x14ac:dyDescent="0.3">
      <c r="B564" s="50" t="str">
        <f>RawList!A534</f>
        <v>Low-Level Electronics</v>
      </c>
      <c r="C564" s="50" t="str">
        <f>RawList!B534</f>
        <v>Rotary Potentiometers/Encoders/Switches</v>
      </c>
      <c r="D564" s="50" t="str">
        <f>RawList!C534</f>
        <v>SparkFun</v>
      </c>
      <c r="E564" s="50" t="str">
        <f>RawList!H534</f>
        <v>Rotary Encoder</v>
      </c>
      <c r="F564" s="50" t="str">
        <f>RawList!D534</f>
        <v>COM-09117</v>
      </c>
      <c r="G564" s="137">
        <f>RawList!E534</f>
        <v>0</v>
      </c>
      <c r="H564" s="50" t="str">
        <f>IF(EquipmentTable[[#This Row],[Units]]&gt;0,"Quantity &gt; 0 Items","Quantity = 0 Items")</f>
        <v>Quantity = 0 Items</v>
      </c>
      <c r="I564" s="141">
        <f>RawList!J534</f>
        <v>2.95</v>
      </c>
      <c r="J564" s="24">
        <f>VALUE(EquipmentTable[[#This Row],[Units]]*EquipmentTable[[#This Row],[Unit
 Price]])</f>
        <v>0</v>
      </c>
      <c r="K564" s="50" t="str">
        <f>RawList!G534</f>
        <v>https://cdn.sparkfun.com/r/92-92/assets/parts/2/5/2/0/09117-03-L.jpg</v>
      </c>
      <c r="L564" s="50"/>
      <c r="M564" s="50" t="str">
        <f>RawList!F534</f>
        <v>https://www.sparkfun.com/products/9117</v>
      </c>
    </row>
    <row r="565" spans="2:13" x14ac:dyDescent="0.3">
      <c r="B565" s="50" t="str">
        <f>RawList!A535</f>
        <v>Low-Level Electronics</v>
      </c>
      <c r="C565" s="50" t="str">
        <f>RawList!B535</f>
        <v>Rotary Potentiometers/Encoders/Switches</v>
      </c>
      <c r="D565" s="50" t="str">
        <f>RawList!C535</f>
        <v>SparkFun</v>
      </c>
      <c r="E565" s="50" t="str">
        <f>RawList!H535</f>
        <v>Rotary Encoder - Illuminated (Red/Green)</v>
      </c>
      <c r="F565" s="50" t="str">
        <f>RawList!D535</f>
        <v>COM-10596</v>
      </c>
      <c r="G565" s="137">
        <f>RawList!E535</f>
        <v>0</v>
      </c>
      <c r="H565" s="50" t="str">
        <f>IF(EquipmentTable[[#This Row],[Units]]&gt;0,"Quantity &gt; 0 Items","Quantity = 0 Items")</f>
        <v>Quantity = 0 Items</v>
      </c>
      <c r="I565" s="141">
        <f>RawList!J535</f>
        <v>2.95</v>
      </c>
      <c r="J565" s="24">
        <f>VALUE(EquipmentTable[[#This Row],[Units]]*EquipmentTable[[#This Row],[Unit
 Price]])</f>
        <v>0</v>
      </c>
      <c r="K565" s="50" t="str">
        <f>RawList!G535</f>
        <v>https://cdn.sparkfun.com/r/92-92/assets/parts/5/2/3/9/10596-01.jpg</v>
      </c>
      <c r="L565" s="50"/>
      <c r="M565" s="50" t="str">
        <f>RawList!F535</f>
        <v>https://www.sparkfun.com/products/10596</v>
      </c>
    </row>
    <row r="566" spans="2:13" x14ac:dyDescent="0.3">
      <c r="B566" s="50" t="str">
        <f>RawList!A536</f>
        <v>Low-Level Electronics</v>
      </c>
      <c r="C566" s="50" t="str">
        <f>RawList!B536</f>
        <v>Rotary Potentiometers/Encoders/Switches</v>
      </c>
      <c r="D566" s="50" t="str">
        <f>RawList!C536</f>
        <v>SparkFun</v>
      </c>
      <c r="E566" s="50" t="str">
        <f>RawList!H536</f>
        <v>Rotary Encoder - Illuminated (RGB)</v>
      </c>
      <c r="F566" s="50" t="str">
        <f>RawList!D536</f>
        <v>COM-10982</v>
      </c>
      <c r="G566" s="137">
        <f>RawList!E536</f>
        <v>0</v>
      </c>
      <c r="H566" s="50" t="str">
        <f>IF(EquipmentTable[[#This Row],[Units]]&gt;0,"Quantity &gt; 0 Items","Quantity = 0 Items")</f>
        <v>Quantity = 0 Items</v>
      </c>
      <c r="I566" s="141">
        <f>RawList!J536</f>
        <v>3.95</v>
      </c>
      <c r="J566" s="24">
        <f>VALUE(EquipmentTable[[#This Row],[Units]]*EquipmentTable[[#This Row],[Unit
 Price]])</f>
        <v>0</v>
      </c>
      <c r="K566" s="50" t="str">
        <f>RawList!G536</f>
        <v>https://cdn.sparkfun.com/r/92-92/assets/parts/6/2/1/9/10982-01a.jpg</v>
      </c>
      <c r="L566" s="50"/>
      <c r="M566" s="50" t="str">
        <f>RawList!F536</f>
        <v>https://www.sparkfun.com/products/10982</v>
      </c>
    </row>
    <row r="567" spans="2:13" x14ac:dyDescent="0.3">
      <c r="B567" s="50" t="str">
        <f>RawList!A537</f>
        <v>Low-Level Electronics</v>
      </c>
      <c r="C567" s="50" t="str">
        <f>RawList!B537</f>
        <v>Rotary Potentiometers/Encoders/Switches</v>
      </c>
      <c r="D567" s="50" t="str">
        <f>RawList!C537</f>
        <v>SparkFun</v>
      </c>
      <c r="E567" s="50" t="str">
        <f>RawList!H537</f>
        <v>SparkFun Rotary Encoder Breakout - Illuminated (RG/RGB)</v>
      </c>
      <c r="F567" s="50" t="str">
        <f>RawList!D537</f>
        <v>BOB-11722</v>
      </c>
      <c r="G567" s="137">
        <f>RawList!E537</f>
        <v>0</v>
      </c>
      <c r="H567" s="50" t="str">
        <f>IF(EquipmentTable[[#This Row],[Units]]&gt;0,"Quantity &gt; 0 Items","Quantity = 0 Items")</f>
        <v>Quantity = 0 Items</v>
      </c>
      <c r="I567" s="141">
        <f>RawList!J537</f>
        <v>2.95</v>
      </c>
      <c r="J567" s="24">
        <f>VALUE(EquipmentTable[[#This Row],[Units]]*EquipmentTable[[#This Row],[Unit
 Price]])</f>
        <v>0</v>
      </c>
      <c r="K567" s="50" t="str">
        <f>RawList!G537</f>
        <v>https://cdn.sparkfun.com/r/92-92/assets/parts/7/9/3/3/11722-03.jpg</v>
      </c>
      <c r="L567" s="50"/>
      <c r="M567" s="50" t="str">
        <f>RawList!F537</f>
        <v>https://www.sparkfun.com/products/11722</v>
      </c>
    </row>
    <row r="568" spans="2:13" x14ac:dyDescent="0.3">
      <c r="B568" s="50" t="str">
        <f>RawList!A538</f>
        <v>Low-Level Electronics</v>
      </c>
      <c r="C568" s="50" t="str">
        <f>RawList!B538</f>
        <v>Rotary Potentiometers/Encoders/Switches</v>
      </c>
      <c r="D568" s="50" t="str">
        <f>RawList!C538</f>
        <v>Adafruit</v>
      </c>
      <c r="E568" s="50" t="str">
        <f>RawList!H538</f>
        <v xml:space="preserve">Rotary Encoder + Extras </v>
      </c>
      <c r="F568" s="50" t="str">
        <f>RawList!D538</f>
        <v>377</v>
      </c>
      <c r="G568" s="137">
        <f>RawList!E538</f>
        <v>0</v>
      </c>
      <c r="H568" s="50" t="str">
        <f>IF(EquipmentTable[[#This Row],[Units]]&gt;0,"Quantity &gt; 0 Items","Quantity = 0 Items")</f>
        <v>Quantity = 0 Items</v>
      </c>
      <c r="I568" s="141">
        <f>RawList!J538</f>
        <v>4.5</v>
      </c>
      <c r="J568" s="24">
        <f>VALUE(EquipmentTable[[#This Row],[Units]]*EquipmentTable[[#This Row],[Unit
 Price]])</f>
        <v>0</v>
      </c>
      <c r="K568" s="50">
        <f>RawList!G538</f>
        <v>0</v>
      </c>
      <c r="L568" s="50"/>
      <c r="M568" s="50">
        <f>RawList!F538</f>
        <v>0</v>
      </c>
    </row>
    <row r="569" spans="2:13" x14ac:dyDescent="0.3">
      <c r="B569" s="50" t="str">
        <f>RawList!A539</f>
        <v>Low-Level Electronics</v>
      </c>
      <c r="C569" s="50" t="str">
        <f>RawList!B539</f>
        <v>Rotary Potentiometers/Encoders/Switches</v>
      </c>
      <c r="D569" s="50" t="str">
        <f>RawList!C539</f>
        <v>SparkFun</v>
      </c>
      <c r="E569" s="50" t="str">
        <f>RawList!H539</f>
        <v>Rotary Switch - 10 Position</v>
      </c>
      <c r="F569" s="50" t="str">
        <f>RawList!D539</f>
        <v>COM-13253</v>
      </c>
      <c r="G569" s="137">
        <f>RawList!E539</f>
        <v>5</v>
      </c>
      <c r="H569" s="50" t="str">
        <f>IF(EquipmentTable[[#This Row],[Units]]&gt;0,"Quantity &gt; 0 Items","Quantity = 0 Items")</f>
        <v>Quantity &gt; 0 Items</v>
      </c>
      <c r="I569" s="141">
        <f>RawList!J539</f>
        <v>1.95</v>
      </c>
      <c r="J569" s="24">
        <f>VALUE(EquipmentTable[[#This Row],[Units]]*EquipmentTable[[#This Row],[Unit
 Price]])</f>
        <v>9.75</v>
      </c>
      <c r="K569" s="50" t="str">
        <f>RawList!G539</f>
        <v>https://cdn.sparkfun.com/r/92-92/assets/parts/9/8/3/4/13253-01.jpg</v>
      </c>
      <c r="L569" s="50"/>
      <c r="M569" s="50" t="str">
        <f>RawList!F539</f>
        <v>https://www.sparkfun.com/products/13253</v>
      </c>
    </row>
    <row r="570" spans="2:13" x14ac:dyDescent="0.3">
      <c r="B570" s="50" t="str">
        <f>RawList!A540</f>
        <v>Low-Level Electronics</v>
      </c>
      <c r="C570" s="50" t="str">
        <f>RawList!B540</f>
        <v>Rotary Potentiometers/Encoders/Switches</v>
      </c>
      <c r="D570" s="50" t="str">
        <f>RawList!C540</f>
        <v>SparkFun</v>
      </c>
      <c r="E570" s="50" t="str">
        <f>RawList!H540</f>
        <v>SparkFun Rotary Switch Breakout</v>
      </c>
      <c r="F570" s="50" t="str">
        <f>RawList!D540</f>
        <v>BOB-13098</v>
      </c>
      <c r="G570" s="137">
        <f>RawList!E540</f>
        <v>5</v>
      </c>
      <c r="H570" s="50" t="str">
        <f>IF(EquipmentTable[[#This Row],[Units]]&gt;0,"Quantity &gt; 0 Items","Quantity = 0 Items")</f>
        <v>Quantity &gt; 0 Items</v>
      </c>
      <c r="I570" s="141">
        <f>RawList!J540</f>
        <v>1.95</v>
      </c>
      <c r="J570" s="24">
        <f>VALUE(EquipmentTable[[#This Row],[Units]]*EquipmentTable[[#This Row],[Unit
 Price]])</f>
        <v>9.75</v>
      </c>
      <c r="K570" s="50" t="str">
        <f>RawList!G540</f>
        <v>https://cdn.sparkfun.com/r/92-92/assets/parts/1/0/1/4/0/13098-03.jpg</v>
      </c>
      <c r="L570" s="50"/>
      <c r="M570" s="50" t="str">
        <f>RawList!F540</f>
        <v>https://www.sparkfun.com/products/13098</v>
      </c>
    </row>
    <row r="571" spans="2:13" x14ac:dyDescent="0.3">
      <c r="B571" s="50" t="str">
        <f>RawList!A541</f>
        <v>Low-Level Electronics</v>
      </c>
      <c r="C571" s="50" t="str">
        <f>RawList!B541</f>
        <v>Rotary Potentiometers/Encoders/Switches</v>
      </c>
      <c r="D571" s="50" t="str">
        <f>RawList!C541</f>
        <v>SparkFun</v>
      </c>
      <c r="E571" s="50" t="str">
        <f>RawList!H541</f>
        <v>SparkFun Rotary Switch Potentiometer Breakout</v>
      </c>
      <c r="F571" s="50" t="str">
        <f>RawList!D541</f>
        <v>BOB-13099</v>
      </c>
      <c r="G571" s="137">
        <f>RawList!E541</f>
        <v>5</v>
      </c>
      <c r="H571" s="50" t="str">
        <f>IF(EquipmentTable[[#This Row],[Units]]&gt;0,"Quantity &gt; 0 Items","Quantity = 0 Items")</f>
        <v>Quantity &gt; 0 Items</v>
      </c>
      <c r="I571" s="141">
        <f>RawList!J541</f>
        <v>1.95</v>
      </c>
      <c r="J571" s="24">
        <f>VALUE(EquipmentTable[[#This Row],[Units]]*EquipmentTable[[#This Row],[Unit
 Price]])</f>
        <v>9.75</v>
      </c>
      <c r="K571" s="50" t="str">
        <f>RawList!G541</f>
        <v>https://cdn.sparkfun.com/r/92-92/assets/parts/1/0/1/4/1/13099-01.jpg</v>
      </c>
      <c r="L571" s="50"/>
      <c r="M571" s="50" t="str">
        <f>RawList!F541</f>
        <v>https://www.sparkfun.com/products/13099</v>
      </c>
    </row>
    <row r="572" spans="2:13" x14ac:dyDescent="0.3">
      <c r="B572" s="50" t="str">
        <f>RawList!A542</f>
        <v>Low-Level Electronics</v>
      </c>
      <c r="C572" s="50" t="str">
        <f>RawList!B542</f>
        <v>Rotary Potentiometers/Encoders/Switches</v>
      </c>
      <c r="D572" s="50" t="str">
        <f>RawList!C542</f>
        <v>Adafruit</v>
      </c>
      <c r="E572" s="50" t="str">
        <f>RawList!H542</f>
        <v xml:space="preserve">Mini 8-Way Rotary Selector Switch - SP8T </v>
      </c>
      <c r="F572" s="50" t="str">
        <f>RawList!D542</f>
        <v>2925</v>
      </c>
      <c r="G572" s="137">
        <f>RawList!E542</f>
        <v>0</v>
      </c>
      <c r="H572" s="50" t="str">
        <f>IF(EquipmentTable[[#This Row],[Units]]&gt;0,"Quantity &gt; 0 Items","Quantity = 0 Items")</f>
        <v>Quantity = 0 Items</v>
      </c>
      <c r="I572" s="141">
        <f>RawList!J542</f>
        <v>1.95</v>
      </c>
      <c r="J572" s="24">
        <f>VALUE(EquipmentTable[[#This Row],[Units]]*EquipmentTable[[#This Row],[Unit
 Price]])</f>
        <v>0</v>
      </c>
      <c r="K572" s="50">
        <f>RawList!G542</f>
        <v>0</v>
      </c>
      <c r="L572" s="50"/>
      <c r="M572" s="50">
        <f>RawList!F542</f>
        <v>0</v>
      </c>
    </row>
    <row r="573" spans="2:13" x14ac:dyDescent="0.3">
      <c r="B573" s="50" t="str">
        <f>RawList!A543</f>
        <v>Low-Level Electronics</v>
      </c>
      <c r="C573" s="50" t="str">
        <f>RawList!B543</f>
        <v>Solid/Stranded Hookup Wire</v>
      </c>
      <c r="D573" s="50" t="str">
        <f>RawList!C543</f>
        <v>SparkFun</v>
      </c>
      <c r="E573" s="50" t="str">
        <f>RawList!H543</f>
        <v>Hook-Up Wire - Assortment (Solid Core, 22 AWG)</v>
      </c>
      <c r="F573" s="50" t="str">
        <f>RawList!D543</f>
        <v>PRT-11367</v>
      </c>
      <c r="G573" s="137">
        <f>RawList!E543</f>
        <v>0</v>
      </c>
      <c r="H573" s="50" t="str">
        <f>IF(EquipmentTable[[#This Row],[Units]]&gt;0,"Quantity &gt; 0 Items","Quantity = 0 Items")</f>
        <v>Quantity = 0 Items</v>
      </c>
      <c r="I573" s="141">
        <f>RawList!J543</f>
        <v>16.95</v>
      </c>
      <c r="J573" s="24">
        <f>VALUE(EquipmentTable[[#This Row],[Units]]*EquipmentTable[[#This Row],[Unit
 Price]])</f>
        <v>0</v>
      </c>
      <c r="K573" s="50" t="str">
        <f>RawList!G543</f>
        <v>https://cdn.sparkfun.com/r/92-92/assets/parts/7/1/0/8/11367-04a.jpg</v>
      </c>
      <c r="L573" s="50"/>
      <c r="M573" s="50" t="str">
        <f>RawList!F543</f>
        <v>https://www.sparkfun.com/products/11367</v>
      </c>
    </row>
    <row r="574" spans="2:13" x14ac:dyDescent="0.3">
      <c r="B574" s="50" t="str">
        <f>RawList!A544</f>
        <v>Low-Level Electronics</v>
      </c>
      <c r="C574" s="50" t="str">
        <f>RawList!B544</f>
        <v>Solid/Stranded Hookup Wire</v>
      </c>
      <c r="D574" s="50" t="str">
        <f>RawList!C544</f>
        <v>Adafruit</v>
      </c>
      <c r="E574" s="50" t="str">
        <f>RawList!H544</f>
        <v>Hook-up Wire Spool Set - 22AWG Solid Core - 10 x 25ft</v>
      </c>
      <c r="F574" s="50" t="str">
        <f>RawList!D544</f>
        <v>3174</v>
      </c>
      <c r="G574" s="137">
        <f>RawList!E544</f>
        <v>1</v>
      </c>
      <c r="H574" s="50" t="str">
        <f>IF(EquipmentTable[[#This Row],[Units]]&gt;0,"Quantity &gt; 0 Items","Quantity = 0 Items")</f>
        <v>Quantity &gt; 0 Items</v>
      </c>
      <c r="I574" s="141">
        <f>RawList!J544</f>
        <v>27.5</v>
      </c>
      <c r="J574" s="24">
        <f>VALUE(EquipmentTable[[#This Row],[Units]]*EquipmentTable[[#This Row],[Unit
 Price]])</f>
        <v>27.5</v>
      </c>
      <c r="K574" s="50">
        <f>RawList!G544</f>
        <v>0</v>
      </c>
      <c r="L574" s="50"/>
      <c r="M574" s="50">
        <f>RawList!F544</f>
        <v>0</v>
      </c>
    </row>
    <row r="575" spans="2:13" x14ac:dyDescent="0.3">
      <c r="B575" s="50" t="str">
        <f>RawList!A545</f>
        <v>Low-Level Electronics</v>
      </c>
      <c r="C575" s="50" t="str">
        <f>RawList!B545</f>
        <v>Solid/Stranded Hookup Wire</v>
      </c>
      <c r="D575" s="50" t="str">
        <f>RawList!C545</f>
        <v>SparkFun</v>
      </c>
      <c r="E575" s="50" t="str">
        <f>RawList!H545</f>
        <v>Hook-up Wire - Red (22 AWG)</v>
      </c>
      <c r="F575" s="50" t="str">
        <f>RawList!D545</f>
        <v>PRT-08023</v>
      </c>
      <c r="G575" s="137">
        <f>RawList!E545</f>
        <v>0</v>
      </c>
      <c r="H575" s="50" t="str">
        <f>IF(EquipmentTable[[#This Row],[Units]]&gt;0,"Quantity &gt; 0 Items","Quantity = 0 Items")</f>
        <v>Quantity = 0 Items</v>
      </c>
      <c r="I575" s="141">
        <f>RawList!J545</f>
        <v>2.5</v>
      </c>
      <c r="J575" s="24">
        <f>VALUE(EquipmentTable[[#This Row],[Units]]*EquipmentTable[[#This Row],[Unit
 Price]])</f>
        <v>0</v>
      </c>
      <c r="K575" s="50" t="str">
        <f>RawList!G545</f>
        <v>https://cdn.sparkfun.com/r/92-92/assets/parts/6/4/3/08023-01.jpg</v>
      </c>
      <c r="L575" s="50"/>
      <c r="M575" s="50" t="str">
        <f>RawList!F545</f>
        <v>https://www.sparkfun.com/products/8023</v>
      </c>
    </row>
    <row r="576" spans="2:13" x14ac:dyDescent="0.3">
      <c r="B576" s="50" t="str">
        <f>RawList!A546</f>
        <v>Low-Level Electronics</v>
      </c>
      <c r="C576" s="50" t="str">
        <f>RawList!B546</f>
        <v>Solid/Stranded Hookup Wire</v>
      </c>
      <c r="D576" s="50" t="str">
        <f>RawList!C546</f>
        <v>SparkFun</v>
      </c>
      <c r="E576" s="50" t="str">
        <f>RawList!H546</f>
        <v>Hook-up Wire - Yellow (22 AWG)</v>
      </c>
      <c r="F576" s="50" t="str">
        <f>RawList!D546</f>
        <v>PRT-08024</v>
      </c>
      <c r="G576" s="137">
        <f>RawList!E546</f>
        <v>0</v>
      </c>
      <c r="H576" s="50" t="str">
        <f>IF(EquipmentTable[[#This Row],[Units]]&gt;0,"Quantity &gt; 0 Items","Quantity = 0 Items")</f>
        <v>Quantity = 0 Items</v>
      </c>
      <c r="I576" s="141">
        <f>RawList!J546</f>
        <v>2.5</v>
      </c>
      <c r="J576" s="24">
        <f>VALUE(EquipmentTable[[#This Row],[Units]]*EquipmentTable[[#This Row],[Unit
 Price]])</f>
        <v>0</v>
      </c>
      <c r="K576" s="50" t="str">
        <f>RawList!G546</f>
        <v>https://cdn.sparkfun.com/r/92-92/assets/parts/6/4/4/08024-01a.jpg</v>
      </c>
      <c r="L576" s="50"/>
      <c r="M576" s="50" t="str">
        <f>RawList!F546</f>
        <v>https://www.sparkfun.com/products/8024</v>
      </c>
    </row>
    <row r="577" spans="2:13" x14ac:dyDescent="0.3">
      <c r="B577" s="50" t="str">
        <f>RawList!A547</f>
        <v>Low-Level Electronics</v>
      </c>
      <c r="C577" s="50" t="str">
        <f>RawList!B547</f>
        <v>Solid/Stranded Hookup Wire</v>
      </c>
      <c r="D577" s="50" t="str">
        <f>RawList!C547</f>
        <v>SparkFun</v>
      </c>
      <c r="E577" s="50" t="str">
        <f>RawList!H547</f>
        <v>Hook-up Wire - Black (22 AWG)</v>
      </c>
      <c r="F577" s="50" t="str">
        <f>RawList!D547</f>
        <v>PRT-08022</v>
      </c>
      <c r="G577" s="137">
        <f>RawList!E547</f>
        <v>0</v>
      </c>
      <c r="H577" s="50" t="str">
        <f>IF(EquipmentTable[[#This Row],[Units]]&gt;0,"Quantity &gt; 0 Items","Quantity = 0 Items")</f>
        <v>Quantity = 0 Items</v>
      </c>
      <c r="I577" s="141">
        <f>RawList!J547</f>
        <v>2.5</v>
      </c>
      <c r="J577" s="24">
        <f>VALUE(EquipmentTable[[#This Row],[Units]]*EquipmentTable[[#This Row],[Unit
 Price]])</f>
        <v>0</v>
      </c>
      <c r="K577" s="50" t="str">
        <f>RawList!G547</f>
        <v>https://cdn.sparkfun.com/r/92-92/assets/parts/6/4/2/08022-01.jpg</v>
      </c>
      <c r="L577" s="50"/>
      <c r="M577" s="50" t="str">
        <f>RawList!F547</f>
        <v>https://www.sparkfun.com/products/8022</v>
      </c>
    </row>
    <row r="578" spans="2:13" x14ac:dyDescent="0.3">
      <c r="B578" s="50" t="str">
        <f>RawList!A548</f>
        <v>Low-Level Electronics</v>
      </c>
      <c r="C578" s="50" t="str">
        <f>RawList!B548</f>
        <v>Solid/Stranded Hookup Wire</v>
      </c>
      <c r="D578" s="50" t="str">
        <f>RawList!C548</f>
        <v>SparkFun</v>
      </c>
      <c r="E578" s="50" t="str">
        <f>RawList!H548</f>
        <v>Hook-up Wire - Gray (22 AWG)</v>
      </c>
      <c r="F578" s="50" t="str">
        <f>RawList!D548</f>
        <v>PRT-08025</v>
      </c>
      <c r="G578" s="137">
        <f>RawList!E548</f>
        <v>0</v>
      </c>
      <c r="H578" s="50" t="str">
        <f>IF(EquipmentTable[[#This Row],[Units]]&gt;0,"Quantity &gt; 0 Items","Quantity = 0 Items")</f>
        <v>Quantity = 0 Items</v>
      </c>
      <c r="I578" s="141">
        <f>RawList!J548</f>
        <v>2.95</v>
      </c>
      <c r="J578" s="24">
        <f>VALUE(EquipmentTable[[#This Row],[Units]]*EquipmentTable[[#This Row],[Unit
 Price]])</f>
        <v>0</v>
      </c>
      <c r="K578" s="50" t="str">
        <f>RawList!G548</f>
        <v>https://cdn.sparkfun.com/r/92-92/assets/parts/6/4/5/08025-01.jpg</v>
      </c>
      <c r="L578" s="50"/>
      <c r="M578" s="50" t="str">
        <f>RawList!F548</f>
        <v>https://www.sparkfun.com/products/8025</v>
      </c>
    </row>
    <row r="579" spans="2:13" x14ac:dyDescent="0.3">
      <c r="B579" s="50" t="str">
        <f>RawList!A549</f>
        <v>Low-Level Electronics</v>
      </c>
      <c r="C579" s="50" t="str">
        <f>RawList!B549</f>
        <v>Solid/Stranded Hookup Wire</v>
      </c>
      <c r="D579" s="50" t="str">
        <f>RawList!C549</f>
        <v>SparkFun</v>
      </c>
      <c r="E579" s="50" t="str">
        <f>RawList!H549</f>
        <v>Hook-up Wire - White (22 AWG)</v>
      </c>
      <c r="F579" s="50" t="str">
        <f>RawList!D549</f>
        <v>PRT-08026</v>
      </c>
      <c r="G579" s="137">
        <f>RawList!E549</f>
        <v>0</v>
      </c>
      <c r="H579" s="50" t="str">
        <f>IF(EquipmentTable[[#This Row],[Units]]&gt;0,"Quantity &gt; 0 Items","Quantity = 0 Items")</f>
        <v>Quantity = 0 Items</v>
      </c>
      <c r="I579" s="141">
        <f>RawList!J549</f>
        <v>2.5</v>
      </c>
      <c r="J579" s="24">
        <f>VALUE(EquipmentTable[[#This Row],[Units]]*EquipmentTable[[#This Row],[Unit
 Price]])</f>
        <v>0</v>
      </c>
      <c r="K579" s="50" t="str">
        <f>RawList!G549</f>
        <v>https://cdn.sparkfun.com/r/92-92/assets/parts/6/4/6/08026-01.jpg</v>
      </c>
      <c r="L579" s="50"/>
      <c r="M579" s="50" t="str">
        <f>RawList!F549</f>
        <v>https://www.sparkfun.com/products/8026</v>
      </c>
    </row>
    <row r="580" spans="2:13" x14ac:dyDescent="0.3">
      <c r="B580" s="50" t="str">
        <f>RawList!A550</f>
        <v>Low-Level Electronics</v>
      </c>
      <c r="C580" s="50" t="str">
        <f>RawList!B550</f>
        <v>Solid/Stranded Hookup Wire</v>
      </c>
      <c r="D580" s="50" t="str">
        <f>RawList!C550</f>
        <v>SparkFun</v>
      </c>
      <c r="E580" s="50" t="str">
        <f>RawList!H550</f>
        <v>Hook-up Wire - Brown (22 AWG)</v>
      </c>
      <c r="F580" s="50" t="str">
        <f>RawList!D550</f>
        <v>PRT-08027</v>
      </c>
      <c r="G580" s="137">
        <f>RawList!E550</f>
        <v>0</v>
      </c>
      <c r="H580" s="50" t="str">
        <f>IF(EquipmentTable[[#This Row],[Units]]&gt;0,"Quantity &gt; 0 Items","Quantity = 0 Items")</f>
        <v>Quantity = 0 Items</v>
      </c>
      <c r="I580" s="141">
        <f>RawList!J550</f>
        <v>2.95</v>
      </c>
      <c r="J580" s="24">
        <f>VALUE(EquipmentTable[[#This Row],[Units]]*EquipmentTable[[#This Row],[Unit
 Price]])</f>
        <v>0</v>
      </c>
      <c r="K580" s="50" t="str">
        <f>RawList!G550</f>
        <v>https://cdn.sparkfun.com/r/92-92/assets/parts/6/4/7/08027-01.jpg</v>
      </c>
      <c r="L580" s="50"/>
      <c r="M580" s="50" t="str">
        <f>RawList!F550</f>
        <v>https://www.sparkfun.com/products/8027</v>
      </c>
    </row>
    <row r="581" spans="2:13" x14ac:dyDescent="0.3">
      <c r="B581" s="50" t="str">
        <f>RawList!A551</f>
        <v>Low-Level Electronics</v>
      </c>
      <c r="C581" s="50" t="str">
        <f>RawList!B551</f>
        <v>Solid/Stranded Hookup Wire</v>
      </c>
      <c r="D581" s="50" t="str">
        <f>RawList!C551</f>
        <v>SparkFun</v>
      </c>
      <c r="E581" s="50" t="str">
        <f>RawList!H551</f>
        <v>Jumper Wire Kit</v>
      </c>
      <c r="F581" s="50" t="str">
        <f>RawList!D551</f>
        <v>PRT-00124</v>
      </c>
      <c r="G581" s="137">
        <f>RawList!E551</f>
        <v>2</v>
      </c>
      <c r="H581" s="50" t="str">
        <f>IF(EquipmentTable[[#This Row],[Units]]&gt;0,"Quantity &gt; 0 Items","Quantity = 0 Items")</f>
        <v>Quantity &gt; 0 Items</v>
      </c>
      <c r="I581" s="141">
        <f>RawList!J551</f>
        <v>6.95</v>
      </c>
      <c r="J581" s="24">
        <f>VALUE(EquipmentTable[[#This Row],[Units]]*EquipmentTable[[#This Row],[Unit
 Price]])</f>
        <v>13.9</v>
      </c>
      <c r="K581" s="50" t="str">
        <f>RawList!G551</f>
        <v>https://cdn.sparkfun.com/r/92-92/assets/parts/1/1/2/00124-04.jpg</v>
      </c>
      <c r="L581" s="50"/>
      <c r="M581" s="50" t="str">
        <f>RawList!F551</f>
        <v>https://www.sparkfun.com/products/124</v>
      </c>
    </row>
    <row r="582" spans="2:13" x14ac:dyDescent="0.3">
      <c r="B582" s="50" t="str">
        <f>RawList!A552</f>
        <v>Low-Level Electronics</v>
      </c>
      <c r="C582" s="50" t="str">
        <f>RawList!B552</f>
        <v>Solid/Stranded Hookup Wire</v>
      </c>
      <c r="D582" s="50" t="str">
        <f>RawList!C552</f>
        <v>Adafruit</v>
      </c>
      <c r="E582" s="50" t="str">
        <f>RawList!H552</f>
        <v>Half Size Breadboard + 78 Piece 22AWG Jumper Wire Bundle</v>
      </c>
      <c r="F582" s="50" t="str">
        <f>RawList!D552</f>
        <v>3314</v>
      </c>
      <c r="G582" s="137">
        <f>RawList!E552</f>
        <v>0</v>
      </c>
      <c r="H582" s="50" t="str">
        <f>IF(EquipmentTable[[#This Row],[Units]]&gt;0,"Quantity &gt; 0 Items","Quantity = 0 Items")</f>
        <v>Quantity = 0 Items</v>
      </c>
      <c r="I582" s="141">
        <f>RawList!J552</f>
        <v>7.95</v>
      </c>
      <c r="J582" s="24">
        <f>VALUE(EquipmentTable[[#This Row],[Units]]*EquipmentTable[[#This Row],[Unit
 Price]])</f>
        <v>0</v>
      </c>
      <c r="K582" s="50">
        <f>RawList!G552</f>
        <v>0</v>
      </c>
      <c r="L582" s="50"/>
      <c r="M582" s="50">
        <f>RawList!F552</f>
        <v>0</v>
      </c>
    </row>
    <row r="583" spans="2:13" hidden="1" x14ac:dyDescent="0.3">
      <c r="B583" s="50" t="str">
        <f>RawList!A553</f>
        <v>Tools</v>
      </c>
      <c r="C583" s="50" t="str">
        <f>RawList!B553</f>
        <v>Solder/SMD Rework Tools</v>
      </c>
      <c r="D583" s="50" t="str">
        <f>RawList!C553</f>
        <v>SparkFun</v>
      </c>
      <c r="E583" s="50" t="str">
        <f>RawList!H553</f>
        <v>Tool Kit - Beginner</v>
      </c>
      <c r="F583" s="50" t="str">
        <f>RawList!D553</f>
        <v>TOL-13086</v>
      </c>
      <c r="G583" s="137">
        <f>RawList!E553</f>
        <v>0</v>
      </c>
      <c r="H583" s="50" t="str">
        <f>IF(EquipmentTable[[#This Row],[Units]]&gt;0,"Quantity &gt; 0 Items","Quantity = 0 Items")</f>
        <v>Quantity = 0 Items</v>
      </c>
      <c r="I583" s="141">
        <f>RawList!J553</f>
        <v>34.950000000000003</v>
      </c>
      <c r="J583" s="24">
        <f>VALUE(EquipmentTable[[#This Row],[Units]]*EquipmentTable[[#This Row],[Unit
 Price]])</f>
        <v>0</v>
      </c>
      <c r="K583" s="50" t="str">
        <f>RawList!G553</f>
        <v>https://cdn.sparkfun.com/r/92-92/assets/parts/1/0/1/2/0/13086-02.jpg</v>
      </c>
      <c r="L583" s="50"/>
      <c r="M583" s="50" t="str">
        <f>RawList!F553</f>
        <v>https://www.sparkfun.com/products/13086</v>
      </c>
    </row>
    <row r="584" spans="2:13" hidden="1" x14ac:dyDescent="0.3">
      <c r="B584" s="50" t="str">
        <f>RawList!A554</f>
        <v>Tools</v>
      </c>
      <c r="C584" s="50" t="str">
        <f>RawList!B554</f>
        <v>Solder/SMD Rework Tools</v>
      </c>
      <c r="D584" s="50" t="str">
        <f>RawList!C554</f>
        <v>Adafruit</v>
      </c>
      <c r="E584" s="50" t="str">
        <f>RawList!H554</f>
        <v>Ladyada's Electronics Toolkit</v>
      </c>
      <c r="F584" s="50" t="str">
        <f>RawList!D554</f>
        <v>136</v>
      </c>
      <c r="G584" s="137">
        <f>RawList!E554</f>
        <v>0</v>
      </c>
      <c r="H584" s="50" t="str">
        <f>IF(EquipmentTable[[#This Row],[Units]]&gt;0,"Quantity &gt; 0 Items","Quantity = 0 Items")</f>
        <v>Quantity = 0 Items</v>
      </c>
      <c r="I584" s="141">
        <f>RawList!J554</f>
        <v>100</v>
      </c>
      <c r="J584" s="24">
        <f>VALUE(EquipmentTable[[#This Row],[Units]]*EquipmentTable[[#This Row],[Unit
 Price]])</f>
        <v>0</v>
      </c>
      <c r="K584" s="50">
        <f>RawList!G554</f>
        <v>0</v>
      </c>
      <c r="L584" s="50"/>
      <c r="M584" s="50">
        <f>RawList!F554</f>
        <v>0</v>
      </c>
    </row>
    <row r="585" spans="2:13" hidden="1" x14ac:dyDescent="0.3">
      <c r="B585" s="50" t="str">
        <f>RawList!A555</f>
        <v>Tools</v>
      </c>
      <c r="C585" s="50" t="str">
        <f>RawList!B555</f>
        <v>Solder/SMD Rework Tools</v>
      </c>
      <c r="D585" s="50" t="str">
        <f>RawList!C555</f>
        <v>SparkFun</v>
      </c>
      <c r="E585" s="50" t="str">
        <f>RawList!H555</f>
        <v>Weller Portasol Butane Soldering Iron Kit</v>
      </c>
      <c r="F585" s="50" t="str">
        <f>RawList!D555</f>
        <v>TOL-14226</v>
      </c>
      <c r="G585" s="137">
        <f>RawList!E555</f>
        <v>0</v>
      </c>
      <c r="H585" s="50" t="str">
        <f>IF(EquipmentTable[[#This Row],[Units]]&gt;0,"Quantity &gt; 0 Items","Quantity = 0 Items")</f>
        <v>Quantity = 0 Items</v>
      </c>
      <c r="I585" s="141">
        <f>RawList!J555</f>
        <v>59.95</v>
      </c>
      <c r="J585" s="24">
        <f>VALUE(EquipmentTable[[#This Row],[Units]]*EquipmentTable[[#This Row],[Unit
 Price]])</f>
        <v>0</v>
      </c>
      <c r="K585" s="50" t="str">
        <f>RawList!G555</f>
        <v>https://cdn.sparkfun.com/r/92-92/assets/parts/1/2/1/7/1/14226-02.jpg</v>
      </c>
      <c r="L585" s="50"/>
      <c r="M585" s="50" t="str">
        <f>RawList!F555</f>
        <v>https://www.sparkfun.com/products/14226</v>
      </c>
    </row>
    <row r="586" spans="2:13" hidden="1" x14ac:dyDescent="0.3">
      <c r="B586" s="50" t="str">
        <f>RawList!A556</f>
        <v>Tools</v>
      </c>
      <c r="C586" s="50" t="str">
        <f>RawList!B556</f>
        <v>Solder/SMD Rework Tools</v>
      </c>
      <c r="D586" s="50" t="str">
        <f>RawList!C556</f>
        <v>SparkFun</v>
      </c>
      <c r="E586" s="50" t="str">
        <f>RawList!H556</f>
        <v>Solder Vacuum</v>
      </c>
      <c r="F586" s="50" t="str">
        <f>RawList!D556</f>
        <v>TOL-13203</v>
      </c>
      <c r="G586" s="137">
        <f>RawList!E556</f>
        <v>0</v>
      </c>
      <c r="H586" s="50" t="str">
        <f>IF(EquipmentTable[[#This Row],[Units]]&gt;0,"Quantity &gt; 0 Items","Quantity = 0 Items")</f>
        <v>Quantity = 0 Items</v>
      </c>
      <c r="I586" s="141">
        <f>RawList!J556</f>
        <v>4.95</v>
      </c>
      <c r="J586" s="24">
        <f>VALUE(EquipmentTable[[#This Row],[Units]]*EquipmentTable[[#This Row],[Unit
 Price]])</f>
        <v>0</v>
      </c>
      <c r="K586" s="50" t="str">
        <f>RawList!G556</f>
        <v>https://cdn.sparkfun.com/r/92-92/assets/parts/1/0/3/4/4/13203-01.jpg</v>
      </c>
      <c r="L586" s="50"/>
      <c r="M586" s="50" t="str">
        <f>RawList!F556</f>
        <v>https://www.sparkfun.com/products/13203</v>
      </c>
    </row>
    <row r="587" spans="2:13" hidden="1" x14ac:dyDescent="0.3">
      <c r="B587" s="50" t="str">
        <f>RawList!A557</f>
        <v>Tools</v>
      </c>
      <c r="C587" s="50" t="str">
        <f>RawList!B557</f>
        <v>Solder/SMD Rework Tools</v>
      </c>
      <c r="D587" s="50" t="str">
        <f>RawList!C557</f>
        <v>SparkFun</v>
      </c>
      <c r="E587" s="50" t="str">
        <f>RawList!H557</f>
        <v>Brass Sponge</v>
      </c>
      <c r="F587" s="50" t="str">
        <f>RawList!D557</f>
        <v>TOL-08964</v>
      </c>
      <c r="G587" s="137">
        <f>RawList!E557</f>
        <v>0</v>
      </c>
      <c r="H587" s="50" t="str">
        <f>IF(EquipmentTable[[#This Row],[Units]]&gt;0,"Quantity &gt; 0 Items","Quantity = 0 Items")</f>
        <v>Quantity = 0 Items</v>
      </c>
      <c r="I587" s="141">
        <f>RawList!J557</f>
        <v>2.95</v>
      </c>
      <c r="J587" s="24">
        <f>VALUE(EquipmentTable[[#This Row],[Units]]*EquipmentTable[[#This Row],[Unit
 Price]])</f>
        <v>0</v>
      </c>
      <c r="K587" s="50" t="str">
        <f>RawList!G557</f>
        <v>https://cdn.sparkfun.com/r/92-92/assets/parts/2/2/6/8/08964-02-L.jpg</v>
      </c>
      <c r="L587" s="50"/>
      <c r="M587" s="50" t="str">
        <f>RawList!F557</f>
        <v>https://www.sparkfun.com/products/8964</v>
      </c>
    </row>
    <row r="588" spans="2:13" hidden="1" x14ac:dyDescent="0.3">
      <c r="B588" s="50" t="str">
        <f>RawList!A558</f>
        <v>Tools</v>
      </c>
      <c r="C588" s="50" t="str">
        <f>RawList!B558</f>
        <v>Solder/SMD Rework Tools</v>
      </c>
      <c r="D588" s="50" t="str">
        <f>RawList!C558</f>
        <v>SparkFun</v>
      </c>
      <c r="E588" s="50" t="str">
        <f>RawList!H558</f>
        <v>Solder Paste - 50g (Lead Free)</v>
      </c>
      <c r="F588" s="50" t="str">
        <f>RawList!D558</f>
        <v>TOL-12878</v>
      </c>
      <c r="G588" s="137">
        <f>RawList!E558</f>
        <v>1</v>
      </c>
      <c r="H588" s="50" t="str">
        <f>IF(EquipmentTable[[#This Row],[Units]]&gt;0,"Quantity &gt; 0 Items","Quantity = 0 Items")</f>
        <v>Quantity &gt; 0 Items</v>
      </c>
      <c r="I588" s="141">
        <f>RawList!J558</f>
        <v>16.95</v>
      </c>
      <c r="J588" s="24">
        <f>VALUE(EquipmentTable[[#This Row],[Units]]*EquipmentTable[[#This Row],[Unit
 Price]])</f>
        <v>16.95</v>
      </c>
      <c r="K588" s="50" t="str">
        <f>RawList!G558</f>
        <v>https://cdn.sparkfun.com/r/92-92/assets/parts/9/7/6/3/12878-01.jpg</v>
      </c>
      <c r="L588" s="50"/>
      <c r="M588" s="50" t="str">
        <f>RawList!F558</f>
        <v>https://www.sparkfun.com/products/12878</v>
      </c>
    </row>
    <row r="589" spans="2:13" hidden="1" x14ac:dyDescent="0.3">
      <c r="B589" s="50" t="str">
        <f>RawList!A559</f>
        <v>Tools</v>
      </c>
      <c r="C589" s="50" t="str">
        <f>RawList!B559</f>
        <v>Solder/SMD Rework Tools</v>
      </c>
      <c r="D589" s="50" t="str">
        <f>RawList!C559</f>
        <v>SparkFun</v>
      </c>
      <c r="E589" s="50" t="str">
        <f>RawList!H559</f>
        <v>Hot-air Rework Station - 303D</v>
      </c>
      <c r="F589" s="50" t="str">
        <f>RawList!D559</f>
        <v>TOL-10706</v>
      </c>
      <c r="G589" s="137">
        <f>RawList!E559</f>
        <v>0</v>
      </c>
      <c r="H589" s="50" t="str">
        <f>IF(EquipmentTable[[#This Row],[Units]]&gt;0,"Quantity &gt; 0 Items","Quantity = 0 Items")</f>
        <v>Quantity = 0 Items</v>
      </c>
      <c r="I589" s="141">
        <f>RawList!J559</f>
        <v>114.95</v>
      </c>
      <c r="J589" s="24">
        <f>VALUE(EquipmentTable[[#This Row],[Units]]*EquipmentTable[[#This Row],[Unit
 Price]])</f>
        <v>0</v>
      </c>
      <c r="K589" s="50" t="str">
        <f>RawList!G559</f>
        <v>https://cdn.sparkfun.com/r/92-92/assets/parts/5/5/3/8/10706-02.jpg</v>
      </c>
      <c r="L589" s="50"/>
      <c r="M589" s="50" t="str">
        <f>RawList!F559</f>
        <v>https://www.sparkfun.com/products/10706</v>
      </c>
    </row>
    <row r="590" spans="2:13" hidden="1" x14ac:dyDescent="0.3">
      <c r="B590" s="50" t="str">
        <f>RawList!A560</f>
        <v>Tools</v>
      </c>
      <c r="C590" s="50" t="str">
        <f>RawList!B560</f>
        <v>Solder/SMD Rework Tools</v>
      </c>
      <c r="D590" s="50" t="str">
        <f>RawList!C560</f>
        <v>Adafruit</v>
      </c>
      <c r="E590" s="50" t="str">
        <f>RawList!H560</f>
        <v xml:space="preserve">Hot Air Soldering Rework Station w/ Three Nozzles - Quick 957D </v>
      </c>
      <c r="F590" s="50" t="str">
        <f>RawList!D560</f>
        <v>1869</v>
      </c>
      <c r="G590" s="137">
        <f>RawList!E560</f>
        <v>0</v>
      </c>
      <c r="H590" s="50" t="str">
        <f>IF(EquipmentTable[[#This Row],[Units]]&gt;0,"Quantity &gt; 0 Items","Quantity = 0 Items")</f>
        <v>Quantity = 0 Items</v>
      </c>
      <c r="I590" s="141">
        <f>RawList!J560</f>
        <v>97.5</v>
      </c>
      <c r="J590" s="24">
        <f>VALUE(EquipmentTable[[#This Row],[Units]]*EquipmentTable[[#This Row],[Unit
 Price]])</f>
        <v>0</v>
      </c>
      <c r="K590" s="50">
        <f>RawList!G560</f>
        <v>0</v>
      </c>
      <c r="L590" s="50"/>
      <c r="M590" s="50">
        <f>RawList!F560</f>
        <v>0</v>
      </c>
    </row>
    <row r="591" spans="2:13" hidden="1" x14ac:dyDescent="0.3">
      <c r="B591" s="50" t="str">
        <f>RawList!A561</f>
        <v>Tools</v>
      </c>
      <c r="C591" s="50" t="str">
        <f>RawList!B561</f>
        <v>Solder/SMD Rework Tools</v>
      </c>
      <c r="D591" s="50" t="str">
        <f>RawList!C561</f>
        <v>SparkFun</v>
      </c>
      <c r="E591" s="50" t="str">
        <f>RawList!H561</f>
        <v>Hot-air Rework Nozzles - Y1126</v>
      </c>
      <c r="F591" s="50" t="str">
        <f>RawList!D561</f>
        <v>TOL-07925</v>
      </c>
      <c r="G591" s="137">
        <f>RawList!E561</f>
        <v>0</v>
      </c>
      <c r="H591" s="50" t="str">
        <f>IF(EquipmentTable[[#This Row],[Units]]&gt;0,"Quantity &gt; 0 Items","Quantity = 0 Items")</f>
        <v>Quantity = 0 Items</v>
      </c>
      <c r="I591" s="141">
        <f>RawList!J561</f>
        <v>14.95</v>
      </c>
      <c r="J591" s="24">
        <f>VALUE(EquipmentTable[[#This Row],[Units]]*EquipmentTable[[#This Row],[Unit
 Price]])</f>
        <v>0</v>
      </c>
      <c r="K591" s="50" t="str">
        <f>RawList!G561</f>
        <v>https://cdn.sparkfun.com/r/92-92/assets/parts/6/0/7/07925-01.jpg</v>
      </c>
      <c r="L591" s="50"/>
      <c r="M591" s="50" t="str">
        <f>RawList!F561</f>
        <v>https://www.sparkfun.com/products/7925</v>
      </c>
    </row>
    <row r="592" spans="2:13" hidden="1" x14ac:dyDescent="0.3">
      <c r="B592" s="50" t="str">
        <f>RawList!A562</f>
        <v>Tools</v>
      </c>
      <c r="C592" s="50" t="str">
        <f>RawList!B562</f>
        <v>Solder/SMD Rework Tools</v>
      </c>
      <c r="D592" s="50" t="str">
        <f>RawList!C562</f>
        <v>SparkFun</v>
      </c>
      <c r="E592" s="50" t="str">
        <f>RawList!H562</f>
        <v>Heaterizer XL-3000 Heat Gun</v>
      </c>
      <c r="F592" s="50" t="str">
        <f>RawList!D562</f>
        <v>TOL-10326</v>
      </c>
      <c r="G592" s="137">
        <f>RawList!E562</f>
        <v>0</v>
      </c>
      <c r="H592" s="50" t="str">
        <f>IF(EquipmentTable[[#This Row],[Units]]&gt;0,"Quantity &gt; 0 Items","Quantity = 0 Items")</f>
        <v>Quantity = 0 Items</v>
      </c>
      <c r="I592" s="141">
        <f>RawList!J562</f>
        <v>13.95</v>
      </c>
      <c r="J592" s="24">
        <f>VALUE(EquipmentTable[[#This Row],[Units]]*EquipmentTable[[#This Row],[Unit
 Price]])</f>
        <v>0</v>
      </c>
      <c r="K592" s="50" t="str">
        <f>RawList!G562</f>
        <v>https://cdn.sparkfun.com/r/92-92/assets/parts/4/7/3/4/10326-02.jpg</v>
      </c>
      <c r="L592" s="50"/>
      <c r="M592" s="50" t="str">
        <f>RawList!F562</f>
        <v>https://www.sparkfun.com/products/10326</v>
      </c>
    </row>
    <row r="593" spans="2:13" hidden="1" x14ac:dyDescent="0.3">
      <c r="B593" s="50" t="str">
        <f>RawList!A563</f>
        <v>Tools</v>
      </c>
      <c r="C593" s="50" t="str">
        <f>RawList!B563</f>
        <v>Solder/SMD Rework Tools</v>
      </c>
      <c r="D593" s="50" t="str">
        <f>RawList!C563</f>
        <v>Adafruit</v>
      </c>
      <c r="E593" s="50" t="str">
        <f>RawList!H563</f>
        <v>Insulated Silicone Rework Mat - 34cm x 23cm x 4mm Work Surface</v>
      </c>
      <c r="F593" s="50" t="str">
        <f>RawList!D563</f>
        <v>3536</v>
      </c>
      <c r="G593" s="137">
        <f>RawList!E563</f>
        <v>0</v>
      </c>
      <c r="H593" s="50" t="str">
        <f>IF(EquipmentTable[[#This Row],[Units]]&gt;0,"Quantity &gt; 0 Items","Quantity = 0 Items")</f>
        <v>Quantity = 0 Items</v>
      </c>
      <c r="I593" s="141">
        <f>RawList!J563</f>
        <v>9.9499999999999993</v>
      </c>
      <c r="J593" s="24">
        <f>VALUE(EquipmentTable[[#This Row],[Units]]*EquipmentTable[[#This Row],[Unit
 Price]])</f>
        <v>0</v>
      </c>
      <c r="K593" s="50">
        <f>RawList!G563</f>
        <v>0</v>
      </c>
      <c r="L593" s="50"/>
      <c r="M593" s="50">
        <f>RawList!F563</f>
        <v>0</v>
      </c>
    </row>
    <row r="594" spans="2:13" x14ac:dyDescent="0.3">
      <c r="B594" s="50" t="str">
        <f>RawList!A564</f>
        <v>Tools</v>
      </c>
      <c r="C594" s="50" t="str">
        <f>RawList!B564</f>
        <v>PCB/Breadboard Work Tools</v>
      </c>
      <c r="D594" s="50" t="str">
        <f>RawList!C564</f>
        <v>SparkFun</v>
      </c>
      <c r="E594" s="50" t="str">
        <f>RawList!H564</f>
        <v>Panavise Jr. - Vacuum Base</v>
      </c>
      <c r="F594" s="50" t="str">
        <f>RawList!D564</f>
        <v>TOL-10410</v>
      </c>
      <c r="G594" s="137">
        <f>RawList!E564</f>
        <v>0</v>
      </c>
      <c r="H594" s="50" t="str">
        <f>IF(EquipmentTable[[#This Row],[Units]]&gt;0,"Quantity &gt; 0 Items","Quantity = 0 Items")</f>
        <v>Quantity = 0 Items</v>
      </c>
      <c r="I594" s="141">
        <f>RawList!J564</f>
        <v>32.950000000000003</v>
      </c>
      <c r="J594" s="24">
        <f>VALUE(EquipmentTable[[#This Row],[Units]]*EquipmentTable[[#This Row],[Unit
 Price]])</f>
        <v>0</v>
      </c>
      <c r="K594" s="50" t="str">
        <f>RawList!G564</f>
        <v>https://cdn.sparkfun.com/r/92-92/assets/parts/4/8/8/1/10410-01.jpg</v>
      </c>
      <c r="L594" s="50"/>
      <c r="M594" s="50" t="str">
        <f>RawList!F564</f>
        <v>https://www.sparkfun.com/products/10410</v>
      </c>
    </row>
    <row r="595" spans="2:13" x14ac:dyDescent="0.3">
      <c r="B595" s="50" t="str">
        <f>RawList!A565</f>
        <v>Tools</v>
      </c>
      <c r="C595" s="50" t="str">
        <f>RawList!B565</f>
        <v>PCB/Breadboard Work Tools</v>
      </c>
      <c r="D595" s="50" t="str">
        <f>RawList!C565</f>
        <v>SparkFun</v>
      </c>
      <c r="E595" s="50" t="str">
        <f>RawList!H565</f>
        <v>SparkFun Third Hand Kit</v>
      </c>
      <c r="F595" s="50" t="str">
        <f>RawList!D565</f>
        <v>TOL-11784</v>
      </c>
      <c r="G595" s="137">
        <f>RawList!E565</f>
        <v>0</v>
      </c>
      <c r="H595" s="50" t="str">
        <f>IF(EquipmentTable[[#This Row],[Units]]&gt;0,"Quantity &gt; 0 Items","Quantity = 0 Items")</f>
        <v>Quantity = 0 Items</v>
      </c>
      <c r="I595" s="141">
        <f>RawList!J565</f>
        <v>29.95</v>
      </c>
      <c r="J595" s="24">
        <f>VALUE(EquipmentTable[[#This Row],[Units]]*EquipmentTable[[#This Row],[Unit
 Price]])</f>
        <v>0</v>
      </c>
      <c r="K595" s="50" t="str">
        <f>RawList!G565</f>
        <v>https://cdn.sparkfun.com/r/92-92/assets/parts/8/0/3/1/11784-05.jpg</v>
      </c>
      <c r="L595" s="50"/>
      <c r="M595" s="50" t="str">
        <f>RawList!F565</f>
        <v>https://www.sparkfun.com/products/11784</v>
      </c>
    </row>
    <row r="596" spans="2:13" x14ac:dyDescent="0.3">
      <c r="B596" s="50" t="str">
        <f>RawList!A566</f>
        <v>Tools</v>
      </c>
      <c r="C596" s="50" t="str">
        <f>RawList!B566</f>
        <v>PCB/Breadboard Work Tools</v>
      </c>
      <c r="D596" s="50" t="str">
        <f>RawList!C566</f>
        <v>SparkFun</v>
      </c>
      <c r="E596" s="50" t="str">
        <f>RawList!H566</f>
        <v>Third Hand</v>
      </c>
      <c r="F596" s="50" t="str">
        <f>RawList!D566</f>
        <v>TOL-09317</v>
      </c>
      <c r="G596" s="137">
        <f>RawList!E566</f>
        <v>0</v>
      </c>
      <c r="H596" s="50" t="str">
        <f>IF(EquipmentTable[[#This Row],[Units]]&gt;0,"Quantity &gt; 0 Items","Quantity = 0 Items")</f>
        <v>Quantity = 0 Items</v>
      </c>
      <c r="I596" s="141">
        <f>RawList!J566</f>
        <v>9.9499999999999993</v>
      </c>
      <c r="J596" s="24">
        <f>VALUE(EquipmentTable[[#This Row],[Units]]*EquipmentTable[[#This Row],[Unit
 Price]])</f>
        <v>0</v>
      </c>
      <c r="K596" s="50" t="str">
        <f>RawList!G566</f>
        <v>https://cdn.sparkfun.com/r/92-92/assets/parts/2/8/5/8/09317-01.jpg</v>
      </c>
      <c r="L596" s="50"/>
      <c r="M596" s="50" t="str">
        <f>RawList!F566</f>
        <v>https://www.sparkfun.com/products/9317</v>
      </c>
    </row>
    <row r="597" spans="2:13" x14ac:dyDescent="0.3">
      <c r="B597" s="50" t="str">
        <f>RawList!A567</f>
        <v>Tools</v>
      </c>
      <c r="C597" s="50" t="str">
        <f>RawList!B567</f>
        <v>PCB/Breadboard Work Tools</v>
      </c>
      <c r="D597" s="50" t="str">
        <f>RawList!C567</f>
        <v>Adafruit</v>
      </c>
      <c r="E597" s="50" t="str">
        <f>RawList!H567</f>
        <v>Third Hand Pana Hand Workstation Add-On for Panavise</v>
      </c>
      <c r="F597" s="50" t="str">
        <f>RawList!D567</f>
        <v>3019</v>
      </c>
      <c r="G597" s="137">
        <f>RawList!E567</f>
        <v>1</v>
      </c>
      <c r="H597" s="50" t="str">
        <f>IF(EquipmentTable[[#This Row],[Units]]&gt;0,"Quantity &gt; 0 Items","Quantity = 0 Items")</f>
        <v>Quantity &gt; 0 Items</v>
      </c>
      <c r="I597" s="141">
        <f>RawList!J567</f>
        <v>54.95</v>
      </c>
      <c r="J597" s="24">
        <f>VALUE(EquipmentTable[[#This Row],[Units]]*EquipmentTable[[#This Row],[Unit
 Price]])</f>
        <v>54.95</v>
      </c>
      <c r="K597" s="50">
        <f>RawList!G567</f>
        <v>0</v>
      </c>
      <c r="L597" s="50"/>
      <c r="M597" s="50">
        <f>RawList!F567</f>
        <v>0</v>
      </c>
    </row>
    <row r="598" spans="2:13" x14ac:dyDescent="0.3">
      <c r="B598" s="50" t="str">
        <f>RawList!A568</f>
        <v>Tools</v>
      </c>
      <c r="C598" s="50" t="str">
        <f>RawList!B568</f>
        <v>PCB/Breadboard Work Tools</v>
      </c>
      <c r="D598" s="50" t="str">
        <f>RawList!C568</f>
        <v>SparkFun</v>
      </c>
      <c r="E598" s="50" t="str">
        <f>RawList!H568</f>
        <v>Monocle Magnifier - Illuminated</v>
      </c>
      <c r="F598" s="50" t="str">
        <f>RawList!D568</f>
        <v>TOL-09316</v>
      </c>
      <c r="G598" s="137">
        <f>RawList!E568</f>
        <v>1</v>
      </c>
      <c r="H598" s="50" t="str">
        <f>IF(EquipmentTable[[#This Row],[Units]]&gt;0,"Quantity &gt; 0 Items","Quantity = 0 Items")</f>
        <v>Quantity &gt; 0 Items</v>
      </c>
      <c r="I598" s="141">
        <f>RawList!J568</f>
        <v>9.9499999999999993</v>
      </c>
      <c r="J598" s="24">
        <f>VALUE(EquipmentTable[[#This Row],[Units]]*EquipmentTable[[#This Row],[Unit
 Price]])</f>
        <v>9.9499999999999993</v>
      </c>
      <c r="K598" s="50" t="str">
        <f>RawList!G568</f>
        <v>https://cdn.sparkfun.com/r/92-92/assets/parts/2/8/5/7/09316-1.jpg</v>
      </c>
      <c r="L598" s="50"/>
      <c r="M598" s="50" t="str">
        <f>RawList!F568</f>
        <v>https://www.sparkfun.com/products/9316</v>
      </c>
    </row>
    <row r="599" spans="2:13" x14ac:dyDescent="0.3">
      <c r="B599" s="50" t="str">
        <f>RawList!A569</f>
        <v>Tools</v>
      </c>
      <c r="C599" s="50" t="str">
        <f>RawList!B569</f>
        <v>PCB/Breadboard Work Tools</v>
      </c>
      <c r="D599" s="50" t="str">
        <f>RawList!C569</f>
        <v>SparkFun</v>
      </c>
      <c r="E599" s="50" t="str">
        <f>RawList!H569</f>
        <v>Laser Module - Green</v>
      </c>
      <c r="F599" s="50" t="str">
        <f>RawList!D569</f>
        <v>COM-09906</v>
      </c>
      <c r="G599" s="137">
        <f>RawList!E569</f>
        <v>1</v>
      </c>
      <c r="H599" s="50" t="str">
        <f>IF(EquipmentTable[[#This Row],[Units]]&gt;0,"Quantity &gt; 0 Items","Quantity = 0 Items")</f>
        <v>Quantity &gt; 0 Items</v>
      </c>
      <c r="I599" s="141">
        <f>RawList!J569</f>
        <v>14.95</v>
      </c>
      <c r="J599" s="24">
        <f>VALUE(EquipmentTable[[#This Row],[Units]]*EquipmentTable[[#This Row],[Unit
 Price]])</f>
        <v>14.95</v>
      </c>
      <c r="K599" s="50" t="str">
        <f>RawList!G569</f>
        <v>https://cdn.sparkfun.com/r/92-92/assets/parts/4/0/0/3/09906-01a.jpg</v>
      </c>
      <c r="L599" s="50"/>
      <c r="M599" s="50" t="str">
        <f>RawList!F569</f>
        <v>https://www.sparkfun.com/products/9906</v>
      </c>
    </row>
    <row r="600" spans="2:13" x14ac:dyDescent="0.3">
      <c r="B600" s="50" t="str">
        <f>RawList!A570</f>
        <v>Tools</v>
      </c>
      <c r="C600" s="50" t="str">
        <f>RawList!B570</f>
        <v>PCB/Breadboard Work Tools</v>
      </c>
      <c r="D600" s="50" t="str">
        <f>RawList!C570</f>
        <v>SparkFun</v>
      </c>
      <c r="E600" s="50" t="str">
        <f>RawList!H570</f>
        <v>Laser Module Mount</v>
      </c>
      <c r="F600" s="50" t="str">
        <f>RawList!D570</f>
        <v>COM-08674</v>
      </c>
      <c r="G600" s="137">
        <f>RawList!E570</f>
        <v>1</v>
      </c>
      <c r="H600" s="50" t="str">
        <f>IF(EquipmentTable[[#This Row],[Units]]&gt;0,"Quantity &gt; 0 Items","Quantity = 0 Items")</f>
        <v>Quantity &gt; 0 Items</v>
      </c>
      <c r="I600" s="141">
        <f>RawList!J570</f>
        <v>0.1</v>
      </c>
      <c r="J600" s="24">
        <f>VALUE(EquipmentTable[[#This Row],[Units]]*EquipmentTable[[#This Row],[Unit
 Price]])</f>
        <v>0.1</v>
      </c>
      <c r="K600" s="50" t="str">
        <f>RawList!G570</f>
        <v>https://cdn.sparkfun.com/r/92-92/assets/parts/1/8/3/1/08674-03-L.jpg</v>
      </c>
      <c r="L600" s="50"/>
      <c r="M600" s="50" t="str">
        <f>RawList!F570</f>
        <v>https://www.sparkfun.com/products/8674</v>
      </c>
    </row>
    <row r="601" spans="2:13" x14ac:dyDescent="0.3">
      <c r="B601" s="50" t="str">
        <f>RawList!A571</f>
        <v>Tools</v>
      </c>
      <c r="C601" s="50" t="str">
        <f>RawList!B571</f>
        <v>Hand Tools</v>
      </c>
      <c r="D601" s="50" t="str">
        <f>RawList!C571</f>
        <v>SparkFun</v>
      </c>
      <c r="E601" s="50" t="str">
        <f>RawList!H571</f>
        <v>Multimeter Probes - Needle Tipped</v>
      </c>
      <c r="F601" s="50" t="str">
        <f>RawList!D571</f>
        <v>TOL-12078</v>
      </c>
      <c r="G601" s="137">
        <f>RawList!E571</f>
        <v>1</v>
      </c>
      <c r="H601" s="50" t="str">
        <f>IF(EquipmentTable[[#This Row],[Units]]&gt;0,"Quantity &gt; 0 Items","Quantity = 0 Items")</f>
        <v>Quantity &gt; 0 Items</v>
      </c>
      <c r="I601" s="141">
        <f>RawList!J571</f>
        <v>4.95</v>
      </c>
      <c r="J601" s="24">
        <f>VALUE(EquipmentTable[[#This Row],[Units]]*EquipmentTable[[#This Row],[Unit
 Price]])</f>
        <v>4.95</v>
      </c>
      <c r="K601" s="50" t="str">
        <f>RawList!G571</f>
        <v>https://cdn.sparkfun.com/r/92-92/assets/parts/8/6/9/5/12078-01.jpg</v>
      </c>
      <c r="L601" s="50"/>
      <c r="M601" s="50" t="str">
        <f>RawList!F571</f>
        <v>https://www.sparkfun.com/products/12078</v>
      </c>
    </row>
    <row r="602" spans="2:13" x14ac:dyDescent="0.3">
      <c r="B602" s="50" t="str">
        <f>RawList!A572</f>
        <v>Tools</v>
      </c>
      <c r="C602" s="50" t="str">
        <f>RawList!B572</f>
        <v>Hand Tools</v>
      </c>
      <c r="D602" s="50" t="str">
        <f>RawList!C572</f>
        <v>SparkFun</v>
      </c>
      <c r="E602" s="50" t="str">
        <f>RawList!H572</f>
        <v>Multimeter Probes - Tweezers</v>
      </c>
      <c r="F602" s="50" t="str">
        <f>RawList!D572</f>
        <v>TOL-11060</v>
      </c>
      <c r="G602" s="137">
        <f>RawList!E572</f>
        <v>1</v>
      </c>
      <c r="H602" s="50" t="str">
        <f>IF(EquipmentTable[[#This Row],[Units]]&gt;0,"Quantity &gt; 0 Items","Quantity = 0 Items")</f>
        <v>Quantity &gt; 0 Items</v>
      </c>
      <c r="I602" s="141">
        <f>RawList!J572</f>
        <v>4.95</v>
      </c>
      <c r="J602" s="24">
        <f>VALUE(EquipmentTable[[#This Row],[Units]]*EquipmentTable[[#This Row],[Unit
 Price]])</f>
        <v>4.95</v>
      </c>
      <c r="K602" s="50" t="str">
        <f>RawList!G572</f>
        <v>https://cdn.sparkfun.com/r/92-92/assets/parts/6/4/3/2/11060-01.jpg</v>
      </c>
      <c r="L602" s="50"/>
      <c r="M602" s="50" t="str">
        <f>RawList!F572</f>
        <v>https://www.sparkfun.com/products/11060</v>
      </c>
    </row>
    <row r="603" spans="2:13" x14ac:dyDescent="0.3">
      <c r="B603" s="50" t="str">
        <f>RawList!A573</f>
        <v>Tools</v>
      </c>
      <c r="C603" s="50" t="str">
        <f>RawList!B573</f>
        <v>Hand Tools</v>
      </c>
      <c r="D603" s="50" t="str">
        <f>RawList!C573</f>
        <v>SparkFun</v>
      </c>
      <c r="E603" s="50" t="str">
        <f>RawList!H573</f>
        <v>Tweezers - Straight (cross-lock, ESD Safe)</v>
      </c>
      <c r="F603" s="50" t="str">
        <f>RawList!D573</f>
        <v>TOL-12573</v>
      </c>
      <c r="G603" s="137">
        <f>RawList!E573</f>
        <v>1</v>
      </c>
      <c r="H603" s="50" t="str">
        <f>IF(EquipmentTable[[#This Row],[Units]]&gt;0,"Quantity &gt; 0 Items","Quantity = 0 Items")</f>
        <v>Quantity &gt; 0 Items</v>
      </c>
      <c r="I603" s="141">
        <f>RawList!J573</f>
        <v>3.95</v>
      </c>
      <c r="J603" s="24">
        <f>VALUE(EquipmentTable[[#This Row],[Units]]*EquipmentTable[[#This Row],[Unit
 Price]])</f>
        <v>3.95</v>
      </c>
      <c r="K603" s="50" t="str">
        <f>RawList!G573</f>
        <v>https://cdn.sparkfun.com/r/92-92/assets/parts/9/2/2/3/12573-02.jpg</v>
      </c>
      <c r="L603" s="50"/>
      <c r="M603" s="50" t="str">
        <f>RawList!F573</f>
        <v>https://www.sparkfun.com/products/12573</v>
      </c>
    </row>
    <row r="604" spans="2:13" x14ac:dyDescent="0.3">
      <c r="B604" s="50" t="str">
        <f>RawList!A574</f>
        <v>Tools</v>
      </c>
      <c r="C604" s="50" t="str">
        <f>RawList!B574</f>
        <v>Hand Tools</v>
      </c>
      <c r="D604" s="50" t="str">
        <f>RawList!C574</f>
        <v>SparkFun</v>
      </c>
      <c r="E604" s="50" t="str">
        <f>RawList!H574</f>
        <v>Tweezers - Curved (ESD Safe)</v>
      </c>
      <c r="F604" s="50" t="str">
        <f>RawList!D574</f>
        <v>TOL-10602</v>
      </c>
      <c r="G604" s="137">
        <f>RawList!E574</f>
        <v>1</v>
      </c>
      <c r="H604" s="50" t="str">
        <f>IF(EquipmentTable[[#This Row],[Units]]&gt;0,"Quantity &gt; 0 Items","Quantity = 0 Items")</f>
        <v>Quantity &gt; 0 Items</v>
      </c>
      <c r="I604" s="141">
        <f>RawList!J574</f>
        <v>3.95</v>
      </c>
      <c r="J604" s="24">
        <f>VALUE(EquipmentTable[[#This Row],[Units]]*EquipmentTable[[#This Row],[Unit
 Price]])</f>
        <v>3.95</v>
      </c>
      <c r="K604" s="50" t="str">
        <f>RawList!G574</f>
        <v>https://cdn.sparkfun.com/r/92-92/assets/parts/5/2/4/5/10602-01.jpg</v>
      </c>
      <c r="L604" s="50"/>
      <c r="M604" s="50" t="str">
        <f>RawList!F574</f>
        <v>https://www.sparkfun.com/products/10602</v>
      </c>
    </row>
    <row r="605" spans="2:13" x14ac:dyDescent="0.3">
      <c r="B605" s="50" t="str">
        <f>RawList!A575</f>
        <v>Tools</v>
      </c>
      <c r="C605" s="50" t="str">
        <f>RawList!B575</f>
        <v>Hand Tools</v>
      </c>
      <c r="D605" s="50" t="str">
        <f>RawList!C575</f>
        <v>SparkFun</v>
      </c>
      <c r="E605" s="50" t="str">
        <f>RawList!H575</f>
        <v>Tweezers - Curved (cross-lock, ESD Safe)</v>
      </c>
      <c r="F605" s="50" t="str">
        <f>RawList!D575</f>
        <v>TOL-12572</v>
      </c>
      <c r="G605" s="137">
        <f>RawList!E575</f>
        <v>1</v>
      </c>
      <c r="H605" s="50" t="str">
        <f>IF(EquipmentTable[[#This Row],[Units]]&gt;0,"Quantity &gt; 0 Items","Quantity = 0 Items")</f>
        <v>Quantity &gt; 0 Items</v>
      </c>
      <c r="I605" s="141">
        <f>RawList!J575</f>
        <v>3.95</v>
      </c>
      <c r="J605" s="24">
        <f>VALUE(EquipmentTable[[#This Row],[Units]]*EquipmentTable[[#This Row],[Unit
 Price]])</f>
        <v>3.95</v>
      </c>
      <c r="K605" s="50" t="str">
        <f>RawList!G575</f>
        <v>https://cdn.sparkfun.com/r/92-92/assets/parts/9/2/2/2/12572-01.jpg</v>
      </c>
      <c r="L605" s="50"/>
      <c r="M605" s="50" t="str">
        <f>RawList!F575</f>
        <v>https://www.sparkfun.com/products/12572</v>
      </c>
    </row>
    <row r="606" spans="2:13" x14ac:dyDescent="0.3">
      <c r="B606" s="50" t="str">
        <f>RawList!A576</f>
        <v>Tools</v>
      </c>
      <c r="C606" s="50" t="str">
        <f>RawList!B576</f>
        <v>Hand Tools</v>
      </c>
      <c r="D606" s="50" t="str">
        <f>RawList!C576</f>
        <v>SparkFun</v>
      </c>
      <c r="E606" s="50" t="str">
        <f>RawList!H576</f>
        <v>Needle Nose Pliers</v>
      </c>
      <c r="F606" s="50" t="str">
        <f>RawList!D576</f>
        <v>TOL-08793</v>
      </c>
      <c r="G606" s="137">
        <f>RawList!E576</f>
        <v>0</v>
      </c>
      <c r="H606" s="50" t="str">
        <f>IF(EquipmentTable[[#This Row],[Units]]&gt;0,"Quantity &gt; 0 Items","Quantity = 0 Items")</f>
        <v>Quantity = 0 Items</v>
      </c>
      <c r="I606" s="141">
        <f>RawList!J576</f>
        <v>1.95</v>
      </c>
      <c r="J606" s="24">
        <f>VALUE(EquipmentTable[[#This Row],[Units]]*EquipmentTable[[#This Row],[Unit
 Price]])</f>
        <v>0</v>
      </c>
      <c r="K606" s="50" t="str">
        <f>RawList!G576</f>
        <v>https://cdn.sparkfun.com/r/92-92/assets/parts/2/0/3/3/08793-03-L.jpg</v>
      </c>
      <c r="L606" s="50"/>
      <c r="M606" s="50" t="str">
        <f>RawList!F576</f>
        <v>https://www.sparkfun.com/products/8793</v>
      </c>
    </row>
    <row r="607" spans="2:13" x14ac:dyDescent="0.3">
      <c r="B607" s="50" t="str">
        <f>RawList!A577</f>
        <v>Tools</v>
      </c>
      <c r="C607" s="50" t="str">
        <f>RawList!B577</f>
        <v>Hand Tools</v>
      </c>
      <c r="D607" s="50" t="str">
        <f>RawList!C577</f>
        <v>Adafruit</v>
      </c>
      <c r="E607" s="50" t="str">
        <f>RawList!H577</f>
        <v>Hakko Precision Flat Pliers</v>
      </c>
      <c r="F607" s="50" t="str">
        <f>RawList!D577</f>
        <v>1368</v>
      </c>
      <c r="G607" s="137">
        <f>RawList!E577</f>
        <v>0</v>
      </c>
      <c r="H607" s="50" t="str">
        <f>IF(EquipmentTable[[#This Row],[Units]]&gt;0,"Quantity &gt; 0 Items","Quantity = 0 Items")</f>
        <v>Quantity = 0 Items</v>
      </c>
      <c r="I607" s="141">
        <f>RawList!J577</f>
        <v>11.95</v>
      </c>
      <c r="J607" s="24">
        <f>VALUE(EquipmentTable[[#This Row],[Units]]*EquipmentTable[[#This Row],[Unit
 Price]])</f>
        <v>0</v>
      </c>
      <c r="K607" s="50">
        <f>RawList!G577</f>
        <v>0</v>
      </c>
      <c r="L607" s="50"/>
      <c r="M607" s="50">
        <f>RawList!F577</f>
        <v>0</v>
      </c>
    </row>
    <row r="608" spans="2:13" x14ac:dyDescent="0.3">
      <c r="B608" s="50" t="str">
        <f>RawList!A578</f>
        <v>Tools</v>
      </c>
      <c r="C608" s="50" t="str">
        <f>RawList!B578</f>
        <v>Hand Tools</v>
      </c>
      <c r="D608" s="50" t="str">
        <f>RawList!C578</f>
        <v>Adafruit</v>
      </c>
      <c r="E608" s="50" t="str">
        <f>RawList!H578</f>
        <v>Professional IC Extraction Tool</v>
      </c>
      <c r="F608" s="50" t="str">
        <f>RawList!D578</f>
        <v>1598</v>
      </c>
      <c r="G608" s="137">
        <f>RawList!E578</f>
        <v>0</v>
      </c>
      <c r="H608" s="50" t="str">
        <f>IF(EquipmentTable[[#This Row],[Units]]&gt;0,"Quantity &gt; 0 Items","Quantity = 0 Items")</f>
        <v>Quantity = 0 Items</v>
      </c>
      <c r="I608" s="141">
        <f>RawList!J578</f>
        <v>14.95</v>
      </c>
      <c r="J608" s="24">
        <f>VALUE(EquipmentTable[[#This Row],[Units]]*EquipmentTable[[#This Row],[Unit
 Price]])</f>
        <v>0</v>
      </c>
      <c r="K608" s="50">
        <f>RawList!G578</f>
        <v>0</v>
      </c>
      <c r="L608" s="50"/>
      <c r="M608" s="50">
        <f>RawList!F578</f>
        <v>0</v>
      </c>
    </row>
    <row r="609" spans="2:13" x14ac:dyDescent="0.3">
      <c r="B609" s="50" t="str">
        <f>RawList!A579</f>
        <v>Tools</v>
      </c>
      <c r="C609" s="50" t="str">
        <f>RawList!B579</f>
        <v>Hand Tools</v>
      </c>
      <c r="D609" s="50" t="str">
        <f>RawList!C579</f>
        <v>SparkFun</v>
      </c>
      <c r="E609" s="50" t="str">
        <f>RawList!H579</f>
        <v>Wire Strippers - 30AWG (Hakko)</v>
      </c>
      <c r="F609" s="50" t="str">
        <f>RawList!D579</f>
        <v>TOL-12630</v>
      </c>
      <c r="G609" s="137">
        <f>RawList!E579</f>
        <v>0</v>
      </c>
      <c r="H609" s="50" t="str">
        <f>IF(EquipmentTable[[#This Row],[Units]]&gt;0,"Quantity &gt; 0 Items","Quantity = 0 Items")</f>
        <v>Quantity = 0 Items</v>
      </c>
      <c r="I609" s="141">
        <f>RawList!J579</f>
        <v>9.9499999999999993</v>
      </c>
      <c r="J609" s="24">
        <f>VALUE(EquipmentTable[[#This Row],[Units]]*EquipmentTable[[#This Row],[Unit
 Price]])</f>
        <v>0</v>
      </c>
      <c r="K609" s="50" t="str">
        <f>RawList!G579</f>
        <v>https://cdn.sparkfun.com/r/92-92/assets/parts/9/3/1/2/12630-01.jpg</v>
      </c>
      <c r="L609" s="50"/>
      <c r="M609" s="50" t="str">
        <f>RawList!F579</f>
        <v>https://www.sparkfun.com/products/12630</v>
      </c>
    </row>
    <row r="610" spans="2:13" x14ac:dyDescent="0.3">
      <c r="B610" s="50" t="str">
        <f>RawList!A580</f>
        <v>Tools</v>
      </c>
      <c r="C610" s="50" t="str">
        <f>RawList!B580</f>
        <v>Hand Tools</v>
      </c>
      <c r="D610" s="50" t="str">
        <f>RawList!C580</f>
        <v>Adafruit</v>
      </c>
      <c r="E610" s="50" t="str">
        <f>RawList!H580</f>
        <v>Hakko Professsional Quality 20-30 AWG Wire Strippers - CSP-30-1</v>
      </c>
      <c r="F610" s="50" t="str">
        <f>RawList!D580</f>
        <v>527</v>
      </c>
      <c r="G610" s="137">
        <f>RawList!E580</f>
        <v>0</v>
      </c>
      <c r="H610" s="50" t="str">
        <f>IF(EquipmentTable[[#This Row],[Units]]&gt;0,"Quantity &gt; 0 Items","Quantity = 0 Items")</f>
        <v>Quantity = 0 Items</v>
      </c>
      <c r="I610" s="141">
        <f>RawList!J580</f>
        <v>14.95</v>
      </c>
      <c r="J610" s="24">
        <f>VALUE(EquipmentTable[[#This Row],[Units]]*EquipmentTable[[#This Row],[Unit
 Price]])</f>
        <v>0</v>
      </c>
      <c r="K610" s="50">
        <f>RawList!G580</f>
        <v>0</v>
      </c>
      <c r="L610" s="50"/>
      <c r="M610" s="50">
        <f>RawList!F580</f>
        <v>0</v>
      </c>
    </row>
    <row r="611" spans="2:13" x14ac:dyDescent="0.3">
      <c r="B611" s="50" t="str">
        <f>RawList!A581</f>
        <v>Tools</v>
      </c>
      <c r="C611" s="50" t="str">
        <f>RawList!B581</f>
        <v>Hand Tools</v>
      </c>
      <c r="D611" s="50" t="str">
        <f>RawList!C581</f>
        <v>SparkFun</v>
      </c>
      <c r="E611" s="50" t="str">
        <f>RawList!H581</f>
        <v>Diagonal Cutters</v>
      </c>
      <c r="F611" s="50" t="str">
        <f>RawList!D581</f>
        <v>TOL-08794</v>
      </c>
      <c r="G611" s="137">
        <f>RawList!E581</f>
        <v>0</v>
      </c>
      <c r="H611" s="50" t="str">
        <f>IF(EquipmentTable[[#This Row],[Units]]&gt;0,"Quantity &gt; 0 Items","Quantity = 0 Items")</f>
        <v>Quantity = 0 Items</v>
      </c>
      <c r="I611" s="141">
        <f>RawList!J581</f>
        <v>1.95</v>
      </c>
      <c r="J611" s="24">
        <f>VALUE(EquipmentTable[[#This Row],[Units]]*EquipmentTable[[#This Row],[Unit
 Price]])</f>
        <v>0</v>
      </c>
      <c r="K611" s="50" t="str">
        <f>RawList!G581</f>
        <v>https://cdn.sparkfun.com/r/92-92/assets/parts/2/0/3/4/08794-03-L.jpg</v>
      </c>
      <c r="L611" s="50"/>
      <c r="M611" s="50" t="str">
        <f>RawList!F581</f>
        <v>https://www.sparkfun.com/products/8794</v>
      </c>
    </row>
    <row r="612" spans="2:13" x14ac:dyDescent="0.3">
      <c r="B612" s="50" t="str">
        <f>RawList!A582</f>
        <v>Tools</v>
      </c>
      <c r="C612" s="50" t="str">
        <f>RawList!B582</f>
        <v>Hand Tools</v>
      </c>
      <c r="D612" s="50" t="str">
        <f>RawList!C582</f>
        <v>SparkFun</v>
      </c>
      <c r="E612" s="50" t="str">
        <f>RawList!H582</f>
        <v>Flush Cutters - Hakko</v>
      </c>
      <c r="F612" s="50" t="str">
        <f>RawList!D582</f>
        <v>TOL-11952</v>
      </c>
      <c r="G612" s="137">
        <f>RawList!E582</f>
        <v>0</v>
      </c>
      <c r="H612" s="50" t="str">
        <f>IF(EquipmentTable[[#This Row],[Units]]&gt;0,"Quantity &gt; 0 Items","Quantity = 0 Items")</f>
        <v>Quantity = 0 Items</v>
      </c>
      <c r="I612" s="141">
        <f>RawList!J582</f>
        <v>6.95</v>
      </c>
      <c r="J612" s="24">
        <f>VALUE(EquipmentTable[[#This Row],[Units]]*EquipmentTable[[#This Row],[Unit
 Price]])</f>
        <v>0</v>
      </c>
      <c r="K612" s="50" t="str">
        <f>RawList!G582</f>
        <v>https://cdn.sparkfun.com/r/92-92/assets/parts/8/4/2/2/11952-01.jpg</v>
      </c>
      <c r="L612" s="50"/>
      <c r="M612" s="50" t="str">
        <f>RawList!F582</f>
        <v>https://www.sparkfun.com/products/11952</v>
      </c>
    </row>
    <row r="613" spans="2:13" x14ac:dyDescent="0.3">
      <c r="B613" s="50" t="str">
        <f>RawList!A583</f>
        <v>Tools</v>
      </c>
      <c r="C613" s="50" t="str">
        <f>RawList!B583</f>
        <v>Hand Tools</v>
      </c>
      <c r="D613" s="50" t="str">
        <f>RawList!C583</f>
        <v>SparkFun</v>
      </c>
      <c r="E613" s="50" t="str">
        <f>RawList!H583</f>
        <v>Hobby Knife</v>
      </c>
      <c r="F613" s="50" t="str">
        <f>RawList!D583</f>
        <v>TOL-09200</v>
      </c>
      <c r="G613" s="137">
        <f>RawList!E583</f>
        <v>0</v>
      </c>
      <c r="H613" s="50" t="str">
        <f>IF(EquipmentTable[[#This Row],[Units]]&gt;0,"Quantity &gt; 0 Items","Quantity = 0 Items")</f>
        <v>Quantity = 0 Items</v>
      </c>
      <c r="I613" s="141">
        <f>RawList!J583</f>
        <v>2.95</v>
      </c>
      <c r="J613" s="24">
        <f>VALUE(EquipmentTable[[#This Row],[Units]]*EquipmentTable[[#This Row],[Unit
 Price]])</f>
        <v>0</v>
      </c>
      <c r="K613" s="50" t="str">
        <f>RawList!G583</f>
        <v>https://cdn.sparkfun.com/r/92-92/assets/parts/2/6/4/6/09200-03.jpg</v>
      </c>
      <c r="L613" s="50"/>
      <c r="M613" s="50" t="str">
        <f>RawList!F583</f>
        <v>https://www.sparkfun.com/products/9200</v>
      </c>
    </row>
    <row r="614" spans="2:13" x14ac:dyDescent="0.3">
      <c r="B614" s="50" t="str">
        <f>RawList!A584</f>
        <v>Tools</v>
      </c>
      <c r="C614" s="50" t="str">
        <f>RawList!B584</f>
        <v>Hand Tools</v>
      </c>
      <c r="D614" s="50" t="str">
        <f>RawList!C584</f>
        <v>SparkFun</v>
      </c>
      <c r="E614" s="50" t="str">
        <f>RawList!H584</f>
        <v>Hobby Knife Replacement Blades</v>
      </c>
      <c r="F614" s="50" t="str">
        <f>RawList!D584</f>
        <v>TOL-10325</v>
      </c>
      <c r="G614" s="137">
        <f>RawList!E584</f>
        <v>0</v>
      </c>
      <c r="H614" s="50" t="str">
        <f>IF(EquipmentTable[[#This Row],[Units]]&gt;0,"Quantity &gt; 0 Items","Quantity = 0 Items")</f>
        <v>Quantity = 0 Items</v>
      </c>
      <c r="I614" s="141">
        <f>RawList!J584</f>
        <v>1.95</v>
      </c>
      <c r="J614" s="24">
        <f>VALUE(EquipmentTable[[#This Row],[Units]]*EquipmentTable[[#This Row],[Unit
 Price]])</f>
        <v>0</v>
      </c>
      <c r="K614" s="50" t="str">
        <f>RawList!G584</f>
        <v>https://cdn.sparkfun.com/r/92-92/assets/parts/4/7/3/3/10325-02.jpg</v>
      </c>
      <c r="L614" s="50"/>
      <c r="M614" s="50" t="str">
        <f>RawList!F584</f>
        <v>https://www.sparkfun.com/products/10325</v>
      </c>
    </row>
    <row r="615" spans="2:13" x14ac:dyDescent="0.3">
      <c r="B615" s="50" t="str">
        <f>RawList!A585</f>
        <v>Tools</v>
      </c>
      <c r="C615" s="50" t="str">
        <f>RawList!B585</f>
        <v>Hand Tools</v>
      </c>
      <c r="D615" s="50" t="str">
        <f>RawList!C585</f>
        <v>SparkFun</v>
      </c>
      <c r="E615" s="50" t="str">
        <f>RawList!H585</f>
        <v>Resistor Lead Bending Tool</v>
      </c>
      <c r="F615" s="50" t="str">
        <f>RawList!D585</f>
        <v>TOL-13114</v>
      </c>
      <c r="G615" s="137">
        <f>RawList!E585</f>
        <v>1</v>
      </c>
      <c r="H615" s="50" t="str">
        <f>IF(EquipmentTable[[#This Row],[Units]]&gt;0,"Quantity &gt; 0 Items","Quantity = 0 Items")</f>
        <v>Quantity &gt; 0 Items</v>
      </c>
      <c r="I615" s="141">
        <f>RawList!J585</f>
        <v>4.8</v>
      </c>
      <c r="J615" s="24">
        <f>VALUE(EquipmentTable[[#This Row],[Units]]*EquipmentTable[[#This Row],[Unit
 Price]])</f>
        <v>4.8</v>
      </c>
      <c r="K615" s="50" t="str">
        <f>RawList!G585</f>
        <v>https://cdn.sparkfun.com/r/92-92/assets/parts/1/0/1/6/6/13114-01.jpg</v>
      </c>
      <c r="L615" s="50"/>
      <c r="M615" s="50" t="str">
        <f>RawList!F585</f>
        <v>https://www.sparkfun.com/products/13114</v>
      </c>
    </row>
    <row r="616" spans="2:13" x14ac:dyDescent="0.3">
      <c r="B616" s="50" t="str">
        <f>RawList!A586</f>
        <v>Tools</v>
      </c>
      <c r="C616" s="50" t="str">
        <f>RawList!B586</f>
        <v>Storage/Organization</v>
      </c>
      <c r="D616" s="50" t="str">
        <f>RawList!C586</f>
        <v>SparkFun</v>
      </c>
      <c r="E616" s="50" t="str">
        <f>RawList!H586</f>
        <v>Modular Plastic Storage Box - Medium (4 pack)</v>
      </c>
      <c r="F616" s="50" t="str">
        <f>RawList!D586</f>
        <v>TOL-11528</v>
      </c>
      <c r="G616" s="137">
        <f>RawList!E586</f>
        <v>0</v>
      </c>
      <c r="H616" s="50" t="str">
        <f>IF(EquipmentTable[[#This Row],[Units]]&gt;0,"Quantity &gt; 0 Items","Quantity = 0 Items")</f>
        <v>Quantity = 0 Items</v>
      </c>
      <c r="I616" s="141">
        <f>RawList!J586</f>
        <v>3.95</v>
      </c>
      <c r="J616" s="24">
        <f>VALUE(EquipmentTable[[#This Row],[Units]]*EquipmentTable[[#This Row],[Unit
 Price]])</f>
        <v>0</v>
      </c>
      <c r="K616" s="50" t="str">
        <f>RawList!G586</f>
        <v>https://cdn.sparkfun.com/r/92-92/assets/parts/7/4/5/3/11528-01.jpg</v>
      </c>
      <c r="L616" s="50"/>
      <c r="M616" s="50" t="str">
        <f>RawList!F586</f>
        <v>https://www.sparkfun.com/products/11528</v>
      </c>
    </row>
    <row r="617" spans="2:13" x14ac:dyDescent="0.3">
      <c r="B617" s="50" t="str">
        <f>RawList!A587</f>
        <v>Tools</v>
      </c>
      <c r="C617" s="50" t="str">
        <f>RawList!B587</f>
        <v>Storage/Organization</v>
      </c>
      <c r="D617" s="50" t="str">
        <f>RawList!C587</f>
        <v>SparkFun</v>
      </c>
      <c r="E617" s="50" t="str">
        <f>RawList!H587</f>
        <v>Modular Plastic Storage Box - Small (10 pack)</v>
      </c>
      <c r="F617" s="50" t="str">
        <f>RawList!D587</f>
        <v>TOL-11527</v>
      </c>
      <c r="G617" s="137">
        <f>RawList!E587</f>
        <v>0</v>
      </c>
      <c r="H617" s="50" t="str">
        <f>IF(EquipmentTable[[#This Row],[Units]]&gt;0,"Quantity &gt; 0 Items","Quantity = 0 Items")</f>
        <v>Quantity = 0 Items</v>
      </c>
      <c r="I617" s="141">
        <f>RawList!J587</f>
        <v>3.95</v>
      </c>
      <c r="J617" s="24">
        <f>VALUE(EquipmentTable[[#This Row],[Units]]*EquipmentTable[[#This Row],[Unit
 Price]])</f>
        <v>0</v>
      </c>
      <c r="K617" s="50" t="str">
        <f>RawList!G587</f>
        <v>https://cdn.sparkfun.com/r/92-92/assets/parts/7/4/5/2/11527-01.jpg</v>
      </c>
      <c r="L617" s="50"/>
      <c r="M617" s="50" t="str">
        <f>RawList!F587</f>
        <v>https://www.sparkfun.com/products/11527</v>
      </c>
    </row>
    <row r="618" spans="2:13" x14ac:dyDescent="0.3">
      <c r="B618" s="50" t="str">
        <f>RawList!A588</f>
        <v>Tools</v>
      </c>
      <c r="C618" s="50" t="str">
        <f>RawList!B588</f>
        <v>Storage/Organization</v>
      </c>
      <c r="D618" s="50" t="str">
        <f>RawList!C588</f>
        <v>Adafruit</v>
      </c>
      <c r="E618" s="50" t="str">
        <f>RawList!H588</f>
        <v>Latching 5-Compartment Storage Box</v>
      </c>
      <c r="F618" s="50" t="str">
        <f>RawList!D588</f>
        <v>2938</v>
      </c>
      <c r="G618" s="137">
        <f>RawList!E588</f>
        <v>0</v>
      </c>
      <c r="H618" s="50" t="str">
        <f>IF(EquipmentTable[[#This Row],[Units]]&gt;0,"Quantity &gt; 0 Items","Quantity = 0 Items")</f>
        <v>Quantity = 0 Items</v>
      </c>
      <c r="I618" s="141">
        <f>RawList!J588</f>
        <v>2.5</v>
      </c>
      <c r="J618" s="24">
        <f>VALUE(EquipmentTable[[#This Row],[Units]]*EquipmentTable[[#This Row],[Unit
 Price]])</f>
        <v>0</v>
      </c>
      <c r="K618" s="50">
        <f>RawList!G588</f>
        <v>0</v>
      </c>
      <c r="L618" s="50"/>
      <c r="M618" s="50">
        <f>RawList!F588</f>
        <v>0</v>
      </c>
    </row>
    <row r="619" spans="2:13" x14ac:dyDescent="0.3">
      <c r="B619" s="50" t="str">
        <f>RawList!A589</f>
        <v>Tools</v>
      </c>
      <c r="C619" s="50" t="str">
        <f>RawList!B589</f>
        <v>Storage/Organization</v>
      </c>
      <c r="D619" s="50" t="str">
        <f>RawList!C589</f>
        <v>Adafruit</v>
      </c>
      <c r="E619" s="50" t="str">
        <f>RawList!H589</f>
        <v>Medium Modular Snap Boxes - SMD component storage - 2 pack - Pink</v>
      </c>
      <c r="F619" s="50" t="str">
        <f>RawList!D589</f>
        <v>433</v>
      </c>
      <c r="G619" s="137">
        <f>RawList!E589</f>
        <v>1</v>
      </c>
      <c r="H619" s="50" t="str">
        <f>IF(EquipmentTable[[#This Row],[Units]]&gt;0,"Quantity &gt; 0 Items","Quantity = 0 Items")</f>
        <v>Quantity &gt; 0 Items</v>
      </c>
      <c r="I619" s="141">
        <f>RawList!J589</f>
        <v>2.95</v>
      </c>
      <c r="J619" s="24">
        <f>VALUE(EquipmentTable[[#This Row],[Units]]*EquipmentTable[[#This Row],[Unit
 Price]])</f>
        <v>2.95</v>
      </c>
      <c r="K619" s="50">
        <f>RawList!G589</f>
        <v>0</v>
      </c>
      <c r="L619" s="50"/>
      <c r="M619" s="50">
        <f>RawList!F589</f>
        <v>0</v>
      </c>
    </row>
    <row r="620" spans="2:13" x14ac:dyDescent="0.3">
      <c r="B620" s="50" t="str">
        <f>RawList!A590</f>
        <v>Tools</v>
      </c>
      <c r="C620" s="50" t="str">
        <f>RawList!B590</f>
        <v>Storage/Organization</v>
      </c>
      <c r="D620" s="50" t="str">
        <f>RawList!C590</f>
        <v>Adafruit</v>
      </c>
      <c r="E620" s="50" t="str">
        <f>RawList!H590</f>
        <v>Small Modular Snap Boxes - SMD component storage - 3 pack - Green</v>
      </c>
      <c r="F620" s="50" t="str">
        <f>RawList!D590</f>
        <v>432</v>
      </c>
      <c r="G620" s="137">
        <f>RawList!E590</f>
        <v>1</v>
      </c>
      <c r="H620" s="50" t="str">
        <f>IF(EquipmentTable[[#This Row],[Units]]&gt;0,"Quantity &gt; 0 Items","Quantity = 0 Items")</f>
        <v>Quantity &gt; 0 Items</v>
      </c>
      <c r="I620" s="141">
        <f>RawList!J590</f>
        <v>2.95</v>
      </c>
      <c r="J620" s="24">
        <f>VALUE(EquipmentTable[[#This Row],[Units]]*EquipmentTable[[#This Row],[Unit
 Price]])</f>
        <v>2.95</v>
      </c>
      <c r="K620" s="50">
        <f>RawList!G590</f>
        <v>0</v>
      </c>
      <c r="L620" s="50"/>
      <c r="M620" s="50">
        <f>RawList!F590</f>
        <v>0</v>
      </c>
    </row>
    <row r="621" spans="2:13" x14ac:dyDescent="0.3">
      <c r="B621" s="50" t="str">
        <f>RawList!A591</f>
        <v>Tools</v>
      </c>
      <c r="C621" s="50" t="str">
        <f>RawList!B591</f>
        <v>Storage/Organization</v>
      </c>
      <c r="D621" s="50" t="str">
        <f>RawList!C591</f>
        <v>Adafruit</v>
      </c>
      <c r="E621" s="50" t="str">
        <f>RawList!H591</f>
        <v>Tiny Modular Snap Boxes - SMD component storage - 10 pack - Blue</v>
      </c>
      <c r="F621" s="50" t="str">
        <f>RawList!D591</f>
        <v>427</v>
      </c>
      <c r="G621" s="137">
        <f>RawList!E591</f>
        <v>1</v>
      </c>
      <c r="H621" s="50" t="str">
        <f>IF(EquipmentTable[[#This Row],[Units]]&gt;0,"Quantity &gt; 0 Items","Quantity = 0 Items")</f>
        <v>Quantity &gt; 0 Items</v>
      </c>
      <c r="I621" s="141">
        <f>RawList!J591</f>
        <v>3.95</v>
      </c>
      <c r="J621" s="24">
        <f>VALUE(EquipmentTable[[#This Row],[Units]]*EquipmentTable[[#This Row],[Unit
 Price]])</f>
        <v>3.95</v>
      </c>
      <c r="K621" s="50">
        <f>RawList!G591</f>
        <v>0</v>
      </c>
      <c r="L621" s="50"/>
      <c r="M621" s="50">
        <f>RawList!F591</f>
        <v>0</v>
      </c>
    </row>
    <row r="622" spans="2:13" x14ac:dyDescent="0.3">
      <c r="B622" s="50" t="str">
        <f>RawList!A592</f>
        <v>Tools</v>
      </c>
      <c r="C622" s="50" t="str">
        <f>RawList!B592</f>
        <v>Storage/Organization</v>
      </c>
      <c r="D622" s="50" t="str">
        <f>RawList!C592</f>
        <v>Adafruit</v>
      </c>
      <c r="E622" s="50" t="str">
        <f>RawList!H592</f>
        <v>Tiny Modular Snap Boxes - SMD component storage - 10 pack - White</v>
      </c>
      <c r="F622" s="50" t="str">
        <f>RawList!D592</f>
        <v>431</v>
      </c>
      <c r="G622" s="137">
        <f>RawList!E592</f>
        <v>1</v>
      </c>
      <c r="H622" s="50" t="str">
        <f>IF(EquipmentTable[[#This Row],[Units]]&gt;0,"Quantity &gt; 0 Items","Quantity = 0 Items")</f>
        <v>Quantity &gt; 0 Items</v>
      </c>
      <c r="I622" s="141">
        <f>RawList!J592</f>
        <v>3.95</v>
      </c>
      <c r="J622" s="24">
        <f>VALUE(EquipmentTable[[#This Row],[Units]]*EquipmentTable[[#This Row],[Unit
 Price]])</f>
        <v>3.95</v>
      </c>
      <c r="K622" s="50">
        <f>RawList!G592</f>
        <v>0</v>
      </c>
      <c r="L622" s="50"/>
      <c r="M622" s="50">
        <f>RawList!F592</f>
        <v>0</v>
      </c>
    </row>
    <row r="623" spans="2:13" ht="43.2" x14ac:dyDescent="0.3">
      <c r="B623" s="61" t="s">
        <v>0</v>
      </c>
      <c r="C623" s="50">
        <f>SUBTOTAL(103,RawListTable[Category])</f>
        <v>278</v>
      </c>
      <c r="D623" s="50"/>
      <c r="E623" s="50"/>
      <c r="F623" s="60" t="str">
        <f>"TOTAL ITEMS: "&amp;SUBTOTAL(103,EquipmentTable[Item SKU])</f>
        <v>TOTAL ITEMS: 451</v>
      </c>
      <c r="G623" s="60" t="str">
        <f>"TOTAL UNITS: "&amp;SUBTOTAL(109,EquipmentTable[Units])</f>
        <v>TOTAL UNITS: 914</v>
      </c>
      <c r="H623" s="60"/>
      <c r="I623" s="57">
        <f>SUBTOTAL(101,EquipmentTable[Unit
 Price])</f>
        <v>5.4695787139689571</v>
      </c>
      <c r="J623" s="57">
        <f>SUBTOTAL(109,EquipmentTable[Price])</f>
        <v>4345.7699999999904</v>
      </c>
      <c r="K623" s="50"/>
      <c r="L623" s="50"/>
      <c r="M623" s="50"/>
    </row>
    <row r="624" spans="2:13" x14ac:dyDescent="0.3">
      <c r="B624" s="50" t="str">
        <f>RawList!A593</f>
        <v>Total</v>
      </c>
      <c r="C624" s="50"/>
      <c r="D624" s="50"/>
      <c r="E624" s="50"/>
      <c r="F624" s="50"/>
      <c r="G624" s="137"/>
      <c r="H624" s="50"/>
      <c r="I624" s="141"/>
      <c r="J624" s="24"/>
      <c r="K624" s="50"/>
      <c r="L624" s="50"/>
      <c r="M624" s="50"/>
    </row>
    <row r="625" spans="2:13" x14ac:dyDescent="0.3">
      <c r="B625" s="50">
        <f>RawList!A594</f>
        <v>585</v>
      </c>
      <c r="C625" s="50"/>
      <c r="D625" s="50"/>
      <c r="E625" s="50"/>
      <c r="F625" s="50"/>
      <c r="G625" s="137"/>
      <c r="H625" s="50"/>
      <c r="I625" s="141"/>
      <c r="J625" s="24"/>
      <c r="K625" s="50"/>
      <c r="L625" s="50"/>
      <c r="M625" s="50"/>
    </row>
    <row r="626" spans="2:13" x14ac:dyDescent="0.3">
      <c r="B626" s="50"/>
      <c r="C626" s="50"/>
      <c r="D626" s="50"/>
      <c r="E626" s="50"/>
      <c r="F626" s="50"/>
      <c r="G626" s="137"/>
      <c r="H626" s="50"/>
      <c r="I626" s="141"/>
      <c r="J626" s="24"/>
      <c r="K626" s="50"/>
      <c r="L626" s="50"/>
      <c r="M626" s="50"/>
    </row>
    <row r="627" spans="2:13" x14ac:dyDescent="0.3">
      <c r="B627" s="50"/>
      <c r="C627" s="50"/>
      <c r="D627" s="50"/>
      <c r="E627" s="50"/>
      <c r="F627" s="50"/>
      <c r="G627" s="137"/>
      <c r="H627" s="50"/>
      <c r="I627" s="141"/>
      <c r="J627" s="24"/>
      <c r="K627" s="50"/>
      <c r="L627" s="50"/>
      <c r="M627" s="50"/>
    </row>
  </sheetData>
  <mergeCells count="4">
    <mergeCell ref="B1:C1"/>
    <mergeCell ref="F2:H2"/>
    <mergeCell ref="F1:J1"/>
    <mergeCell ref="I2:J2"/>
  </mergeCells>
  <conditionalFormatting sqref="J40:J627">
    <cfRule type="dataBar" priority="5021">
      <dataBar>
        <cfvo type="min"/>
        <cfvo type="max"/>
        <color theme="5"/>
      </dataBar>
      <extLst>
        <ext xmlns:x14="http://schemas.microsoft.com/office/spreadsheetml/2009/9/main" uri="{B025F937-C7B1-47D3-B67F-A62EFF666E3E}">
          <x14:id>{C7B4005D-DBE6-4102-A519-3A98C697EEB1}</x14:id>
        </ext>
      </extLst>
    </cfRule>
  </conditionalFormatting>
  <dataValidations xWindow="1260" yWindow="399" count="6">
    <dataValidation allowBlank="1" showInputMessage="1" showErrorMessage="1" prompt="Enter Inventory Date in cell at right" sqref="F2" xr:uid="{0C6D06B5-C350-4712-AB3F-0E33A732D8B5}"/>
    <dataValidation allowBlank="1" showInputMessage="1" showErrorMessage="1" prompt="Enter Inventory Date in this cell" sqref="I2" xr:uid="{C540F45E-8595-4BEF-A73C-8DC706FC9B5C}"/>
    <dataValidation allowBlank="1" showInputMessage="1" showErrorMessage="1" prompt="Total Estimated Value of All Items is automatically calculated in this cell. Enter Inventory Date in cell I2" sqref="C2:D3" xr:uid="{FD8BDF86-F53E-46EE-B178-AC891E2DFE75}"/>
    <dataValidation allowBlank="1" showInputMessage="1" showErrorMessage="1" prompt="Total Estimated Value of All Items is automatically calculated in cell at right. Enter Inventory Date in cell I2" sqref="B2:B3" xr:uid="{43ECEE50-9329-4CFF-B5AB-B3906477843C}"/>
    <dataValidation allowBlank="1" showInputMessage="1" showErrorMessage="1" prompt="Title of this worksheet is in cells B1 through D1" sqref="B1" xr:uid="{1F89321E-EFAA-420B-A372-189A65AC7576}"/>
    <dataValidation type="list" allowBlank="1" showInputMessage="1" showErrorMessage="1" sqref="B40:B622 B624:B627" xr:uid="{C546F80F-5009-4E98-917D-10CAD5F2E8FF}">
      <formula1>$C$6:$C$13</formula1>
    </dataValidation>
  </dataValidations>
  <pageMargins left="0.7" right="0.7" top="0.75" bottom="0.75" header="0.3" footer="0.3"/>
  <pageSetup orientation="portrait" horizontalDpi="4294967294" verticalDpi="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C7B4005D-DBE6-4102-A519-3A98C697EEB1}">
            <x14:dataBar minLength="0" maxLength="100">
              <x14:cfvo type="autoMin"/>
              <x14:cfvo type="autoMax"/>
              <x14:negativeFillColor rgb="FFFF0000"/>
              <x14:axisColor rgb="FF000000"/>
            </x14:dataBar>
          </x14:cfRule>
          <xm:sqref>J40:J627</xm:sqref>
        </x14:conditionalFormatting>
      </x14:conditionalFormattings>
    </ext>
    <ext xmlns:x14="http://schemas.microsoft.com/office/spreadsheetml/2009/9/main" uri="{CCE6A557-97BC-4b89-ADB6-D9C93CAAB3DF}">
      <x14:dataValidations xmlns:xm="http://schemas.microsoft.com/office/excel/2006/main" xWindow="1260" yWindow="399" count="2">
        <x14:dataValidation type="list" allowBlank="1" showInputMessage="1" showErrorMessage="1" xr:uid="{B6FDD4A4-695D-4216-9131-F8604D1E599C}">
          <x14:formula1>
            <xm:f>'Category Lookup'!$B$4:$B$96</xm:f>
          </x14:formula1>
          <xm:sqref>C40:C622 C624:C627</xm:sqref>
        </x14:dataValidation>
        <x14:dataValidation type="list" allowBlank="1" showInputMessage="1" showErrorMessage="1" xr:uid="{CCB6D9F4-0C7B-4BF6-8BC0-F15F8E2502AF}">
          <x14:formula1>
            <xm:f>FilterSpecs!$A$6:$A$16</xm:f>
          </x14:formula1>
          <xm:sqref>D40:D622 D624:D627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5" tint="-0.249977111117893"/>
    <pageSetUpPr fitToPage="1"/>
  </sheetPr>
  <dimension ref="B1:F110"/>
  <sheetViews>
    <sheetView showGridLines="0" zoomScaleNormal="100" workbookViewId="0">
      <selection activeCell="B14" sqref="B14"/>
    </sheetView>
  </sheetViews>
  <sheetFormatPr defaultRowHeight="14.4" x14ac:dyDescent="0.3"/>
  <cols>
    <col min="1" max="1" width="1.109375" customWidth="1"/>
    <col min="2" max="2" width="45.21875" bestFit="1" customWidth="1"/>
    <col min="3" max="3" width="50.5546875" customWidth="1"/>
    <col min="4" max="4" width="36" customWidth="1"/>
    <col min="5" max="5" width="6.6640625" customWidth="1"/>
    <col min="6" max="6" width="46.77734375" customWidth="1"/>
    <col min="7" max="7" width="26.44140625" customWidth="1"/>
  </cols>
  <sheetData>
    <row r="1" spans="2:6" ht="67.2" customHeight="1" thickBot="1" x14ac:dyDescent="0.35">
      <c r="B1" s="8" t="s">
        <v>9</v>
      </c>
      <c r="C1" s="8"/>
    </row>
    <row r="2" spans="2:6" ht="6.6" customHeight="1" thickTop="1" x14ac:dyDescent="0.3">
      <c r="B2" s="66"/>
      <c r="C2" s="66"/>
      <c r="D2" s="66"/>
    </row>
    <row r="3" spans="2:6" ht="30" customHeight="1" x14ac:dyDescent="0.3">
      <c r="B3" t="s">
        <v>163</v>
      </c>
      <c r="C3" t="s">
        <v>893</v>
      </c>
      <c r="D3" t="s">
        <v>2048</v>
      </c>
    </row>
    <row r="4" spans="2:6" x14ac:dyDescent="0.3">
      <c r="B4" s="7" t="s">
        <v>1616</v>
      </c>
      <c r="C4" s="7" t="s">
        <v>894</v>
      </c>
      <c r="D4" s="7" t="s">
        <v>2053</v>
      </c>
    </row>
    <row r="5" spans="2:6" x14ac:dyDescent="0.3">
      <c r="B5" s="7" t="s">
        <v>1410</v>
      </c>
      <c r="C5" s="7" t="s">
        <v>894</v>
      </c>
      <c r="D5" s="7" t="s">
        <v>2059</v>
      </c>
      <c r="F5" t="s">
        <v>2047</v>
      </c>
    </row>
    <row r="6" spans="2:6" x14ac:dyDescent="0.3">
      <c r="B6" s="7" t="s">
        <v>2039</v>
      </c>
      <c r="C6" s="7" t="s">
        <v>894</v>
      </c>
      <c r="D6" s="7" t="s">
        <v>2059</v>
      </c>
      <c r="F6" t="s">
        <v>2047</v>
      </c>
    </row>
    <row r="7" spans="2:6" x14ac:dyDescent="0.3">
      <c r="B7" t="s">
        <v>2043</v>
      </c>
      <c r="C7" s="7" t="s">
        <v>894</v>
      </c>
      <c r="D7" s="7" t="s">
        <v>2049</v>
      </c>
      <c r="F7" t="s">
        <v>2046</v>
      </c>
    </row>
    <row r="8" spans="2:6" x14ac:dyDescent="0.3">
      <c r="B8" t="s">
        <v>2044</v>
      </c>
      <c r="C8" s="7" t="s">
        <v>894</v>
      </c>
      <c r="D8" s="7" t="s">
        <v>2049</v>
      </c>
      <c r="F8" t="s">
        <v>2046</v>
      </c>
    </row>
    <row r="9" spans="2:6" x14ac:dyDescent="0.3">
      <c r="B9" t="s">
        <v>2045</v>
      </c>
      <c r="C9" s="7" t="s">
        <v>894</v>
      </c>
      <c r="D9" s="7" t="s">
        <v>2059</v>
      </c>
      <c r="F9" t="s">
        <v>2046</v>
      </c>
    </row>
    <row r="10" spans="2:6" x14ac:dyDescent="0.3">
      <c r="B10" t="s">
        <v>2036</v>
      </c>
      <c r="C10" s="7" t="s">
        <v>894</v>
      </c>
      <c r="D10" s="2" t="s">
        <v>2063</v>
      </c>
      <c r="F10" t="s">
        <v>2046</v>
      </c>
    </row>
    <row r="11" spans="2:6" x14ac:dyDescent="0.3">
      <c r="B11" t="s">
        <v>2064</v>
      </c>
      <c r="C11" s="7" t="s">
        <v>894</v>
      </c>
      <c r="D11" s="7" t="s">
        <v>2059</v>
      </c>
      <c r="F11" t="s">
        <v>2046</v>
      </c>
    </row>
    <row r="12" spans="2:6" x14ac:dyDescent="0.3">
      <c r="B12" t="s">
        <v>2040</v>
      </c>
      <c r="C12" s="7" t="s">
        <v>894</v>
      </c>
      <c r="D12" s="7" t="s">
        <v>2053</v>
      </c>
      <c r="F12" t="s">
        <v>2046</v>
      </c>
    </row>
    <row r="13" spans="2:6" x14ac:dyDescent="0.3">
      <c r="B13" t="s">
        <v>2034</v>
      </c>
      <c r="C13" s="7" t="s">
        <v>894</v>
      </c>
      <c r="D13" s="7" t="s">
        <v>2049</v>
      </c>
      <c r="F13" t="s">
        <v>2046</v>
      </c>
    </row>
    <row r="14" spans="2:6" x14ac:dyDescent="0.3">
      <c r="B14" t="s">
        <v>2035</v>
      </c>
      <c r="C14" s="7" t="s">
        <v>894</v>
      </c>
      <c r="D14" s="2" t="s">
        <v>2052</v>
      </c>
      <c r="F14" t="s">
        <v>2046</v>
      </c>
    </row>
    <row r="15" spans="2:6" x14ac:dyDescent="0.3">
      <c r="B15" t="s">
        <v>2037</v>
      </c>
      <c r="C15" s="7" t="s">
        <v>894</v>
      </c>
      <c r="D15" s="2" t="s">
        <v>2052</v>
      </c>
      <c r="F15" t="s">
        <v>2046</v>
      </c>
    </row>
    <row r="16" spans="2:6" x14ac:dyDescent="0.3">
      <c r="B16" s="7" t="s">
        <v>12</v>
      </c>
      <c r="C16" s="7" t="s">
        <v>894</v>
      </c>
      <c r="D16" s="7" t="s">
        <v>2053</v>
      </c>
    </row>
    <row r="17" spans="2:6" x14ac:dyDescent="0.3">
      <c r="B17" s="7" t="s">
        <v>13</v>
      </c>
      <c r="C17" s="7" t="s">
        <v>894</v>
      </c>
      <c r="D17" s="7" t="s">
        <v>2053</v>
      </c>
    </row>
    <row r="18" spans="2:6" x14ac:dyDescent="0.3">
      <c r="B18" s="7" t="s">
        <v>14</v>
      </c>
      <c r="C18" s="7" t="s">
        <v>894</v>
      </c>
      <c r="D18" s="7" t="s">
        <v>2053</v>
      </c>
    </row>
    <row r="19" spans="2:6" x14ac:dyDescent="0.3">
      <c r="B19" s="7" t="s">
        <v>892</v>
      </c>
      <c r="C19" s="7" t="s">
        <v>894</v>
      </c>
      <c r="D19" s="7" t="s">
        <v>2053</v>
      </c>
    </row>
    <row r="20" spans="2:6" x14ac:dyDescent="0.3">
      <c r="B20" s="7" t="s">
        <v>15</v>
      </c>
      <c r="C20" s="7" t="s">
        <v>894</v>
      </c>
      <c r="D20" s="7" t="s">
        <v>2053</v>
      </c>
    </row>
    <row r="21" spans="2:6" x14ac:dyDescent="0.3">
      <c r="B21" t="s">
        <v>1896</v>
      </c>
      <c r="C21" s="7" t="s">
        <v>894</v>
      </c>
      <c r="D21" s="7" t="s">
        <v>2053</v>
      </c>
    </row>
    <row r="22" spans="2:6" x14ac:dyDescent="0.3">
      <c r="B22" t="s">
        <v>888</v>
      </c>
      <c r="C22" s="7" t="s">
        <v>894</v>
      </c>
      <c r="D22" s="7" t="s">
        <v>2053</v>
      </c>
    </row>
    <row r="23" spans="2:6" x14ac:dyDescent="0.3">
      <c r="B23" t="s">
        <v>2030</v>
      </c>
      <c r="C23" s="7" t="s">
        <v>894</v>
      </c>
      <c r="D23" s="7" t="s">
        <v>2053</v>
      </c>
    </row>
    <row r="24" spans="2:6" x14ac:dyDescent="0.3">
      <c r="B24" t="s">
        <v>2421</v>
      </c>
      <c r="C24" s="7" t="s">
        <v>894</v>
      </c>
      <c r="D24" s="2" t="s">
        <v>2051</v>
      </c>
    </row>
    <row r="25" spans="2:6" x14ac:dyDescent="0.3">
      <c r="B25" t="s">
        <v>2031</v>
      </c>
      <c r="C25" s="7" t="s">
        <v>894</v>
      </c>
      <c r="D25" s="2" t="s">
        <v>2051</v>
      </c>
    </row>
    <row r="26" spans="2:6" x14ac:dyDescent="0.3">
      <c r="B26" s="83" t="s">
        <v>2029</v>
      </c>
      <c r="C26" s="7" t="s">
        <v>894</v>
      </c>
      <c r="D26" s="7" t="s">
        <v>2053</v>
      </c>
      <c r="F26" t="s">
        <v>2046</v>
      </c>
    </row>
    <row r="27" spans="2:6" x14ac:dyDescent="0.3">
      <c r="B27" t="s">
        <v>887</v>
      </c>
      <c r="C27" s="7" t="s">
        <v>894</v>
      </c>
      <c r="D27" s="2" t="s">
        <v>2054</v>
      </c>
      <c r="F27" t="s">
        <v>2046</v>
      </c>
    </row>
    <row r="28" spans="2:6" x14ac:dyDescent="0.3">
      <c r="B28" t="s">
        <v>886</v>
      </c>
      <c r="C28" s="7" t="s">
        <v>894</v>
      </c>
      <c r="D28" s="2" t="s">
        <v>2054</v>
      </c>
      <c r="F28" t="s">
        <v>2046</v>
      </c>
    </row>
    <row r="29" spans="2:6" x14ac:dyDescent="0.3">
      <c r="B29" t="s">
        <v>898</v>
      </c>
      <c r="C29" s="7" t="s">
        <v>894</v>
      </c>
      <c r="D29" s="7" t="s">
        <v>2053</v>
      </c>
      <c r="F29" t="s">
        <v>2047</v>
      </c>
    </row>
    <row r="30" spans="2:6" x14ac:dyDescent="0.3">
      <c r="B30" s="7" t="s">
        <v>1604</v>
      </c>
      <c r="C30" s="7" t="s">
        <v>895</v>
      </c>
      <c r="D30" s="7" t="s">
        <v>2058</v>
      </c>
    </row>
    <row r="31" spans="2:6" x14ac:dyDescent="0.3">
      <c r="B31" s="7" t="s">
        <v>1605</v>
      </c>
      <c r="C31" s="7" t="s">
        <v>895</v>
      </c>
      <c r="D31" s="7" t="s">
        <v>2058</v>
      </c>
    </row>
    <row r="32" spans="2:6" x14ac:dyDescent="0.3">
      <c r="B32" t="s">
        <v>2041</v>
      </c>
      <c r="C32" s="7" t="s">
        <v>895</v>
      </c>
      <c r="D32" s="7"/>
    </row>
    <row r="33" spans="2:6" x14ac:dyDescent="0.3">
      <c r="B33" t="s">
        <v>1606</v>
      </c>
      <c r="C33" s="7" t="s">
        <v>895</v>
      </c>
      <c r="D33" s="7" t="s">
        <v>2053</v>
      </c>
      <c r="F33" t="s">
        <v>2047</v>
      </c>
    </row>
    <row r="34" spans="2:6" x14ac:dyDescent="0.3">
      <c r="B34" s="7" t="s">
        <v>899</v>
      </c>
      <c r="C34" s="7" t="s">
        <v>895</v>
      </c>
      <c r="D34" s="7" t="s">
        <v>2053</v>
      </c>
      <c r="F34" t="s">
        <v>2046</v>
      </c>
    </row>
    <row r="35" spans="2:6" x14ac:dyDescent="0.3">
      <c r="B35" s="7" t="s">
        <v>16</v>
      </c>
      <c r="C35" s="7" t="s">
        <v>895</v>
      </c>
      <c r="D35" s="2" t="s">
        <v>2054</v>
      </c>
    </row>
    <row r="36" spans="2:6" x14ac:dyDescent="0.3">
      <c r="B36" s="7" t="s">
        <v>1607</v>
      </c>
      <c r="C36" s="7" t="s">
        <v>895</v>
      </c>
      <c r="D36" s="2"/>
    </row>
    <row r="37" spans="2:6" x14ac:dyDescent="0.3">
      <c r="B37" t="s">
        <v>18</v>
      </c>
      <c r="C37" s="7" t="s">
        <v>895</v>
      </c>
      <c r="D37" s="7" t="s">
        <v>2058</v>
      </c>
    </row>
    <row r="38" spans="2:6" x14ac:dyDescent="0.3">
      <c r="B38" s="7" t="s">
        <v>2032</v>
      </c>
      <c r="C38" s="7" t="s">
        <v>895</v>
      </c>
      <c r="D38" s="2" t="s">
        <v>2050</v>
      </c>
    </row>
    <row r="39" spans="2:6" x14ac:dyDescent="0.3">
      <c r="B39" s="7" t="s">
        <v>889</v>
      </c>
      <c r="C39" s="7" t="s">
        <v>1046</v>
      </c>
      <c r="D39" s="2" t="s">
        <v>2050</v>
      </c>
    </row>
    <row r="40" spans="2:6" x14ac:dyDescent="0.3">
      <c r="B40" t="s">
        <v>1068</v>
      </c>
      <c r="C40" s="7" t="s">
        <v>1046</v>
      </c>
      <c r="D40" s="2" t="s">
        <v>2050</v>
      </c>
    </row>
    <row r="41" spans="2:6" x14ac:dyDescent="0.3">
      <c r="B41" t="s">
        <v>1043</v>
      </c>
      <c r="C41" s="7" t="s">
        <v>1046</v>
      </c>
      <c r="D41" s="2" t="s">
        <v>2050</v>
      </c>
      <c r="F41" t="s">
        <v>2046</v>
      </c>
    </row>
    <row r="42" spans="2:6" x14ac:dyDescent="0.3">
      <c r="B42" t="s">
        <v>1042</v>
      </c>
      <c r="C42" s="7" t="s">
        <v>1046</v>
      </c>
      <c r="D42" s="2" t="s">
        <v>2050</v>
      </c>
    </row>
    <row r="43" spans="2:6" x14ac:dyDescent="0.3">
      <c r="B43" s="1" t="s">
        <v>1409</v>
      </c>
      <c r="C43" s="7" t="s">
        <v>1047</v>
      </c>
      <c r="D43" s="2" t="s">
        <v>2050</v>
      </c>
    </row>
    <row r="44" spans="2:6" ht="16.2" x14ac:dyDescent="0.3">
      <c r="B44" s="1" t="s">
        <v>1619</v>
      </c>
      <c r="C44" s="7" t="s">
        <v>1047</v>
      </c>
      <c r="D44" s="2" t="s">
        <v>2050</v>
      </c>
    </row>
    <row r="45" spans="2:6" ht="16.2" x14ac:dyDescent="0.3">
      <c r="B45" s="1" t="s">
        <v>1620</v>
      </c>
      <c r="C45" s="7" t="s">
        <v>1047</v>
      </c>
      <c r="D45" s="2" t="s">
        <v>2050</v>
      </c>
    </row>
    <row r="46" spans="2:6" x14ac:dyDescent="0.3">
      <c r="B46" t="s">
        <v>1067</v>
      </c>
      <c r="C46" s="7" t="s">
        <v>1047</v>
      </c>
      <c r="D46" s="2" t="s">
        <v>2050</v>
      </c>
    </row>
    <row r="47" spans="2:6" x14ac:dyDescent="0.3">
      <c r="B47" s="7" t="s">
        <v>1618</v>
      </c>
      <c r="C47" s="7" t="s">
        <v>1047</v>
      </c>
      <c r="D47" s="2" t="s">
        <v>2050</v>
      </c>
    </row>
    <row r="48" spans="2:6" x14ac:dyDescent="0.3">
      <c r="B48" s="7" t="s">
        <v>1066</v>
      </c>
      <c r="C48" s="7" t="s">
        <v>1047</v>
      </c>
      <c r="D48" s="2" t="s">
        <v>2066</v>
      </c>
    </row>
    <row r="49" spans="2:6" x14ac:dyDescent="0.3">
      <c r="B49" t="s">
        <v>993</v>
      </c>
      <c r="C49" s="7" t="s">
        <v>1070</v>
      </c>
      <c r="D49" s="2" t="s">
        <v>2066</v>
      </c>
    </row>
    <row r="50" spans="2:6" x14ac:dyDescent="0.3">
      <c r="B50" t="s">
        <v>1439</v>
      </c>
      <c r="C50" s="7" t="s">
        <v>1070</v>
      </c>
      <c r="D50" s="2" t="s">
        <v>2066</v>
      </c>
    </row>
    <row r="51" spans="2:6" x14ac:dyDescent="0.3">
      <c r="B51" t="s">
        <v>1013</v>
      </c>
      <c r="C51" s="7" t="s">
        <v>1070</v>
      </c>
      <c r="D51" s="2" t="s">
        <v>2054</v>
      </c>
    </row>
    <row r="52" spans="2:6" x14ac:dyDescent="0.3">
      <c r="B52" s="7" t="s">
        <v>1014</v>
      </c>
      <c r="C52" s="7" t="s">
        <v>1070</v>
      </c>
      <c r="D52" s="2" t="s">
        <v>2051</v>
      </c>
    </row>
    <row r="53" spans="2:6" x14ac:dyDescent="0.3">
      <c r="B53" t="s">
        <v>2028</v>
      </c>
      <c r="C53" s="7" t="s">
        <v>1070</v>
      </c>
      <c r="D53" s="2" t="s">
        <v>2051</v>
      </c>
    </row>
    <row r="54" spans="2:6" x14ac:dyDescent="0.3">
      <c r="B54" s="7" t="s">
        <v>1437</v>
      </c>
      <c r="C54" s="7" t="s">
        <v>1070</v>
      </c>
      <c r="D54" s="2" t="s">
        <v>2067</v>
      </c>
    </row>
    <row r="55" spans="2:6" x14ac:dyDescent="0.3">
      <c r="B55" t="s">
        <v>2065</v>
      </c>
      <c r="C55" s="7" t="s">
        <v>1070</v>
      </c>
      <c r="D55" s="2" t="s">
        <v>2067</v>
      </c>
    </row>
    <row r="56" spans="2:6" x14ac:dyDescent="0.3">
      <c r="B56" t="s">
        <v>1071</v>
      </c>
      <c r="C56" s="7" t="s">
        <v>1070</v>
      </c>
      <c r="D56" s="2" t="s">
        <v>2054</v>
      </c>
      <c r="F56" t="s">
        <v>2046</v>
      </c>
    </row>
    <row r="57" spans="2:6" x14ac:dyDescent="0.3">
      <c r="B57" t="s">
        <v>1603</v>
      </c>
      <c r="C57" s="7" t="s">
        <v>1070</v>
      </c>
      <c r="D57" s="2" t="s">
        <v>2052</v>
      </c>
      <c r="F57" t="s">
        <v>2046</v>
      </c>
    </row>
    <row r="58" spans="2:6" x14ac:dyDescent="0.3">
      <c r="B58" t="s">
        <v>2023</v>
      </c>
      <c r="C58" s="7" t="s">
        <v>1070</v>
      </c>
      <c r="D58" s="2" t="s">
        <v>2052</v>
      </c>
    </row>
    <row r="59" spans="2:6" x14ac:dyDescent="0.3">
      <c r="B59" t="s">
        <v>994</v>
      </c>
      <c r="C59" s="2" t="s">
        <v>896</v>
      </c>
      <c r="D59" s="2" t="s">
        <v>2060</v>
      </c>
    </row>
    <row r="60" spans="2:6" x14ac:dyDescent="0.3">
      <c r="B60" s="7" t="s">
        <v>995</v>
      </c>
      <c r="C60" s="2" t="s">
        <v>896</v>
      </c>
      <c r="D60" s="2" t="s">
        <v>2060</v>
      </c>
    </row>
    <row r="61" spans="2:6" x14ac:dyDescent="0.3">
      <c r="B61" t="s">
        <v>1301</v>
      </c>
      <c r="C61" s="2" t="s">
        <v>896</v>
      </c>
      <c r="D61" s="2" t="s">
        <v>2060</v>
      </c>
      <c r="F61" t="s">
        <v>2046</v>
      </c>
    </row>
    <row r="62" spans="2:6" x14ac:dyDescent="0.3">
      <c r="B62" t="s">
        <v>890</v>
      </c>
      <c r="C62" s="2" t="s">
        <v>896</v>
      </c>
      <c r="D62" s="2" t="s">
        <v>2060</v>
      </c>
    </row>
    <row r="63" spans="2:6" x14ac:dyDescent="0.3">
      <c r="B63" t="s">
        <v>1302</v>
      </c>
      <c r="C63" s="2" t="s">
        <v>896</v>
      </c>
      <c r="D63" s="2" t="s">
        <v>2056</v>
      </c>
    </row>
    <row r="64" spans="2:6" x14ac:dyDescent="0.3">
      <c r="B64" t="s">
        <v>1303</v>
      </c>
      <c r="C64" s="2" t="s">
        <v>896</v>
      </c>
      <c r="D64" s="2" t="s">
        <v>2056</v>
      </c>
    </row>
    <row r="65" spans="2:6" x14ac:dyDescent="0.3">
      <c r="B65" t="s">
        <v>2026</v>
      </c>
      <c r="C65" s="2" t="s">
        <v>896</v>
      </c>
      <c r="D65" s="2" t="s">
        <v>2060</v>
      </c>
    </row>
    <row r="66" spans="2:6" x14ac:dyDescent="0.3">
      <c r="B66" s="7" t="s">
        <v>1612</v>
      </c>
      <c r="C66" s="7" t="s">
        <v>897</v>
      </c>
      <c r="D66" s="2" t="s">
        <v>2055</v>
      </c>
    </row>
    <row r="67" spans="2:6" x14ac:dyDescent="0.3">
      <c r="B67" t="s">
        <v>2434</v>
      </c>
      <c r="C67" s="7" t="s">
        <v>897</v>
      </c>
      <c r="D67" s="2" t="s">
        <v>2063</v>
      </c>
    </row>
    <row r="68" spans="2:6" x14ac:dyDescent="0.3">
      <c r="B68" t="s">
        <v>2435</v>
      </c>
      <c r="C68" s="7" t="s">
        <v>897</v>
      </c>
      <c r="D68" s="2" t="s">
        <v>2063</v>
      </c>
      <c r="F68" t="s">
        <v>2046</v>
      </c>
    </row>
    <row r="69" spans="2:6" x14ac:dyDescent="0.3">
      <c r="B69" t="s">
        <v>2436</v>
      </c>
      <c r="C69" s="7" t="s">
        <v>897</v>
      </c>
      <c r="D69" s="2" t="s">
        <v>2063</v>
      </c>
    </row>
    <row r="70" spans="2:6" x14ac:dyDescent="0.3">
      <c r="B70" t="s">
        <v>1611</v>
      </c>
      <c r="C70" s="7" t="s">
        <v>897</v>
      </c>
      <c r="D70" s="2" t="s">
        <v>2063</v>
      </c>
    </row>
    <row r="71" spans="2:6" x14ac:dyDescent="0.3">
      <c r="B71" t="s">
        <v>1883</v>
      </c>
      <c r="C71" s="7" t="s">
        <v>897</v>
      </c>
      <c r="D71" s="2" t="s">
        <v>2055</v>
      </c>
    </row>
    <row r="72" spans="2:6" x14ac:dyDescent="0.3">
      <c r="B72" t="s">
        <v>1608</v>
      </c>
      <c r="C72" s="7" t="s">
        <v>897</v>
      </c>
      <c r="D72" s="2" t="s">
        <v>2063</v>
      </c>
    </row>
    <row r="73" spans="2:6" x14ac:dyDescent="0.3">
      <c r="B73" t="s">
        <v>2025</v>
      </c>
      <c r="C73" s="7" t="s">
        <v>897</v>
      </c>
      <c r="D73" s="2" t="s">
        <v>2057</v>
      </c>
    </row>
    <row r="74" spans="2:6" x14ac:dyDescent="0.3">
      <c r="B74" t="s">
        <v>2024</v>
      </c>
      <c r="C74" s="7" t="s">
        <v>897</v>
      </c>
      <c r="D74" s="2" t="s">
        <v>2057</v>
      </c>
    </row>
    <row r="75" spans="2:6" x14ac:dyDescent="0.3">
      <c r="B75" s="7" t="s">
        <v>1891</v>
      </c>
      <c r="C75" s="7" t="s">
        <v>897</v>
      </c>
      <c r="D75" s="2" t="s">
        <v>2057</v>
      </c>
    </row>
    <row r="76" spans="2:6" x14ac:dyDescent="0.3">
      <c r="B76" s="7" t="s">
        <v>1892</v>
      </c>
      <c r="C76" s="7" t="s">
        <v>897</v>
      </c>
      <c r="D76" s="2" t="s">
        <v>2057</v>
      </c>
    </row>
    <row r="77" spans="2:6" x14ac:dyDescent="0.3">
      <c r="B77" s="7" t="s">
        <v>1893</v>
      </c>
      <c r="C77" s="7" t="s">
        <v>897</v>
      </c>
      <c r="D77" s="2" t="s">
        <v>2063</v>
      </c>
    </row>
    <row r="78" spans="2:6" x14ac:dyDescent="0.3">
      <c r="B78" t="s">
        <v>1890</v>
      </c>
      <c r="C78" s="7" t="s">
        <v>897</v>
      </c>
      <c r="D78" s="2" t="s">
        <v>2057</v>
      </c>
      <c r="F78" t="s">
        <v>2046</v>
      </c>
    </row>
    <row r="79" spans="2:6" x14ac:dyDescent="0.3">
      <c r="B79" t="s">
        <v>2022</v>
      </c>
      <c r="C79" s="7" t="s">
        <v>897</v>
      </c>
      <c r="D79" s="2" t="s">
        <v>2057</v>
      </c>
    </row>
    <row r="80" spans="2:6" x14ac:dyDescent="0.3">
      <c r="B80" s="7" t="s">
        <v>1894</v>
      </c>
      <c r="C80" s="7" t="s">
        <v>897</v>
      </c>
      <c r="D80" s="2" t="s">
        <v>2057</v>
      </c>
    </row>
    <row r="81" spans="2:6" x14ac:dyDescent="0.3">
      <c r="B81" s="7" t="s">
        <v>1895</v>
      </c>
      <c r="C81" s="7" t="s">
        <v>897</v>
      </c>
      <c r="D81" s="2" t="s">
        <v>2057</v>
      </c>
    </row>
    <row r="82" spans="2:6" x14ac:dyDescent="0.3">
      <c r="B82" t="s">
        <v>2027</v>
      </c>
      <c r="C82" s="7" t="s">
        <v>897</v>
      </c>
      <c r="D82" s="2" t="s">
        <v>2057</v>
      </c>
    </row>
    <row r="83" spans="2:6" x14ac:dyDescent="0.3">
      <c r="B83" t="s">
        <v>1884</v>
      </c>
      <c r="C83" s="7" t="s">
        <v>897</v>
      </c>
      <c r="D83" s="2" t="s">
        <v>2057</v>
      </c>
    </row>
    <row r="84" spans="2:6" x14ac:dyDescent="0.3">
      <c r="B84" t="s">
        <v>1886</v>
      </c>
      <c r="C84" s="7" t="s">
        <v>897</v>
      </c>
      <c r="D84" s="2" t="s">
        <v>2057</v>
      </c>
      <c r="F84" t="s">
        <v>2046</v>
      </c>
    </row>
    <row r="85" spans="2:6" x14ac:dyDescent="0.3">
      <c r="B85" t="s">
        <v>1885</v>
      </c>
      <c r="C85" s="7" t="s">
        <v>897</v>
      </c>
      <c r="D85" s="2" t="s">
        <v>2057</v>
      </c>
    </row>
    <row r="86" spans="2:6" x14ac:dyDescent="0.3">
      <c r="B86" t="s">
        <v>1888</v>
      </c>
      <c r="C86" s="7" t="s">
        <v>897</v>
      </c>
      <c r="D86" s="2" t="s">
        <v>2057</v>
      </c>
    </row>
    <row r="87" spans="2:6" x14ac:dyDescent="0.3">
      <c r="B87" t="s">
        <v>1887</v>
      </c>
      <c r="C87" s="7" t="s">
        <v>897</v>
      </c>
      <c r="D87" s="2" t="s">
        <v>2062</v>
      </c>
      <c r="F87" t="s">
        <v>2046</v>
      </c>
    </row>
    <row r="88" spans="2:6" x14ac:dyDescent="0.3">
      <c r="B88" s="7" t="s">
        <v>1889</v>
      </c>
      <c r="C88" s="7" t="s">
        <v>897</v>
      </c>
      <c r="D88" s="2" t="s">
        <v>2051</v>
      </c>
    </row>
    <row r="89" spans="2:6" x14ac:dyDescent="0.3">
      <c r="B89" s="7" t="s">
        <v>1012</v>
      </c>
      <c r="C89" s="7" t="s">
        <v>897</v>
      </c>
      <c r="D89" s="2" t="s">
        <v>2062</v>
      </c>
    </row>
    <row r="90" spans="2:6" x14ac:dyDescent="0.3">
      <c r="B90" s="7" t="s">
        <v>2033</v>
      </c>
      <c r="C90" s="7" t="s">
        <v>897</v>
      </c>
      <c r="D90" s="2" t="s">
        <v>2051</v>
      </c>
    </row>
    <row r="91" spans="2:6" x14ac:dyDescent="0.3">
      <c r="B91" s="7" t="s">
        <v>1617</v>
      </c>
      <c r="C91" s="7" t="s">
        <v>897</v>
      </c>
      <c r="D91" s="2" t="s">
        <v>2061</v>
      </c>
    </row>
    <row r="92" spans="2:6" x14ac:dyDescent="0.3">
      <c r="B92" s="7" t="s">
        <v>891</v>
      </c>
      <c r="C92" s="7" t="s">
        <v>897</v>
      </c>
      <c r="D92" s="2" t="s">
        <v>2061</v>
      </c>
    </row>
    <row r="93" spans="2:6" x14ac:dyDescent="0.3">
      <c r="B93" t="s">
        <v>1614</v>
      </c>
      <c r="C93" s="2" t="s">
        <v>17</v>
      </c>
      <c r="D93" s="2" t="s">
        <v>2061</v>
      </c>
    </row>
    <row r="94" spans="2:6" x14ac:dyDescent="0.3">
      <c r="B94" t="s">
        <v>1615</v>
      </c>
      <c r="C94" s="2" t="s">
        <v>17</v>
      </c>
      <c r="D94" s="2"/>
    </row>
    <row r="95" spans="2:6" x14ac:dyDescent="0.3">
      <c r="B95" t="s">
        <v>1613</v>
      </c>
      <c r="C95" s="2" t="s">
        <v>17</v>
      </c>
      <c r="D95" s="2"/>
      <c r="F95" t="s">
        <v>2046</v>
      </c>
    </row>
    <row r="96" spans="2:6" x14ac:dyDescent="0.3">
      <c r="B96" t="s">
        <v>1654</v>
      </c>
      <c r="C96" t="s">
        <v>17</v>
      </c>
      <c r="D96" s="2"/>
    </row>
    <row r="97" spans="3:4" x14ac:dyDescent="0.3">
      <c r="C97" s="2"/>
      <c r="D97" s="2"/>
    </row>
    <row r="98" spans="3:4" x14ac:dyDescent="0.3">
      <c r="C98" s="2"/>
      <c r="D98" s="2"/>
    </row>
    <row r="99" spans="3:4" x14ac:dyDescent="0.3">
      <c r="C99" s="2"/>
      <c r="D99" s="2"/>
    </row>
    <row r="100" spans="3:4" x14ac:dyDescent="0.3">
      <c r="C100" s="2"/>
      <c r="D100" s="2"/>
    </row>
    <row r="101" spans="3:4" x14ac:dyDescent="0.3">
      <c r="C101" s="2"/>
      <c r="D101" s="2"/>
    </row>
    <row r="102" spans="3:4" x14ac:dyDescent="0.3">
      <c r="C102" s="7"/>
      <c r="D102" s="2"/>
    </row>
    <row r="103" spans="3:4" x14ac:dyDescent="0.3">
      <c r="C103" s="7"/>
      <c r="D103" s="2"/>
    </row>
    <row r="104" spans="3:4" x14ac:dyDescent="0.3">
      <c r="C104" s="7"/>
      <c r="D104" s="2"/>
    </row>
    <row r="105" spans="3:4" x14ac:dyDescent="0.3">
      <c r="C105" s="2"/>
      <c r="D105" s="2"/>
    </row>
    <row r="106" spans="3:4" x14ac:dyDescent="0.3">
      <c r="C106" s="2"/>
      <c r="D106" s="2"/>
    </row>
    <row r="107" spans="3:4" x14ac:dyDescent="0.3">
      <c r="C107" s="2"/>
      <c r="D107" s="2"/>
    </row>
    <row r="108" spans="3:4" x14ac:dyDescent="0.3">
      <c r="C108" s="2"/>
      <c r="D108" s="2"/>
    </row>
    <row r="109" spans="3:4" x14ac:dyDescent="0.3">
      <c r="C109" s="2"/>
      <c r="D109" s="2"/>
    </row>
    <row r="110" spans="3:4" x14ac:dyDescent="0.3">
      <c r="C110" s="2"/>
      <c r="D110" s="2"/>
    </row>
  </sheetData>
  <dataConsolidate/>
  <dataValidations count="4">
    <dataValidation allowBlank="1" showInputMessage="1" showErrorMessage="1" prompt="Create a list of rooms or areas in this worksheet. Customize Room/Area selection in Inventory table by inserting or modifying Room/Area in Room Lookup table in this worksheet" sqref="A1" xr:uid="{25B41E84-4F74-4A95-9C95-8BEEDCA0377A}"/>
    <dataValidation allowBlank="1" showInputMessage="1" showErrorMessage="1" prompt="Title of this worksheet is in this cell" sqref="B1:C1" xr:uid="{05427FFF-6E30-4BBE-A714-7DE013A38AC1}"/>
    <dataValidation allowBlank="1" showInputMessage="1" showErrorMessage="1" prompt="Room or Areas are in this column under this heading" sqref="B3:D3" xr:uid="{CB092979-42AB-471A-B3D2-2B4CADF866FA}"/>
    <dataValidation type="list" allowBlank="1" showInputMessage="1" showErrorMessage="1" sqref="C4:C96" xr:uid="{0E2221C6-D04C-4918-A33A-F45981C07482}">
      <formula1>$C$6:$C$13</formula1>
    </dataValidation>
  </dataValidations>
  <printOptions horizontalCentered="1"/>
  <pageMargins left="0.7" right="0.7" top="0.75" bottom="0.75" header="0.3" footer="0.3"/>
  <pageSetup fitToHeight="0" orientation="portrait" r:id="rId1"/>
  <headerFooter differentFirst="1">
    <oddFooter>Page &amp;P of &amp;N</oddFooter>
  </headerFooter>
  <drawing r:id="rId2"/>
  <tableParts count="3">
    <tablePart r:id="rId3"/>
    <tablePart r:id="rId4"/>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r:uid="{7EA8249D-FE3D-40F2-913C-B89EE627B148}">
          <x14:formula1>
            <xm:f>FilterSpecs!$C$6:$C$13</xm:f>
          </x14:formula1>
          <xm:sqref>C102:C104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BA246-5D07-4D59-959E-3740984E679F}">
  <sheetPr codeName="Sheet3">
    <tabColor theme="4"/>
  </sheetPr>
  <dimension ref="A1:O19"/>
  <sheetViews>
    <sheetView workbookViewId="0">
      <selection activeCell="B3" sqref="B3"/>
    </sheetView>
  </sheetViews>
  <sheetFormatPr defaultRowHeight="14.4" x14ac:dyDescent="0.3"/>
  <cols>
    <col min="1" max="1" width="53.88671875" bestFit="1" customWidth="1"/>
    <col min="2" max="2" width="53.88671875" customWidth="1"/>
    <col min="3" max="3" width="46.88671875" customWidth="1"/>
    <col min="4" max="4" width="48" customWidth="1"/>
    <col min="5" max="5" width="42.44140625" customWidth="1"/>
    <col min="6" max="10" width="32.88671875" customWidth="1"/>
    <col min="11" max="11" width="33" customWidth="1"/>
  </cols>
  <sheetData>
    <row r="1" spans="1:15" ht="67.8" thickBot="1" x14ac:dyDescent="0.35">
      <c r="A1" s="8" t="s">
        <v>1035</v>
      </c>
      <c r="B1" s="8"/>
    </row>
    <row r="2" spans="1:15" ht="6.6" customHeight="1" thickTop="1" thickBot="1" x14ac:dyDescent="0.35">
      <c r="A2" s="66"/>
      <c r="B2" s="66"/>
      <c r="C2" s="66"/>
    </row>
    <row r="3" spans="1:15" ht="30" customHeight="1" thickTop="1" thickBot="1" x14ac:dyDescent="0.35">
      <c r="A3" s="81" t="s">
        <v>18922</v>
      </c>
      <c r="B3" s="68">
        <v>5</v>
      </c>
      <c r="C3" s="68">
        <v>5</v>
      </c>
      <c r="E3" s="81" t="s">
        <v>1915</v>
      </c>
      <c r="F3" s="68" t="s">
        <v>1916</v>
      </c>
      <c r="K3" t="s">
        <v>1908</v>
      </c>
      <c r="N3" s="10"/>
      <c r="O3" s="3"/>
    </row>
    <row r="4" spans="1:15" ht="6.6" customHeight="1" thickTop="1" x14ac:dyDescent="0.3">
      <c r="A4" s="66"/>
      <c r="B4" s="156"/>
      <c r="C4" s="6"/>
      <c r="D4" s="6"/>
      <c r="E4" s="6"/>
      <c r="F4" s="6"/>
    </row>
    <row r="5" spans="1:15" x14ac:dyDescent="0.3">
      <c r="A5" t="s">
        <v>1897</v>
      </c>
      <c r="B5" t="s">
        <v>18914</v>
      </c>
      <c r="C5" t="s">
        <v>1036</v>
      </c>
      <c r="D5" t="s">
        <v>1037</v>
      </c>
      <c r="E5" t="s">
        <v>1920</v>
      </c>
      <c r="F5" t="s">
        <v>1917</v>
      </c>
      <c r="K5" t="s">
        <v>1910</v>
      </c>
    </row>
    <row r="6" spans="1:15" x14ac:dyDescent="0.3">
      <c r="A6" t="s">
        <v>8</v>
      </c>
      <c r="B6" t="s">
        <v>18915</v>
      </c>
      <c r="C6" t="s">
        <v>894</v>
      </c>
      <c r="D6" t="s">
        <v>1040</v>
      </c>
      <c r="E6" t="s">
        <v>1909</v>
      </c>
      <c r="F6" t="s">
        <v>1910</v>
      </c>
      <c r="K6" t="s">
        <v>1911</v>
      </c>
    </row>
    <row r="7" spans="1:15" x14ac:dyDescent="0.3">
      <c r="A7" t="s">
        <v>1898</v>
      </c>
      <c r="B7" t="s">
        <v>18916</v>
      </c>
      <c r="C7" t="s">
        <v>895</v>
      </c>
      <c r="D7" t="s">
        <v>1038</v>
      </c>
      <c r="E7" s="73" t="s">
        <v>1921</v>
      </c>
      <c r="F7" s="73" t="s">
        <v>1911</v>
      </c>
      <c r="K7" t="s">
        <v>1912</v>
      </c>
    </row>
    <row r="8" spans="1:15" x14ac:dyDescent="0.3">
      <c r="A8" t="s">
        <v>1906</v>
      </c>
      <c r="C8" t="s">
        <v>1070</v>
      </c>
      <c r="D8" t="s">
        <v>1039</v>
      </c>
      <c r="E8" s="76" t="s">
        <v>1919</v>
      </c>
      <c r="F8" s="76" t="s">
        <v>1912</v>
      </c>
      <c r="K8" t="s">
        <v>1910</v>
      </c>
    </row>
    <row r="9" spans="1:15" x14ac:dyDescent="0.3">
      <c r="A9" t="s">
        <v>18913</v>
      </c>
      <c r="B9" t="s">
        <v>18917</v>
      </c>
      <c r="C9" t="s">
        <v>1046</v>
      </c>
      <c r="D9" t="s">
        <v>1074</v>
      </c>
      <c r="E9" s="72" t="s">
        <v>1907</v>
      </c>
      <c r="F9" s="72" t="s">
        <v>1913</v>
      </c>
      <c r="K9" t="s">
        <v>1914</v>
      </c>
    </row>
    <row r="10" spans="1:15" x14ac:dyDescent="0.3">
      <c r="A10" t="s">
        <v>1899</v>
      </c>
      <c r="C10" t="s">
        <v>1047</v>
      </c>
      <c r="D10" t="s">
        <v>1041</v>
      </c>
      <c r="E10" s="74" t="s">
        <v>1922</v>
      </c>
      <c r="F10" s="74" t="s">
        <v>1914</v>
      </c>
      <c r="K10" t="s">
        <v>1910</v>
      </c>
    </row>
    <row r="11" spans="1:15" x14ac:dyDescent="0.3">
      <c r="A11" t="s">
        <v>1900</v>
      </c>
      <c r="C11" t="s">
        <v>896</v>
      </c>
      <c r="D11" t="s">
        <v>1013</v>
      </c>
      <c r="E11" s="75" t="s">
        <v>1923</v>
      </c>
      <c r="F11" s="75" t="s">
        <v>225</v>
      </c>
      <c r="K11" t="s">
        <v>1911</v>
      </c>
    </row>
    <row r="12" spans="1:15" x14ac:dyDescent="0.3">
      <c r="A12" t="s">
        <v>1901</v>
      </c>
      <c r="C12" t="s">
        <v>897</v>
      </c>
      <c r="D12" t="s">
        <v>1072</v>
      </c>
      <c r="E12" s="123" t="s">
        <v>2489</v>
      </c>
      <c r="F12" s="123" t="s">
        <v>2487</v>
      </c>
      <c r="K12" t="s">
        <v>1914</v>
      </c>
    </row>
    <row r="13" spans="1:15" x14ac:dyDescent="0.3">
      <c r="A13" t="s">
        <v>1902</v>
      </c>
      <c r="C13" t="s">
        <v>17</v>
      </c>
      <c r="D13" t="s">
        <v>1073</v>
      </c>
      <c r="E13" s="122" t="s">
        <v>2488</v>
      </c>
      <c r="F13" s="122" t="s">
        <v>2490</v>
      </c>
      <c r="K13" t="s">
        <v>1913</v>
      </c>
    </row>
    <row r="14" spans="1:15" x14ac:dyDescent="0.3">
      <c r="A14" t="s">
        <v>1903</v>
      </c>
      <c r="C14">
        <f>SUBTOTAL(103,EquipmentTypesTable[Equipment Types])</f>
        <v>8</v>
      </c>
      <c r="D14">
        <f>SUBTOTAL(103,FunctionsTable[Reminder Walker Functions])</f>
        <v>8</v>
      </c>
      <c r="K14" t="s">
        <v>1914</v>
      </c>
    </row>
    <row r="15" spans="1:15" x14ac:dyDescent="0.3">
      <c r="A15" t="s">
        <v>1904</v>
      </c>
      <c r="K15" t="s">
        <v>1910</v>
      </c>
    </row>
    <row r="16" spans="1:15" x14ac:dyDescent="0.3">
      <c r="A16" t="s">
        <v>1905</v>
      </c>
      <c r="K16" t="s">
        <v>1911</v>
      </c>
    </row>
    <row r="17" spans="1:11" x14ac:dyDescent="0.3">
      <c r="A17" t="s">
        <v>18933</v>
      </c>
      <c r="B17" t="s">
        <v>18935</v>
      </c>
      <c r="K17" t="s">
        <v>1912</v>
      </c>
    </row>
    <row r="18" spans="1:11" x14ac:dyDescent="0.3">
      <c r="A18">
        <f>SUBTOTAL(103,VendorList[Vendors])</f>
        <v>12</v>
      </c>
      <c r="B18">
        <f>SUBTOTAL(103,VendorList5[Mouser SKU Prefix])</f>
        <v>4</v>
      </c>
      <c r="K18" t="s">
        <v>1913</v>
      </c>
    </row>
    <row r="19" spans="1:11" x14ac:dyDescent="0.3">
      <c r="K19" t="s">
        <v>1914</v>
      </c>
    </row>
  </sheetData>
  <conditionalFormatting sqref="P2:R78">
    <cfRule type="expression" dxfId="328" priority="4968">
      <formula>$K1=$F$7</formula>
    </cfRule>
  </conditionalFormatting>
  <conditionalFormatting sqref="K1:P20">
    <cfRule type="expression" dxfId="327" priority="4969">
      <formula>$K1=$E$7</formula>
    </cfRule>
    <cfRule type="expression" dxfId="326" priority="4970">
      <formula>$K1=$E$8</formula>
    </cfRule>
    <cfRule type="expression" dxfId="325" priority="4971">
      <formula>$K1=$F$8</formula>
    </cfRule>
    <cfRule type="expression" dxfId="324" priority="4972">
      <formula>$K1=$E$9</formula>
    </cfRule>
    <cfRule type="expression" dxfId="323" priority="4973">
      <formula>$K1=$F$9</formula>
    </cfRule>
    <cfRule type="expression" dxfId="322" priority="4974">
      <formula>$K1=$E$10</formula>
    </cfRule>
    <cfRule type="expression" dxfId="321" priority="4975">
      <formula>$K1=$F$10</formula>
    </cfRule>
    <cfRule type="containsText" dxfId="320" priority="4976" operator="containsText" text="Standard Item">
      <formula>NOT(ISERROR(SEARCH("Standard Item",K1)))</formula>
    </cfRule>
  </conditionalFormatting>
  <dataValidations count="3">
    <dataValidation allowBlank="1" showInputMessage="1" showErrorMessage="1" prompt="Title of this worksheet is in this cell" sqref="A1:B1" xr:uid="{5D593B46-F6E6-413D-9E30-BE1C30B05627}"/>
    <dataValidation allowBlank="1" showInputMessage="1" showErrorMessage="1" prompt="Total Estimated Value of All Items is automatically calculated in cell at right. Enter Inventory Date in cell I2" sqref="E3 A3:C3" xr:uid="{74222B80-16BF-44B7-8E2B-96C9A2467BDF}"/>
    <dataValidation allowBlank="1" showInputMessage="1" showErrorMessage="1" prompt="Total Estimated Value of All Items is automatically calculated in this cell. Enter Inventory Date in cell I2" sqref="F3 B3:C3" xr:uid="{6F476ACA-0E03-45E8-A1E7-188588C52D6B}"/>
  </dataValidations>
  <pageMargins left="0.7" right="0.7" top="0.75" bottom="0.75" header="0.3" footer="0.3"/>
  <drawing r:id="rId1"/>
  <tableParts count="5">
    <tablePart r:id="rId2"/>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00F15-87C0-444D-BEB1-F0C3F094A8F2}">
  <sheetPr codeName="Sheet10"/>
  <dimension ref="A1:M16"/>
  <sheetViews>
    <sheetView topLeftCell="B1" zoomScale="115" zoomScaleNormal="115" workbookViewId="0">
      <selection activeCell="B21" sqref="B21"/>
    </sheetView>
  </sheetViews>
  <sheetFormatPr defaultRowHeight="14.4" x14ac:dyDescent="0.3"/>
  <cols>
    <col min="1" max="1" width="20" style="113" bestFit="1" customWidth="1"/>
    <col min="2" max="2" width="29.33203125" style="113" bestFit="1" customWidth="1"/>
    <col min="3" max="3" width="13.77734375" style="113" customWidth="1"/>
    <col min="4" max="4" width="12.44140625" style="113" customWidth="1"/>
    <col min="5" max="5" width="7.77734375" style="113" customWidth="1"/>
    <col min="6" max="6" width="8.77734375" style="143" hidden="1" customWidth="1"/>
    <col min="7" max="7" width="8.44140625" style="143" hidden="1" customWidth="1"/>
    <col min="8" max="8" width="64.21875" style="113" customWidth="1"/>
    <col min="9" max="9" width="0" style="113" hidden="1" customWidth="1"/>
    <col min="10" max="10" width="8.88671875" style="113"/>
    <col min="11" max="16384" width="8.88671875" style="82"/>
  </cols>
  <sheetData>
    <row r="1" spans="1:13" x14ac:dyDescent="0.3">
      <c r="A1" s="113" t="str">
        <f>Primary!A110</f>
        <v>Primary Component</v>
      </c>
      <c r="B1" s="113" t="str">
        <f>Primary!B110</f>
        <v>Proximity/Distance</v>
      </c>
      <c r="C1" s="113" t="str">
        <f>Primary!C110</f>
        <v>SparkFun</v>
      </c>
      <c r="D1" s="113" t="str">
        <f>Primary!D110</f>
        <v>SPX-14343</v>
      </c>
      <c r="E1" s="113">
        <v>1</v>
      </c>
      <c r="F1" s="143" t="str">
        <f>Primary!F110</f>
        <v>https://www.sparkfun.com/products/14343</v>
      </c>
      <c r="G1" s="143" t="str">
        <f>Primary!G110</f>
        <v>https://cdn.sparkfun.com/r/92-92/assets/parts/1/2/3/1/9/ToFQuarter.jpg</v>
      </c>
      <c r="H1" s="113" t="str">
        <f>Primary!H110</f>
        <v>Qwiic Distance Sensor - RFD77402</v>
      </c>
      <c r="I1" s="113">
        <f>Primary!I110</f>
        <v>1</v>
      </c>
      <c r="J1" s="113">
        <f>Primary!J110</f>
        <v>19.95</v>
      </c>
      <c r="K1" s="82">
        <f>SUMPRODUCT(E1,J1)</f>
        <v>19.95</v>
      </c>
    </row>
    <row r="2" spans="1:13" s="51" customFormat="1" x14ac:dyDescent="0.3">
      <c r="A2" s="113" t="str">
        <f>Secondary!A11</f>
        <v>Secondary Component</v>
      </c>
      <c r="B2" s="113" t="str">
        <f>Secondary!B11</f>
        <v>QWIIC System/Components</v>
      </c>
      <c r="C2" s="113" t="str">
        <f>Secondary!C11</f>
        <v>SparkFun</v>
      </c>
      <c r="D2" s="113" t="str">
        <f>Secondary!D11</f>
        <v>PRT-14425</v>
      </c>
      <c r="E2" s="113">
        <v>1</v>
      </c>
      <c r="F2" s="143" t="str">
        <f>Secondary!F11</f>
        <v>https://www.sparkfun.com/products/14425</v>
      </c>
      <c r="G2" s="143" t="str">
        <f>Secondary!G11</f>
        <v>https://cdn.sparkfun.com/r/92-92/assets/parts/1/2/4/5/1/14425-01.jpg</v>
      </c>
      <c r="H2" s="113" t="str">
        <f>Secondary!H11</f>
        <v>Qwiic Cable - Breadboard Jumper (4-pin)</v>
      </c>
      <c r="I2" s="113">
        <f>Secondary!I11</f>
        <v>0</v>
      </c>
      <c r="J2" s="113">
        <f>Secondary!J11</f>
        <v>1.5</v>
      </c>
      <c r="K2" s="82"/>
    </row>
    <row r="3" spans="1:13" x14ac:dyDescent="0.3">
      <c r="A3" s="113" t="str">
        <f>Secondary!A21</f>
        <v>Secondary Component</v>
      </c>
      <c r="B3" s="113" t="str">
        <f>Secondary!B21</f>
        <v>QWIIC System/Components</v>
      </c>
      <c r="C3" s="113" t="str">
        <f>Secondary!C21</f>
        <v>SparkFun</v>
      </c>
      <c r="D3" s="113" t="str">
        <f>Secondary!D21</f>
        <v>PRT-14429</v>
      </c>
      <c r="E3" s="113">
        <v>1</v>
      </c>
      <c r="F3" s="143" t="str">
        <f>Secondary!F21</f>
        <v>https://www.sparkfun.com/products/14429</v>
      </c>
      <c r="G3" s="143" t="str">
        <f>Secondary!G21</f>
        <v>https://cdn.sparkfun.com/r/92-92/assets/parts/1/2/4/5/5/14429-01.jpg</v>
      </c>
      <c r="H3" s="113" t="str">
        <f>Secondary!H21</f>
        <v>Qwiic Cable - 500mm</v>
      </c>
      <c r="I3" s="113">
        <f>Secondary!I21</f>
        <v>0</v>
      </c>
      <c r="J3" s="113">
        <f>Secondary!J21</f>
        <v>1.95</v>
      </c>
    </row>
    <row r="4" spans="1:13" x14ac:dyDescent="0.3">
      <c r="A4" s="113" t="str">
        <f>Primary!A114</f>
        <v>Primary Component</v>
      </c>
      <c r="B4" s="113" t="str">
        <f>Primary!B114</f>
        <v>Proximity/Distance</v>
      </c>
      <c r="C4" s="113" t="str">
        <f>Primary!C114</f>
        <v>Adafruit</v>
      </c>
      <c r="D4" s="113" t="str">
        <f>Primary!D114</f>
        <v>3317</v>
      </c>
      <c r="E4" s="113">
        <v>1</v>
      </c>
      <c r="F4" s="143">
        <f>Primary!F114</f>
        <v>0</v>
      </c>
      <c r="G4" s="143">
        <f>Primary!G114</f>
        <v>0</v>
      </c>
      <c r="H4" s="113" t="str">
        <f>Primary!H114</f>
        <v>Adafruit VL53L0X Time of Flight Distance Sensor - ~30 to 1000mm</v>
      </c>
      <c r="I4" s="113">
        <f>Primary!I114</f>
        <v>0</v>
      </c>
      <c r="J4" s="113">
        <f>Primary!J114</f>
        <v>14.95</v>
      </c>
      <c r="K4" s="82">
        <f>SUMPRODUCT(E1:E4,J1:J4)</f>
        <v>38.349999999999994</v>
      </c>
    </row>
    <row r="5" spans="1:13" s="105" customFormat="1" x14ac:dyDescent="0.3">
      <c r="A5" s="102" t="s">
        <v>895</v>
      </c>
      <c r="B5" s="102" t="s">
        <v>16</v>
      </c>
      <c r="C5" s="102" t="s">
        <v>8</v>
      </c>
      <c r="D5" s="103" t="s">
        <v>293</v>
      </c>
      <c r="E5" s="103">
        <v>2</v>
      </c>
      <c r="F5" s="103" t="s">
        <v>294</v>
      </c>
      <c r="G5" s="103" t="s">
        <v>295</v>
      </c>
      <c r="H5" s="103" t="s">
        <v>296</v>
      </c>
      <c r="I5" s="103">
        <v>1</v>
      </c>
      <c r="J5" s="139">
        <v>6.95</v>
      </c>
      <c r="K5" s="106" t="s">
        <v>1910</v>
      </c>
      <c r="M5" s="105">
        <f>E5*J5</f>
        <v>13.9</v>
      </c>
    </row>
    <row r="6" spans="1:13" s="105" customFormat="1" x14ac:dyDescent="0.3">
      <c r="A6" s="102" t="s">
        <v>895</v>
      </c>
      <c r="B6" s="102" t="s">
        <v>16</v>
      </c>
      <c r="C6" s="102" t="s">
        <v>8</v>
      </c>
      <c r="D6" s="103" t="s">
        <v>297</v>
      </c>
      <c r="E6" s="103">
        <v>3</v>
      </c>
      <c r="F6" s="103" t="s">
        <v>298</v>
      </c>
      <c r="G6" s="103" t="s">
        <v>299</v>
      </c>
      <c r="H6" s="103" t="s">
        <v>216</v>
      </c>
      <c r="I6" s="103">
        <v>1</v>
      </c>
      <c r="J6" s="139">
        <v>3.95</v>
      </c>
      <c r="K6" s="106" t="s">
        <v>1910</v>
      </c>
      <c r="M6" s="105">
        <f>E6*J6</f>
        <v>11.850000000000001</v>
      </c>
    </row>
    <row r="7" spans="1:13" s="146" customFormat="1" x14ac:dyDescent="0.3">
      <c r="A7" s="126" t="s">
        <v>895</v>
      </c>
      <c r="B7" s="126" t="s">
        <v>16</v>
      </c>
      <c r="C7" s="126" t="s">
        <v>8</v>
      </c>
      <c r="D7" s="103" t="s">
        <v>264</v>
      </c>
      <c r="E7" s="104">
        <f>2*FilterSpecs!$C$3</f>
        <v>10</v>
      </c>
      <c r="F7" s="103" t="s">
        <v>265</v>
      </c>
      <c r="G7" s="103" t="s">
        <v>266</v>
      </c>
      <c r="H7" s="103" t="s">
        <v>267</v>
      </c>
      <c r="I7" s="103">
        <v>1</v>
      </c>
      <c r="J7" s="104">
        <v>2.8</v>
      </c>
      <c r="K7" s="103" t="s">
        <v>1911</v>
      </c>
      <c r="L7" s="103"/>
      <c r="M7" s="103">
        <f>RawListTable[[#This Row],[Quantity]]*RawListTable[[#This Row],[Price (USD)]]</f>
        <v>0.75</v>
      </c>
    </row>
    <row r="8" spans="1:13" s="144" customFormat="1" x14ac:dyDescent="0.3">
      <c r="A8" s="143" t="str">
        <f>Primary!A105</f>
        <v>Primary Component</v>
      </c>
      <c r="B8" s="143" t="str">
        <f>Primary!B105</f>
        <v>Proximity/Distance</v>
      </c>
      <c r="C8" s="143" t="str">
        <f>Primary!C105</f>
        <v>SparkFun</v>
      </c>
      <c r="D8" s="143" t="str">
        <f>Primary!D105</f>
        <v>SEN-13968</v>
      </c>
      <c r="E8" s="143">
        <v>1</v>
      </c>
      <c r="F8" s="143" t="str">
        <f>Primary!F105</f>
        <v>https://www.sparkfun.com/products/13968</v>
      </c>
      <c r="G8" s="143" t="str">
        <f>Primary!G105</f>
        <v>https://cdn.sparkfun.com/r/92-92/assets/parts/1/1/7/0/6/13968-01.jpg</v>
      </c>
      <c r="H8" s="143" t="str">
        <f>Primary!H105</f>
        <v>SparkFun OpenPIR</v>
      </c>
      <c r="I8" s="143">
        <f>Primary!I105</f>
        <v>0</v>
      </c>
      <c r="J8" s="143">
        <f>Primary!J105</f>
        <v>14.95</v>
      </c>
      <c r="K8" s="144">
        <f>SUMPRODUCT(E1:E8,J1:J8)</f>
        <v>107.05</v>
      </c>
    </row>
    <row r="9" spans="1:13" x14ac:dyDescent="0.3">
      <c r="A9" s="113" t="str">
        <f>Primary!A104</f>
        <v>Primary Component</v>
      </c>
      <c r="B9" s="113" t="str">
        <f>Primary!B104</f>
        <v>Proximity/Distance</v>
      </c>
      <c r="C9" s="113" t="str">
        <f>Primary!C104</f>
        <v>SparkFun</v>
      </c>
      <c r="D9" s="113" t="str">
        <f>Primary!D104</f>
        <v>SEN-00241</v>
      </c>
      <c r="E9" s="113">
        <v>4</v>
      </c>
      <c r="F9" s="143" t="str">
        <f>Primary!F104</f>
        <v>https://www.sparkfun.com/products/241</v>
      </c>
      <c r="G9" s="143" t="str">
        <f>Primary!G104</f>
        <v>https://cdn.sparkfun.com/r/92-92/assets/parts/1/8/3/00241-02.jpg</v>
      </c>
      <c r="H9" s="113" t="str">
        <f>Primary!H104</f>
        <v>Infrared Emitters and Detectors</v>
      </c>
      <c r="I9" s="113">
        <f>Primary!I104</f>
        <v>1</v>
      </c>
      <c r="J9" s="113">
        <f>Primary!J104</f>
        <v>1.95</v>
      </c>
      <c r="K9" s="82">
        <f>SUMPRODUCT(E1:E9,J1:J9)</f>
        <v>114.85</v>
      </c>
    </row>
    <row r="10" spans="1:13" x14ac:dyDescent="0.3">
      <c r="A10" s="113" t="str">
        <f>Primary!A106</f>
        <v>Primary Component</v>
      </c>
      <c r="B10" s="113" t="str">
        <f>Primary!B106</f>
        <v>Proximity/Distance</v>
      </c>
      <c r="C10" s="113" t="str">
        <f>Primary!C106</f>
        <v>SparkFun</v>
      </c>
      <c r="D10" s="113" t="str">
        <f>Primary!D106</f>
        <v>SEN-13959</v>
      </c>
      <c r="E10" s="113">
        <v>1</v>
      </c>
      <c r="F10" s="143" t="str">
        <f>Primary!F106</f>
        <v>https://www.sparkfun.com/products/13959</v>
      </c>
      <c r="G10" s="143" t="str">
        <f>Primary!G106</f>
        <v>https://cdn.sparkfun.com/r/92-92/assets/parts/1/1/6/6/8/13959-01a.jpg</v>
      </c>
      <c r="H10" s="113" t="str">
        <f>Primary!H106</f>
        <v>Ultrasonic Sensor - HC-SR04</v>
      </c>
      <c r="I10" s="113">
        <f>Primary!I106</f>
        <v>1</v>
      </c>
      <c r="J10" s="113">
        <f>Primary!J106</f>
        <v>3.95</v>
      </c>
      <c r="K10" s="82">
        <f>SUMPRODUCT(E1:E10,J1:J10)</f>
        <v>118.8</v>
      </c>
    </row>
    <row r="11" spans="1:13" x14ac:dyDescent="0.3">
      <c r="A11" s="113" t="str">
        <f>Primary!A108</f>
        <v>Primary Component</v>
      </c>
      <c r="B11" s="113" t="str">
        <f>Primary!B108</f>
        <v>Proximity/Distance</v>
      </c>
      <c r="C11" s="113" t="str">
        <f>Primary!C108</f>
        <v>SparkFun</v>
      </c>
      <c r="D11" s="113" t="str">
        <f>Primary!D108</f>
        <v>SEN-13162</v>
      </c>
      <c r="E11" s="113">
        <v>1</v>
      </c>
      <c r="F11" s="143" t="str">
        <f>Primary!F108</f>
        <v>https://www.sparkfun.com/products/13162</v>
      </c>
      <c r="G11" s="143" t="str">
        <f>Primary!G108</f>
        <v>https://cdn.sparkfun.com/r/92-92/assets/parts/1/0/2/7/9/13162-01a.jpg</v>
      </c>
      <c r="H11" s="113" t="str">
        <f>Primary!H108</f>
        <v>ZX Distance and Gesture Sensor</v>
      </c>
      <c r="I11" s="113">
        <f>Primary!I108</f>
        <v>0</v>
      </c>
      <c r="J11" s="113">
        <f>Primary!J108</f>
        <v>24.95</v>
      </c>
      <c r="K11" s="82">
        <f>SUMPRODUCT(E3:E11,J3:J11)</f>
        <v>122.30000000000001</v>
      </c>
    </row>
    <row r="12" spans="1:13" x14ac:dyDescent="0.3">
      <c r="A12" s="113" t="str">
        <f>Primary!A103</f>
        <v>Primary Component</v>
      </c>
      <c r="B12" s="113" t="str">
        <f>Primary!B103</f>
        <v>Proximity/Distance</v>
      </c>
      <c r="C12" s="113" t="str">
        <f>Primary!C103</f>
        <v>SparkFun</v>
      </c>
      <c r="D12" s="113" t="str">
        <f>Primary!D103</f>
        <v>SEN-00246</v>
      </c>
      <c r="E12" s="113">
        <v>1</v>
      </c>
      <c r="F12" s="143" t="str">
        <f>Primary!F103</f>
        <v>https://www.sparkfun.com/products/246</v>
      </c>
      <c r="G12" s="143" t="str">
        <f>Primary!G103</f>
        <v>https://cdn.sparkfun.com/r/92-92/assets/parts/1/8/8/00246a-01.jpg</v>
      </c>
      <c r="H12" s="113" t="str">
        <f>Primary!H103</f>
        <v>Optical Detector / Phototransistor - QRD1114</v>
      </c>
      <c r="I12" s="113">
        <f>Primary!I103</f>
        <v>1</v>
      </c>
      <c r="J12" s="113">
        <f>Primary!J103</f>
        <v>0.95</v>
      </c>
      <c r="K12" s="82">
        <f>SUMPRODUCT(E1:E12,J1:J12)</f>
        <v>144.69999999999999</v>
      </c>
    </row>
    <row r="13" spans="1:13" x14ac:dyDescent="0.3">
      <c r="A13" s="113" t="str">
        <f>Primary!A107</f>
        <v>Primary Component</v>
      </c>
      <c r="B13" s="113" t="str">
        <f>Primary!B107</f>
        <v>Proximity/Distance</v>
      </c>
      <c r="C13" s="113" t="str">
        <f>Primary!C107</f>
        <v>SparkFun</v>
      </c>
      <c r="D13" s="113" t="str">
        <f>Primary!D107</f>
        <v>SEN-12785</v>
      </c>
      <c r="E13" s="113">
        <v>0</v>
      </c>
      <c r="F13" s="143" t="str">
        <f>Primary!F107</f>
        <v>https://www.sparkfun.com/products/12785</v>
      </c>
      <c r="G13" s="143" t="str">
        <f>Primary!G107</f>
        <v>https://cdn.sparkfun.com/r/92-92/assets/parts/9/5/9/7/12785-01.jpg</v>
      </c>
      <c r="H13" s="113" t="str">
        <f>Primary!H107</f>
        <v>SparkFun ToF Range Finder Sensor - VL6180</v>
      </c>
      <c r="I13" s="113">
        <f>Primary!I107</f>
        <v>1</v>
      </c>
      <c r="J13" s="113">
        <f>Primary!J107</f>
        <v>24.95</v>
      </c>
      <c r="K13" s="82">
        <f>SUMPRODUCT(E1:E13,J1:J13)</f>
        <v>144.69999999999999</v>
      </c>
    </row>
    <row r="14" spans="1:13" x14ac:dyDescent="0.3">
      <c r="A14" s="113" t="str">
        <f>Primary!A109</f>
        <v>Primary Component</v>
      </c>
      <c r="B14" s="113" t="str">
        <f>Primary!B109</f>
        <v>Proximity/Distance</v>
      </c>
      <c r="C14" s="113" t="str">
        <f>Primary!C109</f>
        <v>SparkFun</v>
      </c>
      <c r="D14" s="113" t="str">
        <f>Primary!D109</f>
        <v>SEN-12787</v>
      </c>
      <c r="E14" s="113">
        <v>0</v>
      </c>
      <c r="F14" s="143" t="str">
        <f>Primary!F109</f>
        <v>https://www.sparkfun.com/products/12787</v>
      </c>
      <c r="G14" s="143" t="str">
        <f>Primary!G109</f>
        <v>https://cdn.sparkfun.com/r/92-92/assets/parts/9/6/0/3/12787-01.jpg</v>
      </c>
      <c r="H14" s="113" t="str">
        <f>Primary!H109</f>
        <v>SparkFun RGB and Gesture Sensor - APDS-9960</v>
      </c>
      <c r="I14" s="113">
        <f>Primary!I109</f>
        <v>1</v>
      </c>
      <c r="J14" s="113">
        <f>Primary!J109</f>
        <v>14.95</v>
      </c>
      <c r="K14" s="82">
        <f>SUMPRODUCT(E1:E14,J1:J14)</f>
        <v>144.69999999999999</v>
      </c>
    </row>
    <row r="15" spans="1:13" x14ac:dyDescent="0.3">
      <c r="A15" s="113" t="str">
        <f>Primary!A113</f>
        <v>Primary Component</v>
      </c>
      <c r="B15" s="113" t="str">
        <f>Primary!B113</f>
        <v>Proximity/Distance</v>
      </c>
      <c r="C15" s="113" t="str">
        <f>Primary!C113</f>
        <v>Adafruit</v>
      </c>
      <c r="D15" s="113" t="str">
        <f>Primary!D113</f>
        <v>3538</v>
      </c>
      <c r="E15" s="113">
        <v>1</v>
      </c>
      <c r="F15" s="143">
        <f>Primary!F113</f>
        <v>0</v>
      </c>
      <c r="G15" s="143">
        <f>Primary!G113</f>
        <v>0</v>
      </c>
      <c r="H15" s="113" t="str">
        <f>Primary!H113</f>
        <v xml:space="preserve">Adafruit AMG8833 IR Thermal Camera Breakout </v>
      </c>
      <c r="I15" s="113">
        <f>Primary!I113</f>
        <v>0</v>
      </c>
      <c r="J15" s="113">
        <f>Primary!J113</f>
        <v>39.950000000000003</v>
      </c>
      <c r="K15" s="82">
        <f>SUMPRODUCT(E1:E15,J1:J15)</f>
        <v>184.64999999999998</v>
      </c>
    </row>
    <row r="16" spans="1:13" x14ac:dyDescent="0.3">
      <c r="A16" s="113" t="str">
        <f>Primary!A115</f>
        <v>Primary Component</v>
      </c>
      <c r="B16" s="113" t="str">
        <f>Primary!B115</f>
        <v>Proximity/Distance</v>
      </c>
      <c r="C16" s="113" t="str">
        <f>Primary!C115</f>
        <v>Adafruit</v>
      </c>
      <c r="D16" s="113" t="str">
        <f>Primary!D115</f>
        <v>3316</v>
      </c>
      <c r="E16" s="113">
        <v>0</v>
      </c>
      <c r="F16" s="143">
        <f>Primary!F115</f>
        <v>0</v>
      </c>
      <c r="G16" s="143">
        <f>Primary!G115</f>
        <v>0</v>
      </c>
      <c r="H16" s="113" t="str">
        <f>Primary!H115</f>
        <v>Adafruit VL6180X Time of Flight Distance Ranging Sensor (VL6180)</v>
      </c>
      <c r="I16" s="113">
        <f>Primary!I115</f>
        <v>0</v>
      </c>
      <c r="J16" s="113">
        <f>Primary!J115</f>
        <v>13.95</v>
      </c>
      <c r="K16" s="82">
        <f>SUMPRODUCT(E1:E16,J1:J16)</f>
        <v>184.64999999999998</v>
      </c>
    </row>
  </sheetData>
  <conditionalFormatting sqref="A7:M7">
    <cfRule type="expression" dxfId="319" priority="5">
      <formula>AND($E7=0,NOT(ISBLANK($E7)))</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5" id="{F26B47E5-0DD3-48B6-B2F3-F0C025D89F2B}">
            <xm:f>AND((Secondary!$E5=0),NOT(ISBLANK(Secondary!$E5)))</xm:f>
            <x14:dxf>
              <font>
                <b/>
                <i val="0"/>
                <color theme="0"/>
              </font>
              <fill>
                <patternFill>
                  <bgColor rgb="FF00B050"/>
                </patternFill>
              </fill>
            </x14:dxf>
          </x14:cfRule>
          <xm:sqref>A5:M6</xm:sqref>
        </x14:conditionalFormatting>
        <x14:conditionalFormatting xmlns:xm="http://schemas.microsoft.com/office/excel/2006/main">
          <x14:cfRule type="expression" priority="12" id="{4B7F76E5-71D9-48C4-8D26-3710701DDF96}">
            <xm:f>Secondary!$K5=FilterSpecs!$F$13</xm:f>
            <x14:dxf>
              <font>
                <b/>
                <i val="0"/>
                <color theme="0"/>
              </font>
              <fill>
                <patternFill>
                  <bgColor theme="9" tint="-0.499984740745262"/>
                </patternFill>
              </fill>
            </x14:dxf>
          </x14:cfRule>
          <x14:cfRule type="expression" priority="13" id="{0B6E234C-AFB1-4885-A5FD-F58366276C88}">
            <xm:f>Secondary!$K5=FilterSpecs!$F$12</xm:f>
            <x14:dxf>
              <font>
                <b/>
                <i val="0"/>
                <color theme="0"/>
              </font>
              <fill>
                <patternFill>
                  <bgColor rgb="FFFF4F4F"/>
                </patternFill>
              </fill>
            </x14:dxf>
          </x14:cfRule>
          <x14:cfRule type="expression" priority="14" id="{094E4926-AAA3-4185-8996-92362F2692E5}">
            <xm:f>Secondary!$K5=FilterSpecs!$F$9</xm:f>
            <x14:dxf>
              <font>
                <b/>
                <i val="0"/>
                <color theme="0"/>
              </font>
              <fill>
                <patternFill>
                  <bgColor rgb="FFFF0000"/>
                </patternFill>
              </fill>
            </x14:dxf>
          </x14:cfRule>
          <x14:cfRule type="expression" priority="16" id="{2E53F514-CD53-4979-9D28-21A474A6AF2F}">
            <xm:f>Secondary!$K5=FilterSpecs!$F$7</xm:f>
            <x14:dxf>
              <font>
                <b/>
                <i val="0"/>
                <color theme="0"/>
              </font>
              <fill>
                <patternFill>
                  <bgColor rgb="FF00B0F0"/>
                </patternFill>
              </fill>
            </x14:dxf>
          </x14:cfRule>
          <x14:cfRule type="expression" priority="17" id="{A74BB7AF-87D0-4B71-A895-A561C84383C0}">
            <xm:f>Secondary!$K5=FilterSpecs!$F$8</xm:f>
            <x14:dxf>
              <font>
                <b/>
                <i val="0"/>
                <color theme="0"/>
              </font>
              <fill>
                <patternFill>
                  <bgColor rgb="FFFFC000"/>
                </patternFill>
              </fill>
            </x14:dxf>
          </x14:cfRule>
          <x14:cfRule type="expression" priority="18" id="{30F6ABA0-921E-4073-8054-E88B84AF6D19}">
            <xm:f>Secondary!$K5=FilterSpecs!$F$10</xm:f>
            <x14:dxf>
              <font>
                <b/>
                <i val="0"/>
                <color theme="0"/>
              </font>
              <fill>
                <patternFill>
                  <bgColor rgb="FF002060"/>
                </patternFill>
              </fill>
            </x14:dxf>
          </x14:cfRule>
          <xm:sqref>A5:M6</xm:sqref>
        </x14:conditionalFormatting>
        <x14:conditionalFormatting xmlns:xm="http://schemas.microsoft.com/office/excel/2006/main">
          <x14:cfRule type="expression" priority="1" id="{E3C36041-0DC8-4BF4-B786-270F6DA503F5}">
            <xm:f>$K7=FilterSpecs!$F$13</xm:f>
            <x14:dxf>
              <font>
                <b/>
                <i val="0"/>
                <color theme="0"/>
              </font>
              <fill>
                <patternFill>
                  <bgColor theme="9" tint="-0.499984740745262"/>
                </patternFill>
              </fill>
            </x14:dxf>
          </x14:cfRule>
          <x14:cfRule type="expression" priority="2" id="{706834B1-1D3F-4C47-A957-1022C6641D84}">
            <xm:f>$K7=FilterSpecs!$E$13</xm:f>
            <x14:dxf>
              <font>
                <b/>
                <i val="0"/>
                <color theme="0"/>
              </font>
              <fill>
                <patternFill>
                  <bgColor theme="9" tint="-0.499984740745262"/>
                </patternFill>
              </fill>
            </x14:dxf>
          </x14:cfRule>
          <x14:cfRule type="expression" priority="3" id="{CCE4709B-98A3-40A4-B42E-FC978A84CA19}">
            <xm:f>$K7=FilterSpecs!$F$12</xm:f>
            <x14:dxf>
              <font>
                <b/>
                <i val="0"/>
                <color theme="0"/>
              </font>
              <fill>
                <patternFill>
                  <bgColor rgb="FFFF4F4F"/>
                </patternFill>
              </fill>
            </x14:dxf>
          </x14:cfRule>
          <x14:cfRule type="expression" priority="4" id="{B39A41E2-A73C-48F0-BA83-D49540131CEB}">
            <xm:f>$K7=FilterSpecs!$F$9</xm:f>
            <x14:dxf>
              <font>
                <b/>
                <i val="0"/>
                <color theme="0"/>
              </font>
              <fill>
                <patternFill>
                  <bgColor rgb="FFFF0000"/>
                </patternFill>
              </fill>
            </x14:dxf>
          </x14:cfRule>
          <x14:cfRule type="expression" priority="6" id="{4705D358-94C3-4C21-BE1D-B9B56C0EFA78}">
            <xm:f>$K7=FilterSpecs!$F$7</xm:f>
            <x14:dxf>
              <font>
                <b/>
                <i val="0"/>
                <color theme="0"/>
              </font>
              <fill>
                <patternFill>
                  <bgColor rgb="FF00B0F0"/>
                </patternFill>
              </fill>
            </x14:dxf>
          </x14:cfRule>
          <x14:cfRule type="expression" priority="7" id="{E6DDF8D5-A622-439F-8EB5-2D2C37DAFABB}">
            <xm:f>$K7=FilterSpecs!$F$10</xm:f>
            <x14:dxf>
              <font>
                <b/>
                <i val="0"/>
                <color theme="0"/>
              </font>
              <fill>
                <patternFill>
                  <bgColor rgb="FF002060"/>
                </patternFill>
              </fill>
            </x14:dxf>
          </x14:cfRule>
          <x14:cfRule type="expression" priority="8" id="{011FD00F-D09E-4E56-AE68-AD2D2641BAFE}">
            <xm:f>$K7=FilterSpecs!$F$8</xm:f>
            <x14:dxf>
              <font>
                <b/>
                <i val="0"/>
                <color theme="0"/>
              </font>
              <fill>
                <patternFill>
                  <bgColor rgb="FFFFC000"/>
                </patternFill>
              </fill>
            </x14:dxf>
          </x14:cfRule>
          <x14:cfRule type="expression" priority="9" id="{83058B29-5F92-40BF-9905-AE70589D39EB}">
            <xm:f>$K7=FilterSpecs!$F$10</xm:f>
            <x14:dxf>
              <font>
                <b/>
                <i val="0"/>
                <color theme="0"/>
              </font>
              <fill>
                <patternFill>
                  <bgColor rgb="FF002060"/>
                </patternFill>
              </fill>
            </x14:dxf>
          </x14:cfRule>
          <x14:cfRule type="expression" priority="10" id="{25A246B9-0DE5-4F12-881B-ED3F47E9FD0C}">
            <xm:f>$K7=FilterSpecs!$F$8</xm:f>
            <x14:dxf>
              <font>
                <b/>
                <i val="0"/>
                <color theme="0"/>
              </font>
              <fill>
                <patternFill>
                  <bgColor rgb="FFFFC000"/>
                </patternFill>
              </fill>
            </x14:dxf>
          </x14:cfRule>
          <x14:cfRule type="expression" priority="11" id="{E542EC01-54ED-43C7-B408-DBA66C23EC2D}">
            <xm:f>$K7=FilterSpecs!$F$7</xm:f>
            <x14:dxf>
              <font>
                <b/>
                <i val="0"/>
                <color theme="0"/>
              </font>
              <fill>
                <patternFill>
                  <bgColor rgb="FF00B0F0"/>
                </patternFill>
              </fill>
            </x14:dxf>
          </x14:cfRule>
          <xm:sqref>A7:M7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A94D7-4026-42CB-A8B4-23E885857CC4}">
  <sheetPr codeName="Sheet4">
    <tabColor rgb="FF002060"/>
  </sheetPr>
  <dimension ref="A1:XFD612"/>
  <sheetViews>
    <sheetView zoomScaleNormal="100" workbookViewId="0">
      <selection activeCell="B1" sqref="B1"/>
    </sheetView>
  </sheetViews>
  <sheetFormatPr defaultRowHeight="14.4" x14ac:dyDescent="0.3"/>
  <cols>
    <col min="1" max="1" width="45.33203125" style="51" bestFit="1" customWidth="1"/>
    <col min="2" max="2" width="43.21875" style="51" bestFit="1" customWidth="1"/>
    <col min="3" max="3" width="10.77734375" style="51" bestFit="1" customWidth="1"/>
    <col min="4" max="4" width="16.6640625" style="51" bestFit="1" customWidth="1"/>
    <col min="5" max="5" width="10.5546875" style="51" bestFit="1" customWidth="1"/>
    <col min="6" max="6" width="4.6640625" hidden="1" customWidth="1"/>
    <col min="7" max="7" width="0.109375" customWidth="1"/>
    <col min="8" max="8" width="79.109375" style="51" bestFit="1" customWidth="1"/>
    <col min="9" max="9" width="2.88671875" hidden="1" customWidth="1"/>
    <col min="10" max="10" width="12.6640625" style="51" bestFit="1" customWidth="1"/>
    <col min="11" max="11" width="6.44140625" style="51" customWidth="1"/>
    <col min="12" max="12" width="141.77734375" customWidth="1"/>
    <col min="13" max="13" width="12" bestFit="1" customWidth="1"/>
  </cols>
  <sheetData>
    <row r="1" spans="1:16384" ht="213.6" customHeight="1" thickBot="1" x14ac:dyDescent="0.7">
      <c r="A1" s="147" t="s">
        <v>2486</v>
      </c>
    </row>
    <row r="2" spans="1:16384" ht="6.6" customHeight="1" thickTop="1" x14ac:dyDescent="0.3">
      <c r="A2" s="108"/>
      <c r="B2" s="108"/>
      <c r="C2" s="108"/>
      <c r="D2" s="108"/>
      <c r="E2" s="108"/>
      <c r="H2" s="108"/>
      <c r="J2" s="108"/>
      <c r="K2" s="108"/>
      <c r="L2" s="66"/>
      <c r="M2" s="66"/>
      <c r="N2" s="66"/>
    </row>
    <row r="3" spans="1:16384" s="12" customFormat="1" x14ac:dyDescent="0.3">
      <c r="A3" s="51" t="s">
        <v>893</v>
      </c>
      <c r="B3" s="97" t="s">
        <v>163</v>
      </c>
      <c r="C3" s="97" t="s">
        <v>7</v>
      </c>
      <c r="D3" s="12" t="s">
        <v>25</v>
      </c>
      <c r="E3" s="12" t="s">
        <v>26</v>
      </c>
      <c r="F3" s="12" t="s">
        <v>27</v>
      </c>
      <c r="G3" s="12" t="s">
        <v>28</v>
      </c>
      <c r="H3" s="12" t="s">
        <v>29</v>
      </c>
      <c r="I3" s="12" t="s">
        <v>30</v>
      </c>
      <c r="J3" s="12" t="s">
        <v>31</v>
      </c>
      <c r="K3" s="12" t="s">
        <v>1918</v>
      </c>
      <c r="L3" s="12" t="s">
        <v>1621</v>
      </c>
      <c r="M3" s="12" t="s">
        <v>1412</v>
      </c>
      <c r="N3" s="12" t="s">
        <v>2549</v>
      </c>
      <c r="O3" s="12" t="s">
        <v>2400</v>
      </c>
      <c r="P3" s="12" t="s">
        <v>2557</v>
      </c>
      <c r="Q3" s="12" t="s">
        <v>2558</v>
      </c>
      <c r="R3" s="12" t="s">
        <v>2559</v>
      </c>
      <c r="S3" s="12" t="s">
        <v>1930</v>
      </c>
      <c r="T3" s="12" t="s">
        <v>1931</v>
      </c>
      <c r="U3" s="12" t="s">
        <v>1932</v>
      </c>
      <c r="V3" s="12" t="s">
        <v>1933</v>
      </c>
      <c r="W3" s="12" t="s">
        <v>1934</v>
      </c>
      <c r="X3" s="12" t="s">
        <v>1935</v>
      </c>
      <c r="Y3" s="12" t="s">
        <v>1936</v>
      </c>
      <c r="Z3" s="12" t="s">
        <v>1937</v>
      </c>
      <c r="AA3" s="12" t="s">
        <v>1938</v>
      </c>
      <c r="AB3" s="12" t="s">
        <v>1939</v>
      </c>
      <c r="AC3" s="12" t="s">
        <v>1940</v>
      </c>
      <c r="AD3" s="12" t="s">
        <v>1941</v>
      </c>
      <c r="AE3" s="12" t="s">
        <v>1942</v>
      </c>
      <c r="AF3" s="12" t="s">
        <v>2560</v>
      </c>
      <c r="AG3" s="12" t="s">
        <v>2561</v>
      </c>
      <c r="AH3" s="12" t="s">
        <v>2562</v>
      </c>
      <c r="AI3" s="12" t="s">
        <v>2563</v>
      </c>
      <c r="AJ3" s="12" t="s">
        <v>2564</v>
      </c>
      <c r="AK3" s="12" t="s">
        <v>2565</v>
      </c>
      <c r="AL3" s="12" t="s">
        <v>2566</v>
      </c>
      <c r="AM3" s="12" t="s">
        <v>2567</v>
      </c>
      <c r="AN3" s="12" t="s">
        <v>2568</v>
      </c>
      <c r="AO3" s="12" t="s">
        <v>2569</v>
      </c>
      <c r="AP3" s="12" t="s">
        <v>2570</v>
      </c>
      <c r="AQ3" s="12" t="s">
        <v>2571</v>
      </c>
      <c r="AR3" s="12" t="s">
        <v>2572</v>
      </c>
      <c r="AS3" s="12" t="s">
        <v>2573</v>
      </c>
      <c r="AT3" s="12" t="s">
        <v>2574</v>
      </c>
      <c r="AU3" s="12" t="s">
        <v>2575</v>
      </c>
      <c r="AV3" s="12" t="s">
        <v>2576</v>
      </c>
      <c r="AW3" s="12" t="s">
        <v>2577</v>
      </c>
      <c r="AX3" s="12" t="s">
        <v>2578</v>
      </c>
      <c r="AY3" s="12" t="s">
        <v>2579</v>
      </c>
      <c r="AZ3" s="12" t="s">
        <v>2580</v>
      </c>
      <c r="BA3" s="12" t="s">
        <v>2581</v>
      </c>
      <c r="BB3" s="12" t="s">
        <v>2582</v>
      </c>
      <c r="BC3" s="12" t="s">
        <v>2583</v>
      </c>
      <c r="BD3" s="12" t="s">
        <v>2584</v>
      </c>
      <c r="BE3" s="12" t="s">
        <v>2585</v>
      </c>
      <c r="BF3" s="12" t="s">
        <v>2586</v>
      </c>
      <c r="BG3" s="12" t="s">
        <v>2587</v>
      </c>
      <c r="BH3" s="12" t="s">
        <v>2588</v>
      </c>
      <c r="BI3" s="12" t="s">
        <v>2589</v>
      </c>
      <c r="BJ3" s="12" t="s">
        <v>2590</v>
      </c>
      <c r="BK3" s="12" t="s">
        <v>2591</v>
      </c>
      <c r="BL3" s="12" t="s">
        <v>2592</v>
      </c>
      <c r="BM3" s="12" t="s">
        <v>2593</v>
      </c>
      <c r="BN3" s="12" t="s">
        <v>2594</v>
      </c>
      <c r="BO3" s="12" t="s">
        <v>2595</v>
      </c>
      <c r="BP3" s="12" t="s">
        <v>2596</v>
      </c>
      <c r="BQ3" s="12" t="s">
        <v>2597</v>
      </c>
      <c r="BR3" s="12" t="s">
        <v>2598</v>
      </c>
      <c r="BS3" s="12" t="s">
        <v>2599</v>
      </c>
      <c r="BT3" s="12" t="s">
        <v>2600</v>
      </c>
      <c r="BU3" s="12" t="s">
        <v>2601</v>
      </c>
      <c r="BV3" s="12" t="s">
        <v>2602</v>
      </c>
      <c r="BW3" s="12" t="s">
        <v>2603</v>
      </c>
      <c r="BX3" s="12" t="s">
        <v>2604</v>
      </c>
      <c r="BY3" s="12" t="s">
        <v>2605</v>
      </c>
      <c r="BZ3" s="12" t="s">
        <v>2606</v>
      </c>
      <c r="CA3" s="12" t="s">
        <v>2607</v>
      </c>
      <c r="CB3" s="12" t="s">
        <v>2608</v>
      </c>
      <c r="CC3" s="12" t="s">
        <v>2609</v>
      </c>
      <c r="CD3" s="12" t="s">
        <v>2610</v>
      </c>
      <c r="CE3" s="12" t="s">
        <v>2611</v>
      </c>
      <c r="CF3" s="12" t="s">
        <v>2612</v>
      </c>
      <c r="CG3" s="12" t="s">
        <v>2613</v>
      </c>
      <c r="CH3" s="12" t="s">
        <v>2614</v>
      </c>
      <c r="CI3" s="12" t="s">
        <v>2615</v>
      </c>
      <c r="CJ3" s="12" t="s">
        <v>2616</v>
      </c>
      <c r="CK3" s="12" t="s">
        <v>2617</v>
      </c>
      <c r="CL3" s="12" t="s">
        <v>2618</v>
      </c>
      <c r="CM3" s="12" t="s">
        <v>2619</v>
      </c>
      <c r="CN3" s="12" t="s">
        <v>2620</v>
      </c>
      <c r="CO3" s="12" t="s">
        <v>2621</v>
      </c>
      <c r="CP3" s="12" t="s">
        <v>2622</v>
      </c>
      <c r="CQ3" s="12" t="s">
        <v>2623</v>
      </c>
      <c r="CR3" s="12" t="s">
        <v>2624</v>
      </c>
      <c r="CS3" s="12" t="s">
        <v>2625</v>
      </c>
      <c r="CT3" s="12" t="s">
        <v>2626</v>
      </c>
      <c r="CU3" s="12" t="s">
        <v>2627</v>
      </c>
      <c r="CV3" s="12" t="s">
        <v>2628</v>
      </c>
      <c r="CW3" s="12" t="s">
        <v>2629</v>
      </c>
      <c r="CX3" s="12" t="s">
        <v>2630</v>
      </c>
      <c r="CY3" s="12" t="s">
        <v>2631</v>
      </c>
      <c r="CZ3" s="12" t="s">
        <v>2632</v>
      </c>
      <c r="DA3" s="12" t="s">
        <v>2633</v>
      </c>
      <c r="DB3" s="12" t="s">
        <v>2634</v>
      </c>
      <c r="DC3" s="12" t="s">
        <v>2635</v>
      </c>
      <c r="DD3" s="12" t="s">
        <v>2636</v>
      </c>
      <c r="DE3" s="12" t="s">
        <v>2637</v>
      </c>
      <c r="DF3" s="12" t="s">
        <v>2638</v>
      </c>
      <c r="DG3" s="12" t="s">
        <v>2639</v>
      </c>
      <c r="DH3" s="12" t="s">
        <v>2640</v>
      </c>
      <c r="DI3" s="12" t="s">
        <v>2641</v>
      </c>
      <c r="DJ3" s="12" t="s">
        <v>2642</v>
      </c>
      <c r="DK3" s="12" t="s">
        <v>2643</v>
      </c>
      <c r="DL3" s="12" t="s">
        <v>2644</v>
      </c>
      <c r="DM3" s="12" t="s">
        <v>2645</v>
      </c>
      <c r="DN3" s="12" t="s">
        <v>2646</v>
      </c>
      <c r="DO3" s="12" t="s">
        <v>2647</v>
      </c>
      <c r="DP3" s="12" t="s">
        <v>2648</v>
      </c>
      <c r="DQ3" s="12" t="s">
        <v>2649</v>
      </c>
      <c r="DR3" s="12" t="s">
        <v>2650</v>
      </c>
      <c r="DS3" s="12" t="s">
        <v>2651</v>
      </c>
      <c r="DT3" s="12" t="s">
        <v>2652</v>
      </c>
      <c r="DU3" s="12" t="s">
        <v>2653</v>
      </c>
      <c r="DV3" s="12" t="s">
        <v>2654</v>
      </c>
      <c r="DW3" s="12" t="s">
        <v>2655</v>
      </c>
      <c r="DX3" s="12" t="s">
        <v>2656</v>
      </c>
      <c r="DY3" s="12" t="s">
        <v>2657</v>
      </c>
      <c r="DZ3" s="12" t="s">
        <v>2658</v>
      </c>
      <c r="EA3" s="12" t="s">
        <v>2659</v>
      </c>
      <c r="EB3" s="12" t="s">
        <v>2660</v>
      </c>
      <c r="EC3" s="12" t="s">
        <v>2661</v>
      </c>
      <c r="ED3" s="12" t="s">
        <v>2662</v>
      </c>
      <c r="EE3" s="12" t="s">
        <v>2663</v>
      </c>
      <c r="EF3" s="12" t="s">
        <v>2664</v>
      </c>
      <c r="EG3" s="12" t="s">
        <v>2665</v>
      </c>
      <c r="EH3" s="12" t="s">
        <v>2666</v>
      </c>
      <c r="EI3" s="12" t="s">
        <v>2667</v>
      </c>
      <c r="EJ3" s="12" t="s">
        <v>2668</v>
      </c>
      <c r="EK3" s="12" t="s">
        <v>2669</v>
      </c>
      <c r="EL3" s="12" t="s">
        <v>2670</v>
      </c>
      <c r="EM3" s="12" t="s">
        <v>2671</v>
      </c>
      <c r="EN3" s="12" t="s">
        <v>2672</v>
      </c>
      <c r="EO3" s="12" t="s">
        <v>2673</v>
      </c>
      <c r="EP3" s="12" t="s">
        <v>2674</v>
      </c>
      <c r="EQ3" s="12" t="s">
        <v>2675</v>
      </c>
      <c r="ER3" s="12" t="s">
        <v>2676</v>
      </c>
      <c r="ES3" s="12" t="s">
        <v>2677</v>
      </c>
      <c r="ET3" s="12" t="s">
        <v>2678</v>
      </c>
      <c r="EU3" s="12" t="s">
        <v>2679</v>
      </c>
      <c r="EV3" s="12" t="s">
        <v>2680</v>
      </c>
      <c r="EW3" s="12" t="s">
        <v>2681</v>
      </c>
      <c r="EX3" s="12" t="s">
        <v>2682</v>
      </c>
      <c r="EY3" s="12" t="s">
        <v>2683</v>
      </c>
      <c r="EZ3" s="12" t="s">
        <v>2684</v>
      </c>
      <c r="FA3" s="12" t="s">
        <v>2685</v>
      </c>
      <c r="FB3" s="12" t="s">
        <v>2686</v>
      </c>
      <c r="FC3" s="12" t="s">
        <v>2687</v>
      </c>
      <c r="FD3" s="12" t="s">
        <v>2688</v>
      </c>
      <c r="FE3" s="12" t="s">
        <v>2689</v>
      </c>
      <c r="FF3" s="12" t="s">
        <v>2690</v>
      </c>
      <c r="FG3" s="12" t="s">
        <v>2691</v>
      </c>
      <c r="FH3" s="12" t="s">
        <v>2692</v>
      </c>
      <c r="FI3" s="12" t="s">
        <v>2693</v>
      </c>
      <c r="FJ3" s="12" t="s">
        <v>2694</v>
      </c>
      <c r="FK3" s="12" t="s">
        <v>2695</v>
      </c>
      <c r="FL3" s="12" t="s">
        <v>2696</v>
      </c>
      <c r="FM3" s="12" t="s">
        <v>2697</v>
      </c>
      <c r="FN3" s="12" t="s">
        <v>2698</v>
      </c>
      <c r="FO3" s="12" t="s">
        <v>2699</v>
      </c>
      <c r="FP3" s="12" t="s">
        <v>2700</v>
      </c>
      <c r="FQ3" s="12" t="s">
        <v>2701</v>
      </c>
      <c r="FR3" s="12" t="s">
        <v>2702</v>
      </c>
      <c r="FS3" s="12" t="s">
        <v>2703</v>
      </c>
      <c r="FT3" s="12" t="s">
        <v>2704</v>
      </c>
      <c r="FU3" s="12" t="s">
        <v>2705</v>
      </c>
      <c r="FV3" s="12" t="s">
        <v>2706</v>
      </c>
      <c r="FW3" s="12" t="s">
        <v>2707</v>
      </c>
      <c r="FX3" s="12" t="s">
        <v>2708</v>
      </c>
      <c r="FY3" s="12" t="s">
        <v>2709</v>
      </c>
      <c r="FZ3" s="12" t="s">
        <v>2710</v>
      </c>
      <c r="GA3" s="12" t="s">
        <v>2711</v>
      </c>
      <c r="GB3" s="12" t="s">
        <v>2712</v>
      </c>
      <c r="GC3" s="12" t="s">
        <v>2713</v>
      </c>
      <c r="GD3" s="12" t="s">
        <v>2714</v>
      </c>
      <c r="GE3" s="12" t="s">
        <v>2715</v>
      </c>
      <c r="GF3" s="12" t="s">
        <v>2716</v>
      </c>
      <c r="GG3" s="12" t="s">
        <v>2717</v>
      </c>
      <c r="GH3" s="12" t="s">
        <v>2718</v>
      </c>
      <c r="GI3" s="12" t="s">
        <v>2719</v>
      </c>
      <c r="GJ3" s="12" t="s">
        <v>2720</v>
      </c>
      <c r="GK3" s="12" t="s">
        <v>2721</v>
      </c>
      <c r="GL3" s="12" t="s">
        <v>2722</v>
      </c>
      <c r="GM3" s="12" t="s">
        <v>2723</v>
      </c>
      <c r="GN3" s="12" t="s">
        <v>2724</v>
      </c>
      <c r="GO3" s="12" t="s">
        <v>2725</v>
      </c>
      <c r="GP3" s="12" t="s">
        <v>2726</v>
      </c>
      <c r="GQ3" s="12" t="s">
        <v>2727</v>
      </c>
      <c r="GR3" s="12" t="s">
        <v>2728</v>
      </c>
      <c r="GS3" s="12" t="s">
        <v>2729</v>
      </c>
      <c r="GT3" s="12" t="s">
        <v>2730</v>
      </c>
      <c r="GU3" s="12" t="s">
        <v>2731</v>
      </c>
      <c r="GV3" s="12" t="s">
        <v>2732</v>
      </c>
      <c r="GW3" s="12" t="s">
        <v>2733</v>
      </c>
      <c r="GX3" s="12" t="s">
        <v>2734</v>
      </c>
      <c r="GY3" s="12" t="s">
        <v>2735</v>
      </c>
      <c r="GZ3" s="12" t="s">
        <v>2736</v>
      </c>
      <c r="HA3" s="12" t="s">
        <v>2737</v>
      </c>
      <c r="HB3" s="12" t="s">
        <v>2738</v>
      </c>
      <c r="HC3" s="12" t="s">
        <v>2739</v>
      </c>
      <c r="HD3" s="12" t="s">
        <v>2740</v>
      </c>
      <c r="HE3" s="12" t="s">
        <v>2741</v>
      </c>
      <c r="HF3" s="12" t="s">
        <v>2742</v>
      </c>
      <c r="HG3" s="12" t="s">
        <v>2743</v>
      </c>
      <c r="HH3" s="12" t="s">
        <v>2744</v>
      </c>
      <c r="HI3" s="12" t="s">
        <v>2745</v>
      </c>
      <c r="HJ3" s="12" t="s">
        <v>2746</v>
      </c>
      <c r="HK3" s="12" t="s">
        <v>2747</v>
      </c>
      <c r="HL3" s="12" t="s">
        <v>2748</v>
      </c>
      <c r="HM3" s="12" t="s">
        <v>2749</v>
      </c>
      <c r="HN3" s="12" t="s">
        <v>2750</v>
      </c>
      <c r="HO3" s="12" t="s">
        <v>2751</v>
      </c>
      <c r="HP3" s="12" t="s">
        <v>2752</v>
      </c>
      <c r="HQ3" s="12" t="s">
        <v>2753</v>
      </c>
      <c r="HR3" s="12" t="s">
        <v>2754</v>
      </c>
      <c r="HS3" s="12" t="s">
        <v>2755</v>
      </c>
      <c r="HT3" s="12" t="s">
        <v>2756</v>
      </c>
      <c r="HU3" s="12" t="s">
        <v>2757</v>
      </c>
      <c r="HV3" s="12" t="s">
        <v>2758</v>
      </c>
      <c r="HW3" s="12" t="s">
        <v>2759</v>
      </c>
      <c r="HX3" s="12" t="s">
        <v>2760</v>
      </c>
      <c r="HY3" s="12" t="s">
        <v>2761</v>
      </c>
      <c r="HZ3" s="12" t="s">
        <v>2762</v>
      </c>
      <c r="IA3" s="12" t="s">
        <v>2763</v>
      </c>
      <c r="IB3" s="12" t="s">
        <v>2764</v>
      </c>
      <c r="IC3" s="12" t="s">
        <v>2765</v>
      </c>
      <c r="ID3" s="12" t="s">
        <v>2766</v>
      </c>
      <c r="IE3" s="12" t="s">
        <v>2767</v>
      </c>
      <c r="IF3" s="12" t="s">
        <v>2768</v>
      </c>
      <c r="IG3" s="12" t="s">
        <v>2769</v>
      </c>
      <c r="IH3" s="12" t="s">
        <v>2770</v>
      </c>
      <c r="II3" s="12" t="s">
        <v>2771</v>
      </c>
      <c r="IJ3" s="12" t="s">
        <v>2772</v>
      </c>
      <c r="IK3" s="12" t="s">
        <v>2773</v>
      </c>
      <c r="IL3" s="12" t="s">
        <v>2774</v>
      </c>
      <c r="IM3" s="12" t="s">
        <v>2775</v>
      </c>
      <c r="IN3" s="12" t="s">
        <v>2776</v>
      </c>
      <c r="IO3" s="12" t="s">
        <v>2777</v>
      </c>
      <c r="IP3" s="12" t="s">
        <v>2778</v>
      </c>
      <c r="IQ3" s="12" t="s">
        <v>2779</v>
      </c>
      <c r="IR3" s="12" t="s">
        <v>2780</v>
      </c>
      <c r="IS3" s="12" t="s">
        <v>2781</v>
      </c>
      <c r="IT3" s="12" t="s">
        <v>2782</v>
      </c>
      <c r="IU3" s="12" t="s">
        <v>2783</v>
      </c>
      <c r="IV3" s="12" t="s">
        <v>2784</v>
      </c>
      <c r="IW3" s="12" t="s">
        <v>2785</v>
      </c>
      <c r="IX3" s="12" t="s">
        <v>2786</v>
      </c>
      <c r="IY3" s="12" t="s">
        <v>2787</v>
      </c>
      <c r="IZ3" s="12" t="s">
        <v>2788</v>
      </c>
      <c r="JA3" s="12" t="s">
        <v>2789</v>
      </c>
      <c r="JB3" s="12" t="s">
        <v>2790</v>
      </c>
      <c r="JC3" s="12" t="s">
        <v>2791</v>
      </c>
      <c r="JD3" s="12" t="s">
        <v>2792</v>
      </c>
      <c r="JE3" s="12" t="s">
        <v>2793</v>
      </c>
      <c r="JF3" s="12" t="s">
        <v>2794</v>
      </c>
      <c r="JG3" s="12" t="s">
        <v>2795</v>
      </c>
      <c r="JH3" s="12" t="s">
        <v>2796</v>
      </c>
      <c r="JI3" s="12" t="s">
        <v>2797</v>
      </c>
      <c r="JJ3" s="12" t="s">
        <v>2798</v>
      </c>
      <c r="JK3" s="12" t="s">
        <v>2799</v>
      </c>
      <c r="JL3" s="12" t="s">
        <v>2800</v>
      </c>
      <c r="JM3" s="12" t="s">
        <v>2801</v>
      </c>
      <c r="JN3" s="12" t="s">
        <v>2802</v>
      </c>
      <c r="JO3" s="12" t="s">
        <v>2803</v>
      </c>
      <c r="JP3" s="12" t="s">
        <v>2804</v>
      </c>
      <c r="JQ3" s="12" t="s">
        <v>2805</v>
      </c>
      <c r="JR3" s="12" t="s">
        <v>2806</v>
      </c>
      <c r="JS3" s="12" t="s">
        <v>2807</v>
      </c>
      <c r="JT3" s="12" t="s">
        <v>2808</v>
      </c>
      <c r="JU3" s="12" t="s">
        <v>2809</v>
      </c>
      <c r="JV3" s="12" t="s">
        <v>2810</v>
      </c>
      <c r="JW3" s="12" t="s">
        <v>2811</v>
      </c>
      <c r="JX3" s="12" t="s">
        <v>2812</v>
      </c>
      <c r="JY3" s="12" t="s">
        <v>2813</v>
      </c>
      <c r="JZ3" s="12" t="s">
        <v>2814</v>
      </c>
      <c r="KA3" s="12" t="s">
        <v>2815</v>
      </c>
      <c r="KB3" s="12" t="s">
        <v>2816</v>
      </c>
      <c r="KC3" s="12" t="s">
        <v>2817</v>
      </c>
      <c r="KD3" s="12" t="s">
        <v>2818</v>
      </c>
      <c r="KE3" s="12" t="s">
        <v>2819</v>
      </c>
      <c r="KF3" s="12" t="s">
        <v>2820</v>
      </c>
      <c r="KG3" s="12" t="s">
        <v>2821</v>
      </c>
      <c r="KH3" s="12" t="s">
        <v>2822</v>
      </c>
      <c r="KI3" s="12" t="s">
        <v>2823</v>
      </c>
      <c r="KJ3" s="12" t="s">
        <v>2824</v>
      </c>
      <c r="KK3" s="12" t="s">
        <v>2825</v>
      </c>
      <c r="KL3" s="12" t="s">
        <v>2826</v>
      </c>
      <c r="KM3" s="12" t="s">
        <v>2827</v>
      </c>
      <c r="KN3" s="12" t="s">
        <v>2828</v>
      </c>
      <c r="KO3" s="12" t="s">
        <v>2829</v>
      </c>
      <c r="KP3" s="12" t="s">
        <v>2830</v>
      </c>
      <c r="KQ3" s="12" t="s">
        <v>2831</v>
      </c>
      <c r="KR3" s="12" t="s">
        <v>2832</v>
      </c>
      <c r="KS3" s="12" t="s">
        <v>2833</v>
      </c>
      <c r="KT3" s="12" t="s">
        <v>2834</v>
      </c>
      <c r="KU3" s="12" t="s">
        <v>2835</v>
      </c>
      <c r="KV3" s="12" t="s">
        <v>2836</v>
      </c>
      <c r="KW3" s="12" t="s">
        <v>2837</v>
      </c>
      <c r="KX3" s="12" t="s">
        <v>2838</v>
      </c>
      <c r="KY3" s="12" t="s">
        <v>2839</v>
      </c>
      <c r="KZ3" s="12" t="s">
        <v>2840</v>
      </c>
      <c r="LA3" s="12" t="s">
        <v>2841</v>
      </c>
      <c r="LB3" s="12" t="s">
        <v>2842</v>
      </c>
      <c r="LC3" s="12" t="s">
        <v>2843</v>
      </c>
      <c r="LD3" s="12" t="s">
        <v>2844</v>
      </c>
      <c r="LE3" s="12" t="s">
        <v>2845</v>
      </c>
      <c r="LF3" s="12" t="s">
        <v>2846</v>
      </c>
      <c r="LG3" s="12" t="s">
        <v>2847</v>
      </c>
      <c r="LH3" s="12" t="s">
        <v>2848</v>
      </c>
      <c r="LI3" s="12" t="s">
        <v>2849</v>
      </c>
      <c r="LJ3" s="12" t="s">
        <v>2850</v>
      </c>
      <c r="LK3" s="12" t="s">
        <v>2851</v>
      </c>
      <c r="LL3" s="12" t="s">
        <v>2852</v>
      </c>
      <c r="LM3" s="12" t="s">
        <v>2853</v>
      </c>
      <c r="LN3" s="12" t="s">
        <v>2854</v>
      </c>
      <c r="LO3" s="12" t="s">
        <v>2855</v>
      </c>
      <c r="LP3" s="12" t="s">
        <v>2856</v>
      </c>
      <c r="LQ3" s="12" t="s">
        <v>2857</v>
      </c>
      <c r="LR3" s="12" t="s">
        <v>2858</v>
      </c>
      <c r="LS3" s="12" t="s">
        <v>2859</v>
      </c>
      <c r="LT3" s="12" t="s">
        <v>2860</v>
      </c>
      <c r="LU3" s="12" t="s">
        <v>2861</v>
      </c>
      <c r="LV3" s="12" t="s">
        <v>2862</v>
      </c>
      <c r="LW3" s="12" t="s">
        <v>2863</v>
      </c>
      <c r="LX3" s="12" t="s">
        <v>2864</v>
      </c>
      <c r="LY3" s="12" t="s">
        <v>2865</v>
      </c>
      <c r="LZ3" s="12" t="s">
        <v>2866</v>
      </c>
      <c r="MA3" s="12" t="s">
        <v>2867</v>
      </c>
      <c r="MB3" s="12" t="s">
        <v>2868</v>
      </c>
      <c r="MC3" s="12" t="s">
        <v>2869</v>
      </c>
      <c r="MD3" s="12" t="s">
        <v>2870</v>
      </c>
      <c r="ME3" s="12" t="s">
        <v>2871</v>
      </c>
      <c r="MF3" s="12" t="s">
        <v>2872</v>
      </c>
      <c r="MG3" s="12" t="s">
        <v>2873</v>
      </c>
      <c r="MH3" s="12" t="s">
        <v>2874</v>
      </c>
      <c r="MI3" s="12" t="s">
        <v>2875</v>
      </c>
      <c r="MJ3" s="12" t="s">
        <v>2876</v>
      </c>
      <c r="MK3" s="12" t="s">
        <v>2877</v>
      </c>
      <c r="ML3" s="12" t="s">
        <v>2878</v>
      </c>
      <c r="MM3" s="12" t="s">
        <v>2879</v>
      </c>
      <c r="MN3" s="12" t="s">
        <v>2880</v>
      </c>
      <c r="MO3" s="12" t="s">
        <v>2881</v>
      </c>
      <c r="MP3" s="12" t="s">
        <v>2882</v>
      </c>
      <c r="MQ3" s="12" t="s">
        <v>2883</v>
      </c>
      <c r="MR3" s="12" t="s">
        <v>2884</v>
      </c>
      <c r="MS3" s="12" t="s">
        <v>2885</v>
      </c>
      <c r="MT3" s="12" t="s">
        <v>2886</v>
      </c>
      <c r="MU3" s="12" t="s">
        <v>2887</v>
      </c>
      <c r="MV3" s="12" t="s">
        <v>2888</v>
      </c>
      <c r="MW3" s="12" t="s">
        <v>2889</v>
      </c>
      <c r="MX3" s="12" t="s">
        <v>2890</v>
      </c>
      <c r="MY3" s="12" t="s">
        <v>2891</v>
      </c>
      <c r="MZ3" s="12" t="s">
        <v>2892</v>
      </c>
      <c r="NA3" s="12" t="s">
        <v>2893</v>
      </c>
      <c r="NB3" s="12" t="s">
        <v>2894</v>
      </c>
      <c r="NC3" s="12" t="s">
        <v>2895</v>
      </c>
      <c r="ND3" s="12" t="s">
        <v>2896</v>
      </c>
      <c r="NE3" s="12" t="s">
        <v>2897</v>
      </c>
      <c r="NF3" s="12" t="s">
        <v>2898</v>
      </c>
      <c r="NG3" s="12" t="s">
        <v>2899</v>
      </c>
      <c r="NH3" s="12" t="s">
        <v>2900</v>
      </c>
      <c r="NI3" s="12" t="s">
        <v>2901</v>
      </c>
      <c r="NJ3" s="12" t="s">
        <v>2902</v>
      </c>
      <c r="NK3" s="12" t="s">
        <v>2903</v>
      </c>
      <c r="NL3" s="12" t="s">
        <v>2904</v>
      </c>
      <c r="NM3" s="12" t="s">
        <v>2905</v>
      </c>
      <c r="NN3" s="12" t="s">
        <v>2906</v>
      </c>
      <c r="NO3" s="12" t="s">
        <v>2907</v>
      </c>
      <c r="NP3" s="12" t="s">
        <v>2908</v>
      </c>
      <c r="NQ3" s="12" t="s">
        <v>2909</v>
      </c>
      <c r="NR3" s="12" t="s">
        <v>2910</v>
      </c>
      <c r="NS3" s="12" t="s">
        <v>2911</v>
      </c>
      <c r="NT3" s="12" t="s">
        <v>2912</v>
      </c>
      <c r="NU3" s="12" t="s">
        <v>2913</v>
      </c>
      <c r="NV3" s="12" t="s">
        <v>2914</v>
      </c>
      <c r="NW3" s="12" t="s">
        <v>2915</v>
      </c>
      <c r="NX3" s="12" t="s">
        <v>2916</v>
      </c>
      <c r="NY3" s="12" t="s">
        <v>2917</v>
      </c>
      <c r="NZ3" s="12" t="s">
        <v>2918</v>
      </c>
      <c r="OA3" s="12" t="s">
        <v>2919</v>
      </c>
      <c r="OB3" s="12" t="s">
        <v>2920</v>
      </c>
      <c r="OC3" s="12" t="s">
        <v>2921</v>
      </c>
      <c r="OD3" s="12" t="s">
        <v>2922</v>
      </c>
      <c r="OE3" s="12" t="s">
        <v>2923</v>
      </c>
      <c r="OF3" s="12" t="s">
        <v>2924</v>
      </c>
      <c r="OG3" s="12" t="s">
        <v>2925</v>
      </c>
      <c r="OH3" s="12" t="s">
        <v>2926</v>
      </c>
      <c r="OI3" s="12" t="s">
        <v>2927</v>
      </c>
      <c r="OJ3" s="12" t="s">
        <v>2928</v>
      </c>
      <c r="OK3" s="12" t="s">
        <v>2929</v>
      </c>
      <c r="OL3" s="12" t="s">
        <v>2930</v>
      </c>
      <c r="OM3" s="12" t="s">
        <v>2931</v>
      </c>
      <c r="ON3" s="12" t="s">
        <v>2932</v>
      </c>
      <c r="OO3" s="12" t="s">
        <v>2933</v>
      </c>
      <c r="OP3" s="12" t="s">
        <v>2934</v>
      </c>
      <c r="OQ3" s="12" t="s">
        <v>2935</v>
      </c>
      <c r="OR3" s="12" t="s">
        <v>2936</v>
      </c>
      <c r="OS3" s="12" t="s">
        <v>2937</v>
      </c>
      <c r="OT3" s="12" t="s">
        <v>2938</v>
      </c>
      <c r="OU3" s="12" t="s">
        <v>2939</v>
      </c>
      <c r="OV3" s="12" t="s">
        <v>2940</v>
      </c>
      <c r="OW3" s="12" t="s">
        <v>2941</v>
      </c>
      <c r="OX3" s="12" t="s">
        <v>2942</v>
      </c>
      <c r="OY3" s="12" t="s">
        <v>2943</v>
      </c>
      <c r="OZ3" s="12" t="s">
        <v>2944</v>
      </c>
      <c r="PA3" s="12" t="s">
        <v>2945</v>
      </c>
      <c r="PB3" s="12" t="s">
        <v>2946</v>
      </c>
      <c r="PC3" s="12" t="s">
        <v>2947</v>
      </c>
      <c r="PD3" s="12" t="s">
        <v>2948</v>
      </c>
      <c r="PE3" s="12" t="s">
        <v>2949</v>
      </c>
      <c r="PF3" s="12" t="s">
        <v>2950</v>
      </c>
      <c r="PG3" s="12" t="s">
        <v>2951</v>
      </c>
      <c r="PH3" s="12" t="s">
        <v>2952</v>
      </c>
      <c r="PI3" s="12" t="s">
        <v>2953</v>
      </c>
      <c r="PJ3" s="12" t="s">
        <v>2954</v>
      </c>
      <c r="PK3" s="12" t="s">
        <v>2955</v>
      </c>
      <c r="PL3" s="12" t="s">
        <v>2956</v>
      </c>
      <c r="PM3" s="12" t="s">
        <v>2957</v>
      </c>
      <c r="PN3" s="12" t="s">
        <v>2958</v>
      </c>
      <c r="PO3" s="12" t="s">
        <v>2959</v>
      </c>
      <c r="PP3" s="12" t="s">
        <v>2960</v>
      </c>
      <c r="PQ3" s="12" t="s">
        <v>2961</v>
      </c>
      <c r="PR3" s="12" t="s">
        <v>2962</v>
      </c>
      <c r="PS3" s="12" t="s">
        <v>2963</v>
      </c>
      <c r="PT3" s="12" t="s">
        <v>2964</v>
      </c>
      <c r="PU3" s="12" t="s">
        <v>2965</v>
      </c>
      <c r="PV3" s="12" t="s">
        <v>2966</v>
      </c>
      <c r="PW3" s="12" t="s">
        <v>2967</v>
      </c>
      <c r="PX3" s="12" t="s">
        <v>2968</v>
      </c>
      <c r="PY3" s="12" t="s">
        <v>2969</v>
      </c>
      <c r="PZ3" s="12" t="s">
        <v>2970</v>
      </c>
      <c r="QA3" s="12" t="s">
        <v>2971</v>
      </c>
      <c r="QB3" s="12" t="s">
        <v>2972</v>
      </c>
      <c r="QC3" s="12" t="s">
        <v>2973</v>
      </c>
      <c r="QD3" s="12" t="s">
        <v>2974</v>
      </c>
      <c r="QE3" s="12" t="s">
        <v>2975</v>
      </c>
      <c r="QF3" s="12" t="s">
        <v>2976</v>
      </c>
      <c r="QG3" s="12" t="s">
        <v>2977</v>
      </c>
      <c r="QH3" s="12" t="s">
        <v>2978</v>
      </c>
      <c r="QI3" s="12" t="s">
        <v>2979</v>
      </c>
      <c r="QJ3" s="12" t="s">
        <v>2980</v>
      </c>
      <c r="QK3" s="12" t="s">
        <v>2981</v>
      </c>
      <c r="QL3" s="12" t="s">
        <v>2982</v>
      </c>
      <c r="QM3" s="12" t="s">
        <v>2983</v>
      </c>
      <c r="QN3" s="12" t="s">
        <v>2984</v>
      </c>
      <c r="QO3" s="12" t="s">
        <v>2985</v>
      </c>
      <c r="QP3" s="12" t="s">
        <v>2986</v>
      </c>
      <c r="QQ3" s="12" t="s">
        <v>2987</v>
      </c>
      <c r="QR3" s="12" t="s">
        <v>2988</v>
      </c>
      <c r="QS3" s="12" t="s">
        <v>2989</v>
      </c>
      <c r="QT3" s="12" t="s">
        <v>2990</v>
      </c>
      <c r="QU3" s="12" t="s">
        <v>2991</v>
      </c>
      <c r="QV3" s="12" t="s">
        <v>2992</v>
      </c>
      <c r="QW3" s="12" t="s">
        <v>2993</v>
      </c>
      <c r="QX3" s="12" t="s">
        <v>2994</v>
      </c>
      <c r="QY3" s="12" t="s">
        <v>2995</v>
      </c>
      <c r="QZ3" s="12" t="s">
        <v>2996</v>
      </c>
      <c r="RA3" s="12" t="s">
        <v>2997</v>
      </c>
      <c r="RB3" s="12" t="s">
        <v>2998</v>
      </c>
      <c r="RC3" s="12" t="s">
        <v>2999</v>
      </c>
      <c r="RD3" s="12" t="s">
        <v>3000</v>
      </c>
      <c r="RE3" s="12" t="s">
        <v>3001</v>
      </c>
      <c r="RF3" s="12" t="s">
        <v>3002</v>
      </c>
      <c r="RG3" s="12" t="s">
        <v>3003</v>
      </c>
      <c r="RH3" s="12" t="s">
        <v>3004</v>
      </c>
      <c r="RI3" s="12" t="s">
        <v>3005</v>
      </c>
      <c r="RJ3" s="12" t="s">
        <v>3006</v>
      </c>
      <c r="RK3" s="12" t="s">
        <v>3007</v>
      </c>
      <c r="RL3" s="12" t="s">
        <v>3008</v>
      </c>
      <c r="RM3" s="12" t="s">
        <v>3009</v>
      </c>
      <c r="RN3" s="12" t="s">
        <v>3010</v>
      </c>
      <c r="RO3" s="12" t="s">
        <v>3011</v>
      </c>
      <c r="RP3" s="12" t="s">
        <v>3012</v>
      </c>
      <c r="RQ3" s="12" t="s">
        <v>3013</v>
      </c>
      <c r="RR3" s="12" t="s">
        <v>3014</v>
      </c>
      <c r="RS3" s="12" t="s">
        <v>3015</v>
      </c>
      <c r="RT3" s="12" t="s">
        <v>3016</v>
      </c>
      <c r="RU3" s="12" t="s">
        <v>3017</v>
      </c>
      <c r="RV3" s="12" t="s">
        <v>3018</v>
      </c>
      <c r="RW3" s="12" t="s">
        <v>3019</v>
      </c>
      <c r="RX3" s="12" t="s">
        <v>3020</v>
      </c>
      <c r="RY3" s="12" t="s">
        <v>3021</v>
      </c>
      <c r="RZ3" s="12" t="s">
        <v>3022</v>
      </c>
      <c r="SA3" s="12" t="s">
        <v>3023</v>
      </c>
      <c r="SB3" s="12" t="s">
        <v>3024</v>
      </c>
      <c r="SC3" s="12" t="s">
        <v>3025</v>
      </c>
      <c r="SD3" s="12" t="s">
        <v>3026</v>
      </c>
      <c r="SE3" s="12" t="s">
        <v>3027</v>
      </c>
      <c r="SF3" s="12" t="s">
        <v>3028</v>
      </c>
      <c r="SG3" s="12" t="s">
        <v>3029</v>
      </c>
      <c r="SH3" s="12" t="s">
        <v>3030</v>
      </c>
      <c r="SI3" s="12" t="s">
        <v>3031</v>
      </c>
      <c r="SJ3" s="12" t="s">
        <v>3032</v>
      </c>
      <c r="SK3" s="12" t="s">
        <v>3033</v>
      </c>
      <c r="SL3" s="12" t="s">
        <v>3034</v>
      </c>
      <c r="SM3" s="12" t="s">
        <v>3035</v>
      </c>
      <c r="SN3" s="12" t="s">
        <v>3036</v>
      </c>
      <c r="SO3" s="12" t="s">
        <v>3037</v>
      </c>
      <c r="SP3" s="12" t="s">
        <v>3038</v>
      </c>
      <c r="SQ3" s="12" t="s">
        <v>3039</v>
      </c>
      <c r="SR3" s="12" t="s">
        <v>3040</v>
      </c>
      <c r="SS3" s="12" t="s">
        <v>3041</v>
      </c>
      <c r="ST3" s="12" t="s">
        <v>3042</v>
      </c>
      <c r="SU3" s="12" t="s">
        <v>3043</v>
      </c>
      <c r="SV3" s="12" t="s">
        <v>3044</v>
      </c>
      <c r="SW3" s="12" t="s">
        <v>3045</v>
      </c>
      <c r="SX3" s="12" t="s">
        <v>3046</v>
      </c>
      <c r="SY3" s="12" t="s">
        <v>3047</v>
      </c>
      <c r="SZ3" s="12" t="s">
        <v>3048</v>
      </c>
      <c r="TA3" s="12" t="s">
        <v>3049</v>
      </c>
      <c r="TB3" s="12" t="s">
        <v>3050</v>
      </c>
      <c r="TC3" s="12" t="s">
        <v>3051</v>
      </c>
      <c r="TD3" s="12" t="s">
        <v>3052</v>
      </c>
      <c r="TE3" s="12" t="s">
        <v>3053</v>
      </c>
      <c r="TF3" s="12" t="s">
        <v>3054</v>
      </c>
      <c r="TG3" s="12" t="s">
        <v>3055</v>
      </c>
      <c r="TH3" s="12" t="s">
        <v>3056</v>
      </c>
      <c r="TI3" s="12" t="s">
        <v>3057</v>
      </c>
      <c r="TJ3" s="12" t="s">
        <v>3058</v>
      </c>
      <c r="TK3" s="12" t="s">
        <v>3059</v>
      </c>
      <c r="TL3" s="12" t="s">
        <v>3060</v>
      </c>
      <c r="TM3" s="12" t="s">
        <v>3061</v>
      </c>
      <c r="TN3" s="12" t="s">
        <v>3062</v>
      </c>
      <c r="TO3" s="12" t="s">
        <v>3063</v>
      </c>
      <c r="TP3" s="12" t="s">
        <v>3064</v>
      </c>
      <c r="TQ3" s="12" t="s">
        <v>3065</v>
      </c>
      <c r="TR3" s="12" t="s">
        <v>3066</v>
      </c>
      <c r="TS3" s="12" t="s">
        <v>3067</v>
      </c>
      <c r="TT3" s="12" t="s">
        <v>3068</v>
      </c>
      <c r="TU3" s="12" t="s">
        <v>3069</v>
      </c>
      <c r="TV3" s="12" t="s">
        <v>3070</v>
      </c>
      <c r="TW3" s="12" t="s">
        <v>3071</v>
      </c>
      <c r="TX3" s="12" t="s">
        <v>3072</v>
      </c>
      <c r="TY3" s="12" t="s">
        <v>3073</v>
      </c>
      <c r="TZ3" s="12" t="s">
        <v>3074</v>
      </c>
      <c r="UA3" s="12" t="s">
        <v>3075</v>
      </c>
      <c r="UB3" s="12" t="s">
        <v>3076</v>
      </c>
      <c r="UC3" s="12" t="s">
        <v>3077</v>
      </c>
      <c r="UD3" s="12" t="s">
        <v>3078</v>
      </c>
      <c r="UE3" s="12" t="s">
        <v>3079</v>
      </c>
      <c r="UF3" s="12" t="s">
        <v>3080</v>
      </c>
      <c r="UG3" s="12" t="s">
        <v>3081</v>
      </c>
      <c r="UH3" s="12" t="s">
        <v>3082</v>
      </c>
      <c r="UI3" s="12" t="s">
        <v>3083</v>
      </c>
      <c r="UJ3" s="12" t="s">
        <v>3084</v>
      </c>
      <c r="UK3" s="12" t="s">
        <v>3085</v>
      </c>
      <c r="UL3" s="12" t="s">
        <v>3086</v>
      </c>
      <c r="UM3" s="12" t="s">
        <v>3087</v>
      </c>
      <c r="UN3" s="12" t="s">
        <v>3088</v>
      </c>
      <c r="UO3" s="12" t="s">
        <v>3089</v>
      </c>
      <c r="UP3" s="12" t="s">
        <v>3090</v>
      </c>
      <c r="UQ3" s="12" t="s">
        <v>3091</v>
      </c>
      <c r="UR3" s="12" t="s">
        <v>3092</v>
      </c>
      <c r="US3" s="12" t="s">
        <v>3093</v>
      </c>
      <c r="UT3" s="12" t="s">
        <v>3094</v>
      </c>
      <c r="UU3" s="12" t="s">
        <v>3095</v>
      </c>
      <c r="UV3" s="12" t="s">
        <v>3096</v>
      </c>
      <c r="UW3" s="12" t="s">
        <v>3097</v>
      </c>
      <c r="UX3" s="12" t="s">
        <v>3098</v>
      </c>
      <c r="UY3" s="12" t="s">
        <v>3099</v>
      </c>
      <c r="UZ3" s="12" t="s">
        <v>3100</v>
      </c>
      <c r="VA3" s="12" t="s">
        <v>3101</v>
      </c>
      <c r="VB3" s="12" t="s">
        <v>3102</v>
      </c>
      <c r="VC3" s="12" t="s">
        <v>3103</v>
      </c>
      <c r="VD3" s="12" t="s">
        <v>3104</v>
      </c>
      <c r="VE3" s="12" t="s">
        <v>3105</v>
      </c>
      <c r="VF3" s="12" t="s">
        <v>3106</v>
      </c>
      <c r="VG3" s="12" t="s">
        <v>3107</v>
      </c>
      <c r="VH3" s="12" t="s">
        <v>3108</v>
      </c>
      <c r="VI3" s="12" t="s">
        <v>3109</v>
      </c>
      <c r="VJ3" s="12" t="s">
        <v>3110</v>
      </c>
      <c r="VK3" s="12" t="s">
        <v>3111</v>
      </c>
      <c r="VL3" s="12" t="s">
        <v>3112</v>
      </c>
      <c r="VM3" s="12" t="s">
        <v>3113</v>
      </c>
      <c r="VN3" s="12" t="s">
        <v>3114</v>
      </c>
      <c r="VO3" s="12" t="s">
        <v>3115</v>
      </c>
      <c r="VP3" s="12" t="s">
        <v>3116</v>
      </c>
      <c r="VQ3" s="12" t="s">
        <v>3117</v>
      </c>
      <c r="VR3" s="12" t="s">
        <v>3118</v>
      </c>
      <c r="VS3" s="12" t="s">
        <v>3119</v>
      </c>
      <c r="VT3" s="12" t="s">
        <v>3120</v>
      </c>
      <c r="VU3" s="12" t="s">
        <v>3121</v>
      </c>
      <c r="VV3" s="12" t="s">
        <v>3122</v>
      </c>
      <c r="VW3" s="12" t="s">
        <v>3123</v>
      </c>
      <c r="VX3" s="12" t="s">
        <v>3124</v>
      </c>
      <c r="VY3" s="12" t="s">
        <v>3125</v>
      </c>
      <c r="VZ3" s="12" t="s">
        <v>3126</v>
      </c>
      <c r="WA3" s="12" t="s">
        <v>3127</v>
      </c>
      <c r="WB3" s="12" t="s">
        <v>3128</v>
      </c>
      <c r="WC3" s="12" t="s">
        <v>3129</v>
      </c>
      <c r="WD3" s="12" t="s">
        <v>3130</v>
      </c>
      <c r="WE3" s="12" t="s">
        <v>3131</v>
      </c>
      <c r="WF3" s="12" t="s">
        <v>3132</v>
      </c>
      <c r="WG3" s="12" t="s">
        <v>3133</v>
      </c>
      <c r="WH3" s="12" t="s">
        <v>3134</v>
      </c>
      <c r="WI3" s="12" t="s">
        <v>3135</v>
      </c>
      <c r="WJ3" s="12" t="s">
        <v>3136</v>
      </c>
      <c r="WK3" s="12" t="s">
        <v>3137</v>
      </c>
      <c r="WL3" s="12" t="s">
        <v>3138</v>
      </c>
      <c r="WM3" s="12" t="s">
        <v>3139</v>
      </c>
      <c r="WN3" s="12" t="s">
        <v>3140</v>
      </c>
      <c r="WO3" s="12" t="s">
        <v>3141</v>
      </c>
      <c r="WP3" s="12" t="s">
        <v>3142</v>
      </c>
      <c r="WQ3" s="12" t="s">
        <v>3143</v>
      </c>
      <c r="WR3" s="12" t="s">
        <v>3144</v>
      </c>
      <c r="WS3" s="12" t="s">
        <v>3145</v>
      </c>
      <c r="WT3" s="12" t="s">
        <v>3146</v>
      </c>
      <c r="WU3" s="12" t="s">
        <v>3147</v>
      </c>
      <c r="WV3" s="12" t="s">
        <v>3148</v>
      </c>
      <c r="WW3" s="12" t="s">
        <v>3149</v>
      </c>
      <c r="WX3" s="12" t="s">
        <v>3150</v>
      </c>
      <c r="WY3" s="12" t="s">
        <v>3151</v>
      </c>
      <c r="WZ3" s="12" t="s">
        <v>3152</v>
      </c>
      <c r="XA3" s="12" t="s">
        <v>3153</v>
      </c>
      <c r="XB3" s="12" t="s">
        <v>3154</v>
      </c>
      <c r="XC3" s="12" t="s">
        <v>3155</v>
      </c>
      <c r="XD3" s="12" t="s">
        <v>3156</v>
      </c>
      <c r="XE3" s="12" t="s">
        <v>3157</v>
      </c>
      <c r="XF3" s="12" t="s">
        <v>3158</v>
      </c>
      <c r="XG3" s="12" t="s">
        <v>3159</v>
      </c>
      <c r="XH3" s="12" t="s">
        <v>3160</v>
      </c>
      <c r="XI3" s="12" t="s">
        <v>3161</v>
      </c>
      <c r="XJ3" s="12" t="s">
        <v>3162</v>
      </c>
      <c r="XK3" s="12" t="s">
        <v>3163</v>
      </c>
      <c r="XL3" s="12" t="s">
        <v>3164</v>
      </c>
      <c r="XM3" s="12" t="s">
        <v>3165</v>
      </c>
      <c r="XN3" s="12" t="s">
        <v>3166</v>
      </c>
      <c r="XO3" s="12" t="s">
        <v>3167</v>
      </c>
      <c r="XP3" s="12" t="s">
        <v>3168</v>
      </c>
      <c r="XQ3" s="12" t="s">
        <v>3169</v>
      </c>
      <c r="XR3" s="12" t="s">
        <v>3170</v>
      </c>
      <c r="XS3" s="12" t="s">
        <v>3171</v>
      </c>
      <c r="XT3" s="12" t="s">
        <v>3172</v>
      </c>
      <c r="XU3" s="12" t="s">
        <v>3173</v>
      </c>
      <c r="XV3" s="12" t="s">
        <v>3174</v>
      </c>
      <c r="XW3" s="12" t="s">
        <v>3175</v>
      </c>
      <c r="XX3" s="12" t="s">
        <v>3176</v>
      </c>
      <c r="XY3" s="12" t="s">
        <v>3177</v>
      </c>
      <c r="XZ3" s="12" t="s">
        <v>3178</v>
      </c>
      <c r="YA3" s="12" t="s">
        <v>3179</v>
      </c>
      <c r="YB3" s="12" t="s">
        <v>3180</v>
      </c>
      <c r="YC3" s="12" t="s">
        <v>3181</v>
      </c>
      <c r="YD3" s="12" t="s">
        <v>3182</v>
      </c>
      <c r="YE3" s="12" t="s">
        <v>3183</v>
      </c>
      <c r="YF3" s="12" t="s">
        <v>3184</v>
      </c>
      <c r="YG3" s="12" t="s">
        <v>3185</v>
      </c>
      <c r="YH3" s="12" t="s">
        <v>3186</v>
      </c>
      <c r="YI3" s="12" t="s">
        <v>3187</v>
      </c>
      <c r="YJ3" s="12" t="s">
        <v>3188</v>
      </c>
      <c r="YK3" s="12" t="s">
        <v>3189</v>
      </c>
      <c r="YL3" s="12" t="s">
        <v>3190</v>
      </c>
      <c r="YM3" s="12" t="s">
        <v>3191</v>
      </c>
      <c r="YN3" s="12" t="s">
        <v>3192</v>
      </c>
      <c r="YO3" s="12" t="s">
        <v>3193</v>
      </c>
      <c r="YP3" s="12" t="s">
        <v>3194</v>
      </c>
      <c r="YQ3" s="12" t="s">
        <v>3195</v>
      </c>
      <c r="YR3" s="12" t="s">
        <v>3196</v>
      </c>
      <c r="YS3" s="12" t="s">
        <v>3197</v>
      </c>
      <c r="YT3" s="12" t="s">
        <v>3198</v>
      </c>
      <c r="YU3" s="12" t="s">
        <v>3199</v>
      </c>
      <c r="YV3" s="12" t="s">
        <v>3200</v>
      </c>
      <c r="YW3" s="12" t="s">
        <v>3201</v>
      </c>
      <c r="YX3" s="12" t="s">
        <v>3202</v>
      </c>
      <c r="YY3" s="12" t="s">
        <v>3203</v>
      </c>
      <c r="YZ3" s="12" t="s">
        <v>3204</v>
      </c>
      <c r="ZA3" s="12" t="s">
        <v>3205</v>
      </c>
      <c r="ZB3" s="12" t="s">
        <v>3206</v>
      </c>
      <c r="ZC3" s="12" t="s">
        <v>3207</v>
      </c>
      <c r="ZD3" s="12" t="s">
        <v>3208</v>
      </c>
      <c r="ZE3" s="12" t="s">
        <v>3209</v>
      </c>
      <c r="ZF3" s="12" t="s">
        <v>3210</v>
      </c>
      <c r="ZG3" s="12" t="s">
        <v>3211</v>
      </c>
      <c r="ZH3" s="12" t="s">
        <v>3212</v>
      </c>
      <c r="ZI3" s="12" t="s">
        <v>3213</v>
      </c>
      <c r="ZJ3" s="12" t="s">
        <v>3214</v>
      </c>
      <c r="ZK3" s="12" t="s">
        <v>3215</v>
      </c>
      <c r="ZL3" s="12" t="s">
        <v>3216</v>
      </c>
      <c r="ZM3" s="12" t="s">
        <v>3217</v>
      </c>
      <c r="ZN3" s="12" t="s">
        <v>3218</v>
      </c>
      <c r="ZO3" s="12" t="s">
        <v>3219</v>
      </c>
      <c r="ZP3" s="12" t="s">
        <v>3220</v>
      </c>
      <c r="ZQ3" s="12" t="s">
        <v>3221</v>
      </c>
      <c r="ZR3" s="12" t="s">
        <v>3222</v>
      </c>
      <c r="ZS3" s="12" t="s">
        <v>3223</v>
      </c>
      <c r="ZT3" s="12" t="s">
        <v>3224</v>
      </c>
      <c r="ZU3" s="12" t="s">
        <v>3225</v>
      </c>
      <c r="ZV3" s="12" t="s">
        <v>3226</v>
      </c>
      <c r="ZW3" s="12" t="s">
        <v>3227</v>
      </c>
      <c r="ZX3" s="12" t="s">
        <v>3228</v>
      </c>
      <c r="ZY3" s="12" t="s">
        <v>3229</v>
      </c>
      <c r="ZZ3" s="12" t="s">
        <v>3230</v>
      </c>
      <c r="AAA3" s="12" t="s">
        <v>3231</v>
      </c>
      <c r="AAB3" s="12" t="s">
        <v>3232</v>
      </c>
      <c r="AAC3" s="12" t="s">
        <v>3233</v>
      </c>
      <c r="AAD3" s="12" t="s">
        <v>3234</v>
      </c>
      <c r="AAE3" s="12" t="s">
        <v>3235</v>
      </c>
      <c r="AAF3" s="12" t="s">
        <v>3236</v>
      </c>
      <c r="AAG3" s="12" t="s">
        <v>3237</v>
      </c>
      <c r="AAH3" s="12" t="s">
        <v>3238</v>
      </c>
      <c r="AAI3" s="12" t="s">
        <v>3239</v>
      </c>
      <c r="AAJ3" s="12" t="s">
        <v>3240</v>
      </c>
      <c r="AAK3" s="12" t="s">
        <v>3241</v>
      </c>
      <c r="AAL3" s="12" t="s">
        <v>3242</v>
      </c>
      <c r="AAM3" s="12" t="s">
        <v>3243</v>
      </c>
      <c r="AAN3" s="12" t="s">
        <v>3244</v>
      </c>
      <c r="AAO3" s="12" t="s">
        <v>3245</v>
      </c>
      <c r="AAP3" s="12" t="s">
        <v>3246</v>
      </c>
      <c r="AAQ3" s="12" t="s">
        <v>3247</v>
      </c>
      <c r="AAR3" s="12" t="s">
        <v>3248</v>
      </c>
      <c r="AAS3" s="12" t="s">
        <v>3249</v>
      </c>
      <c r="AAT3" s="12" t="s">
        <v>3250</v>
      </c>
      <c r="AAU3" s="12" t="s">
        <v>3251</v>
      </c>
      <c r="AAV3" s="12" t="s">
        <v>3252</v>
      </c>
      <c r="AAW3" s="12" t="s">
        <v>3253</v>
      </c>
      <c r="AAX3" s="12" t="s">
        <v>3254</v>
      </c>
      <c r="AAY3" s="12" t="s">
        <v>3255</v>
      </c>
      <c r="AAZ3" s="12" t="s">
        <v>3256</v>
      </c>
      <c r="ABA3" s="12" t="s">
        <v>3257</v>
      </c>
      <c r="ABB3" s="12" t="s">
        <v>3258</v>
      </c>
      <c r="ABC3" s="12" t="s">
        <v>3259</v>
      </c>
      <c r="ABD3" s="12" t="s">
        <v>3260</v>
      </c>
      <c r="ABE3" s="12" t="s">
        <v>3261</v>
      </c>
      <c r="ABF3" s="12" t="s">
        <v>3262</v>
      </c>
      <c r="ABG3" s="12" t="s">
        <v>3263</v>
      </c>
      <c r="ABH3" s="12" t="s">
        <v>3264</v>
      </c>
      <c r="ABI3" s="12" t="s">
        <v>3265</v>
      </c>
      <c r="ABJ3" s="12" t="s">
        <v>3266</v>
      </c>
      <c r="ABK3" s="12" t="s">
        <v>3267</v>
      </c>
      <c r="ABL3" s="12" t="s">
        <v>3268</v>
      </c>
      <c r="ABM3" s="12" t="s">
        <v>3269</v>
      </c>
      <c r="ABN3" s="12" t="s">
        <v>3270</v>
      </c>
      <c r="ABO3" s="12" t="s">
        <v>3271</v>
      </c>
      <c r="ABP3" s="12" t="s">
        <v>3272</v>
      </c>
      <c r="ABQ3" s="12" t="s">
        <v>3273</v>
      </c>
      <c r="ABR3" s="12" t="s">
        <v>3274</v>
      </c>
      <c r="ABS3" s="12" t="s">
        <v>3275</v>
      </c>
      <c r="ABT3" s="12" t="s">
        <v>3276</v>
      </c>
      <c r="ABU3" s="12" t="s">
        <v>3277</v>
      </c>
      <c r="ABV3" s="12" t="s">
        <v>3278</v>
      </c>
      <c r="ABW3" s="12" t="s">
        <v>3279</v>
      </c>
      <c r="ABX3" s="12" t="s">
        <v>3280</v>
      </c>
      <c r="ABY3" s="12" t="s">
        <v>3281</v>
      </c>
      <c r="ABZ3" s="12" t="s">
        <v>3282</v>
      </c>
      <c r="ACA3" s="12" t="s">
        <v>3283</v>
      </c>
      <c r="ACB3" s="12" t="s">
        <v>3284</v>
      </c>
      <c r="ACC3" s="12" t="s">
        <v>3285</v>
      </c>
      <c r="ACD3" s="12" t="s">
        <v>3286</v>
      </c>
      <c r="ACE3" s="12" t="s">
        <v>3287</v>
      </c>
      <c r="ACF3" s="12" t="s">
        <v>3288</v>
      </c>
      <c r="ACG3" s="12" t="s">
        <v>3289</v>
      </c>
      <c r="ACH3" s="12" t="s">
        <v>3290</v>
      </c>
      <c r="ACI3" s="12" t="s">
        <v>3291</v>
      </c>
      <c r="ACJ3" s="12" t="s">
        <v>3292</v>
      </c>
      <c r="ACK3" s="12" t="s">
        <v>3293</v>
      </c>
      <c r="ACL3" s="12" t="s">
        <v>3294</v>
      </c>
      <c r="ACM3" s="12" t="s">
        <v>3295</v>
      </c>
      <c r="ACN3" s="12" t="s">
        <v>3296</v>
      </c>
      <c r="ACO3" s="12" t="s">
        <v>3297</v>
      </c>
      <c r="ACP3" s="12" t="s">
        <v>3298</v>
      </c>
      <c r="ACQ3" s="12" t="s">
        <v>3299</v>
      </c>
      <c r="ACR3" s="12" t="s">
        <v>3300</v>
      </c>
      <c r="ACS3" s="12" t="s">
        <v>3301</v>
      </c>
      <c r="ACT3" s="12" t="s">
        <v>3302</v>
      </c>
      <c r="ACU3" s="12" t="s">
        <v>3303</v>
      </c>
      <c r="ACV3" s="12" t="s">
        <v>3304</v>
      </c>
      <c r="ACW3" s="12" t="s">
        <v>3305</v>
      </c>
      <c r="ACX3" s="12" t="s">
        <v>3306</v>
      </c>
      <c r="ACY3" s="12" t="s">
        <v>3307</v>
      </c>
      <c r="ACZ3" s="12" t="s">
        <v>3308</v>
      </c>
      <c r="ADA3" s="12" t="s">
        <v>3309</v>
      </c>
      <c r="ADB3" s="12" t="s">
        <v>3310</v>
      </c>
      <c r="ADC3" s="12" t="s">
        <v>3311</v>
      </c>
      <c r="ADD3" s="12" t="s">
        <v>3312</v>
      </c>
      <c r="ADE3" s="12" t="s">
        <v>3313</v>
      </c>
      <c r="ADF3" s="12" t="s">
        <v>3314</v>
      </c>
      <c r="ADG3" s="12" t="s">
        <v>3315</v>
      </c>
      <c r="ADH3" s="12" t="s">
        <v>3316</v>
      </c>
      <c r="ADI3" s="12" t="s">
        <v>3317</v>
      </c>
      <c r="ADJ3" s="12" t="s">
        <v>3318</v>
      </c>
      <c r="ADK3" s="12" t="s">
        <v>3319</v>
      </c>
      <c r="ADL3" s="12" t="s">
        <v>3320</v>
      </c>
      <c r="ADM3" s="12" t="s">
        <v>3321</v>
      </c>
      <c r="ADN3" s="12" t="s">
        <v>3322</v>
      </c>
      <c r="ADO3" s="12" t="s">
        <v>3323</v>
      </c>
      <c r="ADP3" s="12" t="s">
        <v>3324</v>
      </c>
      <c r="ADQ3" s="12" t="s">
        <v>3325</v>
      </c>
      <c r="ADR3" s="12" t="s">
        <v>3326</v>
      </c>
      <c r="ADS3" s="12" t="s">
        <v>3327</v>
      </c>
      <c r="ADT3" s="12" t="s">
        <v>3328</v>
      </c>
      <c r="ADU3" s="12" t="s">
        <v>3329</v>
      </c>
      <c r="ADV3" s="12" t="s">
        <v>3330</v>
      </c>
      <c r="ADW3" s="12" t="s">
        <v>3331</v>
      </c>
      <c r="ADX3" s="12" t="s">
        <v>3332</v>
      </c>
      <c r="ADY3" s="12" t="s">
        <v>3333</v>
      </c>
      <c r="ADZ3" s="12" t="s">
        <v>3334</v>
      </c>
      <c r="AEA3" s="12" t="s">
        <v>3335</v>
      </c>
      <c r="AEB3" s="12" t="s">
        <v>3336</v>
      </c>
      <c r="AEC3" s="12" t="s">
        <v>3337</v>
      </c>
      <c r="AED3" s="12" t="s">
        <v>3338</v>
      </c>
      <c r="AEE3" s="12" t="s">
        <v>3339</v>
      </c>
      <c r="AEF3" s="12" t="s">
        <v>3340</v>
      </c>
      <c r="AEG3" s="12" t="s">
        <v>3341</v>
      </c>
      <c r="AEH3" s="12" t="s">
        <v>3342</v>
      </c>
      <c r="AEI3" s="12" t="s">
        <v>3343</v>
      </c>
      <c r="AEJ3" s="12" t="s">
        <v>3344</v>
      </c>
      <c r="AEK3" s="12" t="s">
        <v>3345</v>
      </c>
      <c r="AEL3" s="12" t="s">
        <v>3346</v>
      </c>
      <c r="AEM3" s="12" t="s">
        <v>3347</v>
      </c>
      <c r="AEN3" s="12" t="s">
        <v>3348</v>
      </c>
      <c r="AEO3" s="12" t="s">
        <v>3349</v>
      </c>
      <c r="AEP3" s="12" t="s">
        <v>3350</v>
      </c>
      <c r="AEQ3" s="12" t="s">
        <v>3351</v>
      </c>
      <c r="AER3" s="12" t="s">
        <v>3352</v>
      </c>
      <c r="AES3" s="12" t="s">
        <v>3353</v>
      </c>
      <c r="AET3" s="12" t="s">
        <v>3354</v>
      </c>
      <c r="AEU3" s="12" t="s">
        <v>3355</v>
      </c>
      <c r="AEV3" s="12" t="s">
        <v>3356</v>
      </c>
      <c r="AEW3" s="12" t="s">
        <v>3357</v>
      </c>
      <c r="AEX3" s="12" t="s">
        <v>3358</v>
      </c>
      <c r="AEY3" s="12" t="s">
        <v>3359</v>
      </c>
      <c r="AEZ3" s="12" t="s">
        <v>3360</v>
      </c>
      <c r="AFA3" s="12" t="s">
        <v>3361</v>
      </c>
      <c r="AFB3" s="12" t="s">
        <v>3362</v>
      </c>
      <c r="AFC3" s="12" t="s">
        <v>3363</v>
      </c>
      <c r="AFD3" s="12" t="s">
        <v>3364</v>
      </c>
      <c r="AFE3" s="12" t="s">
        <v>3365</v>
      </c>
      <c r="AFF3" s="12" t="s">
        <v>3366</v>
      </c>
      <c r="AFG3" s="12" t="s">
        <v>3367</v>
      </c>
      <c r="AFH3" s="12" t="s">
        <v>3368</v>
      </c>
      <c r="AFI3" s="12" t="s">
        <v>3369</v>
      </c>
      <c r="AFJ3" s="12" t="s">
        <v>3370</v>
      </c>
      <c r="AFK3" s="12" t="s">
        <v>3371</v>
      </c>
      <c r="AFL3" s="12" t="s">
        <v>3372</v>
      </c>
      <c r="AFM3" s="12" t="s">
        <v>3373</v>
      </c>
      <c r="AFN3" s="12" t="s">
        <v>3374</v>
      </c>
      <c r="AFO3" s="12" t="s">
        <v>3375</v>
      </c>
      <c r="AFP3" s="12" t="s">
        <v>3376</v>
      </c>
      <c r="AFQ3" s="12" t="s">
        <v>3377</v>
      </c>
      <c r="AFR3" s="12" t="s">
        <v>3378</v>
      </c>
      <c r="AFS3" s="12" t="s">
        <v>3379</v>
      </c>
      <c r="AFT3" s="12" t="s">
        <v>3380</v>
      </c>
      <c r="AFU3" s="12" t="s">
        <v>3381</v>
      </c>
      <c r="AFV3" s="12" t="s">
        <v>3382</v>
      </c>
      <c r="AFW3" s="12" t="s">
        <v>3383</v>
      </c>
      <c r="AFX3" s="12" t="s">
        <v>3384</v>
      </c>
      <c r="AFY3" s="12" t="s">
        <v>3385</v>
      </c>
      <c r="AFZ3" s="12" t="s">
        <v>3386</v>
      </c>
      <c r="AGA3" s="12" t="s">
        <v>3387</v>
      </c>
      <c r="AGB3" s="12" t="s">
        <v>3388</v>
      </c>
      <c r="AGC3" s="12" t="s">
        <v>3389</v>
      </c>
      <c r="AGD3" s="12" t="s">
        <v>3390</v>
      </c>
      <c r="AGE3" s="12" t="s">
        <v>3391</v>
      </c>
      <c r="AGF3" s="12" t="s">
        <v>3392</v>
      </c>
      <c r="AGG3" s="12" t="s">
        <v>3393</v>
      </c>
      <c r="AGH3" s="12" t="s">
        <v>3394</v>
      </c>
      <c r="AGI3" s="12" t="s">
        <v>3395</v>
      </c>
      <c r="AGJ3" s="12" t="s">
        <v>3396</v>
      </c>
      <c r="AGK3" s="12" t="s">
        <v>3397</v>
      </c>
      <c r="AGL3" s="12" t="s">
        <v>3398</v>
      </c>
      <c r="AGM3" s="12" t="s">
        <v>3399</v>
      </c>
      <c r="AGN3" s="12" t="s">
        <v>3400</v>
      </c>
      <c r="AGO3" s="12" t="s">
        <v>3401</v>
      </c>
      <c r="AGP3" s="12" t="s">
        <v>3402</v>
      </c>
      <c r="AGQ3" s="12" t="s">
        <v>3403</v>
      </c>
      <c r="AGR3" s="12" t="s">
        <v>3404</v>
      </c>
      <c r="AGS3" s="12" t="s">
        <v>3405</v>
      </c>
      <c r="AGT3" s="12" t="s">
        <v>3406</v>
      </c>
      <c r="AGU3" s="12" t="s">
        <v>3407</v>
      </c>
      <c r="AGV3" s="12" t="s">
        <v>3408</v>
      </c>
      <c r="AGW3" s="12" t="s">
        <v>3409</v>
      </c>
      <c r="AGX3" s="12" t="s">
        <v>3410</v>
      </c>
      <c r="AGY3" s="12" t="s">
        <v>3411</v>
      </c>
      <c r="AGZ3" s="12" t="s">
        <v>3412</v>
      </c>
      <c r="AHA3" s="12" t="s">
        <v>3413</v>
      </c>
      <c r="AHB3" s="12" t="s">
        <v>3414</v>
      </c>
      <c r="AHC3" s="12" t="s">
        <v>3415</v>
      </c>
      <c r="AHD3" s="12" t="s">
        <v>3416</v>
      </c>
      <c r="AHE3" s="12" t="s">
        <v>3417</v>
      </c>
      <c r="AHF3" s="12" t="s">
        <v>3418</v>
      </c>
      <c r="AHG3" s="12" t="s">
        <v>3419</v>
      </c>
      <c r="AHH3" s="12" t="s">
        <v>3420</v>
      </c>
      <c r="AHI3" s="12" t="s">
        <v>3421</v>
      </c>
      <c r="AHJ3" s="12" t="s">
        <v>3422</v>
      </c>
      <c r="AHK3" s="12" t="s">
        <v>3423</v>
      </c>
      <c r="AHL3" s="12" t="s">
        <v>3424</v>
      </c>
      <c r="AHM3" s="12" t="s">
        <v>3425</v>
      </c>
      <c r="AHN3" s="12" t="s">
        <v>3426</v>
      </c>
      <c r="AHO3" s="12" t="s">
        <v>3427</v>
      </c>
      <c r="AHP3" s="12" t="s">
        <v>3428</v>
      </c>
      <c r="AHQ3" s="12" t="s">
        <v>3429</v>
      </c>
      <c r="AHR3" s="12" t="s">
        <v>3430</v>
      </c>
      <c r="AHS3" s="12" t="s">
        <v>3431</v>
      </c>
      <c r="AHT3" s="12" t="s">
        <v>3432</v>
      </c>
      <c r="AHU3" s="12" t="s">
        <v>3433</v>
      </c>
      <c r="AHV3" s="12" t="s">
        <v>3434</v>
      </c>
      <c r="AHW3" s="12" t="s">
        <v>3435</v>
      </c>
      <c r="AHX3" s="12" t="s">
        <v>3436</v>
      </c>
      <c r="AHY3" s="12" t="s">
        <v>3437</v>
      </c>
      <c r="AHZ3" s="12" t="s">
        <v>3438</v>
      </c>
      <c r="AIA3" s="12" t="s">
        <v>3439</v>
      </c>
      <c r="AIB3" s="12" t="s">
        <v>3440</v>
      </c>
      <c r="AIC3" s="12" t="s">
        <v>3441</v>
      </c>
      <c r="AID3" s="12" t="s">
        <v>3442</v>
      </c>
      <c r="AIE3" s="12" t="s">
        <v>3443</v>
      </c>
      <c r="AIF3" s="12" t="s">
        <v>3444</v>
      </c>
      <c r="AIG3" s="12" t="s">
        <v>3445</v>
      </c>
      <c r="AIH3" s="12" t="s">
        <v>3446</v>
      </c>
      <c r="AII3" s="12" t="s">
        <v>3447</v>
      </c>
      <c r="AIJ3" s="12" t="s">
        <v>3448</v>
      </c>
      <c r="AIK3" s="12" t="s">
        <v>3449</v>
      </c>
      <c r="AIL3" s="12" t="s">
        <v>3450</v>
      </c>
      <c r="AIM3" s="12" t="s">
        <v>3451</v>
      </c>
      <c r="AIN3" s="12" t="s">
        <v>3452</v>
      </c>
      <c r="AIO3" s="12" t="s">
        <v>3453</v>
      </c>
      <c r="AIP3" s="12" t="s">
        <v>3454</v>
      </c>
      <c r="AIQ3" s="12" t="s">
        <v>3455</v>
      </c>
      <c r="AIR3" s="12" t="s">
        <v>3456</v>
      </c>
      <c r="AIS3" s="12" t="s">
        <v>3457</v>
      </c>
      <c r="AIT3" s="12" t="s">
        <v>3458</v>
      </c>
      <c r="AIU3" s="12" t="s">
        <v>3459</v>
      </c>
      <c r="AIV3" s="12" t="s">
        <v>3460</v>
      </c>
      <c r="AIW3" s="12" t="s">
        <v>3461</v>
      </c>
      <c r="AIX3" s="12" t="s">
        <v>3462</v>
      </c>
      <c r="AIY3" s="12" t="s">
        <v>3463</v>
      </c>
      <c r="AIZ3" s="12" t="s">
        <v>3464</v>
      </c>
      <c r="AJA3" s="12" t="s">
        <v>3465</v>
      </c>
      <c r="AJB3" s="12" t="s">
        <v>3466</v>
      </c>
      <c r="AJC3" s="12" t="s">
        <v>3467</v>
      </c>
      <c r="AJD3" s="12" t="s">
        <v>3468</v>
      </c>
      <c r="AJE3" s="12" t="s">
        <v>3469</v>
      </c>
      <c r="AJF3" s="12" t="s">
        <v>3470</v>
      </c>
      <c r="AJG3" s="12" t="s">
        <v>3471</v>
      </c>
      <c r="AJH3" s="12" t="s">
        <v>3472</v>
      </c>
      <c r="AJI3" s="12" t="s">
        <v>3473</v>
      </c>
      <c r="AJJ3" s="12" t="s">
        <v>3474</v>
      </c>
      <c r="AJK3" s="12" t="s">
        <v>3475</v>
      </c>
      <c r="AJL3" s="12" t="s">
        <v>3476</v>
      </c>
      <c r="AJM3" s="12" t="s">
        <v>3477</v>
      </c>
      <c r="AJN3" s="12" t="s">
        <v>3478</v>
      </c>
      <c r="AJO3" s="12" t="s">
        <v>3479</v>
      </c>
      <c r="AJP3" s="12" t="s">
        <v>3480</v>
      </c>
      <c r="AJQ3" s="12" t="s">
        <v>3481</v>
      </c>
      <c r="AJR3" s="12" t="s">
        <v>3482</v>
      </c>
      <c r="AJS3" s="12" t="s">
        <v>3483</v>
      </c>
      <c r="AJT3" s="12" t="s">
        <v>3484</v>
      </c>
      <c r="AJU3" s="12" t="s">
        <v>3485</v>
      </c>
      <c r="AJV3" s="12" t="s">
        <v>3486</v>
      </c>
      <c r="AJW3" s="12" t="s">
        <v>3487</v>
      </c>
      <c r="AJX3" s="12" t="s">
        <v>3488</v>
      </c>
      <c r="AJY3" s="12" t="s">
        <v>3489</v>
      </c>
      <c r="AJZ3" s="12" t="s">
        <v>3490</v>
      </c>
      <c r="AKA3" s="12" t="s">
        <v>3491</v>
      </c>
      <c r="AKB3" s="12" t="s">
        <v>3492</v>
      </c>
      <c r="AKC3" s="12" t="s">
        <v>3493</v>
      </c>
      <c r="AKD3" s="12" t="s">
        <v>3494</v>
      </c>
      <c r="AKE3" s="12" t="s">
        <v>3495</v>
      </c>
      <c r="AKF3" s="12" t="s">
        <v>3496</v>
      </c>
      <c r="AKG3" s="12" t="s">
        <v>3497</v>
      </c>
      <c r="AKH3" s="12" t="s">
        <v>3498</v>
      </c>
      <c r="AKI3" s="12" t="s">
        <v>3499</v>
      </c>
      <c r="AKJ3" s="12" t="s">
        <v>3500</v>
      </c>
      <c r="AKK3" s="12" t="s">
        <v>3501</v>
      </c>
      <c r="AKL3" s="12" t="s">
        <v>3502</v>
      </c>
      <c r="AKM3" s="12" t="s">
        <v>3503</v>
      </c>
      <c r="AKN3" s="12" t="s">
        <v>3504</v>
      </c>
      <c r="AKO3" s="12" t="s">
        <v>3505</v>
      </c>
      <c r="AKP3" s="12" t="s">
        <v>3506</v>
      </c>
      <c r="AKQ3" s="12" t="s">
        <v>3507</v>
      </c>
      <c r="AKR3" s="12" t="s">
        <v>3508</v>
      </c>
      <c r="AKS3" s="12" t="s">
        <v>3509</v>
      </c>
      <c r="AKT3" s="12" t="s">
        <v>3510</v>
      </c>
      <c r="AKU3" s="12" t="s">
        <v>3511</v>
      </c>
      <c r="AKV3" s="12" t="s">
        <v>3512</v>
      </c>
      <c r="AKW3" s="12" t="s">
        <v>3513</v>
      </c>
      <c r="AKX3" s="12" t="s">
        <v>3514</v>
      </c>
      <c r="AKY3" s="12" t="s">
        <v>3515</v>
      </c>
      <c r="AKZ3" s="12" t="s">
        <v>3516</v>
      </c>
      <c r="ALA3" s="12" t="s">
        <v>3517</v>
      </c>
      <c r="ALB3" s="12" t="s">
        <v>3518</v>
      </c>
      <c r="ALC3" s="12" t="s">
        <v>3519</v>
      </c>
      <c r="ALD3" s="12" t="s">
        <v>3520</v>
      </c>
      <c r="ALE3" s="12" t="s">
        <v>3521</v>
      </c>
      <c r="ALF3" s="12" t="s">
        <v>3522</v>
      </c>
      <c r="ALG3" s="12" t="s">
        <v>3523</v>
      </c>
      <c r="ALH3" s="12" t="s">
        <v>3524</v>
      </c>
      <c r="ALI3" s="12" t="s">
        <v>3525</v>
      </c>
      <c r="ALJ3" s="12" t="s">
        <v>3526</v>
      </c>
      <c r="ALK3" s="12" t="s">
        <v>3527</v>
      </c>
      <c r="ALL3" s="12" t="s">
        <v>3528</v>
      </c>
      <c r="ALM3" s="12" t="s">
        <v>3529</v>
      </c>
      <c r="ALN3" s="12" t="s">
        <v>3530</v>
      </c>
      <c r="ALO3" s="12" t="s">
        <v>3531</v>
      </c>
      <c r="ALP3" s="12" t="s">
        <v>3532</v>
      </c>
      <c r="ALQ3" s="12" t="s">
        <v>3533</v>
      </c>
      <c r="ALR3" s="12" t="s">
        <v>3534</v>
      </c>
      <c r="ALS3" s="12" t="s">
        <v>3535</v>
      </c>
      <c r="ALT3" s="12" t="s">
        <v>3536</v>
      </c>
      <c r="ALU3" s="12" t="s">
        <v>3537</v>
      </c>
      <c r="ALV3" s="12" t="s">
        <v>3538</v>
      </c>
      <c r="ALW3" s="12" t="s">
        <v>3539</v>
      </c>
      <c r="ALX3" s="12" t="s">
        <v>3540</v>
      </c>
      <c r="ALY3" s="12" t="s">
        <v>3541</v>
      </c>
      <c r="ALZ3" s="12" t="s">
        <v>3542</v>
      </c>
      <c r="AMA3" s="12" t="s">
        <v>3543</v>
      </c>
      <c r="AMB3" s="12" t="s">
        <v>3544</v>
      </c>
      <c r="AMC3" s="12" t="s">
        <v>3545</v>
      </c>
      <c r="AMD3" s="12" t="s">
        <v>3546</v>
      </c>
      <c r="AME3" s="12" t="s">
        <v>3547</v>
      </c>
      <c r="AMF3" s="12" t="s">
        <v>3548</v>
      </c>
      <c r="AMG3" s="12" t="s">
        <v>3549</v>
      </c>
      <c r="AMH3" s="12" t="s">
        <v>3550</v>
      </c>
      <c r="AMI3" s="12" t="s">
        <v>3551</v>
      </c>
      <c r="AMJ3" s="12" t="s">
        <v>3552</v>
      </c>
      <c r="AMK3" s="12" t="s">
        <v>3553</v>
      </c>
      <c r="AML3" s="12" t="s">
        <v>3554</v>
      </c>
      <c r="AMM3" s="12" t="s">
        <v>3555</v>
      </c>
      <c r="AMN3" s="12" t="s">
        <v>3556</v>
      </c>
      <c r="AMO3" s="12" t="s">
        <v>3557</v>
      </c>
      <c r="AMP3" s="12" t="s">
        <v>3558</v>
      </c>
      <c r="AMQ3" s="12" t="s">
        <v>3559</v>
      </c>
      <c r="AMR3" s="12" t="s">
        <v>3560</v>
      </c>
      <c r="AMS3" s="12" t="s">
        <v>3561</v>
      </c>
      <c r="AMT3" s="12" t="s">
        <v>3562</v>
      </c>
      <c r="AMU3" s="12" t="s">
        <v>3563</v>
      </c>
      <c r="AMV3" s="12" t="s">
        <v>3564</v>
      </c>
      <c r="AMW3" s="12" t="s">
        <v>3565</v>
      </c>
      <c r="AMX3" s="12" t="s">
        <v>3566</v>
      </c>
      <c r="AMY3" s="12" t="s">
        <v>3567</v>
      </c>
      <c r="AMZ3" s="12" t="s">
        <v>3568</v>
      </c>
      <c r="ANA3" s="12" t="s">
        <v>3569</v>
      </c>
      <c r="ANB3" s="12" t="s">
        <v>3570</v>
      </c>
      <c r="ANC3" s="12" t="s">
        <v>3571</v>
      </c>
      <c r="AND3" s="12" t="s">
        <v>3572</v>
      </c>
      <c r="ANE3" s="12" t="s">
        <v>3573</v>
      </c>
      <c r="ANF3" s="12" t="s">
        <v>3574</v>
      </c>
      <c r="ANG3" s="12" t="s">
        <v>3575</v>
      </c>
      <c r="ANH3" s="12" t="s">
        <v>3576</v>
      </c>
      <c r="ANI3" s="12" t="s">
        <v>3577</v>
      </c>
      <c r="ANJ3" s="12" t="s">
        <v>3578</v>
      </c>
      <c r="ANK3" s="12" t="s">
        <v>3579</v>
      </c>
      <c r="ANL3" s="12" t="s">
        <v>3580</v>
      </c>
      <c r="ANM3" s="12" t="s">
        <v>3581</v>
      </c>
      <c r="ANN3" s="12" t="s">
        <v>3582</v>
      </c>
      <c r="ANO3" s="12" t="s">
        <v>3583</v>
      </c>
      <c r="ANP3" s="12" t="s">
        <v>3584</v>
      </c>
      <c r="ANQ3" s="12" t="s">
        <v>3585</v>
      </c>
      <c r="ANR3" s="12" t="s">
        <v>3586</v>
      </c>
      <c r="ANS3" s="12" t="s">
        <v>3587</v>
      </c>
      <c r="ANT3" s="12" t="s">
        <v>3588</v>
      </c>
      <c r="ANU3" s="12" t="s">
        <v>3589</v>
      </c>
      <c r="ANV3" s="12" t="s">
        <v>3590</v>
      </c>
      <c r="ANW3" s="12" t="s">
        <v>3591</v>
      </c>
      <c r="ANX3" s="12" t="s">
        <v>3592</v>
      </c>
      <c r="ANY3" s="12" t="s">
        <v>3593</v>
      </c>
      <c r="ANZ3" s="12" t="s">
        <v>3594</v>
      </c>
      <c r="AOA3" s="12" t="s">
        <v>3595</v>
      </c>
      <c r="AOB3" s="12" t="s">
        <v>3596</v>
      </c>
      <c r="AOC3" s="12" t="s">
        <v>3597</v>
      </c>
      <c r="AOD3" s="12" t="s">
        <v>3598</v>
      </c>
      <c r="AOE3" s="12" t="s">
        <v>3599</v>
      </c>
      <c r="AOF3" s="12" t="s">
        <v>3600</v>
      </c>
      <c r="AOG3" s="12" t="s">
        <v>3601</v>
      </c>
      <c r="AOH3" s="12" t="s">
        <v>3602</v>
      </c>
      <c r="AOI3" s="12" t="s">
        <v>3603</v>
      </c>
      <c r="AOJ3" s="12" t="s">
        <v>3604</v>
      </c>
      <c r="AOK3" s="12" t="s">
        <v>3605</v>
      </c>
      <c r="AOL3" s="12" t="s">
        <v>3606</v>
      </c>
      <c r="AOM3" s="12" t="s">
        <v>3607</v>
      </c>
      <c r="AON3" s="12" t="s">
        <v>3608</v>
      </c>
      <c r="AOO3" s="12" t="s">
        <v>3609</v>
      </c>
      <c r="AOP3" s="12" t="s">
        <v>3610</v>
      </c>
      <c r="AOQ3" s="12" t="s">
        <v>3611</v>
      </c>
      <c r="AOR3" s="12" t="s">
        <v>3612</v>
      </c>
      <c r="AOS3" s="12" t="s">
        <v>3613</v>
      </c>
      <c r="AOT3" s="12" t="s">
        <v>3614</v>
      </c>
      <c r="AOU3" s="12" t="s">
        <v>3615</v>
      </c>
      <c r="AOV3" s="12" t="s">
        <v>3616</v>
      </c>
      <c r="AOW3" s="12" t="s">
        <v>3617</v>
      </c>
      <c r="AOX3" s="12" t="s">
        <v>3618</v>
      </c>
      <c r="AOY3" s="12" t="s">
        <v>3619</v>
      </c>
      <c r="AOZ3" s="12" t="s">
        <v>3620</v>
      </c>
      <c r="APA3" s="12" t="s">
        <v>3621</v>
      </c>
      <c r="APB3" s="12" t="s">
        <v>3622</v>
      </c>
      <c r="APC3" s="12" t="s">
        <v>3623</v>
      </c>
      <c r="APD3" s="12" t="s">
        <v>3624</v>
      </c>
      <c r="APE3" s="12" t="s">
        <v>3625</v>
      </c>
      <c r="APF3" s="12" t="s">
        <v>3626</v>
      </c>
      <c r="APG3" s="12" t="s">
        <v>3627</v>
      </c>
      <c r="APH3" s="12" t="s">
        <v>3628</v>
      </c>
      <c r="API3" s="12" t="s">
        <v>3629</v>
      </c>
      <c r="APJ3" s="12" t="s">
        <v>3630</v>
      </c>
      <c r="APK3" s="12" t="s">
        <v>3631</v>
      </c>
      <c r="APL3" s="12" t="s">
        <v>3632</v>
      </c>
      <c r="APM3" s="12" t="s">
        <v>3633</v>
      </c>
      <c r="APN3" s="12" t="s">
        <v>3634</v>
      </c>
      <c r="APO3" s="12" t="s">
        <v>3635</v>
      </c>
      <c r="APP3" s="12" t="s">
        <v>3636</v>
      </c>
      <c r="APQ3" s="12" t="s">
        <v>3637</v>
      </c>
      <c r="APR3" s="12" t="s">
        <v>3638</v>
      </c>
      <c r="APS3" s="12" t="s">
        <v>3639</v>
      </c>
      <c r="APT3" s="12" t="s">
        <v>3640</v>
      </c>
      <c r="APU3" s="12" t="s">
        <v>3641</v>
      </c>
      <c r="APV3" s="12" t="s">
        <v>3642</v>
      </c>
      <c r="APW3" s="12" t="s">
        <v>3643</v>
      </c>
      <c r="APX3" s="12" t="s">
        <v>3644</v>
      </c>
      <c r="APY3" s="12" t="s">
        <v>3645</v>
      </c>
      <c r="APZ3" s="12" t="s">
        <v>3646</v>
      </c>
      <c r="AQA3" s="12" t="s">
        <v>3647</v>
      </c>
      <c r="AQB3" s="12" t="s">
        <v>3648</v>
      </c>
      <c r="AQC3" s="12" t="s">
        <v>3649</v>
      </c>
      <c r="AQD3" s="12" t="s">
        <v>3650</v>
      </c>
      <c r="AQE3" s="12" t="s">
        <v>3651</v>
      </c>
      <c r="AQF3" s="12" t="s">
        <v>3652</v>
      </c>
      <c r="AQG3" s="12" t="s">
        <v>3653</v>
      </c>
      <c r="AQH3" s="12" t="s">
        <v>3654</v>
      </c>
      <c r="AQI3" s="12" t="s">
        <v>3655</v>
      </c>
      <c r="AQJ3" s="12" t="s">
        <v>3656</v>
      </c>
      <c r="AQK3" s="12" t="s">
        <v>3657</v>
      </c>
      <c r="AQL3" s="12" t="s">
        <v>3658</v>
      </c>
      <c r="AQM3" s="12" t="s">
        <v>3659</v>
      </c>
      <c r="AQN3" s="12" t="s">
        <v>3660</v>
      </c>
      <c r="AQO3" s="12" t="s">
        <v>3661</v>
      </c>
      <c r="AQP3" s="12" t="s">
        <v>3662</v>
      </c>
      <c r="AQQ3" s="12" t="s">
        <v>3663</v>
      </c>
      <c r="AQR3" s="12" t="s">
        <v>3664</v>
      </c>
      <c r="AQS3" s="12" t="s">
        <v>3665</v>
      </c>
      <c r="AQT3" s="12" t="s">
        <v>3666</v>
      </c>
      <c r="AQU3" s="12" t="s">
        <v>3667</v>
      </c>
      <c r="AQV3" s="12" t="s">
        <v>3668</v>
      </c>
      <c r="AQW3" s="12" t="s">
        <v>3669</v>
      </c>
      <c r="AQX3" s="12" t="s">
        <v>3670</v>
      </c>
      <c r="AQY3" s="12" t="s">
        <v>3671</v>
      </c>
      <c r="AQZ3" s="12" t="s">
        <v>3672</v>
      </c>
      <c r="ARA3" s="12" t="s">
        <v>3673</v>
      </c>
      <c r="ARB3" s="12" t="s">
        <v>3674</v>
      </c>
      <c r="ARC3" s="12" t="s">
        <v>3675</v>
      </c>
      <c r="ARD3" s="12" t="s">
        <v>3676</v>
      </c>
      <c r="ARE3" s="12" t="s">
        <v>3677</v>
      </c>
      <c r="ARF3" s="12" t="s">
        <v>3678</v>
      </c>
      <c r="ARG3" s="12" t="s">
        <v>3679</v>
      </c>
      <c r="ARH3" s="12" t="s">
        <v>3680</v>
      </c>
      <c r="ARI3" s="12" t="s">
        <v>3681</v>
      </c>
      <c r="ARJ3" s="12" t="s">
        <v>3682</v>
      </c>
      <c r="ARK3" s="12" t="s">
        <v>3683</v>
      </c>
      <c r="ARL3" s="12" t="s">
        <v>3684</v>
      </c>
      <c r="ARM3" s="12" t="s">
        <v>3685</v>
      </c>
      <c r="ARN3" s="12" t="s">
        <v>3686</v>
      </c>
      <c r="ARO3" s="12" t="s">
        <v>3687</v>
      </c>
      <c r="ARP3" s="12" t="s">
        <v>3688</v>
      </c>
      <c r="ARQ3" s="12" t="s">
        <v>3689</v>
      </c>
      <c r="ARR3" s="12" t="s">
        <v>3690</v>
      </c>
      <c r="ARS3" s="12" t="s">
        <v>3691</v>
      </c>
      <c r="ART3" s="12" t="s">
        <v>3692</v>
      </c>
      <c r="ARU3" s="12" t="s">
        <v>3693</v>
      </c>
      <c r="ARV3" s="12" t="s">
        <v>3694</v>
      </c>
      <c r="ARW3" s="12" t="s">
        <v>3695</v>
      </c>
      <c r="ARX3" s="12" t="s">
        <v>3696</v>
      </c>
      <c r="ARY3" s="12" t="s">
        <v>3697</v>
      </c>
      <c r="ARZ3" s="12" t="s">
        <v>3698</v>
      </c>
      <c r="ASA3" s="12" t="s">
        <v>3699</v>
      </c>
      <c r="ASB3" s="12" t="s">
        <v>3700</v>
      </c>
      <c r="ASC3" s="12" t="s">
        <v>3701</v>
      </c>
      <c r="ASD3" s="12" t="s">
        <v>3702</v>
      </c>
      <c r="ASE3" s="12" t="s">
        <v>3703</v>
      </c>
      <c r="ASF3" s="12" t="s">
        <v>3704</v>
      </c>
      <c r="ASG3" s="12" t="s">
        <v>3705</v>
      </c>
      <c r="ASH3" s="12" t="s">
        <v>3706</v>
      </c>
      <c r="ASI3" s="12" t="s">
        <v>3707</v>
      </c>
      <c r="ASJ3" s="12" t="s">
        <v>3708</v>
      </c>
      <c r="ASK3" s="12" t="s">
        <v>3709</v>
      </c>
      <c r="ASL3" s="12" t="s">
        <v>3710</v>
      </c>
      <c r="ASM3" s="12" t="s">
        <v>3711</v>
      </c>
      <c r="ASN3" s="12" t="s">
        <v>3712</v>
      </c>
      <c r="ASO3" s="12" t="s">
        <v>3713</v>
      </c>
      <c r="ASP3" s="12" t="s">
        <v>3714</v>
      </c>
      <c r="ASQ3" s="12" t="s">
        <v>3715</v>
      </c>
      <c r="ASR3" s="12" t="s">
        <v>3716</v>
      </c>
      <c r="ASS3" s="12" t="s">
        <v>3717</v>
      </c>
      <c r="AST3" s="12" t="s">
        <v>3718</v>
      </c>
      <c r="ASU3" s="12" t="s">
        <v>3719</v>
      </c>
      <c r="ASV3" s="12" t="s">
        <v>3720</v>
      </c>
      <c r="ASW3" s="12" t="s">
        <v>3721</v>
      </c>
      <c r="ASX3" s="12" t="s">
        <v>3722</v>
      </c>
      <c r="ASY3" s="12" t="s">
        <v>3723</v>
      </c>
      <c r="ASZ3" s="12" t="s">
        <v>3724</v>
      </c>
      <c r="ATA3" s="12" t="s">
        <v>3725</v>
      </c>
      <c r="ATB3" s="12" t="s">
        <v>3726</v>
      </c>
      <c r="ATC3" s="12" t="s">
        <v>3727</v>
      </c>
      <c r="ATD3" s="12" t="s">
        <v>3728</v>
      </c>
      <c r="ATE3" s="12" t="s">
        <v>3729</v>
      </c>
      <c r="ATF3" s="12" t="s">
        <v>3730</v>
      </c>
      <c r="ATG3" s="12" t="s">
        <v>3731</v>
      </c>
      <c r="ATH3" s="12" t="s">
        <v>3732</v>
      </c>
      <c r="ATI3" s="12" t="s">
        <v>3733</v>
      </c>
      <c r="ATJ3" s="12" t="s">
        <v>3734</v>
      </c>
      <c r="ATK3" s="12" t="s">
        <v>3735</v>
      </c>
      <c r="ATL3" s="12" t="s">
        <v>3736</v>
      </c>
      <c r="ATM3" s="12" t="s">
        <v>3737</v>
      </c>
      <c r="ATN3" s="12" t="s">
        <v>3738</v>
      </c>
      <c r="ATO3" s="12" t="s">
        <v>3739</v>
      </c>
      <c r="ATP3" s="12" t="s">
        <v>3740</v>
      </c>
      <c r="ATQ3" s="12" t="s">
        <v>3741</v>
      </c>
      <c r="ATR3" s="12" t="s">
        <v>3742</v>
      </c>
      <c r="ATS3" s="12" t="s">
        <v>3743</v>
      </c>
      <c r="ATT3" s="12" t="s">
        <v>3744</v>
      </c>
      <c r="ATU3" s="12" t="s">
        <v>3745</v>
      </c>
      <c r="ATV3" s="12" t="s">
        <v>3746</v>
      </c>
      <c r="ATW3" s="12" t="s">
        <v>3747</v>
      </c>
      <c r="ATX3" s="12" t="s">
        <v>3748</v>
      </c>
      <c r="ATY3" s="12" t="s">
        <v>3749</v>
      </c>
      <c r="ATZ3" s="12" t="s">
        <v>3750</v>
      </c>
      <c r="AUA3" s="12" t="s">
        <v>3751</v>
      </c>
      <c r="AUB3" s="12" t="s">
        <v>3752</v>
      </c>
      <c r="AUC3" s="12" t="s">
        <v>3753</v>
      </c>
      <c r="AUD3" s="12" t="s">
        <v>3754</v>
      </c>
      <c r="AUE3" s="12" t="s">
        <v>3755</v>
      </c>
      <c r="AUF3" s="12" t="s">
        <v>3756</v>
      </c>
      <c r="AUG3" s="12" t="s">
        <v>3757</v>
      </c>
      <c r="AUH3" s="12" t="s">
        <v>3758</v>
      </c>
      <c r="AUI3" s="12" t="s">
        <v>3759</v>
      </c>
      <c r="AUJ3" s="12" t="s">
        <v>3760</v>
      </c>
      <c r="AUK3" s="12" t="s">
        <v>3761</v>
      </c>
      <c r="AUL3" s="12" t="s">
        <v>3762</v>
      </c>
      <c r="AUM3" s="12" t="s">
        <v>3763</v>
      </c>
      <c r="AUN3" s="12" t="s">
        <v>3764</v>
      </c>
      <c r="AUO3" s="12" t="s">
        <v>3765</v>
      </c>
      <c r="AUP3" s="12" t="s">
        <v>3766</v>
      </c>
      <c r="AUQ3" s="12" t="s">
        <v>3767</v>
      </c>
      <c r="AUR3" s="12" t="s">
        <v>3768</v>
      </c>
      <c r="AUS3" s="12" t="s">
        <v>3769</v>
      </c>
      <c r="AUT3" s="12" t="s">
        <v>3770</v>
      </c>
      <c r="AUU3" s="12" t="s">
        <v>3771</v>
      </c>
      <c r="AUV3" s="12" t="s">
        <v>3772</v>
      </c>
      <c r="AUW3" s="12" t="s">
        <v>3773</v>
      </c>
      <c r="AUX3" s="12" t="s">
        <v>3774</v>
      </c>
      <c r="AUY3" s="12" t="s">
        <v>3775</v>
      </c>
      <c r="AUZ3" s="12" t="s">
        <v>3776</v>
      </c>
      <c r="AVA3" s="12" t="s">
        <v>3777</v>
      </c>
      <c r="AVB3" s="12" t="s">
        <v>3778</v>
      </c>
      <c r="AVC3" s="12" t="s">
        <v>3779</v>
      </c>
      <c r="AVD3" s="12" t="s">
        <v>3780</v>
      </c>
      <c r="AVE3" s="12" t="s">
        <v>3781</v>
      </c>
      <c r="AVF3" s="12" t="s">
        <v>3782</v>
      </c>
      <c r="AVG3" s="12" t="s">
        <v>3783</v>
      </c>
      <c r="AVH3" s="12" t="s">
        <v>3784</v>
      </c>
      <c r="AVI3" s="12" t="s">
        <v>3785</v>
      </c>
      <c r="AVJ3" s="12" t="s">
        <v>3786</v>
      </c>
      <c r="AVK3" s="12" t="s">
        <v>3787</v>
      </c>
      <c r="AVL3" s="12" t="s">
        <v>3788</v>
      </c>
      <c r="AVM3" s="12" t="s">
        <v>3789</v>
      </c>
      <c r="AVN3" s="12" t="s">
        <v>3790</v>
      </c>
      <c r="AVO3" s="12" t="s">
        <v>3791</v>
      </c>
      <c r="AVP3" s="12" t="s">
        <v>3792</v>
      </c>
      <c r="AVQ3" s="12" t="s">
        <v>3793</v>
      </c>
      <c r="AVR3" s="12" t="s">
        <v>3794</v>
      </c>
      <c r="AVS3" s="12" t="s">
        <v>3795</v>
      </c>
      <c r="AVT3" s="12" t="s">
        <v>3796</v>
      </c>
      <c r="AVU3" s="12" t="s">
        <v>3797</v>
      </c>
      <c r="AVV3" s="12" t="s">
        <v>3798</v>
      </c>
      <c r="AVW3" s="12" t="s">
        <v>3799</v>
      </c>
      <c r="AVX3" s="12" t="s">
        <v>3800</v>
      </c>
      <c r="AVY3" s="12" t="s">
        <v>3801</v>
      </c>
      <c r="AVZ3" s="12" t="s">
        <v>3802</v>
      </c>
      <c r="AWA3" s="12" t="s">
        <v>3803</v>
      </c>
      <c r="AWB3" s="12" t="s">
        <v>3804</v>
      </c>
      <c r="AWC3" s="12" t="s">
        <v>3805</v>
      </c>
      <c r="AWD3" s="12" t="s">
        <v>3806</v>
      </c>
      <c r="AWE3" s="12" t="s">
        <v>3807</v>
      </c>
      <c r="AWF3" s="12" t="s">
        <v>3808</v>
      </c>
      <c r="AWG3" s="12" t="s">
        <v>3809</v>
      </c>
      <c r="AWH3" s="12" t="s">
        <v>3810</v>
      </c>
      <c r="AWI3" s="12" t="s">
        <v>3811</v>
      </c>
      <c r="AWJ3" s="12" t="s">
        <v>3812</v>
      </c>
      <c r="AWK3" s="12" t="s">
        <v>3813</v>
      </c>
      <c r="AWL3" s="12" t="s">
        <v>3814</v>
      </c>
      <c r="AWM3" s="12" t="s">
        <v>3815</v>
      </c>
      <c r="AWN3" s="12" t="s">
        <v>3816</v>
      </c>
      <c r="AWO3" s="12" t="s">
        <v>3817</v>
      </c>
      <c r="AWP3" s="12" t="s">
        <v>3818</v>
      </c>
      <c r="AWQ3" s="12" t="s">
        <v>3819</v>
      </c>
      <c r="AWR3" s="12" t="s">
        <v>3820</v>
      </c>
      <c r="AWS3" s="12" t="s">
        <v>3821</v>
      </c>
      <c r="AWT3" s="12" t="s">
        <v>3822</v>
      </c>
      <c r="AWU3" s="12" t="s">
        <v>3823</v>
      </c>
      <c r="AWV3" s="12" t="s">
        <v>3824</v>
      </c>
      <c r="AWW3" s="12" t="s">
        <v>3825</v>
      </c>
      <c r="AWX3" s="12" t="s">
        <v>3826</v>
      </c>
      <c r="AWY3" s="12" t="s">
        <v>3827</v>
      </c>
      <c r="AWZ3" s="12" t="s">
        <v>3828</v>
      </c>
      <c r="AXA3" s="12" t="s">
        <v>3829</v>
      </c>
      <c r="AXB3" s="12" t="s">
        <v>3830</v>
      </c>
      <c r="AXC3" s="12" t="s">
        <v>3831</v>
      </c>
      <c r="AXD3" s="12" t="s">
        <v>3832</v>
      </c>
      <c r="AXE3" s="12" t="s">
        <v>3833</v>
      </c>
      <c r="AXF3" s="12" t="s">
        <v>3834</v>
      </c>
      <c r="AXG3" s="12" t="s">
        <v>3835</v>
      </c>
      <c r="AXH3" s="12" t="s">
        <v>3836</v>
      </c>
      <c r="AXI3" s="12" t="s">
        <v>3837</v>
      </c>
      <c r="AXJ3" s="12" t="s">
        <v>3838</v>
      </c>
      <c r="AXK3" s="12" t="s">
        <v>3839</v>
      </c>
      <c r="AXL3" s="12" t="s">
        <v>3840</v>
      </c>
      <c r="AXM3" s="12" t="s">
        <v>3841</v>
      </c>
      <c r="AXN3" s="12" t="s">
        <v>3842</v>
      </c>
      <c r="AXO3" s="12" t="s">
        <v>3843</v>
      </c>
      <c r="AXP3" s="12" t="s">
        <v>3844</v>
      </c>
      <c r="AXQ3" s="12" t="s">
        <v>3845</v>
      </c>
      <c r="AXR3" s="12" t="s">
        <v>3846</v>
      </c>
      <c r="AXS3" s="12" t="s">
        <v>3847</v>
      </c>
      <c r="AXT3" s="12" t="s">
        <v>3848</v>
      </c>
      <c r="AXU3" s="12" t="s">
        <v>3849</v>
      </c>
      <c r="AXV3" s="12" t="s">
        <v>3850</v>
      </c>
      <c r="AXW3" s="12" t="s">
        <v>3851</v>
      </c>
      <c r="AXX3" s="12" t="s">
        <v>3852</v>
      </c>
      <c r="AXY3" s="12" t="s">
        <v>3853</v>
      </c>
      <c r="AXZ3" s="12" t="s">
        <v>3854</v>
      </c>
      <c r="AYA3" s="12" t="s">
        <v>3855</v>
      </c>
      <c r="AYB3" s="12" t="s">
        <v>3856</v>
      </c>
      <c r="AYC3" s="12" t="s">
        <v>3857</v>
      </c>
      <c r="AYD3" s="12" t="s">
        <v>3858</v>
      </c>
      <c r="AYE3" s="12" t="s">
        <v>3859</v>
      </c>
      <c r="AYF3" s="12" t="s">
        <v>3860</v>
      </c>
      <c r="AYG3" s="12" t="s">
        <v>3861</v>
      </c>
      <c r="AYH3" s="12" t="s">
        <v>3862</v>
      </c>
      <c r="AYI3" s="12" t="s">
        <v>3863</v>
      </c>
      <c r="AYJ3" s="12" t="s">
        <v>3864</v>
      </c>
      <c r="AYK3" s="12" t="s">
        <v>3865</v>
      </c>
      <c r="AYL3" s="12" t="s">
        <v>3866</v>
      </c>
      <c r="AYM3" s="12" t="s">
        <v>3867</v>
      </c>
      <c r="AYN3" s="12" t="s">
        <v>3868</v>
      </c>
      <c r="AYO3" s="12" t="s">
        <v>3869</v>
      </c>
      <c r="AYP3" s="12" t="s">
        <v>3870</v>
      </c>
      <c r="AYQ3" s="12" t="s">
        <v>3871</v>
      </c>
      <c r="AYR3" s="12" t="s">
        <v>3872</v>
      </c>
      <c r="AYS3" s="12" t="s">
        <v>3873</v>
      </c>
      <c r="AYT3" s="12" t="s">
        <v>3874</v>
      </c>
      <c r="AYU3" s="12" t="s">
        <v>3875</v>
      </c>
      <c r="AYV3" s="12" t="s">
        <v>3876</v>
      </c>
      <c r="AYW3" s="12" t="s">
        <v>3877</v>
      </c>
      <c r="AYX3" s="12" t="s">
        <v>3878</v>
      </c>
      <c r="AYY3" s="12" t="s">
        <v>3879</v>
      </c>
      <c r="AYZ3" s="12" t="s">
        <v>3880</v>
      </c>
      <c r="AZA3" s="12" t="s">
        <v>3881</v>
      </c>
      <c r="AZB3" s="12" t="s">
        <v>3882</v>
      </c>
      <c r="AZC3" s="12" t="s">
        <v>3883</v>
      </c>
      <c r="AZD3" s="12" t="s">
        <v>3884</v>
      </c>
      <c r="AZE3" s="12" t="s">
        <v>3885</v>
      </c>
      <c r="AZF3" s="12" t="s">
        <v>3886</v>
      </c>
      <c r="AZG3" s="12" t="s">
        <v>3887</v>
      </c>
      <c r="AZH3" s="12" t="s">
        <v>3888</v>
      </c>
      <c r="AZI3" s="12" t="s">
        <v>3889</v>
      </c>
      <c r="AZJ3" s="12" t="s">
        <v>3890</v>
      </c>
      <c r="AZK3" s="12" t="s">
        <v>3891</v>
      </c>
      <c r="AZL3" s="12" t="s">
        <v>3892</v>
      </c>
      <c r="AZM3" s="12" t="s">
        <v>3893</v>
      </c>
      <c r="AZN3" s="12" t="s">
        <v>3894</v>
      </c>
      <c r="AZO3" s="12" t="s">
        <v>3895</v>
      </c>
      <c r="AZP3" s="12" t="s">
        <v>3896</v>
      </c>
      <c r="AZQ3" s="12" t="s">
        <v>3897</v>
      </c>
      <c r="AZR3" s="12" t="s">
        <v>3898</v>
      </c>
      <c r="AZS3" s="12" t="s">
        <v>3899</v>
      </c>
      <c r="AZT3" s="12" t="s">
        <v>3900</v>
      </c>
      <c r="AZU3" s="12" t="s">
        <v>3901</v>
      </c>
      <c r="AZV3" s="12" t="s">
        <v>3902</v>
      </c>
      <c r="AZW3" s="12" t="s">
        <v>3903</v>
      </c>
      <c r="AZX3" s="12" t="s">
        <v>3904</v>
      </c>
      <c r="AZY3" s="12" t="s">
        <v>3905</v>
      </c>
      <c r="AZZ3" s="12" t="s">
        <v>3906</v>
      </c>
      <c r="BAA3" s="12" t="s">
        <v>3907</v>
      </c>
      <c r="BAB3" s="12" t="s">
        <v>3908</v>
      </c>
      <c r="BAC3" s="12" t="s">
        <v>3909</v>
      </c>
      <c r="BAD3" s="12" t="s">
        <v>3910</v>
      </c>
      <c r="BAE3" s="12" t="s">
        <v>3911</v>
      </c>
      <c r="BAF3" s="12" t="s">
        <v>3912</v>
      </c>
      <c r="BAG3" s="12" t="s">
        <v>3913</v>
      </c>
      <c r="BAH3" s="12" t="s">
        <v>3914</v>
      </c>
      <c r="BAI3" s="12" t="s">
        <v>3915</v>
      </c>
      <c r="BAJ3" s="12" t="s">
        <v>3916</v>
      </c>
      <c r="BAK3" s="12" t="s">
        <v>3917</v>
      </c>
      <c r="BAL3" s="12" t="s">
        <v>3918</v>
      </c>
      <c r="BAM3" s="12" t="s">
        <v>3919</v>
      </c>
      <c r="BAN3" s="12" t="s">
        <v>3920</v>
      </c>
      <c r="BAO3" s="12" t="s">
        <v>3921</v>
      </c>
      <c r="BAP3" s="12" t="s">
        <v>3922</v>
      </c>
      <c r="BAQ3" s="12" t="s">
        <v>3923</v>
      </c>
      <c r="BAR3" s="12" t="s">
        <v>3924</v>
      </c>
      <c r="BAS3" s="12" t="s">
        <v>3925</v>
      </c>
      <c r="BAT3" s="12" t="s">
        <v>3926</v>
      </c>
      <c r="BAU3" s="12" t="s">
        <v>3927</v>
      </c>
      <c r="BAV3" s="12" t="s">
        <v>3928</v>
      </c>
      <c r="BAW3" s="12" t="s">
        <v>3929</v>
      </c>
      <c r="BAX3" s="12" t="s">
        <v>3930</v>
      </c>
      <c r="BAY3" s="12" t="s">
        <v>3931</v>
      </c>
      <c r="BAZ3" s="12" t="s">
        <v>3932</v>
      </c>
      <c r="BBA3" s="12" t="s">
        <v>3933</v>
      </c>
      <c r="BBB3" s="12" t="s">
        <v>3934</v>
      </c>
      <c r="BBC3" s="12" t="s">
        <v>3935</v>
      </c>
      <c r="BBD3" s="12" t="s">
        <v>3936</v>
      </c>
      <c r="BBE3" s="12" t="s">
        <v>3937</v>
      </c>
      <c r="BBF3" s="12" t="s">
        <v>3938</v>
      </c>
      <c r="BBG3" s="12" t="s">
        <v>3939</v>
      </c>
      <c r="BBH3" s="12" t="s">
        <v>3940</v>
      </c>
      <c r="BBI3" s="12" t="s">
        <v>3941</v>
      </c>
      <c r="BBJ3" s="12" t="s">
        <v>3942</v>
      </c>
      <c r="BBK3" s="12" t="s">
        <v>3943</v>
      </c>
      <c r="BBL3" s="12" t="s">
        <v>3944</v>
      </c>
      <c r="BBM3" s="12" t="s">
        <v>3945</v>
      </c>
      <c r="BBN3" s="12" t="s">
        <v>3946</v>
      </c>
      <c r="BBO3" s="12" t="s">
        <v>3947</v>
      </c>
      <c r="BBP3" s="12" t="s">
        <v>3948</v>
      </c>
      <c r="BBQ3" s="12" t="s">
        <v>3949</v>
      </c>
      <c r="BBR3" s="12" t="s">
        <v>3950</v>
      </c>
      <c r="BBS3" s="12" t="s">
        <v>3951</v>
      </c>
      <c r="BBT3" s="12" t="s">
        <v>3952</v>
      </c>
      <c r="BBU3" s="12" t="s">
        <v>3953</v>
      </c>
      <c r="BBV3" s="12" t="s">
        <v>3954</v>
      </c>
      <c r="BBW3" s="12" t="s">
        <v>3955</v>
      </c>
      <c r="BBX3" s="12" t="s">
        <v>3956</v>
      </c>
      <c r="BBY3" s="12" t="s">
        <v>3957</v>
      </c>
      <c r="BBZ3" s="12" t="s">
        <v>3958</v>
      </c>
      <c r="BCA3" s="12" t="s">
        <v>3959</v>
      </c>
      <c r="BCB3" s="12" t="s">
        <v>3960</v>
      </c>
      <c r="BCC3" s="12" t="s">
        <v>3961</v>
      </c>
      <c r="BCD3" s="12" t="s">
        <v>3962</v>
      </c>
      <c r="BCE3" s="12" t="s">
        <v>3963</v>
      </c>
      <c r="BCF3" s="12" t="s">
        <v>3964</v>
      </c>
      <c r="BCG3" s="12" t="s">
        <v>3965</v>
      </c>
      <c r="BCH3" s="12" t="s">
        <v>3966</v>
      </c>
      <c r="BCI3" s="12" t="s">
        <v>3967</v>
      </c>
      <c r="BCJ3" s="12" t="s">
        <v>3968</v>
      </c>
      <c r="BCK3" s="12" t="s">
        <v>3969</v>
      </c>
      <c r="BCL3" s="12" t="s">
        <v>3970</v>
      </c>
      <c r="BCM3" s="12" t="s">
        <v>3971</v>
      </c>
      <c r="BCN3" s="12" t="s">
        <v>3972</v>
      </c>
      <c r="BCO3" s="12" t="s">
        <v>3973</v>
      </c>
      <c r="BCP3" s="12" t="s">
        <v>3974</v>
      </c>
      <c r="BCQ3" s="12" t="s">
        <v>3975</v>
      </c>
      <c r="BCR3" s="12" t="s">
        <v>3976</v>
      </c>
      <c r="BCS3" s="12" t="s">
        <v>3977</v>
      </c>
      <c r="BCT3" s="12" t="s">
        <v>3978</v>
      </c>
      <c r="BCU3" s="12" t="s">
        <v>3979</v>
      </c>
      <c r="BCV3" s="12" t="s">
        <v>3980</v>
      </c>
      <c r="BCW3" s="12" t="s">
        <v>3981</v>
      </c>
      <c r="BCX3" s="12" t="s">
        <v>3982</v>
      </c>
      <c r="BCY3" s="12" t="s">
        <v>3983</v>
      </c>
      <c r="BCZ3" s="12" t="s">
        <v>3984</v>
      </c>
      <c r="BDA3" s="12" t="s">
        <v>3985</v>
      </c>
      <c r="BDB3" s="12" t="s">
        <v>3986</v>
      </c>
      <c r="BDC3" s="12" t="s">
        <v>3987</v>
      </c>
      <c r="BDD3" s="12" t="s">
        <v>3988</v>
      </c>
      <c r="BDE3" s="12" t="s">
        <v>3989</v>
      </c>
      <c r="BDF3" s="12" t="s">
        <v>3990</v>
      </c>
      <c r="BDG3" s="12" t="s">
        <v>3991</v>
      </c>
      <c r="BDH3" s="12" t="s">
        <v>3992</v>
      </c>
      <c r="BDI3" s="12" t="s">
        <v>3993</v>
      </c>
      <c r="BDJ3" s="12" t="s">
        <v>3994</v>
      </c>
      <c r="BDK3" s="12" t="s">
        <v>3995</v>
      </c>
      <c r="BDL3" s="12" t="s">
        <v>3996</v>
      </c>
      <c r="BDM3" s="12" t="s">
        <v>3997</v>
      </c>
      <c r="BDN3" s="12" t="s">
        <v>3998</v>
      </c>
      <c r="BDO3" s="12" t="s">
        <v>3999</v>
      </c>
      <c r="BDP3" s="12" t="s">
        <v>4000</v>
      </c>
      <c r="BDQ3" s="12" t="s">
        <v>4001</v>
      </c>
      <c r="BDR3" s="12" t="s">
        <v>4002</v>
      </c>
      <c r="BDS3" s="12" t="s">
        <v>4003</v>
      </c>
      <c r="BDT3" s="12" t="s">
        <v>4004</v>
      </c>
      <c r="BDU3" s="12" t="s">
        <v>4005</v>
      </c>
      <c r="BDV3" s="12" t="s">
        <v>4006</v>
      </c>
      <c r="BDW3" s="12" t="s">
        <v>4007</v>
      </c>
      <c r="BDX3" s="12" t="s">
        <v>4008</v>
      </c>
      <c r="BDY3" s="12" t="s">
        <v>4009</v>
      </c>
      <c r="BDZ3" s="12" t="s">
        <v>4010</v>
      </c>
      <c r="BEA3" s="12" t="s">
        <v>4011</v>
      </c>
      <c r="BEB3" s="12" t="s">
        <v>4012</v>
      </c>
      <c r="BEC3" s="12" t="s">
        <v>4013</v>
      </c>
      <c r="BED3" s="12" t="s">
        <v>4014</v>
      </c>
      <c r="BEE3" s="12" t="s">
        <v>4015</v>
      </c>
      <c r="BEF3" s="12" t="s">
        <v>4016</v>
      </c>
      <c r="BEG3" s="12" t="s">
        <v>4017</v>
      </c>
      <c r="BEH3" s="12" t="s">
        <v>4018</v>
      </c>
      <c r="BEI3" s="12" t="s">
        <v>4019</v>
      </c>
      <c r="BEJ3" s="12" t="s">
        <v>4020</v>
      </c>
      <c r="BEK3" s="12" t="s">
        <v>4021</v>
      </c>
      <c r="BEL3" s="12" t="s">
        <v>4022</v>
      </c>
      <c r="BEM3" s="12" t="s">
        <v>4023</v>
      </c>
      <c r="BEN3" s="12" t="s">
        <v>4024</v>
      </c>
      <c r="BEO3" s="12" t="s">
        <v>4025</v>
      </c>
      <c r="BEP3" s="12" t="s">
        <v>4026</v>
      </c>
      <c r="BEQ3" s="12" t="s">
        <v>4027</v>
      </c>
      <c r="BER3" s="12" t="s">
        <v>4028</v>
      </c>
      <c r="BES3" s="12" t="s">
        <v>4029</v>
      </c>
      <c r="BET3" s="12" t="s">
        <v>4030</v>
      </c>
      <c r="BEU3" s="12" t="s">
        <v>4031</v>
      </c>
      <c r="BEV3" s="12" t="s">
        <v>4032</v>
      </c>
      <c r="BEW3" s="12" t="s">
        <v>4033</v>
      </c>
      <c r="BEX3" s="12" t="s">
        <v>4034</v>
      </c>
      <c r="BEY3" s="12" t="s">
        <v>4035</v>
      </c>
      <c r="BEZ3" s="12" t="s">
        <v>4036</v>
      </c>
      <c r="BFA3" s="12" t="s">
        <v>4037</v>
      </c>
      <c r="BFB3" s="12" t="s">
        <v>4038</v>
      </c>
      <c r="BFC3" s="12" t="s">
        <v>4039</v>
      </c>
      <c r="BFD3" s="12" t="s">
        <v>4040</v>
      </c>
      <c r="BFE3" s="12" t="s">
        <v>4041</v>
      </c>
      <c r="BFF3" s="12" t="s">
        <v>4042</v>
      </c>
      <c r="BFG3" s="12" t="s">
        <v>4043</v>
      </c>
      <c r="BFH3" s="12" t="s">
        <v>4044</v>
      </c>
      <c r="BFI3" s="12" t="s">
        <v>4045</v>
      </c>
      <c r="BFJ3" s="12" t="s">
        <v>4046</v>
      </c>
      <c r="BFK3" s="12" t="s">
        <v>4047</v>
      </c>
      <c r="BFL3" s="12" t="s">
        <v>4048</v>
      </c>
      <c r="BFM3" s="12" t="s">
        <v>4049</v>
      </c>
      <c r="BFN3" s="12" t="s">
        <v>4050</v>
      </c>
      <c r="BFO3" s="12" t="s">
        <v>4051</v>
      </c>
      <c r="BFP3" s="12" t="s">
        <v>4052</v>
      </c>
      <c r="BFQ3" s="12" t="s">
        <v>4053</v>
      </c>
      <c r="BFR3" s="12" t="s">
        <v>4054</v>
      </c>
      <c r="BFS3" s="12" t="s">
        <v>4055</v>
      </c>
      <c r="BFT3" s="12" t="s">
        <v>4056</v>
      </c>
      <c r="BFU3" s="12" t="s">
        <v>4057</v>
      </c>
      <c r="BFV3" s="12" t="s">
        <v>4058</v>
      </c>
      <c r="BFW3" s="12" t="s">
        <v>4059</v>
      </c>
      <c r="BFX3" s="12" t="s">
        <v>4060</v>
      </c>
      <c r="BFY3" s="12" t="s">
        <v>4061</v>
      </c>
      <c r="BFZ3" s="12" t="s">
        <v>4062</v>
      </c>
      <c r="BGA3" s="12" t="s">
        <v>4063</v>
      </c>
      <c r="BGB3" s="12" t="s">
        <v>4064</v>
      </c>
      <c r="BGC3" s="12" t="s">
        <v>4065</v>
      </c>
      <c r="BGD3" s="12" t="s">
        <v>4066</v>
      </c>
      <c r="BGE3" s="12" t="s">
        <v>4067</v>
      </c>
      <c r="BGF3" s="12" t="s">
        <v>4068</v>
      </c>
      <c r="BGG3" s="12" t="s">
        <v>4069</v>
      </c>
      <c r="BGH3" s="12" t="s">
        <v>4070</v>
      </c>
      <c r="BGI3" s="12" t="s">
        <v>4071</v>
      </c>
      <c r="BGJ3" s="12" t="s">
        <v>4072</v>
      </c>
      <c r="BGK3" s="12" t="s">
        <v>4073</v>
      </c>
      <c r="BGL3" s="12" t="s">
        <v>4074</v>
      </c>
      <c r="BGM3" s="12" t="s">
        <v>4075</v>
      </c>
      <c r="BGN3" s="12" t="s">
        <v>4076</v>
      </c>
      <c r="BGO3" s="12" t="s">
        <v>4077</v>
      </c>
      <c r="BGP3" s="12" t="s">
        <v>4078</v>
      </c>
      <c r="BGQ3" s="12" t="s">
        <v>4079</v>
      </c>
      <c r="BGR3" s="12" t="s">
        <v>4080</v>
      </c>
      <c r="BGS3" s="12" t="s">
        <v>4081</v>
      </c>
      <c r="BGT3" s="12" t="s">
        <v>4082</v>
      </c>
      <c r="BGU3" s="12" t="s">
        <v>4083</v>
      </c>
      <c r="BGV3" s="12" t="s">
        <v>4084</v>
      </c>
      <c r="BGW3" s="12" t="s">
        <v>4085</v>
      </c>
      <c r="BGX3" s="12" t="s">
        <v>4086</v>
      </c>
      <c r="BGY3" s="12" t="s">
        <v>4087</v>
      </c>
      <c r="BGZ3" s="12" t="s">
        <v>4088</v>
      </c>
      <c r="BHA3" s="12" t="s">
        <v>4089</v>
      </c>
      <c r="BHB3" s="12" t="s">
        <v>4090</v>
      </c>
      <c r="BHC3" s="12" t="s">
        <v>4091</v>
      </c>
      <c r="BHD3" s="12" t="s">
        <v>4092</v>
      </c>
      <c r="BHE3" s="12" t="s">
        <v>4093</v>
      </c>
      <c r="BHF3" s="12" t="s">
        <v>4094</v>
      </c>
      <c r="BHG3" s="12" t="s">
        <v>4095</v>
      </c>
      <c r="BHH3" s="12" t="s">
        <v>4096</v>
      </c>
      <c r="BHI3" s="12" t="s">
        <v>4097</v>
      </c>
      <c r="BHJ3" s="12" t="s">
        <v>4098</v>
      </c>
      <c r="BHK3" s="12" t="s">
        <v>4099</v>
      </c>
      <c r="BHL3" s="12" t="s">
        <v>4100</v>
      </c>
      <c r="BHM3" s="12" t="s">
        <v>4101</v>
      </c>
      <c r="BHN3" s="12" t="s">
        <v>4102</v>
      </c>
      <c r="BHO3" s="12" t="s">
        <v>4103</v>
      </c>
      <c r="BHP3" s="12" t="s">
        <v>4104</v>
      </c>
      <c r="BHQ3" s="12" t="s">
        <v>4105</v>
      </c>
      <c r="BHR3" s="12" t="s">
        <v>4106</v>
      </c>
      <c r="BHS3" s="12" t="s">
        <v>4107</v>
      </c>
      <c r="BHT3" s="12" t="s">
        <v>4108</v>
      </c>
      <c r="BHU3" s="12" t="s">
        <v>4109</v>
      </c>
      <c r="BHV3" s="12" t="s">
        <v>4110</v>
      </c>
      <c r="BHW3" s="12" t="s">
        <v>4111</v>
      </c>
      <c r="BHX3" s="12" t="s">
        <v>4112</v>
      </c>
      <c r="BHY3" s="12" t="s">
        <v>4113</v>
      </c>
      <c r="BHZ3" s="12" t="s">
        <v>4114</v>
      </c>
      <c r="BIA3" s="12" t="s">
        <v>4115</v>
      </c>
      <c r="BIB3" s="12" t="s">
        <v>4116</v>
      </c>
      <c r="BIC3" s="12" t="s">
        <v>4117</v>
      </c>
      <c r="BID3" s="12" t="s">
        <v>4118</v>
      </c>
      <c r="BIE3" s="12" t="s">
        <v>4119</v>
      </c>
      <c r="BIF3" s="12" t="s">
        <v>4120</v>
      </c>
      <c r="BIG3" s="12" t="s">
        <v>4121</v>
      </c>
      <c r="BIH3" s="12" t="s">
        <v>4122</v>
      </c>
      <c r="BII3" s="12" t="s">
        <v>4123</v>
      </c>
      <c r="BIJ3" s="12" t="s">
        <v>4124</v>
      </c>
      <c r="BIK3" s="12" t="s">
        <v>4125</v>
      </c>
      <c r="BIL3" s="12" t="s">
        <v>4126</v>
      </c>
      <c r="BIM3" s="12" t="s">
        <v>4127</v>
      </c>
      <c r="BIN3" s="12" t="s">
        <v>4128</v>
      </c>
      <c r="BIO3" s="12" t="s">
        <v>4129</v>
      </c>
      <c r="BIP3" s="12" t="s">
        <v>4130</v>
      </c>
      <c r="BIQ3" s="12" t="s">
        <v>4131</v>
      </c>
      <c r="BIR3" s="12" t="s">
        <v>4132</v>
      </c>
      <c r="BIS3" s="12" t="s">
        <v>4133</v>
      </c>
      <c r="BIT3" s="12" t="s">
        <v>4134</v>
      </c>
      <c r="BIU3" s="12" t="s">
        <v>4135</v>
      </c>
      <c r="BIV3" s="12" t="s">
        <v>4136</v>
      </c>
      <c r="BIW3" s="12" t="s">
        <v>4137</v>
      </c>
      <c r="BIX3" s="12" t="s">
        <v>4138</v>
      </c>
      <c r="BIY3" s="12" t="s">
        <v>4139</v>
      </c>
      <c r="BIZ3" s="12" t="s">
        <v>4140</v>
      </c>
      <c r="BJA3" s="12" t="s">
        <v>4141</v>
      </c>
      <c r="BJB3" s="12" t="s">
        <v>4142</v>
      </c>
      <c r="BJC3" s="12" t="s">
        <v>4143</v>
      </c>
      <c r="BJD3" s="12" t="s">
        <v>4144</v>
      </c>
      <c r="BJE3" s="12" t="s">
        <v>4145</v>
      </c>
      <c r="BJF3" s="12" t="s">
        <v>4146</v>
      </c>
      <c r="BJG3" s="12" t="s">
        <v>4147</v>
      </c>
      <c r="BJH3" s="12" t="s">
        <v>4148</v>
      </c>
      <c r="BJI3" s="12" t="s">
        <v>4149</v>
      </c>
      <c r="BJJ3" s="12" t="s">
        <v>4150</v>
      </c>
      <c r="BJK3" s="12" t="s">
        <v>4151</v>
      </c>
      <c r="BJL3" s="12" t="s">
        <v>4152</v>
      </c>
      <c r="BJM3" s="12" t="s">
        <v>4153</v>
      </c>
      <c r="BJN3" s="12" t="s">
        <v>4154</v>
      </c>
      <c r="BJO3" s="12" t="s">
        <v>4155</v>
      </c>
      <c r="BJP3" s="12" t="s">
        <v>4156</v>
      </c>
      <c r="BJQ3" s="12" t="s">
        <v>4157</v>
      </c>
      <c r="BJR3" s="12" t="s">
        <v>4158</v>
      </c>
      <c r="BJS3" s="12" t="s">
        <v>4159</v>
      </c>
      <c r="BJT3" s="12" t="s">
        <v>4160</v>
      </c>
      <c r="BJU3" s="12" t="s">
        <v>4161</v>
      </c>
      <c r="BJV3" s="12" t="s">
        <v>4162</v>
      </c>
      <c r="BJW3" s="12" t="s">
        <v>4163</v>
      </c>
      <c r="BJX3" s="12" t="s">
        <v>4164</v>
      </c>
      <c r="BJY3" s="12" t="s">
        <v>4165</v>
      </c>
      <c r="BJZ3" s="12" t="s">
        <v>4166</v>
      </c>
      <c r="BKA3" s="12" t="s">
        <v>4167</v>
      </c>
      <c r="BKB3" s="12" t="s">
        <v>4168</v>
      </c>
      <c r="BKC3" s="12" t="s">
        <v>4169</v>
      </c>
      <c r="BKD3" s="12" t="s">
        <v>4170</v>
      </c>
      <c r="BKE3" s="12" t="s">
        <v>4171</v>
      </c>
      <c r="BKF3" s="12" t="s">
        <v>4172</v>
      </c>
      <c r="BKG3" s="12" t="s">
        <v>4173</v>
      </c>
      <c r="BKH3" s="12" t="s">
        <v>4174</v>
      </c>
      <c r="BKI3" s="12" t="s">
        <v>4175</v>
      </c>
      <c r="BKJ3" s="12" t="s">
        <v>4176</v>
      </c>
      <c r="BKK3" s="12" t="s">
        <v>4177</v>
      </c>
      <c r="BKL3" s="12" t="s">
        <v>4178</v>
      </c>
      <c r="BKM3" s="12" t="s">
        <v>4179</v>
      </c>
      <c r="BKN3" s="12" t="s">
        <v>4180</v>
      </c>
      <c r="BKO3" s="12" t="s">
        <v>4181</v>
      </c>
      <c r="BKP3" s="12" t="s">
        <v>4182</v>
      </c>
      <c r="BKQ3" s="12" t="s">
        <v>4183</v>
      </c>
      <c r="BKR3" s="12" t="s">
        <v>4184</v>
      </c>
      <c r="BKS3" s="12" t="s">
        <v>4185</v>
      </c>
      <c r="BKT3" s="12" t="s">
        <v>4186</v>
      </c>
      <c r="BKU3" s="12" t="s">
        <v>4187</v>
      </c>
      <c r="BKV3" s="12" t="s">
        <v>4188</v>
      </c>
      <c r="BKW3" s="12" t="s">
        <v>4189</v>
      </c>
      <c r="BKX3" s="12" t="s">
        <v>4190</v>
      </c>
      <c r="BKY3" s="12" t="s">
        <v>4191</v>
      </c>
      <c r="BKZ3" s="12" t="s">
        <v>4192</v>
      </c>
      <c r="BLA3" s="12" t="s">
        <v>4193</v>
      </c>
      <c r="BLB3" s="12" t="s">
        <v>4194</v>
      </c>
      <c r="BLC3" s="12" t="s">
        <v>4195</v>
      </c>
      <c r="BLD3" s="12" t="s">
        <v>4196</v>
      </c>
      <c r="BLE3" s="12" t="s">
        <v>4197</v>
      </c>
      <c r="BLF3" s="12" t="s">
        <v>4198</v>
      </c>
      <c r="BLG3" s="12" t="s">
        <v>4199</v>
      </c>
      <c r="BLH3" s="12" t="s">
        <v>4200</v>
      </c>
      <c r="BLI3" s="12" t="s">
        <v>4201</v>
      </c>
      <c r="BLJ3" s="12" t="s">
        <v>4202</v>
      </c>
      <c r="BLK3" s="12" t="s">
        <v>4203</v>
      </c>
      <c r="BLL3" s="12" t="s">
        <v>4204</v>
      </c>
      <c r="BLM3" s="12" t="s">
        <v>4205</v>
      </c>
      <c r="BLN3" s="12" t="s">
        <v>4206</v>
      </c>
      <c r="BLO3" s="12" t="s">
        <v>4207</v>
      </c>
      <c r="BLP3" s="12" t="s">
        <v>4208</v>
      </c>
      <c r="BLQ3" s="12" t="s">
        <v>4209</v>
      </c>
      <c r="BLR3" s="12" t="s">
        <v>4210</v>
      </c>
      <c r="BLS3" s="12" t="s">
        <v>4211</v>
      </c>
      <c r="BLT3" s="12" t="s">
        <v>4212</v>
      </c>
      <c r="BLU3" s="12" t="s">
        <v>4213</v>
      </c>
      <c r="BLV3" s="12" t="s">
        <v>4214</v>
      </c>
      <c r="BLW3" s="12" t="s">
        <v>4215</v>
      </c>
      <c r="BLX3" s="12" t="s">
        <v>4216</v>
      </c>
      <c r="BLY3" s="12" t="s">
        <v>4217</v>
      </c>
      <c r="BLZ3" s="12" t="s">
        <v>4218</v>
      </c>
      <c r="BMA3" s="12" t="s">
        <v>4219</v>
      </c>
      <c r="BMB3" s="12" t="s">
        <v>4220</v>
      </c>
      <c r="BMC3" s="12" t="s">
        <v>4221</v>
      </c>
      <c r="BMD3" s="12" t="s">
        <v>4222</v>
      </c>
      <c r="BME3" s="12" t="s">
        <v>4223</v>
      </c>
      <c r="BMF3" s="12" t="s">
        <v>4224</v>
      </c>
      <c r="BMG3" s="12" t="s">
        <v>4225</v>
      </c>
      <c r="BMH3" s="12" t="s">
        <v>4226</v>
      </c>
      <c r="BMI3" s="12" t="s">
        <v>4227</v>
      </c>
      <c r="BMJ3" s="12" t="s">
        <v>4228</v>
      </c>
      <c r="BMK3" s="12" t="s">
        <v>4229</v>
      </c>
      <c r="BML3" s="12" t="s">
        <v>4230</v>
      </c>
      <c r="BMM3" s="12" t="s">
        <v>4231</v>
      </c>
      <c r="BMN3" s="12" t="s">
        <v>4232</v>
      </c>
      <c r="BMO3" s="12" t="s">
        <v>4233</v>
      </c>
      <c r="BMP3" s="12" t="s">
        <v>4234</v>
      </c>
      <c r="BMQ3" s="12" t="s">
        <v>4235</v>
      </c>
      <c r="BMR3" s="12" t="s">
        <v>4236</v>
      </c>
      <c r="BMS3" s="12" t="s">
        <v>4237</v>
      </c>
      <c r="BMT3" s="12" t="s">
        <v>4238</v>
      </c>
      <c r="BMU3" s="12" t="s">
        <v>4239</v>
      </c>
      <c r="BMV3" s="12" t="s">
        <v>4240</v>
      </c>
      <c r="BMW3" s="12" t="s">
        <v>4241</v>
      </c>
      <c r="BMX3" s="12" t="s">
        <v>4242</v>
      </c>
      <c r="BMY3" s="12" t="s">
        <v>4243</v>
      </c>
      <c r="BMZ3" s="12" t="s">
        <v>4244</v>
      </c>
      <c r="BNA3" s="12" t="s">
        <v>4245</v>
      </c>
      <c r="BNB3" s="12" t="s">
        <v>4246</v>
      </c>
      <c r="BNC3" s="12" t="s">
        <v>4247</v>
      </c>
      <c r="BND3" s="12" t="s">
        <v>4248</v>
      </c>
      <c r="BNE3" s="12" t="s">
        <v>4249</v>
      </c>
      <c r="BNF3" s="12" t="s">
        <v>4250</v>
      </c>
      <c r="BNG3" s="12" t="s">
        <v>4251</v>
      </c>
      <c r="BNH3" s="12" t="s">
        <v>4252</v>
      </c>
      <c r="BNI3" s="12" t="s">
        <v>4253</v>
      </c>
      <c r="BNJ3" s="12" t="s">
        <v>4254</v>
      </c>
      <c r="BNK3" s="12" t="s">
        <v>4255</v>
      </c>
      <c r="BNL3" s="12" t="s">
        <v>4256</v>
      </c>
      <c r="BNM3" s="12" t="s">
        <v>4257</v>
      </c>
      <c r="BNN3" s="12" t="s">
        <v>4258</v>
      </c>
      <c r="BNO3" s="12" t="s">
        <v>4259</v>
      </c>
      <c r="BNP3" s="12" t="s">
        <v>4260</v>
      </c>
      <c r="BNQ3" s="12" t="s">
        <v>4261</v>
      </c>
      <c r="BNR3" s="12" t="s">
        <v>4262</v>
      </c>
      <c r="BNS3" s="12" t="s">
        <v>4263</v>
      </c>
      <c r="BNT3" s="12" t="s">
        <v>4264</v>
      </c>
      <c r="BNU3" s="12" t="s">
        <v>4265</v>
      </c>
      <c r="BNV3" s="12" t="s">
        <v>4266</v>
      </c>
      <c r="BNW3" s="12" t="s">
        <v>4267</v>
      </c>
      <c r="BNX3" s="12" t="s">
        <v>4268</v>
      </c>
      <c r="BNY3" s="12" t="s">
        <v>4269</v>
      </c>
      <c r="BNZ3" s="12" t="s">
        <v>4270</v>
      </c>
      <c r="BOA3" s="12" t="s">
        <v>4271</v>
      </c>
      <c r="BOB3" s="12" t="s">
        <v>4272</v>
      </c>
      <c r="BOC3" s="12" t="s">
        <v>4273</v>
      </c>
      <c r="BOD3" s="12" t="s">
        <v>4274</v>
      </c>
      <c r="BOE3" s="12" t="s">
        <v>4275</v>
      </c>
      <c r="BOF3" s="12" t="s">
        <v>4276</v>
      </c>
      <c r="BOG3" s="12" t="s">
        <v>4277</v>
      </c>
      <c r="BOH3" s="12" t="s">
        <v>4278</v>
      </c>
      <c r="BOI3" s="12" t="s">
        <v>4279</v>
      </c>
      <c r="BOJ3" s="12" t="s">
        <v>4280</v>
      </c>
      <c r="BOK3" s="12" t="s">
        <v>4281</v>
      </c>
      <c r="BOL3" s="12" t="s">
        <v>4282</v>
      </c>
      <c r="BOM3" s="12" t="s">
        <v>4283</v>
      </c>
      <c r="BON3" s="12" t="s">
        <v>4284</v>
      </c>
      <c r="BOO3" s="12" t="s">
        <v>4285</v>
      </c>
      <c r="BOP3" s="12" t="s">
        <v>4286</v>
      </c>
      <c r="BOQ3" s="12" t="s">
        <v>4287</v>
      </c>
      <c r="BOR3" s="12" t="s">
        <v>4288</v>
      </c>
      <c r="BOS3" s="12" t="s">
        <v>4289</v>
      </c>
      <c r="BOT3" s="12" t="s">
        <v>4290</v>
      </c>
      <c r="BOU3" s="12" t="s">
        <v>4291</v>
      </c>
      <c r="BOV3" s="12" t="s">
        <v>4292</v>
      </c>
      <c r="BOW3" s="12" t="s">
        <v>4293</v>
      </c>
      <c r="BOX3" s="12" t="s">
        <v>4294</v>
      </c>
      <c r="BOY3" s="12" t="s">
        <v>4295</v>
      </c>
      <c r="BOZ3" s="12" t="s">
        <v>4296</v>
      </c>
      <c r="BPA3" s="12" t="s">
        <v>4297</v>
      </c>
      <c r="BPB3" s="12" t="s">
        <v>4298</v>
      </c>
      <c r="BPC3" s="12" t="s">
        <v>4299</v>
      </c>
      <c r="BPD3" s="12" t="s">
        <v>4300</v>
      </c>
      <c r="BPE3" s="12" t="s">
        <v>4301</v>
      </c>
      <c r="BPF3" s="12" t="s">
        <v>4302</v>
      </c>
      <c r="BPG3" s="12" t="s">
        <v>4303</v>
      </c>
      <c r="BPH3" s="12" t="s">
        <v>4304</v>
      </c>
      <c r="BPI3" s="12" t="s">
        <v>4305</v>
      </c>
      <c r="BPJ3" s="12" t="s">
        <v>4306</v>
      </c>
      <c r="BPK3" s="12" t="s">
        <v>4307</v>
      </c>
      <c r="BPL3" s="12" t="s">
        <v>4308</v>
      </c>
      <c r="BPM3" s="12" t="s">
        <v>4309</v>
      </c>
      <c r="BPN3" s="12" t="s">
        <v>4310</v>
      </c>
      <c r="BPO3" s="12" t="s">
        <v>4311</v>
      </c>
      <c r="BPP3" s="12" t="s">
        <v>4312</v>
      </c>
      <c r="BPQ3" s="12" t="s">
        <v>4313</v>
      </c>
      <c r="BPR3" s="12" t="s">
        <v>4314</v>
      </c>
      <c r="BPS3" s="12" t="s">
        <v>4315</v>
      </c>
      <c r="BPT3" s="12" t="s">
        <v>4316</v>
      </c>
      <c r="BPU3" s="12" t="s">
        <v>4317</v>
      </c>
      <c r="BPV3" s="12" t="s">
        <v>4318</v>
      </c>
      <c r="BPW3" s="12" t="s">
        <v>4319</v>
      </c>
      <c r="BPX3" s="12" t="s">
        <v>4320</v>
      </c>
      <c r="BPY3" s="12" t="s">
        <v>4321</v>
      </c>
      <c r="BPZ3" s="12" t="s">
        <v>4322</v>
      </c>
      <c r="BQA3" s="12" t="s">
        <v>4323</v>
      </c>
      <c r="BQB3" s="12" t="s">
        <v>4324</v>
      </c>
      <c r="BQC3" s="12" t="s">
        <v>4325</v>
      </c>
      <c r="BQD3" s="12" t="s">
        <v>4326</v>
      </c>
      <c r="BQE3" s="12" t="s">
        <v>4327</v>
      </c>
      <c r="BQF3" s="12" t="s">
        <v>4328</v>
      </c>
      <c r="BQG3" s="12" t="s">
        <v>4329</v>
      </c>
      <c r="BQH3" s="12" t="s">
        <v>4330</v>
      </c>
      <c r="BQI3" s="12" t="s">
        <v>4331</v>
      </c>
      <c r="BQJ3" s="12" t="s">
        <v>4332</v>
      </c>
      <c r="BQK3" s="12" t="s">
        <v>4333</v>
      </c>
      <c r="BQL3" s="12" t="s">
        <v>4334</v>
      </c>
      <c r="BQM3" s="12" t="s">
        <v>4335</v>
      </c>
      <c r="BQN3" s="12" t="s">
        <v>4336</v>
      </c>
      <c r="BQO3" s="12" t="s">
        <v>4337</v>
      </c>
      <c r="BQP3" s="12" t="s">
        <v>4338</v>
      </c>
      <c r="BQQ3" s="12" t="s">
        <v>4339</v>
      </c>
      <c r="BQR3" s="12" t="s">
        <v>4340</v>
      </c>
      <c r="BQS3" s="12" t="s">
        <v>4341</v>
      </c>
      <c r="BQT3" s="12" t="s">
        <v>4342</v>
      </c>
      <c r="BQU3" s="12" t="s">
        <v>4343</v>
      </c>
      <c r="BQV3" s="12" t="s">
        <v>4344</v>
      </c>
      <c r="BQW3" s="12" t="s">
        <v>4345</v>
      </c>
      <c r="BQX3" s="12" t="s">
        <v>4346</v>
      </c>
      <c r="BQY3" s="12" t="s">
        <v>4347</v>
      </c>
      <c r="BQZ3" s="12" t="s">
        <v>4348</v>
      </c>
      <c r="BRA3" s="12" t="s">
        <v>4349</v>
      </c>
      <c r="BRB3" s="12" t="s">
        <v>4350</v>
      </c>
      <c r="BRC3" s="12" t="s">
        <v>4351</v>
      </c>
      <c r="BRD3" s="12" t="s">
        <v>4352</v>
      </c>
      <c r="BRE3" s="12" t="s">
        <v>4353</v>
      </c>
      <c r="BRF3" s="12" t="s">
        <v>4354</v>
      </c>
      <c r="BRG3" s="12" t="s">
        <v>4355</v>
      </c>
      <c r="BRH3" s="12" t="s">
        <v>4356</v>
      </c>
      <c r="BRI3" s="12" t="s">
        <v>4357</v>
      </c>
      <c r="BRJ3" s="12" t="s">
        <v>4358</v>
      </c>
      <c r="BRK3" s="12" t="s">
        <v>4359</v>
      </c>
      <c r="BRL3" s="12" t="s">
        <v>4360</v>
      </c>
      <c r="BRM3" s="12" t="s">
        <v>4361</v>
      </c>
      <c r="BRN3" s="12" t="s">
        <v>4362</v>
      </c>
      <c r="BRO3" s="12" t="s">
        <v>4363</v>
      </c>
      <c r="BRP3" s="12" t="s">
        <v>4364</v>
      </c>
      <c r="BRQ3" s="12" t="s">
        <v>4365</v>
      </c>
      <c r="BRR3" s="12" t="s">
        <v>4366</v>
      </c>
      <c r="BRS3" s="12" t="s">
        <v>4367</v>
      </c>
      <c r="BRT3" s="12" t="s">
        <v>4368</v>
      </c>
      <c r="BRU3" s="12" t="s">
        <v>4369</v>
      </c>
      <c r="BRV3" s="12" t="s">
        <v>4370</v>
      </c>
      <c r="BRW3" s="12" t="s">
        <v>4371</v>
      </c>
      <c r="BRX3" s="12" t="s">
        <v>4372</v>
      </c>
      <c r="BRY3" s="12" t="s">
        <v>4373</v>
      </c>
      <c r="BRZ3" s="12" t="s">
        <v>4374</v>
      </c>
      <c r="BSA3" s="12" t="s">
        <v>4375</v>
      </c>
      <c r="BSB3" s="12" t="s">
        <v>4376</v>
      </c>
      <c r="BSC3" s="12" t="s">
        <v>4377</v>
      </c>
      <c r="BSD3" s="12" t="s">
        <v>4378</v>
      </c>
      <c r="BSE3" s="12" t="s">
        <v>4379</v>
      </c>
      <c r="BSF3" s="12" t="s">
        <v>4380</v>
      </c>
      <c r="BSG3" s="12" t="s">
        <v>4381</v>
      </c>
      <c r="BSH3" s="12" t="s">
        <v>4382</v>
      </c>
      <c r="BSI3" s="12" t="s">
        <v>4383</v>
      </c>
      <c r="BSJ3" s="12" t="s">
        <v>4384</v>
      </c>
      <c r="BSK3" s="12" t="s">
        <v>4385</v>
      </c>
      <c r="BSL3" s="12" t="s">
        <v>4386</v>
      </c>
      <c r="BSM3" s="12" t="s">
        <v>4387</v>
      </c>
      <c r="BSN3" s="12" t="s">
        <v>4388</v>
      </c>
      <c r="BSO3" s="12" t="s">
        <v>4389</v>
      </c>
      <c r="BSP3" s="12" t="s">
        <v>4390</v>
      </c>
      <c r="BSQ3" s="12" t="s">
        <v>4391</v>
      </c>
      <c r="BSR3" s="12" t="s">
        <v>4392</v>
      </c>
      <c r="BSS3" s="12" t="s">
        <v>4393</v>
      </c>
      <c r="BST3" s="12" t="s">
        <v>4394</v>
      </c>
      <c r="BSU3" s="12" t="s">
        <v>4395</v>
      </c>
      <c r="BSV3" s="12" t="s">
        <v>4396</v>
      </c>
      <c r="BSW3" s="12" t="s">
        <v>4397</v>
      </c>
      <c r="BSX3" s="12" t="s">
        <v>4398</v>
      </c>
      <c r="BSY3" s="12" t="s">
        <v>4399</v>
      </c>
      <c r="BSZ3" s="12" t="s">
        <v>4400</v>
      </c>
      <c r="BTA3" s="12" t="s">
        <v>4401</v>
      </c>
      <c r="BTB3" s="12" t="s">
        <v>4402</v>
      </c>
      <c r="BTC3" s="12" t="s">
        <v>4403</v>
      </c>
      <c r="BTD3" s="12" t="s">
        <v>4404</v>
      </c>
      <c r="BTE3" s="12" t="s">
        <v>4405</v>
      </c>
      <c r="BTF3" s="12" t="s">
        <v>4406</v>
      </c>
      <c r="BTG3" s="12" t="s">
        <v>4407</v>
      </c>
      <c r="BTH3" s="12" t="s">
        <v>4408</v>
      </c>
      <c r="BTI3" s="12" t="s">
        <v>4409</v>
      </c>
      <c r="BTJ3" s="12" t="s">
        <v>4410</v>
      </c>
      <c r="BTK3" s="12" t="s">
        <v>4411</v>
      </c>
      <c r="BTL3" s="12" t="s">
        <v>4412</v>
      </c>
      <c r="BTM3" s="12" t="s">
        <v>4413</v>
      </c>
      <c r="BTN3" s="12" t="s">
        <v>4414</v>
      </c>
      <c r="BTO3" s="12" t="s">
        <v>4415</v>
      </c>
      <c r="BTP3" s="12" t="s">
        <v>4416</v>
      </c>
      <c r="BTQ3" s="12" t="s">
        <v>4417</v>
      </c>
      <c r="BTR3" s="12" t="s">
        <v>4418</v>
      </c>
      <c r="BTS3" s="12" t="s">
        <v>4419</v>
      </c>
      <c r="BTT3" s="12" t="s">
        <v>4420</v>
      </c>
      <c r="BTU3" s="12" t="s">
        <v>4421</v>
      </c>
      <c r="BTV3" s="12" t="s">
        <v>4422</v>
      </c>
      <c r="BTW3" s="12" t="s">
        <v>4423</v>
      </c>
      <c r="BTX3" s="12" t="s">
        <v>4424</v>
      </c>
      <c r="BTY3" s="12" t="s">
        <v>4425</v>
      </c>
      <c r="BTZ3" s="12" t="s">
        <v>4426</v>
      </c>
      <c r="BUA3" s="12" t="s">
        <v>4427</v>
      </c>
      <c r="BUB3" s="12" t="s">
        <v>4428</v>
      </c>
      <c r="BUC3" s="12" t="s">
        <v>4429</v>
      </c>
      <c r="BUD3" s="12" t="s">
        <v>4430</v>
      </c>
      <c r="BUE3" s="12" t="s">
        <v>4431</v>
      </c>
      <c r="BUF3" s="12" t="s">
        <v>4432</v>
      </c>
      <c r="BUG3" s="12" t="s">
        <v>4433</v>
      </c>
      <c r="BUH3" s="12" t="s">
        <v>4434</v>
      </c>
      <c r="BUI3" s="12" t="s">
        <v>4435</v>
      </c>
      <c r="BUJ3" s="12" t="s">
        <v>4436</v>
      </c>
      <c r="BUK3" s="12" t="s">
        <v>4437</v>
      </c>
      <c r="BUL3" s="12" t="s">
        <v>4438</v>
      </c>
      <c r="BUM3" s="12" t="s">
        <v>4439</v>
      </c>
      <c r="BUN3" s="12" t="s">
        <v>4440</v>
      </c>
      <c r="BUO3" s="12" t="s">
        <v>4441</v>
      </c>
      <c r="BUP3" s="12" t="s">
        <v>4442</v>
      </c>
      <c r="BUQ3" s="12" t="s">
        <v>4443</v>
      </c>
      <c r="BUR3" s="12" t="s">
        <v>4444</v>
      </c>
      <c r="BUS3" s="12" t="s">
        <v>4445</v>
      </c>
      <c r="BUT3" s="12" t="s">
        <v>4446</v>
      </c>
      <c r="BUU3" s="12" t="s">
        <v>4447</v>
      </c>
      <c r="BUV3" s="12" t="s">
        <v>4448</v>
      </c>
      <c r="BUW3" s="12" t="s">
        <v>4449</v>
      </c>
      <c r="BUX3" s="12" t="s">
        <v>4450</v>
      </c>
      <c r="BUY3" s="12" t="s">
        <v>4451</v>
      </c>
      <c r="BUZ3" s="12" t="s">
        <v>4452</v>
      </c>
      <c r="BVA3" s="12" t="s">
        <v>4453</v>
      </c>
      <c r="BVB3" s="12" t="s">
        <v>4454</v>
      </c>
      <c r="BVC3" s="12" t="s">
        <v>4455</v>
      </c>
      <c r="BVD3" s="12" t="s">
        <v>4456</v>
      </c>
      <c r="BVE3" s="12" t="s">
        <v>4457</v>
      </c>
      <c r="BVF3" s="12" t="s">
        <v>4458</v>
      </c>
      <c r="BVG3" s="12" t="s">
        <v>4459</v>
      </c>
      <c r="BVH3" s="12" t="s">
        <v>4460</v>
      </c>
      <c r="BVI3" s="12" t="s">
        <v>4461</v>
      </c>
      <c r="BVJ3" s="12" t="s">
        <v>4462</v>
      </c>
      <c r="BVK3" s="12" t="s">
        <v>4463</v>
      </c>
      <c r="BVL3" s="12" t="s">
        <v>4464</v>
      </c>
      <c r="BVM3" s="12" t="s">
        <v>4465</v>
      </c>
      <c r="BVN3" s="12" t="s">
        <v>4466</v>
      </c>
      <c r="BVO3" s="12" t="s">
        <v>4467</v>
      </c>
      <c r="BVP3" s="12" t="s">
        <v>4468</v>
      </c>
      <c r="BVQ3" s="12" t="s">
        <v>4469</v>
      </c>
      <c r="BVR3" s="12" t="s">
        <v>4470</v>
      </c>
      <c r="BVS3" s="12" t="s">
        <v>4471</v>
      </c>
      <c r="BVT3" s="12" t="s">
        <v>4472</v>
      </c>
      <c r="BVU3" s="12" t="s">
        <v>4473</v>
      </c>
      <c r="BVV3" s="12" t="s">
        <v>4474</v>
      </c>
      <c r="BVW3" s="12" t="s">
        <v>4475</v>
      </c>
      <c r="BVX3" s="12" t="s">
        <v>4476</v>
      </c>
      <c r="BVY3" s="12" t="s">
        <v>4477</v>
      </c>
      <c r="BVZ3" s="12" t="s">
        <v>4478</v>
      </c>
      <c r="BWA3" s="12" t="s">
        <v>4479</v>
      </c>
      <c r="BWB3" s="12" t="s">
        <v>4480</v>
      </c>
      <c r="BWC3" s="12" t="s">
        <v>4481</v>
      </c>
      <c r="BWD3" s="12" t="s">
        <v>4482</v>
      </c>
      <c r="BWE3" s="12" t="s">
        <v>4483</v>
      </c>
      <c r="BWF3" s="12" t="s">
        <v>4484</v>
      </c>
      <c r="BWG3" s="12" t="s">
        <v>4485</v>
      </c>
      <c r="BWH3" s="12" t="s">
        <v>4486</v>
      </c>
      <c r="BWI3" s="12" t="s">
        <v>4487</v>
      </c>
      <c r="BWJ3" s="12" t="s">
        <v>4488</v>
      </c>
      <c r="BWK3" s="12" t="s">
        <v>4489</v>
      </c>
      <c r="BWL3" s="12" t="s">
        <v>4490</v>
      </c>
      <c r="BWM3" s="12" t="s">
        <v>4491</v>
      </c>
      <c r="BWN3" s="12" t="s">
        <v>4492</v>
      </c>
      <c r="BWO3" s="12" t="s">
        <v>4493</v>
      </c>
      <c r="BWP3" s="12" t="s">
        <v>4494</v>
      </c>
      <c r="BWQ3" s="12" t="s">
        <v>4495</v>
      </c>
      <c r="BWR3" s="12" t="s">
        <v>4496</v>
      </c>
      <c r="BWS3" s="12" t="s">
        <v>4497</v>
      </c>
      <c r="BWT3" s="12" t="s">
        <v>4498</v>
      </c>
      <c r="BWU3" s="12" t="s">
        <v>4499</v>
      </c>
      <c r="BWV3" s="12" t="s">
        <v>4500</v>
      </c>
      <c r="BWW3" s="12" t="s">
        <v>4501</v>
      </c>
      <c r="BWX3" s="12" t="s">
        <v>4502</v>
      </c>
      <c r="BWY3" s="12" t="s">
        <v>4503</v>
      </c>
      <c r="BWZ3" s="12" t="s">
        <v>4504</v>
      </c>
      <c r="BXA3" s="12" t="s">
        <v>4505</v>
      </c>
      <c r="BXB3" s="12" t="s">
        <v>4506</v>
      </c>
      <c r="BXC3" s="12" t="s">
        <v>4507</v>
      </c>
      <c r="BXD3" s="12" t="s">
        <v>4508</v>
      </c>
      <c r="BXE3" s="12" t="s">
        <v>4509</v>
      </c>
      <c r="BXF3" s="12" t="s">
        <v>4510</v>
      </c>
      <c r="BXG3" s="12" t="s">
        <v>4511</v>
      </c>
      <c r="BXH3" s="12" t="s">
        <v>4512</v>
      </c>
      <c r="BXI3" s="12" t="s">
        <v>4513</v>
      </c>
      <c r="BXJ3" s="12" t="s">
        <v>4514</v>
      </c>
      <c r="BXK3" s="12" t="s">
        <v>4515</v>
      </c>
      <c r="BXL3" s="12" t="s">
        <v>4516</v>
      </c>
      <c r="BXM3" s="12" t="s">
        <v>4517</v>
      </c>
      <c r="BXN3" s="12" t="s">
        <v>4518</v>
      </c>
      <c r="BXO3" s="12" t="s">
        <v>4519</v>
      </c>
      <c r="BXP3" s="12" t="s">
        <v>4520</v>
      </c>
      <c r="BXQ3" s="12" t="s">
        <v>4521</v>
      </c>
      <c r="BXR3" s="12" t="s">
        <v>4522</v>
      </c>
      <c r="BXS3" s="12" t="s">
        <v>4523</v>
      </c>
      <c r="BXT3" s="12" t="s">
        <v>4524</v>
      </c>
      <c r="BXU3" s="12" t="s">
        <v>4525</v>
      </c>
      <c r="BXV3" s="12" t="s">
        <v>4526</v>
      </c>
      <c r="BXW3" s="12" t="s">
        <v>4527</v>
      </c>
      <c r="BXX3" s="12" t="s">
        <v>4528</v>
      </c>
      <c r="BXY3" s="12" t="s">
        <v>4529</v>
      </c>
      <c r="BXZ3" s="12" t="s">
        <v>4530</v>
      </c>
      <c r="BYA3" s="12" t="s">
        <v>4531</v>
      </c>
      <c r="BYB3" s="12" t="s">
        <v>4532</v>
      </c>
      <c r="BYC3" s="12" t="s">
        <v>4533</v>
      </c>
      <c r="BYD3" s="12" t="s">
        <v>4534</v>
      </c>
      <c r="BYE3" s="12" t="s">
        <v>4535</v>
      </c>
      <c r="BYF3" s="12" t="s">
        <v>4536</v>
      </c>
      <c r="BYG3" s="12" t="s">
        <v>4537</v>
      </c>
      <c r="BYH3" s="12" t="s">
        <v>4538</v>
      </c>
      <c r="BYI3" s="12" t="s">
        <v>4539</v>
      </c>
      <c r="BYJ3" s="12" t="s">
        <v>4540</v>
      </c>
      <c r="BYK3" s="12" t="s">
        <v>4541</v>
      </c>
      <c r="BYL3" s="12" t="s">
        <v>4542</v>
      </c>
      <c r="BYM3" s="12" t="s">
        <v>4543</v>
      </c>
      <c r="BYN3" s="12" t="s">
        <v>4544</v>
      </c>
      <c r="BYO3" s="12" t="s">
        <v>4545</v>
      </c>
      <c r="BYP3" s="12" t="s">
        <v>4546</v>
      </c>
      <c r="BYQ3" s="12" t="s">
        <v>4547</v>
      </c>
      <c r="BYR3" s="12" t="s">
        <v>4548</v>
      </c>
      <c r="BYS3" s="12" t="s">
        <v>4549</v>
      </c>
      <c r="BYT3" s="12" t="s">
        <v>4550</v>
      </c>
      <c r="BYU3" s="12" t="s">
        <v>4551</v>
      </c>
      <c r="BYV3" s="12" t="s">
        <v>4552</v>
      </c>
      <c r="BYW3" s="12" t="s">
        <v>4553</v>
      </c>
      <c r="BYX3" s="12" t="s">
        <v>4554</v>
      </c>
      <c r="BYY3" s="12" t="s">
        <v>4555</v>
      </c>
      <c r="BYZ3" s="12" t="s">
        <v>4556</v>
      </c>
      <c r="BZA3" s="12" t="s">
        <v>4557</v>
      </c>
      <c r="BZB3" s="12" t="s">
        <v>4558</v>
      </c>
      <c r="BZC3" s="12" t="s">
        <v>4559</v>
      </c>
      <c r="BZD3" s="12" t="s">
        <v>4560</v>
      </c>
      <c r="BZE3" s="12" t="s">
        <v>4561</v>
      </c>
      <c r="BZF3" s="12" t="s">
        <v>4562</v>
      </c>
      <c r="BZG3" s="12" t="s">
        <v>4563</v>
      </c>
      <c r="BZH3" s="12" t="s">
        <v>4564</v>
      </c>
      <c r="BZI3" s="12" t="s">
        <v>4565</v>
      </c>
      <c r="BZJ3" s="12" t="s">
        <v>4566</v>
      </c>
      <c r="BZK3" s="12" t="s">
        <v>4567</v>
      </c>
      <c r="BZL3" s="12" t="s">
        <v>4568</v>
      </c>
      <c r="BZM3" s="12" t="s">
        <v>4569</v>
      </c>
      <c r="BZN3" s="12" t="s">
        <v>4570</v>
      </c>
      <c r="BZO3" s="12" t="s">
        <v>4571</v>
      </c>
      <c r="BZP3" s="12" t="s">
        <v>4572</v>
      </c>
      <c r="BZQ3" s="12" t="s">
        <v>4573</v>
      </c>
      <c r="BZR3" s="12" t="s">
        <v>4574</v>
      </c>
      <c r="BZS3" s="12" t="s">
        <v>4575</v>
      </c>
      <c r="BZT3" s="12" t="s">
        <v>4576</v>
      </c>
      <c r="BZU3" s="12" t="s">
        <v>4577</v>
      </c>
      <c r="BZV3" s="12" t="s">
        <v>4578</v>
      </c>
      <c r="BZW3" s="12" t="s">
        <v>4579</v>
      </c>
      <c r="BZX3" s="12" t="s">
        <v>4580</v>
      </c>
      <c r="BZY3" s="12" t="s">
        <v>4581</v>
      </c>
      <c r="BZZ3" s="12" t="s">
        <v>4582</v>
      </c>
      <c r="CAA3" s="12" t="s">
        <v>4583</v>
      </c>
      <c r="CAB3" s="12" t="s">
        <v>4584</v>
      </c>
      <c r="CAC3" s="12" t="s">
        <v>4585</v>
      </c>
      <c r="CAD3" s="12" t="s">
        <v>4586</v>
      </c>
      <c r="CAE3" s="12" t="s">
        <v>4587</v>
      </c>
      <c r="CAF3" s="12" t="s">
        <v>4588</v>
      </c>
      <c r="CAG3" s="12" t="s">
        <v>4589</v>
      </c>
      <c r="CAH3" s="12" t="s">
        <v>4590</v>
      </c>
      <c r="CAI3" s="12" t="s">
        <v>4591</v>
      </c>
      <c r="CAJ3" s="12" t="s">
        <v>4592</v>
      </c>
      <c r="CAK3" s="12" t="s">
        <v>4593</v>
      </c>
      <c r="CAL3" s="12" t="s">
        <v>4594</v>
      </c>
      <c r="CAM3" s="12" t="s">
        <v>4595</v>
      </c>
      <c r="CAN3" s="12" t="s">
        <v>4596</v>
      </c>
      <c r="CAO3" s="12" t="s">
        <v>4597</v>
      </c>
      <c r="CAP3" s="12" t="s">
        <v>4598</v>
      </c>
      <c r="CAQ3" s="12" t="s">
        <v>4599</v>
      </c>
      <c r="CAR3" s="12" t="s">
        <v>4600</v>
      </c>
      <c r="CAS3" s="12" t="s">
        <v>4601</v>
      </c>
      <c r="CAT3" s="12" t="s">
        <v>4602</v>
      </c>
      <c r="CAU3" s="12" t="s">
        <v>4603</v>
      </c>
      <c r="CAV3" s="12" t="s">
        <v>4604</v>
      </c>
      <c r="CAW3" s="12" t="s">
        <v>4605</v>
      </c>
      <c r="CAX3" s="12" t="s">
        <v>4606</v>
      </c>
      <c r="CAY3" s="12" t="s">
        <v>4607</v>
      </c>
      <c r="CAZ3" s="12" t="s">
        <v>4608</v>
      </c>
      <c r="CBA3" s="12" t="s">
        <v>4609</v>
      </c>
      <c r="CBB3" s="12" t="s">
        <v>4610</v>
      </c>
      <c r="CBC3" s="12" t="s">
        <v>4611</v>
      </c>
      <c r="CBD3" s="12" t="s">
        <v>4612</v>
      </c>
      <c r="CBE3" s="12" t="s">
        <v>4613</v>
      </c>
      <c r="CBF3" s="12" t="s">
        <v>4614</v>
      </c>
      <c r="CBG3" s="12" t="s">
        <v>4615</v>
      </c>
      <c r="CBH3" s="12" t="s">
        <v>4616</v>
      </c>
      <c r="CBI3" s="12" t="s">
        <v>4617</v>
      </c>
      <c r="CBJ3" s="12" t="s">
        <v>4618</v>
      </c>
      <c r="CBK3" s="12" t="s">
        <v>4619</v>
      </c>
      <c r="CBL3" s="12" t="s">
        <v>4620</v>
      </c>
      <c r="CBM3" s="12" t="s">
        <v>4621</v>
      </c>
      <c r="CBN3" s="12" t="s">
        <v>4622</v>
      </c>
      <c r="CBO3" s="12" t="s">
        <v>4623</v>
      </c>
      <c r="CBP3" s="12" t="s">
        <v>4624</v>
      </c>
      <c r="CBQ3" s="12" t="s">
        <v>4625</v>
      </c>
      <c r="CBR3" s="12" t="s">
        <v>4626</v>
      </c>
      <c r="CBS3" s="12" t="s">
        <v>4627</v>
      </c>
      <c r="CBT3" s="12" t="s">
        <v>4628</v>
      </c>
      <c r="CBU3" s="12" t="s">
        <v>4629</v>
      </c>
      <c r="CBV3" s="12" t="s">
        <v>4630</v>
      </c>
      <c r="CBW3" s="12" t="s">
        <v>4631</v>
      </c>
      <c r="CBX3" s="12" t="s">
        <v>4632</v>
      </c>
      <c r="CBY3" s="12" t="s">
        <v>4633</v>
      </c>
      <c r="CBZ3" s="12" t="s">
        <v>4634</v>
      </c>
      <c r="CCA3" s="12" t="s">
        <v>4635</v>
      </c>
      <c r="CCB3" s="12" t="s">
        <v>4636</v>
      </c>
      <c r="CCC3" s="12" t="s">
        <v>4637</v>
      </c>
      <c r="CCD3" s="12" t="s">
        <v>4638</v>
      </c>
      <c r="CCE3" s="12" t="s">
        <v>4639</v>
      </c>
      <c r="CCF3" s="12" t="s">
        <v>4640</v>
      </c>
      <c r="CCG3" s="12" t="s">
        <v>4641</v>
      </c>
      <c r="CCH3" s="12" t="s">
        <v>4642</v>
      </c>
      <c r="CCI3" s="12" t="s">
        <v>4643</v>
      </c>
      <c r="CCJ3" s="12" t="s">
        <v>4644</v>
      </c>
      <c r="CCK3" s="12" t="s">
        <v>4645</v>
      </c>
      <c r="CCL3" s="12" t="s">
        <v>4646</v>
      </c>
      <c r="CCM3" s="12" t="s">
        <v>4647</v>
      </c>
      <c r="CCN3" s="12" t="s">
        <v>4648</v>
      </c>
      <c r="CCO3" s="12" t="s">
        <v>4649</v>
      </c>
      <c r="CCP3" s="12" t="s">
        <v>4650</v>
      </c>
      <c r="CCQ3" s="12" t="s">
        <v>4651</v>
      </c>
      <c r="CCR3" s="12" t="s">
        <v>4652</v>
      </c>
      <c r="CCS3" s="12" t="s">
        <v>4653</v>
      </c>
      <c r="CCT3" s="12" t="s">
        <v>4654</v>
      </c>
      <c r="CCU3" s="12" t="s">
        <v>4655</v>
      </c>
      <c r="CCV3" s="12" t="s">
        <v>4656</v>
      </c>
      <c r="CCW3" s="12" t="s">
        <v>4657</v>
      </c>
      <c r="CCX3" s="12" t="s">
        <v>4658</v>
      </c>
      <c r="CCY3" s="12" t="s">
        <v>4659</v>
      </c>
      <c r="CCZ3" s="12" t="s">
        <v>4660</v>
      </c>
      <c r="CDA3" s="12" t="s">
        <v>4661</v>
      </c>
      <c r="CDB3" s="12" t="s">
        <v>4662</v>
      </c>
      <c r="CDC3" s="12" t="s">
        <v>4663</v>
      </c>
      <c r="CDD3" s="12" t="s">
        <v>4664</v>
      </c>
      <c r="CDE3" s="12" t="s">
        <v>4665</v>
      </c>
      <c r="CDF3" s="12" t="s">
        <v>4666</v>
      </c>
      <c r="CDG3" s="12" t="s">
        <v>4667</v>
      </c>
      <c r="CDH3" s="12" t="s">
        <v>4668</v>
      </c>
      <c r="CDI3" s="12" t="s">
        <v>4669</v>
      </c>
      <c r="CDJ3" s="12" t="s">
        <v>4670</v>
      </c>
      <c r="CDK3" s="12" t="s">
        <v>4671</v>
      </c>
      <c r="CDL3" s="12" t="s">
        <v>4672</v>
      </c>
      <c r="CDM3" s="12" t="s">
        <v>4673</v>
      </c>
      <c r="CDN3" s="12" t="s">
        <v>4674</v>
      </c>
      <c r="CDO3" s="12" t="s">
        <v>4675</v>
      </c>
      <c r="CDP3" s="12" t="s">
        <v>4676</v>
      </c>
      <c r="CDQ3" s="12" t="s">
        <v>4677</v>
      </c>
      <c r="CDR3" s="12" t="s">
        <v>4678</v>
      </c>
      <c r="CDS3" s="12" t="s">
        <v>4679</v>
      </c>
      <c r="CDT3" s="12" t="s">
        <v>4680</v>
      </c>
      <c r="CDU3" s="12" t="s">
        <v>4681</v>
      </c>
      <c r="CDV3" s="12" t="s">
        <v>4682</v>
      </c>
      <c r="CDW3" s="12" t="s">
        <v>4683</v>
      </c>
      <c r="CDX3" s="12" t="s">
        <v>4684</v>
      </c>
      <c r="CDY3" s="12" t="s">
        <v>4685</v>
      </c>
      <c r="CDZ3" s="12" t="s">
        <v>4686</v>
      </c>
      <c r="CEA3" s="12" t="s">
        <v>4687</v>
      </c>
      <c r="CEB3" s="12" t="s">
        <v>4688</v>
      </c>
      <c r="CEC3" s="12" t="s">
        <v>4689</v>
      </c>
      <c r="CED3" s="12" t="s">
        <v>4690</v>
      </c>
      <c r="CEE3" s="12" t="s">
        <v>4691</v>
      </c>
      <c r="CEF3" s="12" t="s">
        <v>4692</v>
      </c>
      <c r="CEG3" s="12" t="s">
        <v>4693</v>
      </c>
      <c r="CEH3" s="12" t="s">
        <v>4694</v>
      </c>
      <c r="CEI3" s="12" t="s">
        <v>4695</v>
      </c>
      <c r="CEJ3" s="12" t="s">
        <v>4696</v>
      </c>
      <c r="CEK3" s="12" t="s">
        <v>4697</v>
      </c>
      <c r="CEL3" s="12" t="s">
        <v>4698</v>
      </c>
      <c r="CEM3" s="12" t="s">
        <v>4699</v>
      </c>
      <c r="CEN3" s="12" t="s">
        <v>4700</v>
      </c>
      <c r="CEO3" s="12" t="s">
        <v>4701</v>
      </c>
      <c r="CEP3" s="12" t="s">
        <v>4702</v>
      </c>
      <c r="CEQ3" s="12" t="s">
        <v>4703</v>
      </c>
      <c r="CER3" s="12" t="s">
        <v>4704</v>
      </c>
      <c r="CES3" s="12" t="s">
        <v>4705</v>
      </c>
      <c r="CET3" s="12" t="s">
        <v>4706</v>
      </c>
      <c r="CEU3" s="12" t="s">
        <v>4707</v>
      </c>
      <c r="CEV3" s="12" t="s">
        <v>4708</v>
      </c>
      <c r="CEW3" s="12" t="s">
        <v>4709</v>
      </c>
      <c r="CEX3" s="12" t="s">
        <v>4710</v>
      </c>
      <c r="CEY3" s="12" t="s">
        <v>4711</v>
      </c>
      <c r="CEZ3" s="12" t="s">
        <v>4712</v>
      </c>
      <c r="CFA3" s="12" t="s">
        <v>4713</v>
      </c>
      <c r="CFB3" s="12" t="s">
        <v>4714</v>
      </c>
      <c r="CFC3" s="12" t="s">
        <v>4715</v>
      </c>
      <c r="CFD3" s="12" t="s">
        <v>4716</v>
      </c>
      <c r="CFE3" s="12" t="s">
        <v>4717</v>
      </c>
      <c r="CFF3" s="12" t="s">
        <v>4718</v>
      </c>
      <c r="CFG3" s="12" t="s">
        <v>4719</v>
      </c>
      <c r="CFH3" s="12" t="s">
        <v>4720</v>
      </c>
      <c r="CFI3" s="12" t="s">
        <v>4721</v>
      </c>
      <c r="CFJ3" s="12" t="s">
        <v>4722</v>
      </c>
      <c r="CFK3" s="12" t="s">
        <v>4723</v>
      </c>
      <c r="CFL3" s="12" t="s">
        <v>4724</v>
      </c>
      <c r="CFM3" s="12" t="s">
        <v>4725</v>
      </c>
      <c r="CFN3" s="12" t="s">
        <v>4726</v>
      </c>
      <c r="CFO3" s="12" t="s">
        <v>4727</v>
      </c>
      <c r="CFP3" s="12" t="s">
        <v>4728</v>
      </c>
      <c r="CFQ3" s="12" t="s">
        <v>4729</v>
      </c>
      <c r="CFR3" s="12" t="s">
        <v>4730</v>
      </c>
      <c r="CFS3" s="12" t="s">
        <v>4731</v>
      </c>
      <c r="CFT3" s="12" t="s">
        <v>4732</v>
      </c>
      <c r="CFU3" s="12" t="s">
        <v>4733</v>
      </c>
      <c r="CFV3" s="12" t="s">
        <v>4734</v>
      </c>
      <c r="CFW3" s="12" t="s">
        <v>4735</v>
      </c>
      <c r="CFX3" s="12" t="s">
        <v>4736</v>
      </c>
      <c r="CFY3" s="12" t="s">
        <v>4737</v>
      </c>
      <c r="CFZ3" s="12" t="s">
        <v>4738</v>
      </c>
      <c r="CGA3" s="12" t="s">
        <v>4739</v>
      </c>
      <c r="CGB3" s="12" t="s">
        <v>4740</v>
      </c>
      <c r="CGC3" s="12" t="s">
        <v>4741</v>
      </c>
      <c r="CGD3" s="12" t="s">
        <v>4742</v>
      </c>
      <c r="CGE3" s="12" t="s">
        <v>4743</v>
      </c>
      <c r="CGF3" s="12" t="s">
        <v>4744</v>
      </c>
      <c r="CGG3" s="12" t="s">
        <v>4745</v>
      </c>
      <c r="CGH3" s="12" t="s">
        <v>4746</v>
      </c>
      <c r="CGI3" s="12" t="s">
        <v>4747</v>
      </c>
      <c r="CGJ3" s="12" t="s">
        <v>4748</v>
      </c>
      <c r="CGK3" s="12" t="s">
        <v>4749</v>
      </c>
      <c r="CGL3" s="12" t="s">
        <v>4750</v>
      </c>
      <c r="CGM3" s="12" t="s">
        <v>4751</v>
      </c>
      <c r="CGN3" s="12" t="s">
        <v>4752</v>
      </c>
      <c r="CGO3" s="12" t="s">
        <v>4753</v>
      </c>
      <c r="CGP3" s="12" t="s">
        <v>4754</v>
      </c>
      <c r="CGQ3" s="12" t="s">
        <v>4755</v>
      </c>
      <c r="CGR3" s="12" t="s">
        <v>4756</v>
      </c>
      <c r="CGS3" s="12" t="s">
        <v>4757</v>
      </c>
      <c r="CGT3" s="12" t="s">
        <v>4758</v>
      </c>
      <c r="CGU3" s="12" t="s">
        <v>4759</v>
      </c>
      <c r="CGV3" s="12" t="s">
        <v>4760</v>
      </c>
      <c r="CGW3" s="12" t="s">
        <v>4761</v>
      </c>
      <c r="CGX3" s="12" t="s">
        <v>4762</v>
      </c>
      <c r="CGY3" s="12" t="s">
        <v>4763</v>
      </c>
      <c r="CGZ3" s="12" t="s">
        <v>4764</v>
      </c>
      <c r="CHA3" s="12" t="s">
        <v>4765</v>
      </c>
      <c r="CHB3" s="12" t="s">
        <v>4766</v>
      </c>
      <c r="CHC3" s="12" t="s">
        <v>4767</v>
      </c>
      <c r="CHD3" s="12" t="s">
        <v>4768</v>
      </c>
      <c r="CHE3" s="12" t="s">
        <v>4769</v>
      </c>
      <c r="CHF3" s="12" t="s">
        <v>4770</v>
      </c>
      <c r="CHG3" s="12" t="s">
        <v>4771</v>
      </c>
      <c r="CHH3" s="12" t="s">
        <v>4772</v>
      </c>
      <c r="CHI3" s="12" t="s">
        <v>4773</v>
      </c>
      <c r="CHJ3" s="12" t="s">
        <v>4774</v>
      </c>
      <c r="CHK3" s="12" t="s">
        <v>4775</v>
      </c>
      <c r="CHL3" s="12" t="s">
        <v>4776</v>
      </c>
      <c r="CHM3" s="12" t="s">
        <v>4777</v>
      </c>
      <c r="CHN3" s="12" t="s">
        <v>4778</v>
      </c>
      <c r="CHO3" s="12" t="s">
        <v>4779</v>
      </c>
      <c r="CHP3" s="12" t="s">
        <v>4780</v>
      </c>
      <c r="CHQ3" s="12" t="s">
        <v>4781</v>
      </c>
      <c r="CHR3" s="12" t="s">
        <v>4782</v>
      </c>
      <c r="CHS3" s="12" t="s">
        <v>4783</v>
      </c>
      <c r="CHT3" s="12" t="s">
        <v>4784</v>
      </c>
      <c r="CHU3" s="12" t="s">
        <v>4785</v>
      </c>
      <c r="CHV3" s="12" t="s">
        <v>4786</v>
      </c>
      <c r="CHW3" s="12" t="s">
        <v>4787</v>
      </c>
      <c r="CHX3" s="12" t="s">
        <v>4788</v>
      </c>
      <c r="CHY3" s="12" t="s">
        <v>4789</v>
      </c>
      <c r="CHZ3" s="12" t="s">
        <v>4790</v>
      </c>
      <c r="CIA3" s="12" t="s">
        <v>4791</v>
      </c>
      <c r="CIB3" s="12" t="s">
        <v>4792</v>
      </c>
      <c r="CIC3" s="12" t="s">
        <v>4793</v>
      </c>
      <c r="CID3" s="12" t="s">
        <v>4794</v>
      </c>
      <c r="CIE3" s="12" t="s">
        <v>4795</v>
      </c>
      <c r="CIF3" s="12" t="s">
        <v>4796</v>
      </c>
      <c r="CIG3" s="12" t="s">
        <v>4797</v>
      </c>
      <c r="CIH3" s="12" t="s">
        <v>4798</v>
      </c>
      <c r="CII3" s="12" t="s">
        <v>4799</v>
      </c>
      <c r="CIJ3" s="12" t="s">
        <v>4800</v>
      </c>
      <c r="CIK3" s="12" t="s">
        <v>4801</v>
      </c>
      <c r="CIL3" s="12" t="s">
        <v>4802</v>
      </c>
      <c r="CIM3" s="12" t="s">
        <v>4803</v>
      </c>
      <c r="CIN3" s="12" t="s">
        <v>4804</v>
      </c>
      <c r="CIO3" s="12" t="s">
        <v>4805</v>
      </c>
      <c r="CIP3" s="12" t="s">
        <v>4806</v>
      </c>
      <c r="CIQ3" s="12" t="s">
        <v>4807</v>
      </c>
      <c r="CIR3" s="12" t="s">
        <v>4808</v>
      </c>
      <c r="CIS3" s="12" t="s">
        <v>4809</v>
      </c>
      <c r="CIT3" s="12" t="s">
        <v>4810</v>
      </c>
      <c r="CIU3" s="12" t="s">
        <v>4811</v>
      </c>
      <c r="CIV3" s="12" t="s">
        <v>4812</v>
      </c>
      <c r="CIW3" s="12" t="s">
        <v>4813</v>
      </c>
      <c r="CIX3" s="12" t="s">
        <v>4814</v>
      </c>
      <c r="CIY3" s="12" t="s">
        <v>4815</v>
      </c>
      <c r="CIZ3" s="12" t="s">
        <v>4816</v>
      </c>
      <c r="CJA3" s="12" t="s">
        <v>4817</v>
      </c>
      <c r="CJB3" s="12" t="s">
        <v>4818</v>
      </c>
      <c r="CJC3" s="12" t="s">
        <v>4819</v>
      </c>
      <c r="CJD3" s="12" t="s">
        <v>4820</v>
      </c>
      <c r="CJE3" s="12" t="s">
        <v>4821</v>
      </c>
      <c r="CJF3" s="12" t="s">
        <v>4822</v>
      </c>
      <c r="CJG3" s="12" t="s">
        <v>4823</v>
      </c>
      <c r="CJH3" s="12" t="s">
        <v>4824</v>
      </c>
      <c r="CJI3" s="12" t="s">
        <v>4825</v>
      </c>
      <c r="CJJ3" s="12" t="s">
        <v>4826</v>
      </c>
      <c r="CJK3" s="12" t="s">
        <v>4827</v>
      </c>
      <c r="CJL3" s="12" t="s">
        <v>4828</v>
      </c>
      <c r="CJM3" s="12" t="s">
        <v>4829</v>
      </c>
      <c r="CJN3" s="12" t="s">
        <v>4830</v>
      </c>
      <c r="CJO3" s="12" t="s">
        <v>4831</v>
      </c>
      <c r="CJP3" s="12" t="s">
        <v>4832</v>
      </c>
      <c r="CJQ3" s="12" t="s">
        <v>4833</v>
      </c>
      <c r="CJR3" s="12" t="s">
        <v>4834</v>
      </c>
      <c r="CJS3" s="12" t="s">
        <v>4835</v>
      </c>
      <c r="CJT3" s="12" t="s">
        <v>4836</v>
      </c>
      <c r="CJU3" s="12" t="s">
        <v>4837</v>
      </c>
      <c r="CJV3" s="12" t="s">
        <v>4838</v>
      </c>
      <c r="CJW3" s="12" t="s">
        <v>4839</v>
      </c>
      <c r="CJX3" s="12" t="s">
        <v>4840</v>
      </c>
      <c r="CJY3" s="12" t="s">
        <v>4841</v>
      </c>
      <c r="CJZ3" s="12" t="s">
        <v>4842</v>
      </c>
      <c r="CKA3" s="12" t="s">
        <v>4843</v>
      </c>
      <c r="CKB3" s="12" t="s">
        <v>4844</v>
      </c>
      <c r="CKC3" s="12" t="s">
        <v>4845</v>
      </c>
      <c r="CKD3" s="12" t="s">
        <v>4846</v>
      </c>
      <c r="CKE3" s="12" t="s">
        <v>4847</v>
      </c>
      <c r="CKF3" s="12" t="s">
        <v>4848</v>
      </c>
      <c r="CKG3" s="12" t="s">
        <v>4849</v>
      </c>
      <c r="CKH3" s="12" t="s">
        <v>4850</v>
      </c>
      <c r="CKI3" s="12" t="s">
        <v>4851</v>
      </c>
      <c r="CKJ3" s="12" t="s">
        <v>4852</v>
      </c>
      <c r="CKK3" s="12" t="s">
        <v>4853</v>
      </c>
      <c r="CKL3" s="12" t="s">
        <v>4854</v>
      </c>
      <c r="CKM3" s="12" t="s">
        <v>4855</v>
      </c>
      <c r="CKN3" s="12" t="s">
        <v>4856</v>
      </c>
      <c r="CKO3" s="12" t="s">
        <v>4857</v>
      </c>
      <c r="CKP3" s="12" t="s">
        <v>4858</v>
      </c>
      <c r="CKQ3" s="12" t="s">
        <v>4859</v>
      </c>
      <c r="CKR3" s="12" t="s">
        <v>4860</v>
      </c>
      <c r="CKS3" s="12" t="s">
        <v>4861</v>
      </c>
      <c r="CKT3" s="12" t="s">
        <v>4862</v>
      </c>
      <c r="CKU3" s="12" t="s">
        <v>4863</v>
      </c>
      <c r="CKV3" s="12" t="s">
        <v>4864</v>
      </c>
      <c r="CKW3" s="12" t="s">
        <v>4865</v>
      </c>
      <c r="CKX3" s="12" t="s">
        <v>4866</v>
      </c>
      <c r="CKY3" s="12" t="s">
        <v>4867</v>
      </c>
      <c r="CKZ3" s="12" t="s">
        <v>4868</v>
      </c>
      <c r="CLA3" s="12" t="s">
        <v>4869</v>
      </c>
      <c r="CLB3" s="12" t="s">
        <v>4870</v>
      </c>
      <c r="CLC3" s="12" t="s">
        <v>4871</v>
      </c>
      <c r="CLD3" s="12" t="s">
        <v>4872</v>
      </c>
      <c r="CLE3" s="12" t="s">
        <v>4873</v>
      </c>
      <c r="CLF3" s="12" t="s">
        <v>4874</v>
      </c>
      <c r="CLG3" s="12" t="s">
        <v>4875</v>
      </c>
      <c r="CLH3" s="12" t="s">
        <v>4876</v>
      </c>
      <c r="CLI3" s="12" t="s">
        <v>4877</v>
      </c>
      <c r="CLJ3" s="12" t="s">
        <v>4878</v>
      </c>
      <c r="CLK3" s="12" t="s">
        <v>4879</v>
      </c>
      <c r="CLL3" s="12" t="s">
        <v>4880</v>
      </c>
      <c r="CLM3" s="12" t="s">
        <v>4881</v>
      </c>
      <c r="CLN3" s="12" t="s">
        <v>4882</v>
      </c>
      <c r="CLO3" s="12" t="s">
        <v>4883</v>
      </c>
      <c r="CLP3" s="12" t="s">
        <v>4884</v>
      </c>
      <c r="CLQ3" s="12" t="s">
        <v>4885</v>
      </c>
      <c r="CLR3" s="12" t="s">
        <v>4886</v>
      </c>
      <c r="CLS3" s="12" t="s">
        <v>4887</v>
      </c>
      <c r="CLT3" s="12" t="s">
        <v>4888</v>
      </c>
      <c r="CLU3" s="12" t="s">
        <v>4889</v>
      </c>
      <c r="CLV3" s="12" t="s">
        <v>4890</v>
      </c>
      <c r="CLW3" s="12" t="s">
        <v>4891</v>
      </c>
      <c r="CLX3" s="12" t="s">
        <v>4892</v>
      </c>
      <c r="CLY3" s="12" t="s">
        <v>4893</v>
      </c>
      <c r="CLZ3" s="12" t="s">
        <v>4894</v>
      </c>
      <c r="CMA3" s="12" t="s">
        <v>4895</v>
      </c>
      <c r="CMB3" s="12" t="s">
        <v>4896</v>
      </c>
      <c r="CMC3" s="12" t="s">
        <v>4897</v>
      </c>
      <c r="CMD3" s="12" t="s">
        <v>4898</v>
      </c>
      <c r="CME3" s="12" t="s">
        <v>4899</v>
      </c>
      <c r="CMF3" s="12" t="s">
        <v>4900</v>
      </c>
      <c r="CMG3" s="12" t="s">
        <v>4901</v>
      </c>
      <c r="CMH3" s="12" t="s">
        <v>4902</v>
      </c>
      <c r="CMI3" s="12" t="s">
        <v>4903</v>
      </c>
      <c r="CMJ3" s="12" t="s">
        <v>4904</v>
      </c>
      <c r="CMK3" s="12" t="s">
        <v>4905</v>
      </c>
      <c r="CML3" s="12" t="s">
        <v>4906</v>
      </c>
      <c r="CMM3" s="12" t="s">
        <v>4907</v>
      </c>
      <c r="CMN3" s="12" t="s">
        <v>4908</v>
      </c>
      <c r="CMO3" s="12" t="s">
        <v>4909</v>
      </c>
      <c r="CMP3" s="12" t="s">
        <v>4910</v>
      </c>
      <c r="CMQ3" s="12" t="s">
        <v>4911</v>
      </c>
      <c r="CMR3" s="12" t="s">
        <v>4912</v>
      </c>
      <c r="CMS3" s="12" t="s">
        <v>4913</v>
      </c>
      <c r="CMT3" s="12" t="s">
        <v>4914</v>
      </c>
      <c r="CMU3" s="12" t="s">
        <v>4915</v>
      </c>
      <c r="CMV3" s="12" t="s">
        <v>4916</v>
      </c>
      <c r="CMW3" s="12" t="s">
        <v>4917</v>
      </c>
      <c r="CMX3" s="12" t="s">
        <v>4918</v>
      </c>
      <c r="CMY3" s="12" t="s">
        <v>4919</v>
      </c>
      <c r="CMZ3" s="12" t="s">
        <v>4920</v>
      </c>
      <c r="CNA3" s="12" t="s">
        <v>4921</v>
      </c>
      <c r="CNB3" s="12" t="s">
        <v>4922</v>
      </c>
      <c r="CNC3" s="12" t="s">
        <v>4923</v>
      </c>
      <c r="CND3" s="12" t="s">
        <v>4924</v>
      </c>
      <c r="CNE3" s="12" t="s">
        <v>4925</v>
      </c>
      <c r="CNF3" s="12" t="s">
        <v>4926</v>
      </c>
      <c r="CNG3" s="12" t="s">
        <v>4927</v>
      </c>
      <c r="CNH3" s="12" t="s">
        <v>4928</v>
      </c>
      <c r="CNI3" s="12" t="s">
        <v>4929</v>
      </c>
      <c r="CNJ3" s="12" t="s">
        <v>4930</v>
      </c>
      <c r="CNK3" s="12" t="s">
        <v>4931</v>
      </c>
      <c r="CNL3" s="12" t="s">
        <v>4932</v>
      </c>
      <c r="CNM3" s="12" t="s">
        <v>4933</v>
      </c>
      <c r="CNN3" s="12" t="s">
        <v>4934</v>
      </c>
      <c r="CNO3" s="12" t="s">
        <v>4935</v>
      </c>
      <c r="CNP3" s="12" t="s">
        <v>4936</v>
      </c>
      <c r="CNQ3" s="12" t="s">
        <v>4937</v>
      </c>
      <c r="CNR3" s="12" t="s">
        <v>4938</v>
      </c>
      <c r="CNS3" s="12" t="s">
        <v>4939</v>
      </c>
      <c r="CNT3" s="12" t="s">
        <v>4940</v>
      </c>
      <c r="CNU3" s="12" t="s">
        <v>4941</v>
      </c>
      <c r="CNV3" s="12" t="s">
        <v>4942</v>
      </c>
      <c r="CNW3" s="12" t="s">
        <v>4943</v>
      </c>
      <c r="CNX3" s="12" t="s">
        <v>4944</v>
      </c>
      <c r="CNY3" s="12" t="s">
        <v>4945</v>
      </c>
      <c r="CNZ3" s="12" t="s">
        <v>4946</v>
      </c>
      <c r="COA3" s="12" t="s">
        <v>4947</v>
      </c>
      <c r="COB3" s="12" t="s">
        <v>4948</v>
      </c>
      <c r="COC3" s="12" t="s">
        <v>4949</v>
      </c>
      <c r="COD3" s="12" t="s">
        <v>4950</v>
      </c>
      <c r="COE3" s="12" t="s">
        <v>4951</v>
      </c>
      <c r="COF3" s="12" t="s">
        <v>4952</v>
      </c>
      <c r="COG3" s="12" t="s">
        <v>4953</v>
      </c>
      <c r="COH3" s="12" t="s">
        <v>4954</v>
      </c>
      <c r="COI3" s="12" t="s">
        <v>4955</v>
      </c>
      <c r="COJ3" s="12" t="s">
        <v>4956</v>
      </c>
      <c r="COK3" s="12" t="s">
        <v>4957</v>
      </c>
      <c r="COL3" s="12" t="s">
        <v>4958</v>
      </c>
      <c r="COM3" s="12" t="s">
        <v>4959</v>
      </c>
      <c r="CON3" s="12" t="s">
        <v>4960</v>
      </c>
      <c r="COO3" s="12" t="s">
        <v>4961</v>
      </c>
      <c r="COP3" s="12" t="s">
        <v>4962</v>
      </c>
      <c r="COQ3" s="12" t="s">
        <v>4963</v>
      </c>
      <c r="COR3" s="12" t="s">
        <v>4964</v>
      </c>
      <c r="COS3" s="12" t="s">
        <v>4965</v>
      </c>
      <c r="COT3" s="12" t="s">
        <v>4966</v>
      </c>
      <c r="COU3" s="12" t="s">
        <v>4967</v>
      </c>
      <c r="COV3" s="12" t="s">
        <v>4968</v>
      </c>
      <c r="COW3" s="12" t="s">
        <v>4969</v>
      </c>
      <c r="COX3" s="12" t="s">
        <v>4970</v>
      </c>
      <c r="COY3" s="12" t="s">
        <v>4971</v>
      </c>
      <c r="COZ3" s="12" t="s">
        <v>4972</v>
      </c>
      <c r="CPA3" s="12" t="s">
        <v>4973</v>
      </c>
      <c r="CPB3" s="12" t="s">
        <v>4974</v>
      </c>
      <c r="CPC3" s="12" t="s">
        <v>4975</v>
      </c>
      <c r="CPD3" s="12" t="s">
        <v>4976</v>
      </c>
      <c r="CPE3" s="12" t="s">
        <v>4977</v>
      </c>
      <c r="CPF3" s="12" t="s">
        <v>4978</v>
      </c>
      <c r="CPG3" s="12" t="s">
        <v>4979</v>
      </c>
      <c r="CPH3" s="12" t="s">
        <v>4980</v>
      </c>
      <c r="CPI3" s="12" t="s">
        <v>4981</v>
      </c>
      <c r="CPJ3" s="12" t="s">
        <v>4982</v>
      </c>
      <c r="CPK3" s="12" t="s">
        <v>4983</v>
      </c>
      <c r="CPL3" s="12" t="s">
        <v>4984</v>
      </c>
      <c r="CPM3" s="12" t="s">
        <v>4985</v>
      </c>
      <c r="CPN3" s="12" t="s">
        <v>4986</v>
      </c>
      <c r="CPO3" s="12" t="s">
        <v>4987</v>
      </c>
      <c r="CPP3" s="12" t="s">
        <v>4988</v>
      </c>
      <c r="CPQ3" s="12" t="s">
        <v>4989</v>
      </c>
      <c r="CPR3" s="12" t="s">
        <v>4990</v>
      </c>
      <c r="CPS3" s="12" t="s">
        <v>4991</v>
      </c>
      <c r="CPT3" s="12" t="s">
        <v>4992</v>
      </c>
      <c r="CPU3" s="12" t="s">
        <v>4993</v>
      </c>
      <c r="CPV3" s="12" t="s">
        <v>4994</v>
      </c>
      <c r="CPW3" s="12" t="s">
        <v>4995</v>
      </c>
      <c r="CPX3" s="12" t="s">
        <v>4996</v>
      </c>
      <c r="CPY3" s="12" t="s">
        <v>4997</v>
      </c>
      <c r="CPZ3" s="12" t="s">
        <v>4998</v>
      </c>
      <c r="CQA3" s="12" t="s">
        <v>4999</v>
      </c>
      <c r="CQB3" s="12" t="s">
        <v>5000</v>
      </c>
      <c r="CQC3" s="12" t="s">
        <v>5001</v>
      </c>
      <c r="CQD3" s="12" t="s">
        <v>5002</v>
      </c>
      <c r="CQE3" s="12" t="s">
        <v>5003</v>
      </c>
      <c r="CQF3" s="12" t="s">
        <v>5004</v>
      </c>
      <c r="CQG3" s="12" t="s">
        <v>5005</v>
      </c>
      <c r="CQH3" s="12" t="s">
        <v>5006</v>
      </c>
      <c r="CQI3" s="12" t="s">
        <v>5007</v>
      </c>
      <c r="CQJ3" s="12" t="s">
        <v>5008</v>
      </c>
      <c r="CQK3" s="12" t="s">
        <v>5009</v>
      </c>
      <c r="CQL3" s="12" t="s">
        <v>5010</v>
      </c>
      <c r="CQM3" s="12" t="s">
        <v>5011</v>
      </c>
      <c r="CQN3" s="12" t="s">
        <v>5012</v>
      </c>
      <c r="CQO3" s="12" t="s">
        <v>5013</v>
      </c>
      <c r="CQP3" s="12" t="s">
        <v>5014</v>
      </c>
      <c r="CQQ3" s="12" t="s">
        <v>5015</v>
      </c>
      <c r="CQR3" s="12" t="s">
        <v>5016</v>
      </c>
      <c r="CQS3" s="12" t="s">
        <v>5017</v>
      </c>
      <c r="CQT3" s="12" t="s">
        <v>5018</v>
      </c>
      <c r="CQU3" s="12" t="s">
        <v>5019</v>
      </c>
      <c r="CQV3" s="12" t="s">
        <v>5020</v>
      </c>
      <c r="CQW3" s="12" t="s">
        <v>5021</v>
      </c>
      <c r="CQX3" s="12" t="s">
        <v>5022</v>
      </c>
      <c r="CQY3" s="12" t="s">
        <v>5023</v>
      </c>
      <c r="CQZ3" s="12" t="s">
        <v>5024</v>
      </c>
      <c r="CRA3" s="12" t="s">
        <v>5025</v>
      </c>
      <c r="CRB3" s="12" t="s">
        <v>5026</v>
      </c>
      <c r="CRC3" s="12" t="s">
        <v>5027</v>
      </c>
      <c r="CRD3" s="12" t="s">
        <v>5028</v>
      </c>
      <c r="CRE3" s="12" t="s">
        <v>5029</v>
      </c>
      <c r="CRF3" s="12" t="s">
        <v>5030</v>
      </c>
      <c r="CRG3" s="12" t="s">
        <v>5031</v>
      </c>
      <c r="CRH3" s="12" t="s">
        <v>5032</v>
      </c>
      <c r="CRI3" s="12" t="s">
        <v>5033</v>
      </c>
      <c r="CRJ3" s="12" t="s">
        <v>5034</v>
      </c>
      <c r="CRK3" s="12" t="s">
        <v>5035</v>
      </c>
      <c r="CRL3" s="12" t="s">
        <v>5036</v>
      </c>
      <c r="CRM3" s="12" t="s">
        <v>5037</v>
      </c>
      <c r="CRN3" s="12" t="s">
        <v>5038</v>
      </c>
      <c r="CRO3" s="12" t="s">
        <v>5039</v>
      </c>
      <c r="CRP3" s="12" t="s">
        <v>5040</v>
      </c>
      <c r="CRQ3" s="12" t="s">
        <v>5041</v>
      </c>
      <c r="CRR3" s="12" t="s">
        <v>5042</v>
      </c>
      <c r="CRS3" s="12" t="s">
        <v>5043</v>
      </c>
      <c r="CRT3" s="12" t="s">
        <v>5044</v>
      </c>
      <c r="CRU3" s="12" t="s">
        <v>5045</v>
      </c>
      <c r="CRV3" s="12" t="s">
        <v>5046</v>
      </c>
      <c r="CRW3" s="12" t="s">
        <v>5047</v>
      </c>
      <c r="CRX3" s="12" t="s">
        <v>5048</v>
      </c>
      <c r="CRY3" s="12" t="s">
        <v>5049</v>
      </c>
      <c r="CRZ3" s="12" t="s">
        <v>5050</v>
      </c>
      <c r="CSA3" s="12" t="s">
        <v>5051</v>
      </c>
      <c r="CSB3" s="12" t="s">
        <v>5052</v>
      </c>
      <c r="CSC3" s="12" t="s">
        <v>5053</v>
      </c>
      <c r="CSD3" s="12" t="s">
        <v>5054</v>
      </c>
      <c r="CSE3" s="12" t="s">
        <v>5055</v>
      </c>
      <c r="CSF3" s="12" t="s">
        <v>5056</v>
      </c>
      <c r="CSG3" s="12" t="s">
        <v>5057</v>
      </c>
      <c r="CSH3" s="12" t="s">
        <v>5058</v>
      </c>
      <c r="CSI3" s="12" t="s">
        <v>5059</v>
      </c>
      <c r="CSJ3" s="12" t="s">
        <v>5060</v>
      </c>
      <c r="CSK3" s="12" t="s">
        <v>5061</v>
      </c>
      <c r="CSL3" s="12" t="s">
        <v>5062</v>
      </c>
      <c r="CSM3" s="12" t="s">
        <v>5063</v>
      </c>
      <c r="CSN3" s="12" t="s">
        <v>5064</v>
      </c>
      <c r="CSO3" s="12" t="s">
        <v>5065</v>
      </c>
      <c r="CSP3" s="12" t="s">
        <v>5066</v>
      </c>
      <c r="CSQ3" s="12" t="s">
        <v>5067</v>
      </c>
      <c r="CSR3" s="12" t="s">
        <v>5068</v>
      </c>
      <c r="CSS3" s="12" t="s">
        <v>5069</v>
      </c>
      <c r="CST3" s="12" t="s">
        <v>5070</v>
      </c>
      <c r="CSU3" s="12" t="s">
        <v>5071</v>
      </c>
      <c r="CSV3" s="12" t="s">
        <v>5072</v>
      </c>
      <c r="CSW3" s="12" t="s">
        <v>5073</v>
      </c>
      <c r="CSX3" s="12" t="s">
        <v>5074</v>
      </c>
      <c r="CSY3" s="12" t="s">
        <v>5075</v>
      </c>
      <c r="CSZ3" s="12" t="s">
        <v>5076</v>
      </c>
      <c r="CTA3" s="12" t="s">
        <v>5077</v>
      </c>
      <c r="CTB3" s="12" t="s">
        <v>5078</v>
      </c>
      <c r="CTC3" s="12" t="s">
        <v>5079</v>
      </c>
      <c r="CTD3" s="12" t="s">
        <v>5080</v>
      </c>
      <c r="CTE3" s="12" t="s">
        <v>5081</v>
      </c>
      <c r="CTF3" s="12" t="s">
        <v>5082</v>
      </c>
      <c r="CTG3" s="12" t="s">
        <v>5083</v>
      </c>
      <c r="CTH3" s="12" t="s">
        <v>5084</v>
      </c>
      <c r="CTI3" s="12" t="s">
        <v>5085</v>
      </c>
      <c r="CTJ3" s="12" t="s">
        <v>5086</v>
      </c>
      <c r="CTK3" s="12" t="s">
        <v>5087</v>
      </c>
      <c r="CTL3" s="12" t="s">
        <v>5088</v>
      </c>
      <c r="CTM3" s="12" t="s">
        <v>5089</v>
      </c>
      <c r="CTN3" s="12" t="s">
        <v>5090</v>
      </c>
      <c r="CTO3" s="12" t="s">
        <v>5091</v>
      </c>
      <c r="CTP3" s="12" t="s">
        <v>5092</v>
      </c>
      <c r="CTQ3" s="12" t="s">
        <v>5093</v>
      </c>
      <c r="CTR3" s="12" t="s">
        <v>5094</v>
      </c>
      <c r="CTS3" s="12" t="s">
        <v>5095</v>
      </c>
      <c r="CTT3" s="12" t="s">
        <v>5096</v>
      </c>
      <c r="CTU3" s="12" t="s">
        <v>5097</v>
      </c>
      <c r="CTV3" s="12" t="s">
        <v>5098</v>
      </c>
      <c r="CTW3" s="12" t="s">
        <v>5099</v>
      </c>
      <c r="CTX3" s="12" t="s">
        <v>5100</v>
      </c>
      <c r="CTY3" s="12" t="s">
        <v>5101</v>
      </c>
      <c r="CTZ3" s="12" t="s">
        <v>5102</v>
      </c>
      <c r="CUA3" s="12" t="s">
        <v>5103</v>
      </c>
      <c r="CUB3" s="12" t="s">
        <v>5104</v>
      </c>
      <c r="CUC3" s="12" t="s">
        <v>5105</v>
      </c>
      <c r="CUD3" s="12" t="s">
        <v>5106</v>
      </c>
      <c r="CUE3" s="12" t="s">
        <v>5107</v>
      </c>
      <c r="CUF3" s="12" t="s">
        <v>5108</v>
      </c>
      <c r="CUG3" s="12" t="s">
        <v>5109</v>
      </c>
      <c r="CUH3" s="12" t="s">
        <v>5110</v>
      </c>
      <c r="CUI3" s="12" t="s">
        <v>5111</v>
      </c>
      <c r="CUJ3" s="12" t="s">
        <v>5112</v>
      </c>
      <c r="CUK3" s="12" t="s">
        <v>5113</v>
      </c>
      <c r="CUL3" s="12" t="s">
        <v>5114</v>
      </c>
      <c r="CUM3" s="12" t="s">
        <v>5115</v>
      </c>
      <c r="CUN3" s="12" t="s">
        <v>5116</v>
      </c>
      <c r="CUO3" s="12" t="s">
        <v>5117</v>
      </c>
      <c r="CUP3" s="12" t="s">
        <v>5118</v>
      </c>
      <c r="CUQ3" s="12" t="s">
        <v>5119</v>
      </c>
      <c r="CUR3" s="12" t="s">
        <v>5120</v>
      </c>
      <c r="CUS3" s="12" t="s">
        <v>5121</v>
      </c>
      <c r="CUT3" s="12" t="s">
        <v>5122</v>
      </c>
      <c r="CUU3" s="12" t="s">
        <v>5123</v>
      </c>
      <c r="CUV3" s="12" t="s">
        <v>5124</v>
      </c>
      <c r="CUW3" s="12" t="s">
        <v>5125</v>
      </c>
      <c r="CUX3" s="12" t="s">
        <v>5126</v>
      </c>
      <c r="CUY3" s="12" t="s">
        <v>5127</v>
      </c>
      <c r="CUZ3" s="12" t="s">
        <v>5128</v>
      </c>
      <c r="CVA3" s="12" t="s">
        <v>5129</v>
      </c>
      <c r="CVB3" s="12" t="s">
        <v>5130</v>
      </c>
      <c r="CVC3" s="12" t="s">
        <v>5131</v>
      </c>
      <c r="CVD3" s="12" t="s">
        <v>5132</v>
      </c>
      <c r="CVE3" s="12" t="s">
        <v>5133</v>
      </c>
      <c r="CVF3" s="12" t="s">
        <v>5134</v>
      </c>
      <c r="CVG3" s="12" t="s">
        <v>5135</v>
      </c>
      <c r="CVH3" s="12" t="s">
        <v>5136</v>
      </c>
      <c r="CVI3" s="12" t="s">
        <v>5137</v>
      </c>
      <c r="CVJ3" s="12" t="s">
        <v>5138</v>
      </c>
      <c r="CVK3" s="12" t="s">
        <v>5139</v>
      </c>
      <c r="CVL3" s="12" t="s">
        <v>5140</v>
      </c>
      <c r="CVM3" s="12" t="s">
        <v>5141</v>
      </c>
      <c r="CVN3" s="12" t="s">
        <v>5142</v>
      </c>
      <c r="CVO3" s="12" t="s">
        <v>5143</v>
      </c>
      <c r="CVP3" s="12" t="s">
        <v>5144</v>
      </c>
      <c r="CVQ3" s="12" t="s">
        <v>5145</v>
      </c>
      <c r="CVR3" s="12" t="s">
        <v>5146</v>
      </c>
      <c r="CVS3" s="12" t="s">
        <v>5147</v>
      </c>
      <c r="CVT3" s="12" t="s">
        <v>5148</v>
      </c>
      <c r="CVU3" s="12" t="s">
        <v>5149</v>
      </c>
      <c r="CVV3" s="12" t="s">
        <v>5150</v>
      </c>
      <c r="CVW3" s="12" t="s">
        <v>5151</v>
      </c>
      <c r="CVX3" s="12" t="s">
        <v>5152</v>
      </c>
      <c r="CVY3" s="12" t="s">
        <v>5153</v>
      </c>
      <c r="CVZ3" s="12" t="s">
        <v>5154</v>
      </c>
      <c r="CWA3" s="12" t="s">
        <v>5155</v>
      </c>
      <c r="CWB3" s="12" t="s">
        <v>5156</v>
      </c>
      <c r="CWC3" s="12" t="s">
        <v>5157</v>
      </c>
      <c r="CWD3" s="12" t="s">
        <v>5158</v>
      </c>
      <c r="CWE3" s="12" t="s">
        <v>5159</v>
      </c>
      <c r="CWF3" s="12" t="s">
        <v>5160</v>
      </c>
      <c r="CWG3" s="12" t="s">
        <v>5161</v>
      </c>
      <c r="CWH3" s="12" t="s">
        <v>5162</v>
      </c>
      <c r="CWI3" s="12" t="s">
        <v>5163</v>
      </c>
      <c r="CWJ3" s="12" t="s">
        <v>5164</v>
      </c>
      <c r="CWK3" s="12" t="s">
        <v>5165</v>
      </c>
      <c r="CWL3" s="12" t="s">
        <v>5166</v>
      </c>
      <c r="CWM3" s="12" t="s">
        <v>5167</v>
      </c>
      <c r="CWN3" s="12" t="s">
        <v>5168</v>
      </c>
      <c r="CWO3" s="12" t="s">
        <v>5169</v>
      </c>
      <c r="CWP3" s="12" t="s">
        <v>5170</v>
      </c>
      <c r="CWQ3" s="12" t="s">
        <v>5171</v>
      </c>
      <c r="CWR3" s="12" t="s">
        <v>5172</v>
      </c>
      <c r="CWS3" s="12" t="s">
        <v>5173</v>
      </c>
      <c r="CWT3" s="12" t="s">
        <v>5174</v>
      </c>
      <c r="CWU3" s="12" t="s">
        <v>5175</v>
      </c>
      <c r="CWV3" s="12" t="s">
        <v>5176</v>
      </c>
      <c r="CWW3" s="12" t="s">
        <v>5177</v>
      </c>
      <c r="CWX3" s="12" t="s">
        <v>5178</v>
      </c>
      <c r="CWY3" s="12" t="s">
        <v>5179</v>
      </c>
      <c r="CWZ3" s="12" t="s">
        <v>5180</v>
      </c>
      <c r="CXA3" s="12" t="s">
        <v>5181</v>
      </c>
      <c r="CXB3" s="12" t="s">
        <v>5182</v>
      </c>
      <c r="CXC3" s="12" t="s">
        <v>5183</v>
      </c>
      <c r="CXD3" s="12" t="s">
        <v>5184</v>
      </c>
      <c r="CXE3" s="12" t="s">
        <v>5185</v>
      </c>
      <c r="CXF3" s="12" t="s">
        <v>5186</v>
      </c>
      <c r="CXG3" s="12" t="s">
        <v>5187</v>
      </c>
      <c r="CXH3" s="12" t="s">
        <v>5188</v>
      </c>
      <c r="CXI3" s="12" t="s">
        <v>5189</v>
      </c>
      <c r="CXJ3" s="12" t="s">
        <v>5190</v>
      </c>
      <c r="CXK3" s="12" t="s">
        <v>5191</v>
      </c>
      <c r="CXL3" s="12" t="s">
        <v>5192</v>
      </c>
      <c r="CXM3" s="12" t="s">
        <v>5193</v>
      </c>
      <c r="CXN3" s="12" t="s">
        <v>5194</v>
      </c>
      <c r="CXO3" s="12" t="s">
        <v>5195</v>
      </c>
      <c r="CXP3" s="12" t="s">
        <v>5196</v>
      </c>
      <c r="CXQ3" s="12" t="s">
        <v>5197</v>
      </c>
      <c r="CXR3" s="12" t="s">
        <v>5198</v>
      </c>
      <c r="CXS3" s="12" t="s">
        <v>5199</v>
      </c>
      <c r="CXT3" s="12" t="s">
        <v>5200</v>
      </c>
      <c r="CXU3" s="12" t="s">
        <v>5201</v>
      </c>
      <c r="CXV3" s="12" t="s">
        <v>5202</v>
      </c>
      <c r="CXW3" s="12" t="s">
        <v>5203</v>
      </c>
      <c r="CXX3" s="12" t="s">
        <v>5204</v>
      </c>
      <c r="CXY3" s="12" t="s">
        <v>5205</v>
      </c>
      <c r="CXZ3" s="12" t="s">
        <v>5206</v>
      </c>
      <c r="CYA3" s="12" t="s">
        <v>5207</v>
      </c>
      <c r="CYB3" s="12" t="s">
        <v>5208</v>
      </c>
      <c r="CYC3" s="12" t="s">
        <v>5209</v>
      </c>
      <c r="CYD3" s="12" t="s">
        <v>5210</v>
      </c>
      <c r="CYE3" s="12" t="s">
        <v>5211</v>
      </c>
      <c r="CYF3" s="12" t="s">
        <v>5212</v>
      </c>
      <c r="CYG3" s="12" t="s">
        <v>5213</v>
      </c>
      <c r="CYH3" s="12" t="s">
        <v>5214</v>
      </c>
      <c r="CYI3" s="12" t="s">
        <v>5215</v>
      </c>
      <c r="CYJ3" s="12" t="s">
        <v>5216</v>
      </c>
      <c r="CYK3" s="12" t="s">
        <v>5217</v>
      </c>
      <c r="CYL3" s="12" t="s">
        <v>5218</v>
      </c>
      <c r="CYM3" s="12" t="s">
        <v>5219</v>
      </c>
      <c r="CYN3" s="12" t="s">
        <v>5220</v>
      </c>
      <c r="CYO3" s="12" t="s">
        <v>5221</v>
      </c>
      <c r="CYP3" s="12" t="s">
        <v>5222</v>
      </c>
      <c r="CYQ3" s="12" t="s">
        <v>5223</v>
      </c>
      <c r="CYR3" s="12" t="s">
        <v>5224</v>
      </c>
      <c r="CYS3" s="12" t="s">
        <v>5225</v>
      </c>
      <c r="CYT3" s="12" t="s">
        <v>5226</v>
      </c>
      <c r="CYU3" s="12" t="s">
        <v>5227</v>
      </c>
      <c r="CYV3" s="12" t="s">
        <v>5228</v>
      </c>
      <c r="CYW3" s="12" t="s">
        <v>5229</v>
      </c>
      <c r="CYX3" s="12" t="s">
        <v>5230</v>
      </c>
      <c r="CYY3" s="12" t="s">
        <v>5231</v>
      </c>
      <c r="CYZ3" s="12" t="s">
        <v>5232</v>
      </c>
      <c r="CZA3" s="12" t="s">
        <v>5233</v>
      </c>
      <c r="CZB3" s="12" t="s">
        <v>5234</v>
      </c>
      <c r="CZC3" s="12" t="s">
        <v>5235</v>
      </c>
      <c r="CZD3" s="12" t="s">
        <v>5236</v>
      </c>
      <c r="CZE3" s="12" t="s">
        <v>5237</v>
      </c>
      <c r="CZF3" s="12" t="s">
        <v>5238</v>
      </c>
      <c r="CZG3" s="12" t="s">
        <v>5239</v>
      </c>
      <c r="CZH3" s="12" t="s">
        <v>5240</v>
      </c>
      <c r="CZI3" s="12" t="s">
        <v>5241</v>
      </c>
      <c r="CZJ3" s="12" t="s">
        <v>5242</v>
      </c>
      <c r="CZK3" s="12" t="s">
        <v>5243</v>
      </c>
      <c r="CZL3" s="12" t="s">
        <v>5244</v>
      </c>
      <c r="CZM3" s="12" t="s">
        <v>5245</v>
      </c>
      <c r="CZN3" s="12" t="s">
        <v>5246</v>
      </c>
      <c r="CZO3" s="12" t="s">
        <v>5247</v>
      </c>
      <c r="CZP3" s="12" t="s">
        <v>5248</v>
      </c>
      <c r="CZQ3" s="12" t="s">
        <v>5249</v>
      </c>
      <c r="CZR3" s="12" t="s">
        <v>5250</v>
      </c>
      <c r="CZS3" s="12" t="s">
        <v>5251</v>
      </c>
      <c r="CZT3" s="12" t="s">
        <v>5252</v>
      </c>
      <c r="CZU3" s="12" t="s">
        <v>5253</v>
      </c>
      <c r="CZV3" s="12" t="s">
        <v>5254</v>
      </c>
      <c r="CZW3" s="12" t="s">
        <v>5255</v>
      </c>
      <c r="CZX3" s="12" t="s">
        <v>5256</v>
      </c>
      <c r="CZY3" s="12" t="s">
        <v>5257</v>
      </c>
      <c r="CZZ3" s="12" t="s">
        <v>5258</v>
      </c>
      <c r="DAA3" s="12" t="s">
        <v>5259</v>
      </c>
      <c r="DAB3" s="12" t="s">
        <v>5260</v>
      </c>
      <c r="DAC3" s="12" t="s">
        <v>5261</v>
      </c>
      <c r="DAD3" s="12" t="s">
        <v>5262</v>
      </c>
      <c r="DAE3" s="12" t="s">
        <v>5263</v>
      </c>
      <c r="DAF3" s="12" t="s">
        <v>5264</v>
      </c>
      <c r="DAG3" s="12" t="s">
        <v>5265</v>
      </c>
      <c r="DAH3" s="12" t="s">
        <v>5266</v>
      </c>
      <c r="DAI3" s="12" t="s">
        <v>5267</v>
      </c>
      <c r="DAJ3" s="12" t="s">
        <v>5268</v>
      </c>
      <c r="DAK3" s="12" t="s">
        <v>5269</v>
      </c>
      <c r="DAL3" s="12" t="s">
        <v>5270</v>
      </c>
      <c r="DAM3" s="12" t="s">
        <v>5271</v>
      </c>
      <c r="DAN3" s="12" t="s">
        <v>5272</v>
      </c>
      <c r="DAO3" s="12" t="s">
        <v>5273</v>
      </c>
      <c r="DAP3" s="12" t="s">
        <v>5274</v>
      </c>
      <c r="DAQ3" s="12" t="s">
        <v>5275</v>
      </c>
      <c r="DAR3" s="12" t="s">
        <v>5276</v>
      </c>
      <c r="DAS3" s="12" t="s">
        <v>5277</v>
      </c>
      <c r="DAT3" s="12" t="s">
        <v>5278</v>
      </c>
      <c r="DAU3" s="12" t="s">
        <v>5279</v>
      </c>
      <c r="DAV3" s="12" t="s">
        <v>5280</v>
      </c>
      <c r="DAW3" s="12" t="s">
        <v>5281</v>
      </c>
      <c r="DAX3" s="12" t="s">
        <v>5282</v>
      </c>
      <c r="DAY3" s="12" t="s">
        <v>5283</v>
      </c>
      <c r="DAZ3" s="12" t="s">
        <v>5284</v>
      </c>
      <c r="DBA3" s="12" t="s">
        <v>5285</v>
      </c>
      <c r="DBB3" s="12" t="s">
        <v>5286</v>
      </c>
      <c r="DBC3" s="12" t="s">
        <v>5287</v>
      </c>
      <c r="DBD3" s="12" t="s">
        <v>5288</v>
      </c>
      <c r="DBE3" s="12" t="s">
        <v>5289</v>
      </c>
      <c r="DBF3" s="12" t="s">
        <v>5290</v>
      </c>
      <c r="DBG3" s="12" t="s">
        <v>5291</v>
      </c>
      <c r="DBH3" s="12" t="s">
        <v>5292</v>
      </c>
      <c r="DBI3" s="12" t="s">
        <v>5293</v>
      </c>
      <c r="DBJ3" s="12" t="s">
        <v>5294</v>
      </c>
      <c r="DBK3" s="12" t="s">
        <v>5295</v>
      </c>
      <c r="DBL3" s="12" t="s">
        <v>5296</v>
      </c>
      <c r="DBM3" s="12" t="s">
        <v>5297</v>
      </c>
      <c r="DBN3" s="12" t="s">
        <v>5298</v>
      </c>
      <c r="DBO3" s="12" t="s">
        <v>5299</v>
      </c>
      <c r="DBP3" s="12" t="s">
        <v>5300</v>
      </c>
      <c r="DBQ3" s="12" t="s">
        <v>5301</v>
      </c>
      <c r="DBR3" s="12" t="s">
        <v>5302</v>
      </c>
      <c r="DBS3" s="12" t="s">
        <v>5303</v>
      </c>
      <c r="DBT3" s="12" t="s">
        <v>5304</v>
      </c>
      <c r="DBU3" s="12" t="s">
        <v>5305</v>
      </c>
      <c r="DBV3" s="12" t="s">
        <v>5306</v>
      </c>
      <c r="DBW3" s="12" t="s">
        <v>5307</v>
      </c>
      <c r="DBX3" s="12" t="s">
        <v>5308</v>
      </c>
      <c r="DBY3" s="12" t="s">
        <v>5309</v>
      </c>
      <c r="DBZ3" s="12" t="s">
        <v>5310</v>
      </c>
      <c r="DCA3" s="12" t="s">
        <v>5311</v>
      </c>
      <c r="DCB3" s="12" t="s">
        <v>5312</v>
      </c>
      <c r="DCC3" s="12" t="s">
        <v>5313</v>
      </c>
      <c r="DCD3" s="12" t="s">
        <v>5314</v>
      </c>
      <c r="DCE3" s="12" t="s">
        <v>5315</v>
      </c>
      <c r="DCF3" s="12" t="s">
        <v>5316</v>
      </c>
      <c r="DCG3" s="12" t="s">
        <v>5317</v>
      </c>
      <c r="DCH3" s="12" t="s">
        <v>5318</v>
      </c>
      <c r="DCI3" s="12" t="s">
        <v>5319</v>
      </c>
      <c r="DCJ3" s="12" t="s">
        <v>5320</v>
      </c>
      <c r="DCK3" s="12" t="s">
        <v>5321</v>
      </c>
      <c r="DCL3" s="12" t="s">
        <v>5322</v>
      </c>
      <c r="DCM3" s="12" t="s">
        <v>5323</v>
      </c>
      <c r="DCN3" s="12" t="s">
        <v>5324</v>
      </c>
      <c r="DCO3" s="12" t="s">
        <v>5325</v>
      </c>
      <c r="DCP3" s="12" t="s">
        <v>5326</v>
      </c>
      <c r="DCQ3" s="12" t="s">
        <v>5327</v>
      </c>
      <c r="DCR3" s="12" t="s">
        <v>5328</v>
      </c>
      <c r="DCS3" s="12" t="s">
        <v>5329</v>
      </c>
      <c r="DCT3" s="12" t="s">
        <v>5330</v>
      </c>
      <c r="DCU3" s="12" t="s">
        <v>5331</v>
      </c>
      <c r="DCV3" s="12" t="s">
        <v>5332</v>
      </c>
      <c r="DCW3" s="12" t="s">
        <v>5333</v>
      </c>
      <c r="DCX3" s="12" t="s">
        <v>5334</v>
      </c>
      <c r="DCY3" s="12" t="s">
        <v>5335</v>
      </c>
      <c r="DCZ3" s="12" t="s">
        <v>5336</v>
      </c>
      <c r="DDA3" s="12" t="s">
        <v>5337</v>
      </c>
      <c r="DDB3" s="12" t="s">
        <v>5338</v>
      </c>
      <c r="DDC3" s="12" t="s">
        <v>5339</v>
      </c>
      <c r="DDD3" s="12" t="s">
        <v>5340</v>
      </c>
      <c r="DDE3" s="12" t="s">
        <v>5341</v>
      </c>
      <c r="DDF3" s="12" t="s">
        <v>5342</v>
      </c>
      <c r="DDG3" s="12" t="s">
        <v>5343</v>
      </c>
      <c r="DDH3" s="12" t="s">
        <v>5344</v>
      </c>
      <c r="DDI3" s="12" t="s">
        <v>5345</v>
      </c>
      <c r="DDJ3" s="12" t="s">
        <v>5346</v>
      </c>
      <c r="DDK3" s="12" t="s">
        <v>5347</v>
      </c>
      <c r="DDL3" s="12" t="s">
        <v>5348</v>
      </c>
      <c r="DDM3" s="12" t="s">
        <v>5349</v>
      </c>
      <c r="DDN3" s="12" t="s">
        <v>5350</v>
      </c>
      <c r="DDO3" s="12" t="s">
        <v>5351</v>
      </c>
      <c r="DDP3" s="12" t="s">
        <v>5352</v>
      </c>
      <c r="DDQ3" s="12" t="s">
        <v>5353</v>
      </c>
      <c r="DDR3" s="12" t="s">
        <v>5354</v>
      </c>
      <c r="DDS3" s="12" t="s">
        <v>5355</v>
      </c>
      <c r="DDT3" s="12" t="s">
        <v>5356</v>
      </c>
      <c r="DDU3" s="12" t="s">
        <v>5357</v>
      </c>
      <c r="DDV3" s="12" t="s">
        <v>5358</v>
      </c>
      <c r="DDW3" s="12" t="s">
        <v>5359</v>
      </c>
      <c r="DDX3" s="12" t="s">
        <v>5360</v>
      </c>
      <c r="DDY3" s="12" t="s">
        <v>5361</v>
      </c>
      <c r="DDZ3" s="12" t="s">
        <v>5362</v>
      </c>
      <c r="DEA3" s="12" t="s">
        <v>5363</v>
      </c>
      <c r="DEB3" s="12" t="s">
        <v>5364</v>
      </c>
      <c r="DEC3" s="12" t="s">
        <v>5365</v>
      </c>
      <c r="DED3" s="12" t="s">
        <v>5366</v>
      </c>
      <c r="DEE3" s="12" t="s">
        <v>5367</v>
      </c>
      <c r="DEF3" s="12" t="s">
        <v>5368</v>
      </c>
      <c r="DEG3" s="12" t="s">
        <v>5369</v>
      </c>
      <c r="DEH3" s="12" t="s">
        <v>5370</v>
      </c>
      <c r="DEI3" s="12" t="s">
        <v>5371</v>
      </c>
      <c r="DEJ3" s="12" t="s">
        <v>5372</v>
      </c>
      <c r="DEK3" s="12" t="s">
        <v>5373</v>
      </c>
      <c r="DEL3" s="12" t="s">
        <v>5374</v>
      </c>
      <c r="DEM3" s="12" t="s">
        <v>5375</v>
      </c>
      <c r="DEN3" s="12" t="s">
        <v>5376</v>
      </c>
      <c r="DEO3" s="12" t="s">
        <v>5377</v>
      </c>
      <c r="DEP3" s="12" t="s">
        <v>5378</v>
      </c>
      <c r="DEQ3" s="12" t="s">
        <v>5379</v>
      </c>
      <c r="DER3" s="12" t="s">
        <v>5380</v>
      </c>
      <c r="DES3" s="12" t="s">
        <v>5381</v>
      </c>
      <c r="DET3" s="12" t="s">
        <v>5382</v>
      </c>
      <c r="DEU3" s="12" t="s">
        <v>5383</v>
      </c>
      <c r="DEV3" s="12" t="s">
        <v>5384</v>
      </c>
      <c r="DEW3" s="12" t="s">
        <v>5385</v>
      </c>
      <c r="DEX3" s="12" t="s">
        <v>5386</v>
      </c>
      <c r="DEY3" s="12" t="s">
        <v>5387</v>
      </c>
      <c r="DEZ3" s="12" t="s">
        <v>5388</v>
      </c>
      <c r="DFA3" s="12" t="s">
        <v>5389</v>
      </c>
      <c r="DFB3" s="12" t="s">
        <v>5390</v>
      </c>
      <c r="DFC3" s="12" t="s">
        <v>5391</v>
      </c>
      <c r="DFD3" s="12" t="s">
        <v>5392</v>
      </c>
      <c r="DFE3" s="12" t="s">
        <v>5393</v>
      </c>
      <c r="DFF3" s="12" t="s">
        <v>5394</v>
      </c>
      <c r="DFG3" s="12" t="s">
        <v>5395</v>
      </c>
      <c r="DFH3" s="12" t="s">
        <v>5396</v>
      </c>
      <c r="DFI3" s="12" t="s">
        <v>5397</v>
      </c>
      <c r="DFJ3" s="12" t="s">
        <v>5398</v>
      </c>
      <c r="DFK3" s="12" t="s">
        <v>5399</v>
      </c>
      <c r="DFL3" s="12" t="s">
        <v>5400</v>
      </c>
      <c r="DFM3" s="12" t="s">
        <v>5401</v>
      </c>
      <c r="DFN3" s="12" t="s">
        <v>5402</v>
      </c>
      <c r="DFO3" s="12" t="s">
        <v>5403</v>
      </c>
      <c r="DFP3" s="12" t="s">
        <v>5404</v>
      </c>
      <c r="DFQ3" s="12" t="s">
        <v>5405</v>
      </c>
      <c r="DFR3" s="12" t="s">
        <v>5406</v>
      </c>
      <c r="DFS3" s="12" t="s">
        <v>5407</v>
      </c>
      <c r="DFT3" s="12" t="s">
        <v>5408</v>
      </c>
      <c r="DFU3" s="12" t="s">
        <v>5409</v>
      </c>
      <c r="DFV3" s="12" t="s">
        <v>5410</v>
      </c>
      <c r="DFW3" s="12" t="s">
        <v>5411</v>
      </c>
      <c r="DFX3" s="12" t="s">
        <v>5412</v>
      </c>
      <c r="DFY3" s="12" t="s">
        <v>5413</v>
      </c>
      <c r="DFZ3" s="12" t="s">
        <v>5414</v>
      </c>
      <c r="DGA3" s="12" t="s">
        <v>5415</v>
      </c>
      <c r="DGB3" s="12" t="s">
        <v>5416</v>
      </c>
      <c r="DGC3" s="12" t="s">
        <v>5417</v>
      </c>
      <c r="DGD3" s="12" t="s">
        <v>5418</v>
      </c>
      <c r="DGE3" s="12" t="s">
        <v>5419</v>
      </c>
      <c r="DGF3" s="12" t="s">
        <v>5420</v>
      </c>
      <c r="DGG3" s="12" t="s">
        <v>5421</v>
      </c>
      <c r="DGH3" s="12" t="s">
        <v>5422</v>
      </c>
      <c r="DGI3" s="12" t="s">
        <v>5423</v>
      </c>
      <c r="DGJ3" s="12" t="s">
        <v>5424</v>
      </c>
      <c r="DGK3" s="12" t="s">
        <v>5425</v>
      </c>
      <c r="DGL3" s="12" t="s">
        <v>5426</v>
      </c>
      <c r="DGM3" s="12" t="s">
        <v>5427</v>
      </c>
      <c r="DGN3" s="12" t="s">
        <v>5428</v>
      </c>
      <c r="DGO3" s="12" t="s">
        <v>5429</v>
      </c>
      <c r="DGP3" s="12" t="s">
        <v>5430</v>
      </c>
      <c r="DGQ3" s="12" t="s">
        <v>5431</v>
      </c>
      <c r="DGR3" s="12" t="s">
        <v>5432</v>
      </c>
      <c r="DGS3" s="12" t="s">
        <v>5433</v>
      </c>
      <c r="DGT3" s="12" t="s">
        <v>5434</v>
      </c>
      <c r="DGU3" s="12" t="s">
        <v>5435</v>
      </c>
      <c r="DGV3" s="12" t="s">
        <v>5436</v>
      </c>
      <c r="DGW3" s="12" t="s">
        <v>5437</v>
      </c>
      <c r="DGX3" s="12" t="s">
        <v>5438</v>
      </c>
      <c r="DGY3" s="12" t="s">
        <v>5439</v>
      </c>
      <c r="DGZ3" s="12" t="s">
        <v>5440</v>
      </c>
      <c r="DHA3" s="12" t="s">
        <v>5441</v>
      </c>
      <c r="DHB3" s="12" t="s">
        <v>5442</v>
      </c>
      <c r="DHC3" s="12" t="s">
        <v>5443</v>
      </c>
      <c r="DHD3" s="12" t="s">
        <v>5444</v>
      </c>
      <c r="DHE3" s="12" t="s">
        <v>5445</v>
      </c>
      <c r="DHF3" s="12" t="s">
        <v>5446</v>
      </c>
      <c r="DHG3" s="12" t="s">
        <v>5447</v>
      </c>
      <c r="DHH3" s="12" t="s">
        <v>5448</v>
      </c>
      <c r="DHI3" s="12" t="s">
        <v>5449</v>
      </c>
      <c r="DHJ3" s="12" t="s">
        <v>5450</v>
      </c>
      <c r="DHK3" s="12" t="s">
        <v>5451</v>
      </c>
      <c r="DHL3" s="12" t="s">
        <v>5452</v>
      </c>
      <c r="DHM3" s="12" t="s">
        <v>5453</v>
      </c>
      <c r="DHN3" s="12" t="s">
        <v>5454</v>
      </c>
      <c r="DHO3" s="12" t="s">
        <v>5455</v>
      </c>
      <c r="DHP3" s="12" t="s">
        <v>5456</v>
      </c>
      <c r="DHQ3" s="12" t="s">
        <v>5457</v>
      </c>
      <c r="DHR3" s="12" t="s">
        <v>5458</v>
      </c>
      <c r="DHS3" s="12" t="s">
        <v>5459</v>
      </c>
      <c r="DHT3" s="12" t="s">
        <v>5460</v>
      </c>
      <c r="DHU3" s="12" t="s">
        <v>5461</v>
      </c>
      <c r="DHV3" s="12" t="s">
        <v>5462</v>
      </c>
      <c r="DHW3" s="12" t="s">
        <v>5463</v>
      </c>
      <c r="DHX3" s="12" t="s">
        <v>5464</v>
      </c>
      <c r="DHY3" s="12" t="s">
        <v>5465</v>
      </c>
      <c r="DHZ3" s="12" t="s">
        <v>5466</v>
      </c>
      <c r="DIA3" s="12" t="s">
        <v>5467</v>
      </c>
      <c r="DIB3" s="12" t="s">
        <v>5468</v>
      </c>
      <c r="DIC3" s="12" t="s">
        <v>5469</v>
      </c>
      <c r="DID3" s="12" t="s">
        <v>5470</v>
      </c>
      <c r="DIE3" s="12" t="s">
        <v>5471</v>
      </c>
      <c r="DIF3" s="12" t="s">
        <v>5472</v>
      </c>
      <c r="DIG3" s="12" t="s">
        <v>5473</v>
      </c>
      <c r="DIH3" s="12" t="s">
        <v>5474</v>
      </c>
      <c r="DII3" s="12" t="s">
        <v>5475</v>
      </c>
      <c r="DIJ3" s="12" t="s">
        <v>5476</v>
      </c>
      <c r="DIK3" s="12" t="s">
        <v>5477</v>
      </c>
      <c r="DIL3" s="12" t="s">
        <v>5478</v>
      </c>
      <c r="DIM3" s="12" t="s">
        <v>5479</v>
      </c>
      <c r="DIN3" s="12" t="s">
        <v>5480</v>
      </c>
      <c r="DIO3" s="12" t="s">
        <v>5481</v>
      </c>
      <c r="DIP3" s="12" t="s">
        <v>5482</v>
      </c>
      <c r="DIQ3" s="12" t="s">
        <v>5483</v>
      </c>
      <c r="DIR3" s="12" t="s">
        <v>5484</v>
      </c>
      <c r="DIS3" s="12" t="s">
        <v>5485</v>
      </c>
      <c r="DIT3" s="12" t="s">
        <v>5486</v>
      </c>
      <c r="DIU3" s="12" t="s">
        <v>5487</v>
      </c>
      <c r="DIV3" s="12" t="s">
        <v>5488</v>
      </c>
      <c r="DIW3" s="12" t="s">
        <v>5489</v>
      </c>
      <c r="DIX3" s="12" t="s">
        <v>5490</v>
      </c>
      <c r="DIY3" s="12" t="s">
        <v>5491</v>
      </c>
      <c r="DIZ3" s="12" t="s">
        <v>5492</v>
      </c>
      <c r="DJA3" s="12" t="s">
        <v>5493</v>
      </c>
      <c r="DJB3" s="12" t="s">
        <v>5494</v>
      </c>
      <c r="DJC3" s="12" t="s">
        <v>5495</v>
      </c>
      <c r="DJD3" s="12" t="s">
        <v>5496</v>
      </c>
      <c r="DJE3" s="12" t="s">
        <v>5497</v>
      </c>
      <c r="DJF3" s="12" t="s">
        <v>5498</v>
      </c>
      <c r="DJG3" s="12" t="s">
        <v>5499</v>
      </c>
      <c r="DJH3" s="12" t="s">
        <v>5500</v>
      </c>
      <c r="DJI3" s="12" t="s">
        <v>5501</v>
      </c>
      <c r="DJJ3" s="12" t="s">
        <v>5502</v>
      </c>
      <c r="DJK3" s="12" t="s">
        <v>5503</v>
      </c>
      <c r="DJL3" s="12" t="s">
        <v>5504</v>
      </c>
      <c r="DJM3" s="12" t="s">
        <v>5505</v>
      </c>
      <c r="DJN3" s="12" t="s">
        <v>5506</v>
      </c>
      <c r="DJO3" s="12" t="s">
        <v>5507</v>
      </c>
      <c r="DJP3" s="12" t="s">
        <v>5508</v>
      </c>
      <c r="DJQ3" s="12" t="s">
        <v>5509</v>
      </c>
      <c r="DJR3" s="12" t="s">
        <v>5510</v>
      </c>
      <c r="DJS3" s="12" t="s">
        <v>5511</v>
      </c>
      <c r="DJT3" s="12" t="s">
        <v>5512</v>
      </c>
      <c r="DJU3" s="12" t="s">
        <v>5513</v>
      </c>
      <c r="DJV3" s="12" t="s">
        <v>5514</v>
      </c>
      <c r="DJW3" s="12" t="s">
        <v>5515</v>
      </c>
      <c r="DJX3" s="12" t="s">
        <v>5516</v>
      </c>
      <c r="DJY3" s="12" t="s">
        <v>5517</v>
      </c>
      <c r="DJZ3" s="12" t="s">
        <v>5518</v>
      </c>
      <c r="DKA3" s="12" t="s">
        <v>5519</v>
      </c>
      <c r="DKB3" s="12" t="s">
        <v>5520</v>
      </c>
      <c r="DKC3" s="12" t="s">
        <v>5521</v>
      </c>
      <c r="DKD3" s="12" t="s">
        <v>5522</v>
      </c>
      <c r="DKE3" s="12" t="s">
        <v>5523</v>
      </c>
      <c r="DKF3" s="12" t="s">
        <v>5524</v>
      </c>
      <c r="DKG3" s="12" t="s">
        <v>5525</v>
      </c>
      <c r="DKH3" s="12" t="s">
        <v>5526</v>
      </c>
      <c r="DKI3" s="12" t="s">
        <v>5527</v>
      </c>
      <c r="DKJ3" s="12" t="s">
        <v>5528</v>
      </c>
      <c r="DKK3" s="12" t="s">
        <v>5529</v>
      </c>
      <c r="DKL3" s="12" t="s">
        <v>5530</v>
      </c>
      <c r="DKM3" s="12" t="s">
        <v>5531</v>
      </c>
      <c r="DKN3" s="12" t="s">
        <v>5532</v>
      </c>
      <c r="DKO3" s="12" t="s">
        <v>5533</v>
      </c>
      <c r="DKP3" s="12" t="s">
        <v>5534</v>
      </c>
      <c r="DKQ3" s="12" t="s">
        <v>5535</v>
      </c>
      <c r="DKR3" s="12" t="s">
        <v>5536</v>
      </c>
      <c r="DKS3" s="12" t="s">
        <v>5537</v>
      </c>
      <c r="DKT3" s="12" t="s">
        <v>5538</v>
      </c>
      <c r="DKU3" s="12" t="s">
        <v>5539</v>
      </c>
      <c r="DKV3" s="12" t="s">
        <v>5540</v>
      </c>
      <c r="DKW3" s="12" t="s">
        <v>5541</v>
      </c>
      <c r="DKX3" s="12" t="s">
        <v>5542</v>
      </c>
      <c r="DKY3" s="12" t="s">
        <v>5543</v>
      </c>
      <c r="DKZ3" s="12" t="s">
        <v>5544</v>
      </c>
      <c r="DLA3" s="12" t="s">
        <v>5545</v>
      </c>
      <c r="DLB3" s="12" t="s">
        <v>5546</v>
      </c>
      <c r="DLC3" s="12" t="s">
        <v>5547</v>
      </c>
      <c r="DLD3" s="12" t="s">
        <v>5548</v>
      </c>
      <c r="DLE3" s="12" t="s">
        <v>5549</v>
      </c>
      <c r="DLF3" s="12" t="s">
        <v>5550</v>
      </c>
      <c r="DLG3" s="12" t="s">
        <v>5551</v>
      </c>
      <c r="DLH3" s="12" t="s">
        <v>5552</v>
      </c>
      <c r="DLI3" s="12" t="s">
        <v>5553</v>
      </c>
      <c r="DLJ3" s="12" t="s">
        <v>5554</v>
      </c>
      <c r="DLK3" s="12" t="s">
        <v>5555</v>
      </c>
      <c r="DLL3" s="12" t="s">
        <v>5556</v>
      </c>
      <c r="DLM3" s="12" t="s">
        <v>5557</v>
      </c>
      <c r="DLN3" s="12" t="s">
        <v>5558</v>
      </c>
      <c r="DLO3" s="12" t="s">
        <v>5559</v>
      </c>
      <c r="DLP3" s="12" t="s">
        <v>5560</v>
      </c>
      <c r="DLQ3" s="12" t="s">
        <v>5561</v>
      </c>
      <c r="DLR3" s="12" t="s">
        <v>5562</v>
      </c>
      <c r="DLS3" s="12" t="s">
        <v>5563</v>
      </c>
      <c r="DLT3" s="12" t="s">
        <v>5564</v>
      </c>
      <c r="DLU3" s="12" t="s">
        <v>5565</v>
      </c>
      <c r="DLV3" s="12" t="s">
        <v>5566</v>
      </c>
      <c r="DLW3" s="12" t="s">
        <v>5567</v>
      </c>
      <c r="DLX3" s="12" t="s">
        <v>5568</v>
      </c>
      <c r="DLY3" s="12" t="s">
        <v>5569</v>
      </c>
      <c r="DLZ3" s="12" t="s">
        <v>5570</v>
      </c>
      <c r="DMA3" s="12" t="s">
        <v>5571</v>
      </c>
      <c r="DMB3" s="12" t="s">
        <v>5572</v>
      </c>
      <c r="DMC3" s="12" t="s">
        <v>5573</v>
      </c>
      <c r="DMD3" s="12" t="s">
        <v>5574</v>
      </c>
      <c r="DME3" s="12" t="s">
        <v>5575</v>
      </c>
      <c r="DMF3" s="12" t="s">
        <v>5576</v>
      </c>
      <c r="DMG3" s="12" t="s">
        <v>5577</v>
      </c>
      <c r="DMH3" s="12" t="s">
        <v>5578</v>
      </c>
      <c r="DMI3" s="12" t="s">
        <v>5579</v>
      </c>
      <c r="DMJ3" s="12" t="s">
        <v>5580</v>
      </c>
      <c r="DMK3" s="12" t="s">
        <v>5581</v>
      </c>
      <c r="DML3" s="12" t="s">
        <v>5582</v>
      </c>
      <c r="DMM3" s="12" t="s">
        <v>5583</v>
      </c>
      <c r="DMN3" s="12" t="s">
        <v>5584</v>
      </c>
      <c r="DMO3" s="12" t="s">
        <v>5585</v>
      </c>
      <c r="DMP3" s="12" t="s">
        <v>5586</v>
      </c>
      <c r="DMQ3" s="12" t="s">
        <v>5587</v>
      </c>
      <c r="DMR3" s="12" t="s">
        <v>5588</v>
      </c>
      <c r="DMS3" s="12" t="s">
        <v>5589</v>
      </c>
      <c r="DMT3" s="12" t="s">
        <v>5590</v>
      </c>
      <c r="DMU3" s="12" t="s">
        <v>5591</v>
      </c>
      <c r="DMV3" s="12" t="s">
        <v>5592</v>
      </c>
      <c r="DMW3" s="12" t="s">
        <v>5593</v>
      </c>
      <c r="DMX3" s="12" t="s">
        <v>5594</v>
      </c>
      <c r="DMY3" s="12" t="s">
        <v>5595</v>
      </c>
      <c r="DMZ3" s="12" t="s">
        <v>5596</v>
      </c>
      <c r="DNA3" s="12" t="s">
        <v>5597</v>
      </c>
      <c r="DNB3" s="12" t="s">
        <v>5598</v>
      </c>
      <c r="DNC3" s="12" t="s">
        <v>5599</v>
      </c>
      <c r="DND3" s="12" t="s">
        <v>5600</v>
      </c>
      <c r="DNE3" s="12" t="s">
        <v>5601</v>
      </c>
      <c r="DNF3" s="12" t="s">
        <v>5602</v>
      </c>
      <c r="DNG3" s="12" t="s">
        <v>5603</v>
      </c>
      <c r="DNH3" s="12" t="s">
        <v>5604</v>
      </c>
      <c r="DNI3" s="12" t="s">
        <v>5605</v>
      </c>
      <c r="DNJ3" s="12" t="s">
        <v>5606</v>
      </c>
      <c r="DNK3" s="12" t="s">
        <v>5607</v>
      </c>
      <c r="DNL3" s="12" t="s">
        <v>5608</v>
      </c>
      <c r="DNM3" s="12" t="s">
        <v>5609</v>
      </c>
      <c r="DNN3" s="12" t="s">
        <v>5610</v>
      </c>
      <c r="DNO3" s="12" t="s">
        <v>5611</v>
      </c>
      <c r="DNP3" s="12" t="s">
        <v>5612</v>
      </c>
      <c r="DNQ3" s="12" t="s">
        <v>5613</v>
      </c>
      <c r="DNR3" s="12" t="s">
        <v>5614</v>
      </c>
      <c r="DNS3" s="12" t="s">
        <v>5615</v>
      </c>
      <c r="DNT3" s="12" t="s">
        <v>5616</v>
      </c>
      <c r="DNU3" s="12" t="s">
        <v>5617</v>
      </c>
      <c r="DNV3" s="12" t="s">
        <v>5618</v>
      </c>
      <c r="DNW3" s="12" t="s">
        <v>5619</v>
      </c>
      <c r="DNX3" s="12" t="s">
        <v>5620</v>
      </c>
      <c r="DNY3" s="12" t="s">
        <v>5621</v>
      </c>
      <c r="DNZ3" s="12" t="s">
        <v>5622</v>
      </c>
      <c r="DOA3" s="12" t="s">
        <v>5623</v>
      </c>
      <c r="DOB3" s="12" t="s">
        <v>5624</v>
      </c>
      <c r="DOC3" s="12" t="s">
        <v>5625</v>
      </c>
      <c r="DOD3" s="12" t="s">
        <v>5626</v>
      </c>
      <c r="DOE3" s="12" t="s">
        <v>5627</v>
      </c>
      <c r="DOF3" s="12" t="s">
        <v>5628</v>
      </c>
      <c r="DOG3" s="12" t="s">
        <v>5629</v>
      </c>
      <c r="DOH3" s="12" t="s">
        <v>5630</v>
      </c>
      <c r="DOI3" s="12" t="s">
        <v>5631</v>
      </c>
      <c r="DOJ3" s="12" t="s">
        <v>5632</v>
      </c>
      <c r="DOK3" s="12" t="s">
        <v>5633</v>
      </c>
      <c r="DOL3" s="12" t="s">
        <v>5634</v>
      </c>
      <c r="DOM3" s="12" t="s">
        <v>5635</v>
      </c>
      <c r="DON3" s="12" t="s">
        <v>5636</v>
      </c>
      <c r="DOO3" s="12" t="s">
        <v>5637</v>
      </c>
      <c r="DOP3" s="12" t="s">
        <v>5638</v>
      </c>
      <c r="DOQ3" s="12" t="s">
        <v>5639</v>
      </c>
      <c r="DOR3" s="12" t="s">
        <v>5640</v>
      </c>
      <c r="DOS3" s="12" t="s">
        <v>5641</v>
      </c>
      <c r="DOT3" s="12" t="s">
        <v>5642</v>
      </c>
      <c r="DOU3" s="12" t="s">
        <v>5643</v>
      </c>
      <c r="DOV3" s="12" t="s">
        <v>5644</v>
      </c>
      <c r="DOW3" s="12" t="s">
        <v>5645</v>
      </c>
      <c r="DOX3" s="12" t="s">
        <v>5646</v>
      </c>
      <c r="DOY3" s="12" t="s">
        <v>5647</v>
      </c>
      <c r="DOZ3" s="12" t="s">
        <v>5648</v>
      </c>
      <c r="DPA3" s="12" t="s">
        <v>5649</v>
      </c>
      <c r="DPB3" s="12" t="s">
        <v>5650</v>
      </c>
      <c r="DPC3" s="12" t="s">
        <v>5651</v>
      </c>
      <c r="DPD3" s="12" t="s">
        <v>5652</v>
      </c>
      <c r="DPE3" s="12" t="s">
        <v>5653</v>
      </c>
      <c r="DPF3" s="12" t="s">
        <v>5654</v>
      </c>
      <c r="DPG3" s="12" t="s">
        <v>5655</v>
      </c>
      <c r="DPH3" s="12" t="s">
        <v>5656</v>
      </c>
      <c r="DPI3" s="12" t="s">
        <v>5657</v>
      </c>
      <c r="DPJ3" s="12" t="s">
        <v>5658</v>
      </c>
      <c r="DPK3" s="12" t="s">
        <v>5659</v>
      </c>
      <c r="DPL3" s="12" t="s">
        <v>5660</v>
      </c>
      <c r="DPM3" s="12" t="s">
        <v>5661</v>
      </c>
      <c r="DPN3" s="12" t="s">
        <v>5662</v>
      </c>
      <c r="DPO3" s="12" t="s">
        <v>5663</v>
      </c>
      <c r="DPP3" s="12" t="s">
        <v>5664</v>
      </c>
      <c r="DPQ3" s="12" t="s">
        <v>5665</v>
      </c>
      <c r="DPR3" s="12" t="s">
        <v>5666</v>
      </c>
      <c r="DPS3" s="12" t="s">
        <v>5667</v>
      </c>
      <c r="DPT3" s="12" t="s">
        <v>5668</v>
      </c>
      <c r="DPU3" s="12" t="s">
        <v>5669</v>
      </c>
      <c r="DPV3" s="12" t="s">
        <v>5670</v>
      </c>
      <c r="DPW3" s="12" t="s">
        <v>5671</v>
      </c>
      <c r="DPX3" s="12" t="s">
        <v>5672</v>
      </c>
      <c r="DPY3" s="12" t="s">
        <v>5673</v>
      </c>
      <c r="DPZ3" s="12" t="s">
        <v>5674</v>
      </c>
      <c r="DQA3" s="12" t="s">
        <v>5675</v>
      </c>
      <c r="DQB3" s="12" t="s">
        <v>5676</v>
      </c>
      <c r="DQC3" s="12" t="s">
        <v>5677</v>
      </c>
      <c r="DQD3" s="12" t="s">
        <v>5678</v>
      </c>
      <c r="DQE3" s="12" t="s">
        <v>5679</v>
      </c>
      <c r="DQF3" s="12" t="s">
        <v>5680</v>
      </c>
      <c r="DQG3" s="12" t="s">
        <v>5681</v>
      </c>
      <c r="DQH3" s="12" t="s">
        <v>5682</v>
      </c>
      <c r="DQI3" s="12" t="s">
        <v>5683</v>
      </c>
      <c r="DQJ3" s="12" t="s">
        <v>5684</v>
      </c>
      <c r="DQK3" s="12" t="s">
        <v>5685</v>
      </c>
      <c r="DQL3" s="12" t="s">
        <v>5686</v>
      </c>
      <c r="DQM3" s="12" t="s">
        <v>5687</v>
      </c>
      <c r="DQN3" s="12" t="s">
        <v>5688</v>
      </c>
      <c r="DQO3" s="12" t="s">
        <v>5689</v>
      </c>
      <c r="DQP3" s="12" t="s">
        <v>5690</v>
      </c>
      <c r="DQQ3" s="12" t="s">
        <v>5691</v>
      </c>
      <c r="DQR3" s="12" t="s">
        <v>5692</v>
      </c>
      <c r="DQS3" s="12" t="s">
        <v>5693</v>
      </c>
      <c r="DQT3" s="12" t="s">
        <v>5694</v>
      </c>
      <c r="DQU3" s="12" t="s">
        <v>5695</v>
      </c>
      <c r="DQV3" s="12" t="s">
        <v>5696</v>
      </c>
      <c r="DQW3" s="12" t="s">
        <v>5697</v>
      </c>
      <c r="DQX3" s="12" t="s">
        <v>5698</v>
      </c>
      <c r="DQY3" s="12" t="s">
        <v>5699</v>
      </c>
      <c r="DQZ3" s="12" t="s">
        <v>5700</v>
      </c>
      <c r="DRA3" s="12" t="s">
        <v>5701</v>
      </c>
      <c r="DRB3" s="12" t="s">
        <v>5702</v>
      </c>
      <c r="DRC3" s="12" t="s">
        <v>5703</v>
      </c>
      <c r="DRD3" s="12" t="s">
        <v>5704</v>
      </c>
      <c r="DRE3" s="12" t="s">
        <v>5705</v>
      </c>
      <c r="DRF3" s="12" t="s">
        <v>5706</v>
      </c>
      <c r="DRG3" s="12" t="s">
        <v>5707</v>
      </c>
      <c r="DRH3" s="12" t="s">
        <v>5708</v>
      </c>
      <c r="DRI3" s="12" t="s">
        <v>5709</v>
      </c>
      <c r="DRJ3" s="12" t="s">
        <v>5710</v>
      </c>
      <c r="DRK3" s="12" t="s">
        <v>5711</v>
      </c>
      <c r="DRL3" s="12" t="s">
        <v>5712</v>
      </c>
      <c r="DRM3" s="12" t="s">
        <v>5713</v>
      </c>
      <c r="DRN3" s="12" t="s">
        <v>5714</v>
      </c>
      <c r="DRO3" s="12" t="s">
        <v>5715</v>
      </c>
      <c r="DRP3" s="12" t="s">
        <v>5716</v>
      </c>
      <c r="DRQ3" s="12" t="s">
        <v>5717</v>
      </c>
      <c r="DRR3" s="12" t="s">
        <v>5718</v>
      </c>
      <c r="DRS3" s="12" t="s">
        <v>5719</v>
      </c>
      <c r="DRT3" s="12" t="s">
        <v>5720</v>
      </c>
      <c r="DRU3" s="12" t="s">
        <v>5721</v>
      </c>
      <c r="DRV3" s="12" t="s">
        <v>5722</v>
      </c>
      <c r="DRW3" s="12" t="s">
        <v>5723</v>
      </c>
      <c r="DRX3" s="12" t="s">
        <v>5724</v>
      </c>
      <c r="DRY3" s="12" t="s">
        <v>5725</v>
      </c>
      <c r="DRZ3" s="12" t="s">
        <v>5726</v>
      </c>
      <c r="DSA3" s="12" t="s">
        <v>5727</v>
      </c>
      <c r="DSB3" s="12" t="s">
        <v>5728</v>
      </c>
      <c r="DSC3" s="12" t="s">
        <v>5729</v>
      </c>
      <c r="DSD3" s="12" t="s">
        <v>5730</v>
      </c>
      <c r="DSE3" s="12" t="s">
        <v>5731</v>
      </c>
      <c r="DSF3" s="12" t="s">
        <v>5732</v>
      </c>
      <c r="DSG3" s="12" t="s">
        <v>5733</v>
      </c>
      <c r="DSH3" s="12" t="s">
        <v>5734</v>
      </c>
      <c r="DSI3" s="12" t="s">
        <v>5735</v>
      </c>
      <c r="DSJ3" s="12" t="s">
        <v>5736</v>
      </c>
      <c r="DSK3" s="12" t="s">
        <v>5737</v>
      </c>
      <c r="DSL3" s="12" t="s">
        <v>5738</v>
      </c>
      <c r="DSM3" s="12" t="s">
        <v>5739</v>
      </c>
      <c r="DSN3" s="12" t="s">
        <v>5740</v>
      </c>
      <c r="DSO3" s="12" t="s">
        <v>5741</v>
      </c>
      <c r="DSP3" s="12" t="s">
        <v>5742</v>
      </c>
      <c r="DSQ3" s="12" t="s">
        <v>5743</v>
      </c>
      <c r="DSR3" s="12" t="s">
        <v>5744</v>
      </c>
      <c r="DSS3" s="12" t="s">
        <v>5745</v>
      </c>
      <c r="DST3" s="12" t="s">
        <v>5746</v>
      </c>
      <c r="DSU3" s="12" t="s">
        <v>5747</v>
      </c>
      <c r="DSV3" s="12" t="s">
        <v>5748</v>
      </c>
      <c r="DSW3" s="12" t="s">
        <v>5749</v>
      </c>
      <c r="DSX3" s="12" t="s">
        <v>5750</v>
      </c>
      <c r="DSY3" s="12" t="s">
        <v>5751</v>
      </c>
      <c r="DSZ3" s="12" t="s">
        <v>5752</v>
      </c>
      <c r="DTA3" s="12" t="s">
        <v>5753</v>
      </c>
      <c r="DTB3" s="12" t="s">
        <v>5754</v>
      </c>
      <c r="DTC3" s="12" t="s">
        <v>5755</v>
      </c>
      <c r="DTD3" s="12" t="s">
        <v>5756</v>
      </c>
      <c r="DTE3" s="12" t="s">
        <v>5757</v>
      </c>
      <c r="DTF3" s="12" t="s">
        <v>5758</v>
      </c>
      <c r="DTG3" s="12" t="s">
        <v>5759</v>
      </c>
      <c r="DTH3" s="12" t="s">
        <v>5760</v>
      </c>
      <c r="DTI3" s="12" t="s">
        <v>5761</v>
      </c>
      <c r="DTJ3" s="12" t="s">
        <v>5762</v>
      </c>
      <c r="DTK3" s="12" t="s">
        <v>5763</v>
      </c>
      <c r="DTL3" s="12" t="s">
        <v>5764</v>
      </c>
      <c r="DTM3" s="12" t="s">
        <v>5765</v>
      </c>
      <c r="DTN3" s="12" t="s">
        <v>5766</v>
      </c>
      <c r="DTO3" s="12" t="s">
        <v>5767</v>
      </c>
      <c r="DTP3" s="12" t="s">
        <v>5768</v>
      </c>
      <c r="DTQ3" s="12" t="s">
        <v>5769</v>
      </c>
      <c r="DTR3" s="12" t="s">
        <v>5770</v>
      </c>
      <c r="DTS3" s="12" t="s">
        <v>5771</v>
      </c>
      <c r="DTT3" s="12" t="s">
        <v>5772</v>
      </c>
      <c r="DTU3" s="12" t="s">
        <v>5773</v>
      </c>
      <c r="DTV3" s="12" t="s">
        <v>5774</v>
      </c>
      <c r="DTW3" s="12" t="s">
        <v>5775</v>
      </c>
      <c r="DTX3" s="12" t="s">
        <v>5776</v>
      </c>
      <c r="DTY3" s="12" t="s">
        <v>5777</v>
      </c>
      <c r="DTZ3" s="12" t="s">
        <v>5778</v>
      </c>
      <c r="DUA3" s="12" t="s">
        <v>5779</v>
      </c>
      <c r="DUB3" s="12" t="s">
        <v>5780</v>
      </c>
      <c r="DUC3" s="12" t="s">
        <v>5781</v>
      </c>
      <c r="DUD3" s="12" t="s">
        <v>5782</v>
      </c>
      <c r="DUE3" s="12" t="s">
        <v>5783</v>
      </c>
      <c r="DUF3" s="12" t="s">
        <v>5784</v>
      </c>
      <c r="DUG3" s="12" t="s">
        <v>5785</v>
      </c>
      <c r="DUH3" s="12" t="s">
        <v>5786</v>
      </c>
      <c r="DUI3" s="12" t="s">
        <v>5787</v>
      </c>
      <c r="DUJ3" s="12" t="s">
        <v>5788</v>
      </c>
      <c r="DUK3" s="12" t="s">
        <v>5789</v>
      </c>
      <c r="DUL3" s="12" t="s">
        <v>5790</v>
      </c>
      <c r="DUM3" s="12" t="s">
        <v>5791</v>
      </c>
      <c r="DUN3" s="12" t="s">
        <v>5792</v>
      </c>
      <c r="DUO3" s="12" t="s">
        <v>5793</v>
      </c>
      <c r="DUP3" s="12" t="s">
        <v>5794</v>
      </c>
      <c r="DUQ3" s="12" t="s">
        <v>5795</v>
      </c>
      <c r="DUR3" s="12" t="s">
        <v>5796</v>
      </c>
      <c r="DUS3" s="12" t="s">
        <v>5797</v>
      </c>
      <c r="DUT3" s="12" t="s">
        <v>5798</v>
      </c>
      <c r="DUU3" s="12" t="s">
        <v>5799</v>
      </c>
      <c r="DUV3" s="12" t="s">
        <v>5800</v>
      </c>
      <c r="DUW3" s="12" t="s">
        <v>5801</v>
      </c>
      <c r="DUX3" s="12" t="s">
        <v>5802</v>
      </c>
      <c r="DUY3" s="12" t="s">
        <v>5803</v>
      </c>
      <c r="DUZ3" s="12" t="s">
        <v>5804</v>
      </c>
      <c r="DVA3" s="12" t="s">
        <v>5805</v>
      </c>
      <c r="DVB3" s="12" t="s">
        <v>5806</v>
      </c>
      <c r="DVC3" s="12" t="s">
        <v>5807</v>
      </c>
      <c r="DVD3" s="12" t="s">
        <v>5808</v>
      </c>
      <c r="DVE3" s="12" t="s">
        <v>5809</v>
      </c>
      <c r="DVF3" s="12" t="s">
        <v>5810</v>
      </c>
      <c r="DVG3" s="12" t="s">
        <v>5811</v>
      </c>
      <c r="DVH3" s="12" t="s">
        <v>5812</v>
      </c>
      <c r="DVI3" s="12" t="s">
        <v>5813</v>
      </c>
      <c r="DVJ3" s="12" t="s">
        <v>5814</v>
      </c>
      <c r="DVK3" s="12" t="s">
        <v>5815</v>
      </c>
      <c r="DVL3" s="12" t="s">
        <v>5816</v>
      </c>
      <c r="DVM3" s="12" t="s">
        <v>5817</v>
      </c>
      <c r="DVN3" s="12" t="s">
        <v>5818</v>
      </c>
      <c r="DVO3" s="12" t="s">
        <v>5819</v>
      </c>
      <c r="DVP3" s="12" t="s">
        <v>5820</v>
      </c>
      <c r="DVQ3" s="12" t="s">
        <v>5821</v>
      </c>
      <c r="DVR3" s="12" t="s">
        <v>5822</v>
      </c>
      <c r="DVS3" s="12" t="s">
        <v>5823</v>
      </c>
      <c r="DVT3" s="12" t="s">
        <v>5824</v>
      </c>
      <c r="DVU3" s="12" t="s">
        <v>5825</v>
      </c>
      <c r="DVV3" s="12" t="s">
        <v>5826</v>
      </c>
      <c r="DVW3" s="12" t="s">
        <v>5827</v>
      </c>
      <c r="DVX3" s="12" t="s">
        <v>5828</v>
      </c>
      <c r="DVY3" s="12" t="s">
        <v>5829</v>
      </c>
      <c r="DVZ3" s="12" t="s">
        <v>5830</v>
      </c>
      <c r="DWA3" s="12" t="s">
        <v>5831</v>
      </c>
      <c r="DWB3" s="12" t="s">
        <v>5832</v>
      </c>
      <c r="DWC3" s="12" t="s">
        <v>5833</v>
      </c>
      <c r="DWD3" s="12" t="s">
        <v>5834</v>
      </c>
      <c r="DWE3" s="12" t="s">
        <v>5835</v>
      </c>
      <c r="DWF3" s="12" t="s">
        <v>5836</v>
      </c>
      <c r="DWG3" s="12" t="s">
        <v>5837</v>
      </c>
      <c r="DWH3" s="12" t="s">
        <v>5838</v>
      </c>
      <c r="DWI3" s="12" t="s">
        <v>5839</v>
      </c>
      <c r="DWJ3" s="12" t="s">
        <v>5840</v>
      </c>
      <c r="DWK3" s="12" t="s">
        <v>5841</v>
      </c>
      <c r="DWL3" s="12" t="s">
        <v>5842</v>
      </c>
      <c r="DWM3" s="12" t="s">
        <v>5843</v>
      </c>
      <c r="DWN3" s="12" t="s">
        <v>5844</v>
      </c>
      <c r="DWO3" s="12" t="s">
        <v>5845</v>
      </c>
      <c r="DWP3" s="12" t="s">
        <v>5846</v>
      </c>
      <c r="DWQ3" s="12" t="s">
        <v>5847</v>
      </c>
      <c r="DWR3" s="12" t="s">
        <v>5848</v>
      </c>
      <c r="DWS3" s="12" t="s">
        <v>5849</v>
      </c>
      <c r="DWT3" s="12" t="s">
        <v>5850</v>
      </c>
      <c r="DWU3" s="12" t="s">
        <v>5851</v>
      </c>
      <c r="DWV3" s="12" t="s">
        <v>5852</v>
      </c>
      <c r="DWW3" s="12" t="s">
        <v>5853</v>
      </c>
      <c r="DWX3" s="12" t="s">
        <v>5854</v>
      </c>
      <c r="DWY3" s="12" t="s">
        <v>5855</v>
      </c>
      <c r="DWZ3" s="12" t="s">
        <v>5856</v>
      </c>
      <c r="DXA3" s="12" t="s">
        <v>5857</v>
      </c>
      <c r="DXB3" s="12" t="s">
        <v>5858</v>
      </c>
      <c r="DXC3" s="12" t="s">
        <v>5859</v>
      </c>
      <c r="DXD3" s="12" t="s">
        <v>5860</v>
      </c>
      <c r="DXE3" s="12" t="s">
        <v>5861</v>
      </c>
      <c r="DXF3" s="12" t="s">
        <v>5862</v>
      </c>
      <c r="DXG3" s="12" t="s">
        <v>5863</v>
      </c>
      <c r="DXH3" s="12" t="s">
        <v>5864</v>
      </c>
      <c r="DXI3" s="12" t="s">
        <v>5865</v>
      </c>
      <c r="DXJ3" s="12" t="s">
        <v>5866</v>
      </c>
      <c r="DXK3" s="12" t="s">
        <v>5867</v>
      </c>
      <c r="DXL3" s="12" t="s">
        <v>5868</v>
      </c>
      <c r="DXM3" s="12" t="s">
        <v>5869</v>
      </c>
      <c r="DXN3" s="12" t="s">
        <v>5870</v>
      </c>
      <c r="DXO3" s="12" t="s">
        <v>5871</v>
      </c>
      <c r="DXP3" s="12" t="s">
        <v>5872</v>
      </c>
      <c r="DXQ3" s="12" t="s">
        <v>5873</v>
      </c>
      <c r="DXR3" s="12" t="s">
        <v>5874</v>
      </c>
      <c r="DXS3" s="12" t="s">
        <v>5875</v>
      </c>
      <c r="DXT3" s="12" t="s">
        <v>5876</v>
      </c>
      <c r="DXU3" s="12" t="s">
        <v>5877</v>
      </c>
      <c r="DXV3" s="12" t="s">
        <v>5878</v>
      </c>
      <c r="DXW3" s="12" t="s">
        <v>5879</v>
      </c>
      <c r="DXX3" s="12" t="s">
        <v>5880</v>
      </c>
      <c r="DXY3" s="12" t="s">
        <v>5881</v>
      </c>
      <c r="DXZ3" s="12" t="s">
        <v>5882</v>
      </c>
      <c r="DYA3" s="12" t="s">
        <v>5883</v>
      </c>
      <c r="DYB3" s="12" t="s">
        <v>5884</v>
      </c>
      <c r="DYC3" s="12" t="s">
        <v>5885</v>
      </c>
      <c r="DYD3" s="12" t="s">
        <v>5886</v>
      </c>
      <c r="DYE3" s="12" t="s">
        <v>5887</v>
      </c>
      <c r="DYF3" s="12" t="s">
        <v>5888</v>
      </c>
      <c r="DYG3" s="12" t="s">
        <v>5889</v>
      </c>
      <c r="DYH3" s="12" t="s">
        <v>5890</v>
      </c>
      <c r="DYI3" s="12" t="s">
        <v>5891</v>
      </c>
      <c r="DYJ3" s="12" t="s">
        <v>5892</v>
      </c>
      <c r="DYK3" s="12" t="s">
        <v>5893</v>
      </c>
      <c r="DYL3" s="12" t="s">
        <v>5894</v>
      </c>
      <c r="DYM3" s="12" t="s">
        <v>5895</v>
      </c>
      <c r="DYN3" s="12" t="s">
        <v>5896</v>
      </c>
      <c r="DYO3" s="12" t="s">
        <v>5897</v>
      </c>
      <c r="DYP3" s="12" t="s">
        <v>5898</v>
      </c>
      <c r="DYQ3" s="12" t="s">
        <v>5899</v>
      </c>
      <c r="DYR3" s="12" t="s">
        <v>5900</v>
      </c>
      <c r="DYS3" s="12" t="s">
        <v>5901</v>
      </c>
      <c r="DYT3" s="12" t="s">
        <v>5902</v>
      </c>
      <c r="DYU3" s="12" t="s">
        <v>5903</v>
      </c>
      <c r="DYV3" s="12" t="s">
        <v>5904</v>
      </c>
      <c r="DYW3" s="12" t="s">
        <v>5905</v>
      </c>
      <c r="DYX3" s="12" t="s">
        <v>5906</v>
      </c>
      <c r="DYY3" s="12" t="s">
        <v>5907</v>
      </c>
      <c r="DYZ3" s="12" t="s">
        <v>5908</v>
      </c>
      <c r="DZA3" s="12" t="s">
        <v>5909</v>
      </c>
      <c r="DZB3" s="12" t="s">
        <v>5910</v>
      </c>
      <c r="DZC3" s="12" t="s">
        <v>5911</v>
      </c>
      <c r="DZD3" s="12" t="s">
        <v>5912</v>
      </c>
      <c r="DZE3" s="12" t="s">
        <v>5913</v>
      </c>
      <c r="DZF3" s="12" t="s">
        <v>5914</v>
      </c>
      <c r="DZG3" s="12" t="s">
        <v>5915</v>
      </c>
      <c r="DZH3" s="12" t="s">
        <v>5916</v>
      </c>
      <c r="DZI3" s="12" t="s">
        <v>5917</v>
      </c>
      <c r="DZJ3" s="12" t="s">
        <v>5918</v>
      </c>
      <c r="DZK3" s="12" t="s">
        <v>5919</v>
      </c>
      <c r="DZL3" s="12" t="s">
        <v>5920</v>
      </c>
      <c r="DZM3" s="12" t="s">
        <v>5921</v>
      </c>
      <c r="DZN3" s="12" t="s">
        <v>5922</v>
      </c>
      <c r="DZO3" s="12" t="s">
        <v>5923</v>
      </c>
      <c r="DZP3" s="12" t="s">
        <v>5924</v>
      </c>
      <c r="DZQ3" s="12" t="s">
        <v>5925</v>
      </c>
      <c r="DZR3" s="12" t="s">
        <v>5926</v>
      </c>
      <c r="DZS3" s="12" t="s">
        <v>5927</v>
      </c>
      <c r="DZT3" s="12" t="s">
        <v>5928</v>
      </c>
      <c r="DZU3" s="12" t="s">
        <v>5929</v>
      </c>
      <c r="DZV3" s="12" t="s">
        <v>5930</v>
      </c>
      <c r="DZW3" s="12" t="s">
        <v>5931</v>
      </c>
      <c r="DZX3" s="12" t="s">
        <v>5932</v>
      </c>
      <c r="DZY3" s="12" t="s">
        <v>5933</v>
      </c>
      <c r="DZZ3" s="12" t="s">
        <v>5934</v>
      </c>
      <c r="EAA3" s="12" t="s">
        <v>5935</v>
      </c>
      <c r="EAB3" s="12" t="s">
        <v>5936</v>
      </c>
      <c r="EAC3" s="12" t="s">
        <v>5937</v>
      </c>
      <c r="EAD3" s="12" t="s">
        <v>5938</v>
      </c>
      <c r="EAE3" s="12" t="s">
        <v>5939</v>
      </c>
      <c r="EAF3" s="12" t="s">
        <v>5940</v>
      </c>
      <c r="EAG3" s="12" t="s">
        <v>5941</v>
      </c>
      <c r="EAH3" s="12" t="s">
        <v>5942</v>
      </c>
      <c r="EAI3" s="12" t="s">
        <v>5943</v>
      </c>
      <c r="EAJ3" s="12" t="s">
        <v>5944</v>
      </c>
      <c r="EAK3" s="12" t="s">
        <v>5945</v>
      </c>
      <c r="EAL3" s="12" t="s">
        <v>5946</v>
      </c>
      <c r="EAM3" s="12" t="s">
        <v>5947</v>
      </c>
      <c r="EAN3" s="12" t="s">
        <v>5948</v>
      </c>
      <c r="EAO3" s="12" t="s">
        <v>5949</v>
      </c>
      <c r="EAP3" s="12" t="s">
        <v>5950</v>
      </c>
      <c r="EAQ3" s="12" t="s">
        <v>5951</v>
      </c>
      <c r="EAR3" s="12" t="s">
        <v>5952</v>
      </c>
      <c r="EAS3" s="12" t="s">
        <v>5953</v>
      </c>
      <c r="EAT3" s="12" t="s">
        <v>5954</v>
      </c>
      <c r="EAU3" s="12" t="s">
        <v>5955</v>
      </c>
      <c r="EAV3" s="12" t="s">
        <v>5956</v>
      </c>
      <c r="EAW3" s="12" t="s">
        <v>5957</v>
      </c>
      <c r="EAX3" s="12" t="s">
        <v>5958</v>
      </c>
      <c r="EAY3" s="12" t="s">
        <v>5959</v>
      </c>
      <c r="EAZ3" s="12" t="s">
        <v>5960</v>
      </c>
      <c r="EBA3" s="12" t="s">
        <v>5961</v>
      </c>
      <c r="EBB3" s="12" t="s">
        <v>5962</v>
      </c>
      <c r="EBC3" s="12" t="s">
        <v>5963</v>
      </c>
      <c r="EBD3" s="12" t="s">
        <v>5964</v>
      </c>
      <c r="EBE3" s="12" t="s">
        <v>5965</v>
      </c>
      <c r="EBF3" s="12" t="s">
        <v>5966</v>
      </c>
      <c r="EBG3" s="12" t="s">
        <v>5967</v>
      </c>
      <c r="EBH3" s="12" t="s">
        <v>5968</v>
      </c>
      <c r="EBI3" s="12" t="s">
        <v>5969</v>
      </c>
      <c r="EBJ3" s="12" t="s">
        <v>5970</v>
      </c>
      <c r="EBK3" s="12" t="s">
        <v>5971</v>
      </c>
      <c r="EBL3" s="12" t="s">
        <v>5972</v>
      </c>
      <c r="EBM3" s="12" t="s">
        <v>5973</v>
      </c>
      <c r="EBN3" s="12" t="s">
        <v>5974</v>
      </c>
      <c r="EBO3" s="12" t="s">
        <v>5975</v>
      </c>
      <c r="EBP3" s="12" t="s">
        <v>5976</v>
      </c>
      <c r="EBQ3" s="12" t="s">
        <v>5977</v>
      </c>
      <c r="EBR3" s="12" t="s">
        <v>5978</v>
      </c>
      <c r="EBS3" s="12" t="s">
        <v>5979</v>
      </c>
      <c r="EBT3" s="12" t="s">
        <v>5980</v>
      </c>
      <c r="EBU3" s="12" t="s">
        <v>5981</v>
      </c>
      <c r="EBV3" s="12" t="s">
        <v>5982</v>
      </c>
      <c r="EBW3" s="12" t="s">
        <v>5983</v>
      </c>
      <c r="EBX3" s="12" t="s">
        <v>5984</v>
      </c>
      <c r="EBY3" s="12" t="s">
        <v>5985</v>
      </c>
      <c r="EBZ3" s="12" t="s">
        <v>5986</v>
      </c>
      <c r="ECA3" s="12" t="s">
        <v>5987</v>
      </c>
      <c r="ECB3" s="12" t="s">
        <v>5988</v>
      </c>
      <c r="ECC3" s="12" t="s">
        <v>5989</v>
      </c>
      <c r="ECD3" s="12" t="s">
        <v>5990</v>
      </c>
      <c r="ECE3" s="12" t="s">
        <v>5991</v>
      </c>
      <c r="ECF3" s="12" t="s">
        <v>5992</v>
      </c>
      <c r="ECG3" s="12" t="s">
        <v>5993</v>
      </c>
      <c r="ECH3" s="12" t="s">
        <v>5994</v>
      </c>
      <c r="ECI3" s="12" t="s">
        <v>5995</v>
      </c>
      <c r="ECJ3" s="12" t="s">
        <v>5996</v>
      </c>
      <c r="ECK3" s="12" t="s">
        <v>5997</v>
      </c>
      <c r="ECL3" s="12" t="s">
        <v>5998</v>
      </c>
      <c r="ECM3" s="12" t="s">
        <v>5999</v>
      </c>
      <c r="ECN3" s="12" t="s">
        <v>6000</v>
      </c>
      <c r="ECO3" s="12" t="s">
        <v>6001</v>
      </c>
      <c r="ECP3" s="12" t="s">
        <v>6002</v>
      </c>
      <c r="ECQ3" s="12" t="s">
        <v>6003</v>
      </c>
      <c r="ECR3" s="12" t="s">
        <v>6004</v>
      </c>
      <c r="ECS3" s="12" t="s">
        <v>6005</v>
      </c>
      <c r="ECT3" s="12" t="s">
        <v>6006</v>
      </c>
      <c r="ECU3" s="12" t="s">
        <v>6007</v>
      </c>
      <c r="ECV3" s="12" t="s">
        <v>6008</v>
      </c>
      <c r="ECW3" s="12" t="s">
        <v>6009</v>
      </c>
      <c r="ECX3" s="12" t="s">
        <v>6010</v>
      </c>
      <c r="ECY3" s="12" t="s">
        <v>6011</v>
      </c>
      <c r="ECZ3" s="12" t="s">
        <v>6012</v>
      </c>
      <c r="EDA3" s="12" t="s">
        <v>6013</v>
      </c>
      <c r="EDB3" s="12" t="s">
        <v>6014</v>
      </c>
      <c r="EDC3" s="12" t="s">
        <v>6015</v>
      </c>
      <c r="EDD3" s="12" t="s">
        <v>6016</v>
      </c>
      <c r="EDE3" s="12" t="s">
        <v>6017</v>
      </c>
      <c r="EDF3" s="12" t="s">
        <v>6018</v>
      </c>
      <c r="EDG3" s="12" t="s">
        <v>6019</v>
      </c>
      <c r="EDH3" s="12" t="s">
        <v>6020</v>
      </c>
      <c r="EDI3" s="12" t="s">
        <v>6021</v>
      </c>
      <c r="EDJ3" s="12" t="s">
        <v>6022</v>
      </c>
      <c r="EDK3" s="12" t="s">
        <v>6023</v>
      </c>
      <c r="EDL3" s="12" t="s">
        <v>6024</v>
      </c>
      <c r="EDM3" s="12" t="s">
        <v>6025</v>
      </c>
      <c r="EDN3" s="12" t="s">
        <v>6026</v>
      </c>
      <c r="EDO3" s="12" t="s">
        <v>6027</v>
      </c>
      <c r="EDP3" s="12" t="s">
        <v>6028</v>
      </c>
      <c r="EDQ3" s="12" t="s">
        <v>6029</v>
      </c>
      <c r="EDR3" s="12" t="s">
        <v>6030</v>
      </c>
      <c r="EDS3" s="12" t="s">
        <v>6031</v>
      </c>
      <c r="EDT3" s="12" t="s">
        <v>6032</v>
      </c>
      <c r="EDU3" s="12" t="s">
        <v>6033</v>
      </c>
      <c r="EDV3" s="12" t="s">
        <v>6034</v>
      </c>
      <c r="EDW3" s="12" t="s">
        <v>6035</v>
      </c>
      <c r="EDX3" s="12" t="s">
        <v>6036</v>
      </c>
      <c r="EDY3" s="12" t="s">
        <v>6037</v>
      </c>
      <c r="EDZ3" s="12" t="s">
        <v>6038</v>
      </c>
      <c r="EEA3" s="12" t="s">
        <v>6039</v>
      </c>
      <c r="EEB3" s="12" t="s">
        <v>6040</v>
      </c>
      <c r="EEC3" s="12" t="s">
        <v>6041</v>
      </c>
      <c r="EED3" s="12" t="s">
        <v>6042</v>
      </c>
      <c r="EEE3" s="12" t="s">
        <v>6043</v>
      </c>
      <c r="EEF3" s="12" t="s">
        <v>6044</v>
      </c>
      <c r="EEG3" s="12" t="s">
        <v>6045</v>
      </c>
      <c r="EEH3" s="12" t="s">
        <v>6046</v>
      </c>
      <c r="EEI3" s="12" t="s">
        <v>6047</v>
      </c>
      <c r="EEJ3" s="12" t="s">
        <v>6048</v>
      </c>
      <c r="EEK3" s="12" t="s">
        <v>6049</v>
      </c>
      <c r="EEL3" s="12" t="s">
        <v>6050</v>
      </c>
      <c r="EEM3" s="12" t="s">
        <v>6051</v>
      </c>
      <c r="EEN3" s="12" t="s">
        <v>6052</v>
      </c>
      <c r="EEO3" s="12" t="s">
        <v>6053</v>
      </c>
      <c r="EEP3" s="12" t="s">
        <v>6054</v>
      </c>
      <c r="EEQ3" s="12" t="s">
        <v>6055</v>
      </c>
      <c r="EER3" s="12" t="s">
        <v>6056</v>
      </c>
      <c r="EES3" s="12" t="s">
        <v>6057</v>
      </c>
      <c r="EET3" s="12" t="s">
        <v>6058</v>
      </c>
      <c r="EEU3" s="12" t="s">
        <v>6059</v>
      </c>
      <c r="EEV3" s="12" t="s">
        <v>6060</v>
      </c>
      <c r="EEW3" s="12" t="s">
        <v>6061</v>
      </c>
      <c r="EEX3" s="12" t="s">
        <v>6062</v>
      </c>
      <c r="EEY3" s="12" t="s">
        <v>6063</v>
      </c>
      <c r="EEZ3" s="12" t="s">
        <v>6064</v>
      </c>
      <c r="EFA3" s="12" t="s">
        <v>6065</v>
      </c>
      <c r="EFB3" s="12" t="s">
        <v>6066</v>
      </c>
      <c r="EFC3" s="12" t="s">
        <v>6067</v>
      </c>
      <c r="EFD3" s="12" t="s">
        <v>6068</v>
      </c>
      <c r="EFE3" s="12" t="s">
        <v>6069</v>
      </c>
      <c r="EFF3" s="12" t="s">
        <v>6070</v>
      </c>
      <c r="EFG3" s="12" t="s">
        <v>6071</v>
      </c>
      <c r="EFH3" s="12" t="s">
        <v>6072</v>
      </c>
      <c r="EFI3" s="12" t="s">
        <v>6073</v>
      </c>
      <c r="EFJ3" s="12" t="s">
        <v>6074</v>
      </c>
      <c r="EFK3" s="12" t="s">
        <v>6075</v>
      </c>
      <c r="EFL3" s="12" t="s">
        <v>6076</v>
      </c>
      <c r="EFM3" s="12" t="s">
        <v>6077</v>
      </c>
      <c r="EFN3" s="12" t="s">
        <v>6078</v>
      </c>
      <c r="EFO3" s="12" t="s">
        <v>6079</v>
      </c>
      <c r="EFP3" s="12" t="s">
        <v>6080</v>
      </c>
      <c r="EFQ3" s="12" t="s">
        <v>6081</v>
      </c>
      <c r="EFR3" s="12" t="s">
        <v>6082</v>
      </c>
      <c r="EFS3" s="12" t="s">
        <v>6083</v>
      </c>
      <c r="EFT3" s="12" t="s">
        <v>6084</v>
      </c>
      <c r="EFU3" s="12" t="s">
        <v>6085</v>
      </c>
      <c r="EFV3" s="12" t="s">
        <v>6086</v>
      </c>
      <c r="EFW3" s="12" t="s">
        <v>6087</v>
      </c>
      <c r="EFX3" s="12" t="s">
        <v>6088</v>
      </c>
      <c r="EFY3" s="12" t="s">
        <v>6089</v>
      </c>
      <c r="EFZ3" s="12" t="s">
        <v>6090</v>
      </c>
      <c r="EGA3" s="12" t="s">
        <v>6091</v>
      </c>
      <c r="EGB3" s="12" t="s">
        <v>6092</v>
      </c>
      <c r="EGC3" s="12" t="s">
        <v>6093</v>
      </c>
      <c r="EGD3" s="12" t="s">
        <v>6094</v>
      </c>
      <c r="EGE3" s="12" t="s">
        <v>6095</v>
      </c>
      <c r="EGF3" s="12" t="s">
        <v>6096</v>
      </c>
      <c r="EGG3" s="12" t="s">
        <v>6097</v>
      </c>
      <c r="EGH3" s="12" t="s">
        <v>6098</v>
      </c>
      <c r="EGI3" s="12" t="s">
        <v>6099</v>
      </c>
      <c r="EGJ3" s="12" t="s">
        <v>6100</v>
      </c>
      <c r="EGK3" s="12" t="s">
        <v>6101</v>
      </c>
      <c r="EGL3" s="12" t="s">
        <v>6102</v>
      </c>
      <c r="EGM3" s="12" t="s">
        <v>6103</v>
      </c>
      <c r="EGN3" s="12" t="s">
        <v>6104</v>
      </c>
      <c r="EGO3" s="12" t="s">
        <v>6105</v>
      </c>
      <c r="EGP3" s="12" t="s">
        <v>6106</v>
      </c>
      <c r="EGQ3" s="12" t="s">
        <v>6107</v>
      </c>
      <c r="EGR3" s="12" t="s">
        <v>6108</v>
      </c>
      <c r="EGS3" s="12" t="s">
        <v>6109</v>
      </c>
      <c r="EGT3" s="12" t="s">
        <v>6110</v>
      </c>
      <c r="EGU3" s="12" t="s">
        <v>6111</v>
      </c>
      <c r="EGV3" s="12" t="s">
        <v>6112</v>
      </c>
      <c r="EGW3" s="12" t="s">
        <v>6113</v>
      </c>
      <c r="EGX3" s="12" t="s">
        <v>6114</v>
      </c>
      <c r="EGY3" s="12" t="s">
        <v>6115</v>
      </c>
      <c r="EGZ3" s="12" t="s">
        <v>6116</v>
      </c>
      <c r="EHA3" s="12" t="s">
        <v>6117</v>
      </c>
      <c r="EHB3" s="12" t="s">
        <v>6118</v>
      </c>
      <c r="EHC3" s="12" t="s">
        <v>6119</v>
      </c>
      <c r="EHD3" s="12" t="s">
        <v>6120</v>
      </c>
      <c r="EHE3" s="12" t="s">
        <v>6121</v>
      </c>
      <c r="EHF3" s="12" t="s">
        <v>6122</v>
      </c>
      <c r="EHG3" s="12" t="s">
        <v>6123</v>
      </c>
      <c r="EHH3" s="12" t="s">
        <v>6124</v>
      </c>
      <c r="EHI3" s="12" t="s">
        <v>6125</v>
      </c>
      <c r="EHJ3" s="12" t="s">
        <v>6126</v>
      </c>
      <c r="EHK3" s="12" t="s">
        <v>6127</v>
      </c>
      <c r="EHL3" s="12" t="s">
        <v>6128</v>
      </c>
      <c r="EHM3" s="12" t="s">
        <v>6129</v>
      </c>
      <c r="EHN3" s="12" t="s">
        <v>6130</v>
      </c>
      <c r="EHO3" s="12" t="s">
        <v>6131</v>
      </c>
      <c r="EHP3" s="12" t="s">
        <v>6132</v>
      </c>
      <c r="EHQ3" s="12" t="s">
        <v>6133</v>
      </c>
      <c r="EHR3" s="12" t="s">
        <v>6134</v>
      </c>
      <c r="EHS3" s="12" t="s">
        <v>6135</v>
      </c>
      <c r="EHT3" s="12" t="s">
        <v>6136</v>
      </c>
      <c r="EHU3" s="12" t="s">
        <v>6137</v>
      </c>
      <c r="EHV3" s="12" t="s">
        <v>6138</v>
      </c>
      <c r="EHW3" s="12" t="s">
        <v>6139</v>
      </c>
      <c r="EHX3" s="12" t="s">
        <v>6140</v>
      </c>
      <c r="EHY3" s="12" t="s">
        <v>6141</v>
      </c>
      <c r="EHZ3" s="12" t="s">
        <v>6142</v>
      </c>
      <c r="EIA3" s="12" t="s">
        <v>6143</v>
      </c>
      <c r="EIB3" s="12" t="s">
        <v>6144</v>
      </c>
      <c r="EIC3" s="12" t="s">
        <v>6145</v>
      </c>
      <c r="EID3" s="12" t="s">
        <v>6146</v>
      </c>
      <c r="EIE3" s="12" t="s">
        <v>6147</v>
      </c>
      <c r="EIF3" s="12" t="s">
        <v>6148</v>
      </c>
      <c r="EIG3" s="12" t="s">
        <v>6149</v>
      </c>
      <c r="EIH3" s="12" t="s">
        <v>6150</v>
      </c>
      <c r="EII3" s="12" t="s">
        <v>6151</v>
      </c>
      <c r="EIJ3" s="12" t="s">
        <v>6152</v>
      </c>
      <c r="EIK3" s="12" t="s">
        <v>6153</v>
      </c>
      <c r="EIL3" s="12" t="s">
        <v>6154</v>
      </c>
      <c r="EIM3" s="12" t="s">
        <v>6155</v>
      </c>
      <c r="EIN3" s="12" t="s">
        <v>6156</v>
      </c>
      <c r="EIO3" s="12" t="s">
        <v>6157</v>
      </c>
      <c r="EIP3" s="12" t="s">
        <v>6158</v>
      </c>
      <c r="EIQ3" s="12" t="s">
        <v>6159</v>
      </c>
      <c r="EIR3" s="12" t="s">
        <v>6160</v>
      </c>
      <c r="EIS3" s="12" t="s">
        <v>6161</v>
      </c>
      <c r="EIT3" s="12" t="s">
        <v>6162</v>
      </c>
      <c r="EIU3" s="12" t="s">
        <v>6163</v>
      </c>
      <c r="EIV3" s="12" t="s">
        <v>6164</v>
      </c>
      <c r="EIW3" s="12" t="s">
        <v>6165</v>
      </c>
      <c r="EIX3" s="12" t="s">
        <v>6166</v>
      </c>
      <c r="EIY3" s="12" t="s">
        <v>6167</v>
      </c>
      <c r="EIZ3" s="12" t="s">
        <v>6168</v>
      </c>
      <c r="EJA3" s="12" t="s">
        <v>6169</v>
      </c>
      <c r="EJB3" s="12" t="s">
        <v>6170</v>
      </c>
      <c r="EJC3" s="12" t="s">
        <v>6171</v>
      </c>
      <c r="EJD3" s="12" t="s">
        <v>6172</v>
      </c>
      <c r="EJE3" s="12" t="s">
        <v>6173</v>
      </c>
      <c r="EJF3" s="12" t="s">
        <v>6174</v>
      </c>
      <c r="EJG3" s="12" t="s">
        <v>6175</v>
      </c>
      <c r="EJH3" s="12" t="s">
        <v>6176</v>
      </c>
      <c r="EJI3" s="12" t="s">
        <v>6177</v>
      </c>
      <c r="EJJ3" s="12" t="s">
        <v>6178</v>
      </c>
      <c r="EJK3" s="12" t="s">
        <v>6179</v>
      </c>
      <c r="EJL3" s="12" t="s">
        <v>6180</v>
      </c>
      <c r="EJM3" s="12" t="s">
        <v>6181</v>
      </c>
      <c r="EJN3" s="12" t="s">
        <v>6182</v>
      </c>
      <c r="EJO3" s="12" t="s">
        <v>6183</v>
      </c>
      <c r="EJP3" s="12" t="s">
        <v>6184</v>
      </c>
      <c r="EJQ3" s="12" t="s">
        <v>6185</v>
      </c>
      <c r="EJR3" s="12" t="s">
        <v>6186</v>
      </c>
      <c r="EJS3" s="12" t="s">
        <v>6187</v>
      </c>
      <c r="EJT3" s="12" t="s">
        <v>6188</v>
      </c>
      <c r="EJU3" s="12" t="s">
        <v>6189</v>
      </c>
      <c r="EJV3" s="12" t="s">
        <v>6190</v>
      </c>
      <c r="EJW3" s="12" t="s">
        <v>6191</v>
      </c>
      <c r="EJX3" s="12" t="s">
        <v>6192</v>
      </c>
      <c r="EJY3" s="12" t="s">
        <v>6193</v>
      </c>
      <c r="EJZ3" s="12" t="s">
        <v>6194</v>
      </c>
      <c r="EKA3" s="12" t="s">
        <v>6195</v>
      </c>
      <c r="EKB3" s="12" t="s">
        <v>6196</v>
      </c>
      <c r="EKC3" s="12" t="s">
        <v>6197</v>
      </c>
      <c r="EKD3" s="12" t="s">
        <v>6198</v>
      </c>
      <c r="EKE3" s="12" t="s">
        <v>6199</v>
      </c>
      <c r="EKF3" s="12" t="s">
        <v>6200</v>
      </c>
      <c r="EKG3" s="12" t="s">
        <v>6201</v>
      </c>
      <c r="EKH3" s="12" t="s">
        <v>6202</v>
      </c>
      <c r="EKI3" s="12" t="s">
        <v>6203</v>
      </c>
      <c r="EKJ3" s="12" t="s">
        <v>6204</v>
      </c>
      <c r="EKK3" s="12" t="s">
        <v>6205</v>
      </c>
      <c r="EKL3" s="12" t="s">
        <v>6206</v>
      </c>
      <c r="EKM3" s="12" t="s">
        <v>6207</v>
      </c>
      <c r="EKN3" s="12" t="s">
        <v>6208</v>
      </c>
      <c r="EKO3" s="12" t="s">
        <v>6209</v>
      </c>
      <c r="EKP3" s="12" t="s">
        <v>6210</v>
      </c>
      <c r="EKQ3" s="12" t="s">
        <v>6211</v>
      </c>
      <c r="EKR3" s="12" t="s">
        <v>6212</v>
      </c>
      <c r="EKS3" s="12" t="s">
        <v>6213</v>
      </c>
      <c r="EKT3" s="12" t="s">
        <v>6214</v>
      </c>
      <c r="EKU3" s="12" t="s">
        <v>6215</v>
      </c>
      <c r="EKV3" s="12" t="s">
        <v>6216</v>
      </c>
      <c r="EKW3" s="12" t="s">
        <v>6217</v>
      </c>
      <c r="EKX3" s="12" t="s">
        <v>6218</v>
      </c>
      <c r="EKY3" s="12" t="s">
        <v>6219</v>
      </c>
      <c r="EKZ3" s="12" t="s">
        <v>6220</v>
      </c>
      <c r="ELA3" s="12" t="s">
        <v>6221</v>
      </c>
      <c r="ELB3" s="12" t="s">
        <v>6222</v>
      </c>
      <c r="ELC3" s="12" t="s">
        <v>6223</v>
      </c>
      <c r="ELD3" s="12" t="s">
        <v>6224</v>
      </c>
      <c r="ELE3" s="12" t="s">
        <v>6225</v>
      </c>
      <c r="ELF3" s="12" t="s">
        <v>6226</v>
      </c>
      <c r="ELG3" s="12" t="s">
        <v>6227</v>
      </c>
      <c r="ELH3" s="12" t="s">
        <v>6228</v>
      </c>
      <c r="ELI3" s="12" t="s">
        <v>6229</v>
      </c>
      <c r="ELJ3" s="12" t="s">
        <v>6230</v>
      </c>
      <c r="ELK3" s="12" t="s">
        <v>6231</v>
      </c>
      <c r="ELL3" s="12" t="s">
        <v>6232</v>
      </c>
      <c r="ELM3" s="12" t="s">
        <v>6233</v>
      </c>
      <c r="ELN3" s="12" t="s">
        <v>6234</v>
      </c>
      <c r="ELO3" s="12" t="s">
        <v>6235</v>
      </c>
      <c r="ELP3" s="12" t="s">
        <v>6236</v>
      </c>
      <c r="ELQ3" s="12" t="s">
        <v>6237</v>
      </c>
      <c r="ELR3" s="12" t="s">
        <v>6238</v>
      </c>
      <c r="ELS3" s="12" t="s">
        <v>6239</v>
      </c>
      <c r="ELT3" s="12" t="s">
        <v>6240</v>
      </c>
      <c r="ELU3" s="12" t="s">
        <v>6241</v>
      </c>
      <c r="ELV3" s="12" t="s">
        <v>6242</v>
      </c>
      <c r="ELW3" s="12" t="s">
        <v>6243</v>
      </c>
      <c r="ELX3" s="12" t="s">
        <v>6244</v>
      </c>
      <c r="ELY3" s="12" t="s">
        <v>6245</v>
      </c>
      <c r="ELZ3" s="12" t="s">
        <v>6246</v>
      </c>
      <c r="EMA3" s="12" t="s">
        <v>6247</v>
      </c>
      <c r="EMB3" s="12" t="s">
        <v>6248</v>
      </c>
      <c r="EMC3" s="12" t="s">
        <v>6249</v>
      </c>
      <c r="EMD3" s="12" t="s">
        <v>6250</v>
      </c>
      <c r="EME3" s="12" t="s">
        <v>6251</v>
      </c>
      <c r="EMF3" s="12" t="s">
        <v>6252</v>
      </c>
      <c r="EMG3" s="12" t="s">
        <v>6253</v>
      </c>
      <c r="EMH3" s="12" t="s">
        <v>6254</v>
      </c>
      <c r="EMI3" s="12" t="s">
        <v>6255</v>
      </c>
      <c r="EMJ3" s="12" t="s">
        <v>6256</v>
      </c>
      <c r="EMK3" s="12" t="s">
        <v>6257</v>
      </c>
      <c r="EML3" s="12" t="s">
        <v>6258</v>
      </c>
      <c r="EMM3" s="12" t="s">
        <v>6259</v>
      </c>
      <c r="EMN3" s="12" t="s">
        <v>6260</v>
      </c>
      <c r="EMO3" s="12" t="s">
        <v>6261</v>
      </c>
      <c r="EMP3" s="12" t="s">
        <v>6262</v>
      </c>
      <c r="EMQ3" s="12" t="s">
        <v>6263</v>
      </c>
      <c r="EMR3" s="12" t="s">
        <v>6264</v>
      </c>
      <c r="EMS3" s="12" t="s">
        <v>6265</v>
      </c>
      <c r="EMT3" s="12" t="s">
        <v>6266</v>
      </c>
      <c r="EMU3" s="12" t="s">
        <v>6267</v>
      </c>
      <c r="EMV3" s="12" t="s">
        <v>6268</v>
      </c>
      <c r="EMW3" s="12" t="s">
        <v>6269</v>
      </c>
      <c r="EMX3" s="12" t="s">
        <v>6270</v>
      </c>
      <c r="EMY3" s="12" t="s">
        <v>6271</v>
      </c>
      <c r="EMZ3" s="12" t="s">
        <v>6272</v>
      </c>
      <c r="ENA3" s="12" t="s">
        <v>6273</v>
      </c>
      <c r="ENB3" s="12" t="s">
        <v>6274</v>
      </c>
      <c r="ENC3" s="12" t="s">
        <v>6275</v>
      </c>
      <c r="END3" s="12" t="s">
        <v>6276</v>
      </c>
      <c r="ENE3" s="12" t="s">
        <v>6277</v>
      </c>
      <c r="ENF3" s="12" t="s">
        <v>6278</v>
      </c>
      <c r="ENG3" s="12" t="s">
        <v>6279</v>
      </c>
      <c r="ENH3" s="12" t="s">
        <v>6280</v>
      </c>
      <c r="ENI3" s="12" t="s">
        <v>6281</v>
      </c>
      <c r="ENJ3" s="12" t="s">
        <v>6282</v>
      </c>
      <c r="ENK3" s="12" t="s">
        <v>6283</v>
      </c>
      <c r="ENL3" s="12" t="s">
        <v>6284</v>
      </c>
      <c r="ENM3" s="12" t="s">
        <v>6285</v>
      </c>
      <c r="ENN3" s="12" t="s">
        <v>6286</v>
      </c>
      <c r="ENO3" s="12" t="s">
        <v>6287</v>
      </c>
      <c r="ENP3" s="12" t="s">
        <v>6288</v>
      </c>
      <c r="ENQ3" s="12" t="s">
        <v>6289</v>
      </c>
      <c r="ENR3" s="12" t="s">
        <v>6290</v>
      </c>
      <c r="ENS3" s="12" t="s">
        <v>6291</v>
      </c>
      <c r="ENT3" s="12" t="s">
        <v>6292</v>
      </c>
      <c r="ENU3" s="12" t="s">
        <v>6293</v>
      </c>
      <c r="ENV3" s="12" t="s">
        <v>6294</v>
      </c>
      <c r="ENW3" s="12" t="s">
        <v>6295</v>
      </c>
      <c r="ENX3" s="12" t="s">
        <v>6296</v>
      </c>
      <c r="ENY3" s="12" t="s">
        <v>6297</v>
      </c>
      <c r="ENZ3" s="12" t="s">
        <v>6298</v>
      </c>
      <c r="EOA3" s="12" t="s">
        <v>6299</v>
      </c>
      <c r="EOB3" s="12" t="s">
        <v>6300</v>
      </c>
      <c r="EOC3" s="12" t="s">
        <v>6301</v>
      </c>
      <c r="EOD3" s="12" t="s">
        <v>6302</v>
      </c>
      <c r="EOE3" s="12" t="s">
        <v>6303</v>
      </c>
      <c r="EOF3" s="12" t="s">
        <v>6304</v>
      </c>
      <c r="EOG3" s="12" t="s">
        <v>6305</v>
      </c>
      <c r="EOH3" s="12" t="s">
        <v>6306</v>
      </c>
      <c r="EOI3" s="12" t="s">
        <v>6307</v>
      </c>
      <c r="EOJ3" s="12" t="s">
        <v>6308</v>
      </c>
      <c r="EOK3" s="12" t="s">
        <v>6309</v>
      </c>
      <c r="EOL3" s="12" t="s">
        <v>6310</v>
      </c>
      <c r="EOM3" s="12" t="s">
        <v>6311</v>
      </c>
      <c r="EON3" s="12" t="s">
        <v>6312</v>
      </c>
      <c r="EOO3" s="12" t="s">
        <v>6313</v>
      </c>
      <c r="EOP3" s="12" t="s">
        <v>6314</v>
      </c>
      <c r="EOQ3" s="12" t="s">
        <v>6315</v>
      </c>
      <c r="EOR3" s="12" t="s">
        <v>6316</v>
      </c>
      <c r="EOS3" s="12" t="s">
        <v>6317</v>
      </c>
      <c r="EOT3" s="12" t="s">
        <v>6318</v>
      </c>
      <c r="EOU3" s="12" t="s">
        <v>6319</v>
      </c>
      <c r="EOV3" s="12" t="s">
        <v>6320</v>
      </c>
      <c r="EOW3" s="12" t="s">
        <v>6321</v>
      </c>
      <c r="EOX3" s="12" t="s">
        <v>6322</v>
      </c>
      <c r="EOY3" s="12" t="s">
        <v>6323</v>
      </c>
      <c r="EOZ3" s="12" t="s">
        <v>6324</v>
      </c>
      <c r="EPA3" s="12" t="s">
        <v>6325</v>
      </c>
      <c r="EPB3" s="12" t="s">
        <v>6326</v>
      </c>
      <c r="EPC3" s="12" t="s">
        <v>6327</v>
      </c>
      <c r="EPD3" s="12" t="s">
        <v>6328</v>
      </c>
      <c r="EPE3" s="12" t="s">
        <v>6329</v>
      </c>
      <c r="EPF3" s="12" t="s">
        <v>6330</v>
      </c>
      <c r="EPG3" s="12" t="s">
        <v>6331</v>
      </c>
      <c r="EPH3" s="12" t="s">
        <v>6332</v>
      </c>
      <c r="EPI3" s="12" t="s">
        <v>6333</v>
      </c>
      <c r="EPJ3" s="12" t="s">
        <v>6334</v>
      </c>
      <c r="EPK3" s="12" t="s">
        <v>6335</v>
      </c>
      <c r="EPL3" s="12" t="s">
        <v>6336</v>
      </c>
      <c r="EPM3" s="12" t="s">
        <v>6337</v>
      </c>
      <c r="EPN3" s="12" t="s">
        <v>6338</v>
      </c>
      <c r="EPO3" s="12" t="s">
        <v>6339</v>
      </c>
      <c r="EPP3" s="12" t="s">
        <v>6340</v>
      </c>
      <c r="EPQ3" s="12" t="s">
        <v>6341</v>
      </c>
      <c r="EPR3" s="12" t="s">
        <v>6342</v>
      </c>
      <c r="EPS3" s="12" t="s">
        <v>6343</v>
      </c>
      <c r="EPT3" s="12" t="s">
        <v>6344</v>
      </c>
      <c r="EPU3" s="12" t="s">
        <v>6345</v>
      </c>
      <c r="EPV3" s="12" t="s">
        <v>6346</v>
      </c>
      <c r="EPW3" s="12" t="s">
        <v>6347</v>
      </c>
      <c r="EPX3" s="12" t="s">
        <v>6348</v>
      </c>
      <c r="EPY3" s="12" t="s">
        <v>6349</v>
      </c>
      <c r="EPZ3" s="12" t="s">
        <v>6350</v>
      </c>
      <c r="EQA3" s="12" t="s">
        <v>6351</v>
      </c>
      <c r="EQB3" s="12" t="s">
        <v>6352</v>
      </c>
      <c r="EQC3" s="12" t="s">
        <v>6353</v>
      </c>
      <c r="EQD3" s="12" t="s">
        <v>6354</v>
      </c>
      <c r="EQE3" s="12" t="s">
        <v>6355</v>
      </c>
      <c r="EQF3" s="12" t="s">
        <v>6356</v>
      </c>
      <c r="EQG3" s="12" t="s">
        <v>6357</v>
      </c>
      <c r="EQH3" s="12" t="s">
        <v>6358</v>
      </c>
      <c r="EQI3" s="12" t="s">
        <v>6359</v>
      </c>
      <c r="EQJ3" s="12" t="s">
        <v>6360</v>
      </c>
      <c r="EQK3" s="12" t="s">
        <v>6361</v>
      </c>
      <c r="EQL3" s="12" t="s">
        <v>6362</v>
      </c>
      <c r="EQM3" s="12" t="s">
        <v>6363</v>
      </c>
      <c r="EQN3" s="12" t="s">
        <v>6364</v>
      </c>
      <c r="EQO3" s="12" t="s">
        <v>6365</v>
      </c>
      <c r="EQP3" s="12" t="s">
        <v>6366</v>
      </c>
      <c r="EQQ3" s="12" t="s">
        <v>6367</v>
      </c>
      <c r="EQR3" s="12" t="s">
        <v>6368</v>
      </c>
      <c r="EQS3" s="12" t="s">
        <v>6369</v>
      </c>
      <c r="EQT3" s="12" t="s">
        <v>6370</v>
      </c>
      <c r="EQU3" s="12" t="s">
        <v>6371</v>
      </c>
      <c r="EQV3" s="12" t="s">
        <v>6372</v>
      </c>
      <c r="EQW3" s="12" t="s">
        <v>6373</v>
      </c>
      <c r="EQX3" s="12" t="s">
        <v>6374</v>
      </c>
      <c r="EQY3" s="12" t="s">
        <v>6375</v>
      </c>
      <c r="EQZ3" s="12" t="s">
        <v>6376</v>
      </c>
      <c r="ERA3" s="12" t="s">
        <v>6377</v>
      </c>
      <c r="ERB3" s="12" t="s">
        <v>6378</v>
      </c>
      <c r="ERC3" s="12" t="s">
        <v>6379</v>
      </c>
      <c r="ERD3" s="12" t="s">
        <v>6380</v>
      </c>
      <c r="ERE3" s="12" t="s">
        <v>6381</v>
      </c>
      <c r="ERF3" s="12" t="s">
        <v>6382</v>
      </c>
      <c r="ERG3" s="12" t="s">
        <v>6383</v>
      </c>
      <c r="ERH3" s="12" t="s">
        <v>6384</v>
      </c>
      <c r="ERI3" s="12" t="s">
        <v>6385</v>
      </c>
      <c r="ERJ3" s="12" t="s">
        <v>6386</v>
      </c>
      <c r="ERK3" s="12" t="s">
        <v>6387</v>
      </c>
      <c r="ERL3" s="12" t="s">
        <v>6388</v>
      </c>
      <c r="ERM3" s="12" t="s">
        <v>6389</v>
      </c>
      <c r="ERN3" s="12" t="s">
        <v>6390</v>
      </c>
      <c r="ERO3" s="12" t="s">
        <v>6391</v>
      </c>
      <c r="ERP3" s="12" t="s">
        <v>6392</v>
      </c>
      <c r="ERQ3" s="12" t="s">
        <v>6393</v>
      </c>
      <c r="ERR3" s="12" t="s">
        <v>6394</v>
      </c>
      <c r="ERS3" s="12" t="s">
        <v>6395</v>
      </c>
      <c r="ERT3" s="12" t="s">
        <v>6396</v>
      </c>
      <c r="ERU3" s="12" t="s">
        <v>6397</v>
      </c>
      <c r="ERV3" s="12" t="s">
        <v>6398</v>
      </c>
      <c r="ERW3" s="12" t="s">
        <v>6399</v>
      </c>
      <c r="ERX3" s="12" t="s">
        <v>6400</v>
      </c>
      <c r="ERY3" s="12" t="s">
        <v>6401</v>
      </c>
      <c r="ERZ3" s="12" t="s">
        <v>6402</v>
      </c>
      <c r="ESA3" s="12" t="s">
        <v>6403</v>
      </c>
      <c r="ESB3" s="12" t="s">
        <v>6404</v>
      </c>
      <c r="ESC3" s="12" t="s">
        <v>6405</v>
      </c>
      <c r="ESD3" s="12" t="s">
        <v>6406</v>
      </c>
      <c r="ESE3" s="12" t="s">
        <v>6407</v>
      </c>
      <c r="ESF3" s="12" t="s">
        <v>6408</v>
      </c>
      <c r="ESG3" s="12" t="s">
        <v>6409</v>
      </c>
      <c r="ESH3" s="12" t="s">
        <v>6410</v>
      </c>
      <c r="ESI3" s="12" t="s">
        <v>6411</v>
      </c>
      <c r="ESJ3" s="12" t="s">
        <v>6412</v>
      </c>
      <c r="ESK3" s="12" t="s">
        <v>6413</v>
      </c>
      <c r="ESL3" s="12" t="s">
        <v>6414</v>
      </c>
      <c r="ESM3" s="12" t="s">
        <v>6415</v>
      </c>
      <c r="ESN3" s="12" t="s">
        <v>6416</v>
      </c>
      <c r="ESO3" s="12" t="s">
        <v>6417</v>
      </c>
      <c r="ESP3" s="12" t="s">
        <v>6418</v>
      </c>
      <c r="ESQ3" s="12" t="s">
        <v>6419</v>
      </c>
      <c r="ESR3" s="12" t="s">
        <v>6420</v>
      </c>
      <c r="ESS3" s="12" t="s">
        <v>6421</v>
      </c>
      <c r="EST3" s="12" t="s">
        <v>6422</v>
      </c>
      <c r="ESU3" s="12" t="s">
        <v>6423</v>
      </c>
      <c r="ESV3" s="12" t="s">
        <v>6424</v>
      </c>
      <c r="ESW3" s="12" t="s">
        <v>6425</v>
      </c>
      <c r="ESX3" s="12" t="s">
        <v>6426</v>
      </c>
      <c r="ESY3" s="12" t="s">
        <v>6427</v>
      </c>
      <c r="ESZ3" s="12" t="s">
        <v>6428</v>
      </c>
      <c r="ETA3" s="12" t="s">
        <v>6429</v>
      </c>
      <c r="ETB3" s="12" t="s">
        <v>6430</v>
      </c>
      <c r="ETC3" s="12" t="s">
        <v>6431</v>
      </c>
      <c r="ETD3" s="12" t="s">
        <v>6432</v>
      </c>
      <c r="ETE3" s="12" t="s">
        <v>6433</v>
      </c>
      <c r="ETF3" s="12" t="s">
        <v>6434</v>
      </c>
      <c r="ETG3" s="12" t="s">
        <v>6435</v>
      </c>
      <c r="ETH3" s="12" t="s">
        <v>6436</v>
      </c>
      <c r="ETI3" s="12" t="s">
        <v>6437</v>
      </c>
      <c r="ETJ3" s="12" t="s">
        <v>6438</v>
      </c>
      <c r="ETK3" s="12" t="s">
        <v>6439</v>
      </c>
      <c r="ETL3" s="12" t="s">
        <v>6440</v>
      </c>
      <c r="ETM3" s="12" t="s">
        <v>6441</v>
      </c>
      <c r="ETN3" s="12" t="s">
        <v>6442</v>
      </c>
      <c r="ETO3" s="12" t="s">
        <v>6443</v>
      </c>
      <c r="ETP3" s="12" t="s">
        <v>6444</v>
      </c>
      <c r="ETQ3" s="12" t="s">
        <v>6445</v>
      </c>
      <c r="ETR3" s="12" t="s">
        <v>6446</v>
      </c>
      <c r="ETS3" s="12" t="s">
        <v>6447</v>
      </c>
      <c r="ETT3" s="12" t="s">
        <v>6448</v>
      </c>
      <c r="ETU3" s="12" t="s">
        <v>6449</v>
      </c>
      <c r="ETV3" s="12" t="s">
        <v>6450</v>
      </c>
      <c r="ETW3" s="12" t="s">
        <v>6451</v>
      </c>
      <c r="ETX3" s="12" t="s">
        <v>6452</v>
      </c>
      <c r="ETY3" s="12" t="s">
        <v>6453</v>
      </c>
      <c r="ETZ3" s="12" t="s">
        <v>6454</v>
      </c>
      <c r="EUA3" s="12" t="s">
        <v>6455</v>
      </c>
      <c r="EUB3" s="12" t="s">
        <v>6456</v>
      </c>
      <c r="EUC3" s="12" t="s">
        <v>6457</v>
      </c>
      <c r="EUD3" s="12" t="s">
        <v>6458</v>
      </c>
      <c r="EUE3" s="12" t="s">
        <v>6459</v>
      </c>
      <c r="EUF3" s="12" t="s">
        <v>6460</v>
      </c>
      <c r="EUG3" s="12" t="s">
        <v>6461</v>
      </c>
      <c r="EUH3" s="12" t="s">
        <v>6462</v>
      </c>
      <c r="EUI3" s="12" t="s">
        <v>6463</v>
      </c>
      <c r="EUJ3" s="12" t="s">
        <v>6464</v>
      </c>
      <c r="EUK3" s="12" t="s">
        <v>6465</v>
      </c>
      <c r="EUL3" s="12" t="s">
        <v>6466</v>
      </c>
      <c r="EUM3" s="12" t="s">
        <v>6467</v>
      </c>
      <c r="EUN3" s="12" t="s">
        <v>6468</v>
      </c>
      <c r="EUO3" s="12" t="s">
        <v>6469</v>
      </c>
      <c r="EUP3" s="12" t="s">
        <v>6470</v>
      </c>
      <c r="EUQ3" s="12" t="s">
        <v>6471</v>
      </c>
      <c r="EUR3" s="12" t="s">
        <v>6472</v>
      </c>
      <c r="EUS3" s="12" t="s">
        <v>6473</v>
      </c>
      <c r="EUT3" s="12" t="s">
        <v>6474</v>
      </c>
      <c r="EUU3" s="12" t="s">
        <v>6475</v>
      </c>
      <c r="EUV3" s="12" t="s">
        <v>6476</v>
      </c>
      <c r="EUW3" s="12" t="s">
        <v>6477</v>
      </c>
      <c r="EUX3" s="12" t="s">
        <v>6478</v>
      </c>
      <c r="EUY3" s="12" t="s">
        <v>6479</v>
      </c>
      <c r="EUZ3" s="12" t="s">
        <v>6480</v>
      </c>
      <c r="EVA3" s="12" t="s">
        <v>6481</v>
      </c>
      <c r="EVB3" s="12" t="s">
        <v>6482</v>
      </c>
      <c r="EVC3" s="12" t="s">
        <v>6483</v>
      </c>
      <c r="EVD3" s="12" t="s">
        <v>6484</v>
      </c>
      <c r="EVE3" s="12" t="s">
        <v>6485</v>
      </c>
      <c r="EVF3" s="12" t="s">
        <v>6486</v>
      </c>
      <c r="EVG3" s="12" t="s">
        <v>6487</v>
      </c>
      <c r="EVH3" s="12" t="s">
        <v>6488</v>
      </c>
      <c r="EVI3" s="12" t="s">
        <v>6489</v>
      </c>
      <c r="EVJ3" s="12" t="s">
        <v>6490</v>
      </c>
      <c r="EVK3" s="12" t="s">
        <v>6491</v>
      </c>
      <c r="EVL3" s="12" t="s">
        <v>6492</v>
      </c>
      <c r="EVM3" s="12" t="s">
        <v>6493</v>
      </c>
      <c r="EVN3" s="12" t="s">
        <v>6494</v>
      </c>
      <c r="EVO3" s="12" t="s">
        <v>6495</v>
      </c>
      <c r="EVP3" s="12" t="s">
        <v>6496</v>
      </c>
      <c r="EVQ3" s="12" t="s">
        <v>6497</v>
      </c>
      <c r="EVR3" s="12" t="s">
        <v>6498</v>
      </c>
      <c r="EVS3" s="12" t="s">
        <v>6499</v>
      </c>
      <c r="EVT3" s="12" t="s">
        <v>6500</v>
      </c>
      <c r="EVU3" s="12" t="s">
        <v>6501</v>
      </c>
      <c r="EVV3" s="12" t="s">
        <v>6502</v>
      </c>
      <c r="EVW3" s="12" t="s">
        <v>6503</v>
      </c>
      <c r="EVX3" s="12" t="s">
        <v>6504</v>
      </c>
      <c r="EVY3" s="12" t="s">
        <v>6505</v>
      </c>
      <c r="EVZ3" s="12" t="s">
        <v>6506</v>
      </c>
      <c r="EWA3" s="12" t="s">
        <v>6507</v>
      </c>
      <c r="EWB3" s="12" t="s">
        <v>6508</v>
      </c>
      <c r="EWC3" s="12" t="s">
        <v>6509</v>
      </c>
      <c r="EWD3" s="12" t="s">
        <v>6510</v>
      </c>
      <c r="EWE3" s="12" t="s">
        <v>6511</v>
      </c>
      <c r="EWF3" s="12" t="s">
        <v>6512</v>
      </c>
      <c r="EWG3" s="12" t="s">
        <v>6513</v>
      </c>
      <c r="EWH3" s="12" t="s">
        <v>6514</v>
      </c>
      <c r="EWI3" s="12" t="s">
        <v>6515</v>
      </c>
      <c r="EWJ3" s="12" t="s">
        <v>6516</v>
      </c>
      <c r="EWK3" s="12" t="s">
        <v>6517</v>
      </c>
      <c r="EWL3" s="12" t="s">
        <v>6518</v>
      </c>
      <c r="EWM3" s="12" t="s">
        <v>6519</v>
      </c>
      <c r="EWN3" s="12" t="s">
        <v>6520</v>
      </c>
      <c r="EWO3" s="12" t="s">
        <v>6521</v>
      </c>
      <c r="EWP3" s="12" t="s">
        <v>6522</v>
      </c>
      <c r="EWQ3" s="12" t="s">
        <v>6523</v>
      </c>
      <c r="EWR3" s="12" t="s">
        <v>6524</v>
      </c>
      <c r="EWS3" s="12" t="s">
        <v>6525</v>
      </c>
      <c r="EWT3" s="12" t="s">
        <v>6526</v>
      </c>
      <c r="EWU3" s="12" t="s">
        <v>6527</v>
      </c>
      <c r="EWV3" s="12" t="s">
        <v>6528</v>
      </c>
      <c r="EWW3" s="12" t="s">
        <v>6529</v>
      </c>
      <c r="EWX3" s="12" t="s">
        <v>6530</v>
      </c>
      <c r="EWY3" s="12" t="s">
        <v>6531</v>
      </c>
      <c r="EWZ3" s="12" t="s">
        <v>6532</v>
      </c>
      <c r="EXA3" s="12" t="s">
        <v>6533</v>
      </c>
      <c r="EXB3" s="12" t="s">
        <v>6534</v>
      </c>
      <c r="EXC3" s="12" t="s">
        <v>6535</v>
      </c>
      <c r="EXD3" s="12" t="s">
        <v>6536</v>
      </c>
      <c r="EXE3" s="12" t="s">
        <v>6537</v>
      </c>
      <c r="EXF3" s="12" t="s">
        <v>6538</v>
      </c>
      <c r="EXG3" s="12" t="s">
        <v>6539</v>
      </c>
      <c r="EXH3" s="12" t="s">
        <v>6540</v>
      </c>
      <c r="EXI3" s="12" t="s">
        <v>6541</v>
      </c>
      <c r="EXJ3" s="12" t="s">
        <v>6542</v>
      </c>
      <c r="EXK3" s="12" t="s">
        <v>6543</v>
      </c>
      <c r="EXL3" s="12" t="s">
        <v>6544</v>
      </c>
      <c r="EXM3" s="12" t="s">
        <v>6545</v>
      </c>
      <c r="EXN3" s="12" t="s">
        <v>6546</v>
      </c>
      <c r="EXO3" s="12" t="s">
        <v>6547</v>
      </c>
      <c r="EXP3" s="12" t="s">
        <v>6548</v>
      </c>
      <c r="EXQ3" s="12" t="s">
        <v>6549</v>
      </c>
      <c r="EXR3" s="12" t="s">
        <v>6550</v>
      </c>
      <c r="EXS3" s="12" t="s">
        <v>6551</v>
      </c>
      <c r="EXT3" s="12" t="s">
        <v>6552</v>
      </c>
      <c r="EXU3" s="12" t="s">
        <v>6553</v>
      </c>
      <c r="EXV3" s="12" t="s">
        <v>6554</v>
      </c>
      <c r="EXW3" s="12" t="s">
        <v>6555</v>
      </c>
      <c r="EXX3" s="12" t="s">
        <v>6556</v>
      </c>
      <c r="EXY3" s="12" t="s">
        <v>6557</v>
      </c>
      <c r="EXZ3" s="12" t="s">
        <v>6558</v>
      </c>
      <c r="EYA3" s="12" t="s">
        <v>6559</v>
      </c>
      <c r="EYB3" s="12" t="s">
        <v>6560</v>
      </c>
      <c r="EYC3" s="12" t="s">
        <v>6561</v>
      </c>
      <c r="EYD3" s="12" t="s">
        <v>6562</v>
      </c>
      <c r="EYE3" s="12" t="s">
        <v>6563</v>
      </c>
      <c r="EYF3" s="12" t="s">
        <v>6564</v>
      </c>
      <c r="EYG3" s="12" t="s">
        <v>6565</v>
      </c>
      <c r="EYH3" s="12" t="s">
        <v>6566</v>
      </c>
      <c r="EYI3" s="12" t="s">
        <v>6567</v>
      </c>
      <c r="EYJ3" s="12" t="s">
        <v>6568</v>
      </c>
      <c r="EYK3" s="12" t="s">
        <v>6569</v>
      </c>
      <c r="EYL3" s="12" t="s">
        <v>6570</v>
      </c>
      <c r="EYM3" s="12" t="s">
        <v>6571</v>
      </c>
      <c r="EYN3" s="12" t="s">
        <v>6572</v>
      </c>
      <c r="EYO3" s="12" t="s">
        <v>6573</v>
      </c>
      <c r="EYP3" s="12" t="s">
        <v>6574</v>
      </c>
      <c r="EYQ3" s="12" t="s">
        <v>6575</v>
      </c>
      <c r="EYR3" s="12" t="s">
        <v>6576</v>
      </c>
      <c r="EYS3" s="12" t="s">
        <v>6577</v>
      </c>
      <c r="EYT3" s="12" t="s">
        <v>6578</v>
      </c>
      <c r="EYU3" s="12" t="s">
        <v>6579</v>
      </c>
      <c r="EYV3" s="12" t="s">
        <v>6580</v>
      </c>
      <c r="EYW3" s="12" t="s">
        <v>6581</v>
      </c>
      <c r="EYX3" s="12" t="s">
        <v>6582</v>
      </c>
      <c r="EYY3" s="12" t="s">
        <v>6583</v>
      </c>
      <c r="EYZ3" s="12" t="s">
        <v>6584</v>
      </c>
      <c r="EZA3" s="12" t="s">
        <v>6585</v>
      </c>
      <c r="EZB3" s="12" t="s">
        <v>6586</v>
      </c>
      <c r="EZC3" s="12" t="s">
        <v>6587</v>
      </c>
      <c r="EZD3" s="12" t="s">
        <v>6588</v>
      </c>
      <c r="EZE3" s="12" t="s">
        <v>6589</v>
      </c>
      <c r="EZF3" s="12" t="s">
        <v>6590</v>
      </c>
      <c r="EZG3" s="12" t="s">
        <v>6591</v>
      </c>
      <c r="EZH3" s="12" t="s">
        <v>6592</v>
      </c>
      <c r="EZI3" s="12" t="s">
        <v>6593</v>
      </c>
      <c r="EZJ3" s="12" t="s">
        <v>6594</v>
      </c>
      <c r="EZK3" s="12" t="s">
        <v>6595</v>
      </c>
      <c r="EZL3" s="12" t="s">
        <v>6596</v>
      </c>
      <c r="EZM3" s="12" t="s">
        <v>6597</v>
      </c>
      <c r="EZN3" s="12" t="s">
        <v>6598</v>
      </c>
      <c r="EZO3" s="12" t="s">
        <v>6599</v>
      </c>
      <c r="EZP3" s="12" t="s">
        <v>6600</v>
      </c>
      <c r="EZQ3" s="12" t="s">
        <v>6601</v>
      </c>
      <c r="EZR3" s="12" t="s">
        <v>6602</v>
      </c>
      <c r="EZS3" s="12" t="s">
        <v>6603</v>
      </c>
      <c r="EZT3" s="12" t="s">
        <v>6604</v>
      </c>
      <c r="EZU3" s="12" t="s">
        <v>6605</v>
      </c>
      <c r="EZV3" s="12" t="s">
        <v>6606</v>
      </c>
      <c r="EZW3" s="12" t="s">
        <v>6607</v>
      </c>
      <c r="EZX3" s="12" t="s">
        <v>6608</v>
      </c>
      <c r="EZY3" s="12" t="s">
        <v>6609</v>
      </c>
      <c r="EZZ3" s="12" t="s">
        <v>6610</v>
      </c>
      <c r="FAA3" s="12" t="s">
        <v>6611</v>
      </c>
      <c r="FAB3" s="12" t="s">
        <v>6612</v>
      </c>
      <c r="FAC3" s="12" t="s">
        <v>6613</v>
      </c>
      <c r="FAD3" s="12" t="s">
        <v>6614</v>
      </c>
      <c r="FAE3" s="12" t="s">
        <v>6615</v>
      </c>
      <c r="FAF3" s="12" t="s">
        <v>6616</v>
      </c>
      <c r="FAG3" s="12" t="s">
        <v>6617</v>
      </c>
      <c r="FAH3" s="12" t="s">
        <v>6618</v>
      </c>
      <c r="FAI3" s="12" t="s">
        <v>6619</v>
      </c>
      <c r="FAJ3" s="12" t="s">
        <v>6620</v>
      </c>
      <c r="FAK3" s="12" t="s">
        <v>6621</v>
      </c>
      <c r="FAL3" s="12" t="s">
        <v>6622</v>
      </c>
      <c r="FAM3" s="12" t="s">
        <v>6623</v>
      </c>
      <c r="FAN3" s="12" t="s">
        <v>6624</v>
      </c>
      <c r="FAO3" s="12" t="s">
        <v>6625</v>
      </c>
      <c r="FAP3" s="12" t="s">
        <v>6626</v>
      </c>
      <c r="FAQ3" s="12" t="s">
        <v>6627</v>
      </c>
      <c r="FAR3" s="12" t="s">
        <v>6628</v>
      </c>
      <c r="FAS3" s="12" t="s">
        <v>6629</v>
      </c>
      <c r="FAT3" s="12" t="s">
        <v>6630</v>
      </c>
      <c r="FAU3" s="12" t="s">
        <v>6631</v>
      </c>
      <c r="FAV3" s="12" t="s">
        <v>6632</v>
      </c>
      <c r="FAW3" s="12" t="s">
        <v>6633</v>
      </c>
      <c r="FAX3" s="12" t="s">
        <v>6634</v>
      </c>
      <c r="FAY3" s="12" t="s">
        <v>6635</v>
      </c>
      <c r="FAZ3" s="12" t="s">
        <v>6636</v>
      </c>
      <c r="FBA3" s="12" t="s">
        <v>6637</v>
      </c>
      <c r="FBB3" s="12" t="s">
        <v>6638</v>
      </c>
      <c r="FBC3" s="12" t="s">
        <v>6639</v>
      </c>
      <c r="FBD3" s="12" t="s">
        <v>6640</v>
      </c>
      <c r="FBE3" s="12" t="s">
        <v>6641</v>
      </c>
      <c r="FBF3" s="12" t="s">
        <v>6642</v>
      </c>
      <c r="FBG3" s="12" t="s">
        <v>6643</v>
      </c>
      <c r="FBH3" s="12" t="s">
        <v>6644</v>
      </c>
      <c r="FBI3" s="12" t="s">
        <v>6645</v>
      </c>
      <c r="FBJ3" s="12" t="s">
        <v>6646</v>
      </c>
      <c r="FBK3" s="12" t="s">
        <v>6647</v>
      </c>
      <c r="FBL3" s="12" t="s">
        <v>6648</v>
      </c>
      <c r="FBM3" s="12" t="s">
        <v>6649</v>
      </c>
      <c r="FBN3" s="12" t="s">
        <v>6650</v>
      </c>
      <c r="FBO3" s="12" t="s">
        <v>6651</v>
      </c>
      <c r="FBP3" s="12" t="s">
        <v>6652</v>
      </c>
      <c r="FBQ3" s="12" t="s">
        <v>6653</v>
      </c>
      <c r="FBR3" s="12" t="s">
        <v>6654</v>
      </c>
      <c r="FBS3" s="12" t="s">
        <v>6655</v>
      </c>
      <c r="FBT3" s="12" t="s">
        <v>6656</v>
      </c>
      <c r="FBU3" s="12" t="s">
        <v>6657</v>
      </c>
      <c r="FBV3" s="12" t="s">
        <v>6658</v>
      </c>
      <c r="FBW3" s="12" t="s">
        <v>6659</v>
      </c>
      <c r="FBX3" s="12" t="s">
        <v>6660</v>
      </c>
      <c r="FBY3" s="12" t="s">
        <v>6661</v>
      </c>
      <c r="FBZ3" s="12" t="s">
        <v>6662</v>
      </c>
      <c r="FCA3" s="12" t="s">
        <v>6663</v>
      </c>
      <c r="FCB3" s="12" t="s">
        <v>6664</v>
      </c>
      <c r="FCC3" s="12" t="s">
        <v>6665</v>
      </c>
      <c r="FCD3" s="12" t="s">
        <v>6666</v>
      </c>
      <c r="FCE3" s="12" t="s">
        <v>6667</v>
      </c>
      <c r="FCF3" s="12" t="s">
        <v>6668</v>
      </c>
      <c r="FCG3" s="12" t="s">
        <v>6669</v>
      </c>
      <c r="FCH3" s="12" t="s">
        <v>6670</v>
      </c>
      <c r="FCI3" s="12" t="s">
        <v>6671</v>
      </c>
      <c r="FCJ3" s="12" t="s">
        <v>6672</v>
      </c>
      <c r="FCK3" s="12" t="s">
        <v>6673</v>
      </c>
      <c r="FCL3" s="12" t="s">
        <v>6674</v>
      </c>
      <c r="FCM3" s="12" t="s">
        <v>6675</v>
      </c>
      <c r="FCN3" s="12" t="s">
        <v>6676</v>
      </c>
      <c r="FCO3" s="12" t="s">
        <v>6677</v>
      </c>
      <c r="FCP3" s="12" t="s">
        <v>6678</v>
      </c>
      <c r="FCQ3" s="12" t="s">
        <v>6679</v>
      </c>
      <c r="FCR3" s="12" t="s">
        <v>6680</v>
      </c>
      <c r="FCS3" s="12" t="s">
        <v>6681</v>
      </c>
      <c r="FCT3" s="12" t="s">
        <v>6682</v>
      </c>
      <c r="FCU3" s="12" t="s">
        <v>6683</v>
      </c>
      <c r="FCV3" s="12" t="s">
        <v>6684</v>
      </c>
      <c r="FCW3" s="12" t="s">
        <v>6685</v>
      </c>
      <c r="FCX3" s="12" t="s">
        <v>6686</v>
      </c>
      <c r="FCY3" s="12" t="s">
        <v>6687</v>
      </c>
      <c r="FCZ3" s="12" t="s">
        <v>6688</v>
      </c>
      <c r="FDA3" s="12" t="s">
        <v>6689</v>
      </c>
      <c r="FDB3" s="12" t="s">
        <v>6690</v>
      </c>
      <c r="FDC3" s="12" t="s">
        <v>6691</v>
      </c>
      <c r="FDD3" s="12" t="s">
        <v>6692</v>
      </c>
      <c r="FDE3" s="12" t="s">
        <v>6693</v>
      </c>
      <c r="FDF3" s="12" t="s">
        <v>6694</v>
      </c>
      <c r="FDG3" s="12" t="s">
        <v>6695</v>
      </c>
      <c r="FDH3" s="12" t="s">
        <v>6696</v>
      </c>
      <c r="FDI3" s="12" t="s">
        <v>6697</v>
      </c>
      <c r="FDJ3" s="12" t="s">
        <v>6698</v>
      </c>
      <c r="FDK3" s="12" t="s">
        <v>6699</v>
      </c>
      <c r="FDL3" s="12" t="s">
        <v>6700</v>
      </c>
      <c r="FDM3" s="12" t="s">
        <v>6701</v>
      </c>
      <c r="FDN3" s="12" t="s">
        <v>6702</v>
      </c>
      <c r="FDO3" s="12" t="s">
        <v>6703</v>
      </c>
      <c r="FDP3" s="12" t="s">
        <v>6704</v>
      </c>
      <c r="FDQ3" s="12" t="s">
        <v>6705</v>
      </c>
      <c r="FDR3" s="12" t="s">
        <v>6706</v>
      </c>
      <c r="FDS3" s="12" t="s">
        <v>6707</v>
      </c>
      <c r="FDT3" s="12" t="s">
        <v>6708</v>
      </c>
      <c r="FDU3" s="12" t="s">
        <v>6709</v>
      </c>
      <c r="FDV3" s="12" t="s">
        <v>6710</v>
      </c>
      <c r="FDW3" s="12" t="s">
        <v>6711</v>
      </c>
      <c r="FDX3" s="12" t="s">
        <v>6712</v>
      </c>
      <c r="FDY3" s="12" t="s">
        <v>6713</v>
      </c>
      <c r="FDZ3" s="12" t="s">
        <v>6714</v>
      </c>
      <c r="FEA3" s="12" t="s">
        <v>6715</v>
      </c>
      <c r="FEB3" s="12" t="s">
        <v>6716</v>
      </c>
      <c r="FEC3" s="12" t="s">
        <v>6717</v>
      </c>
      <c r="FED3" s="12" t="s">
        <v>6718</v>
      </c>
      <c r="FEE3" s="12" t="s">
        <v>6719</v>
      </c>
      <c r="FEF3" s="12" t="s">
        <v>6720</v>
      </c>
      <c r="FEG3" s="12" t="s">
        <v>6721</v>
      </c>
      <c r="FEH3" s="12" t="s">
        <v>6722</v>
      </c>
      <c r="FEI3" s="12" t="s">
        <v>6723</v>
      </c>
      <c r="FEJ3" s="12" t="s">
        <v>6724</v>
      </c>
      <c r="FEK3" s="12" t="s">
        <v>6725</v>
      </c>
      <c r="FEL3" s="12" t="s">
        <v>6726</v>
      </c>
      <c r="FEM3" s="12" t="s">
        <v>6727</v>
      </c>
      <c r="FEN3" s="12" t="s">
        <v>6728</v>
      </c>
      <c r="FEO3" s="12" t="s">
        <v>6729</v>
      </c>
      <c r="FEP3" s="12" t="s">
        <v>6730</v>
      </c>
      <c r="FEQ3" s="12" t="s">
        <v>6731</v>
      </c>
      <c r="FER3" s="12" t="s">
        <v>6732</v>
      </c>
      <c r="FES3" s="12" t="s">
        <v>6733</v>
      </c>
      <c r="FET3" s="12" t="s">
        <v>6734</v>
      </c>
      <c r="FEU3" s="12" t="s">
        <v>6735</v>
      </c>
      <c r="FEV3" s="12" t="s">
        <v>6736</v>
      </c>
      <c r="FEW3" s="12" t="s">
        <v>6737</v>
      </c>
      <c r="FEX3" s="12" t="s">
        <v>6738</v>
      </c>
      <c r="FEY3" s="12" t="s">
        <v>6739</v>
      </c>
      <c r="FEZ3" s="12" t="s">
        <v>6740</v>
      </c>
      <c r="FFA3" s="12" t="s">
        <v>6741</v>
      </c>
      <c r="FFB3" s="12" t="s">
        <v>6742</v>
      </c>
      <c r="FFC3" s="12" t="s">
        <v>6743</v>
      </c>
      <c r="FFD3" s="12" t="s">
        <v>6744</v>
      </c>
      <c r="FFE3" s="12" t="s">
        <v>6745</v>
      </c>
      <c r="FFF3" s="12" t="s">
        <v>6746</v>
      </c>
      <c r="FFG3" s="12" t="s">
        <v>6747</v>
      </c>
      <c r="FFH3" s="12" t="s">
        <v>6748</v>
      </c>
      <c r="FFI3" s="12" t="s">
        <v>6749</v>
      </c>
      <c r="FFJ3" s="12" t="s">
        <v>6750</v>
      </c>
      <c r="FFK3" s="12" t="s">
        <v>6751</v>
      </c>
      <c r="FFL3" s="12" t="s">
        <v>6752</v>
      </c>
      <c r="FFM3" s="12" t="s">
        <v>6753</v>
      </c>
      <c r="FFN3" s="12" t="s">
        <v>6754</v>
      </c>
      <c r="FFO3" s="12" t="s">
        <v>6755</v>
      </c>
      <c r="FFP3" s="12" t="s">
        <v>6756</v>
      </c>
      <c r="FFQ3" s="12" t="s">
        <v>6757</v>
      </c>
      <c r="FFR3" s="12" t="s">
        <v>6758</v>
      </c>
      <c r="FFS3" s="12" t="s">
        <v>6759</v>
      </c>
      <c r="FFT3" s="12" t="s">
        <v>6760</v>
      </c>
      <c r="FFU3" s="12" t="s">
        <v>6761</v>
      </c>
      <c r="FFV3" s="12" t="s">
        <v>6762</v>
      </c>
      <c r="FFW3" s="12" t="s">
        <v>6763</v>
      </c>
      <c r="FFX3" s="12" t="s">
        <v>6764</v>
      </c>
      <c r="FFY3" s="12" t="s">
        <v>6765</v>
      </c>
      <c r="FFZ3" s="12" t="s">
        <v>6766</v>
      </c>
      <c r="FGA3" s="12" t="s">
        <v>6767</v>
      </c>
      <c r="FGB3" s="12" t="s">
        <v>6768</v>
      </c>
      <c r="FGC3" s="12" t="s">
        <v>6769</v>
      </c>
      <c r="FGD3" s="12" t="s">
        <v>6770</v>
      </c>
      <c r="FGE3" s="12" t="s">
        <v>6771</v>
      </c>
      <c r="FGF3" s="12" t="s">
        <v>6772</v>
      </c>
      <c r="FGG3" s="12" t="s">
        <v>6773</v>
      </c>
      <c r="FGH3" s="12" t="s">
        <v>6774</v>
      </c>
      <c r="FGI3" s="12" t="s">
        <v>6775</v>
      </c>
      <c r="FGJ3" s="12" t="s">
        <v>6776</v>
      </c>
      <c r="FGK3" s="12" t="s">
        <v>6777</v>
      </c>
      <c r="FGL3" s="12" t="s">
        <v>6778</v>
      </c>
      <c r="FGM3" s="12" t="s">
        <v>6779</v>
      </c>
      <c r="FGN3" s="12" t="s">
        <v>6780</v>
      </c>
      <c r="FGO3" s="12" t="s">
        <v>6781</v>
      </c>
      <c r="FGP3" s="12" t="s">
        <v>6782</v>
      </c>
      <c r="FGQ3" s="12" t="s">
        <v>6783</v>
      </c>
      <c r="FGR3" s="12" t="s">
        <v>6784</v>
      </c>
      <c r="FGS3" s="12" t="s">
        <v>6785</v>
      </c>
      <c r="FGT3" s="12" t="s">
        <v>6786</v>
      </c>
      <c r="FGU3" s="12" t="s">
        <v>6787</v>
      </c>
      <c r="FGV3" s="12" t="s">
        <v>6788</v>
      </c>
      <c r="FGW3" s="12" t="s">
        <v>6789</v>
      </c>
      <c r="FGX3" s="12" t="s">
        <v>6790</v>
      </c>
      <c r="FGY3" s="12" t="s">
        <v>6791</v>
      </c>
      <c r="FGZ3" s="12" t="s">
        <v>6792</v>
      </c>
      <c r="FHA3" s="12" t="s">
        <v>6793</v>
      </c>
      <c r="FHB3" s="12" t="s">
        <v>6794</v>
      </c>
      <c r="FHC3" s="12" t="s">
        <v>6795</v>
      </c>
      <c r="FHD3" s="12" t="s">
        <v>6796</v>
      </c>
      <c r="FHE3" s="12" t="s">
        <v>6797</v>
      </c>
      <c r="FHF3" s="12" t="s">
        <v>6798</v>
      </c>
      <c r="FHG3" s="12" t="s">
        <v>6799</v>
      </c>
      <c r="FHH3" s="12" t="s">
        <v>6800</v>
      </c>
      <c r="FHI3" s="12" t="s">
        <v>6801</v>
      </c>
      <c r="FHJ3" s="12" t="s">
        <v>6802</v>
      </c>
      <c r="FHK3" s="12" t="s">
        <v>6803</v>
      </c>
      <c r="FHL3" s="12" t="s">
        <v>6804</v>
      </c>
      <c r="FHM3" s="12" t="s">
        <v>6805</v>
      </c>
      <c r="FHN3" s="12" t="s">
        <v>6806</v>
      </c>
      <c r="FHO3" s="12" t="s">
        <v>6807</v>
      </c>
      <c r="FHP3" s="12" t="s">
        <v>6808</v>
      </c>
      <c r="FHQ3" s="12" t="s">
        <v>6809</v>
      </c>
      <c r="FHR3" s="12" t="s">
        <v>6810</v>
      </c>
      <c r="FHS3" s="12" t="s">
        <v>6811</v>
      </c>
      <c r="FHT3" s="12" t="s">
        <v>6812</v>
      </c>
      <c r="FHU3" s="12" t="s">
        <v>6813</v>
      </c>
      <c r="FHV3" s="12" t="s">
        <v>6814</v>
      </c>
      <c r="FHW3" s="12" t="s">
        <v>6815</v>
      </c>
      <c r="FHX3" s="12" t="s">
        <v>6816</v>
      </c>
      <c r="FHY3" s="12" t="s">
        <v>6817</v>
      </c>
      <c r="FHZ3" s="12" t="s">
        <v>6818</v>
      </c>
      <c r="FIA3" s="12" t="s">
        <v>6819</v>
      </c>
      <c r="FIB3" s="12" t="s">
        <v>6820</v>
      </c>
      <c r="FIC3" s="12" t="s">
        <v>6821</v>
      </c>
      <c r="FID3" s="12" t="s">
        <v>6822</v>
      </c>
      <c r="FIE3" s="12" t="s">
        <v>6823</v>
      </c>
      <c r="FIF3" s="12" t="s">
        <v>6824</v>
      </c>
      <c r="FIG3" s="12" t="s">
        <v>6825</v>
      </c>
      <c r="FIH3" s="12" t="s">
        <v>6826</v>
      </c>
      <c r="FII3" s="12" t="s">
        <v>6827</v>
      </c>
      <c r="FIJ3" s="12" t="s">
        <v>6828</v>
      </c>
      <c r="FIK3" s="12" t="s">
        <v>6829</v>
      </c>
      <c r="FIL3" s="12" t="s">
        <v>6830</v>
      </c>
      <c r="FIM3" s="12" t="s">
        <v>6831</v>
      </c>
      <c r="FIN3" s="12" t="s">
        <v>6832</v>
      </c>
      <c r="FIO3" s="12" t="s">
        <v>6833</v>
      </c>
      <c r="FIP3" s="12" t="s">
        <v>6834</v>
      </c>
      <c r="FIQ3" s="12" t="s">
        <v>6835</v>
      </c>
      <c r="FIR3" s="12" t="s">
        <v>6836</v>
      </c>
      <c r="FIS3" s="12" t="s">
        <v>6837</v>
      </c>
      <c r="FIT3" s="12" t="s">
        <v>6838</v>
      </c>
      <c r="FIU3" s="12" t="s">
        <v>6839</v>
      </c>
      <c r="FIV3" s="12" t="s">
        <v>6840</v>
      </c>
      <c r="FIW3" s="12" t="s">
        <v>6841</v>
      </c>
      <c r="FIX3" s="12" t="s">
        <v>6842</v>
      </c>
      <c r="FIY3" s="12" t="s">
        <v>6843</v>
      </c>
      <c r="FIZ3" s="12" t="s">
        <v>6844</v>
      </c>
      <c r="FJA3" s="12" t="s">
        <v>6845</v>
      </c>
      <c r="FJB3" s="12" t="s">
        <v>6846</v>
      </c>
      <c r="FJC3" s="12" t="s">
        <v>6847</v>
      </c>
      <c r="FJD3" s="12" t="s">
        <v>6848</v>
      </c>
      <c r="FJE3" s="12" t="s">
        <v>6849</v>
      </c>
      <c r="FJF3" s="12" t="s">
        <v>6850</v>
      </c>
      <c r="FJG3" s="12" t="s">
        <v>6851</v>
      </c>
      <c r="FJH3" s="12" t="s">
        <v>6852</v>
      </c>
      <c r="FJI3" s="12" t="s">
        <v>6853</v>
      </c>
      <c r="FJJ3" s="12" t="s">
        <v>6854</v>
      </c>
      <c r="FJK3" s="12" t="s">
        <v>6855</v>
      </c>
      <c r="FJL3" s="12" t="s">
        <v>6856</v>
      </c>
      <c r="FJM3" s="12" t="s">
        <v>6857</v>
      </c>
      <c r="FJN3" s="12" t="s">
        <v>6858</v>
      </c>
      <c r="FJO3" s="12" t="s">
        <v>6859</v>
      </c>
      <c r="FJP3" s="12" t="s">
        <v>6860</v>
      </c>
      <c r="FJQ3" s="12" t="s">
        <v>6861</v>
      </c>
      <c r="FJR3" s="12" t="s">
        <v>6862</v>
      </c>
      <c r="FJS3" s="12" t="s">
        <v>6863</v>
      </c>
      <c r="FJT3" s="12" t="s">
        <v>6864</v>
      </c>
      <c r="FJU3" s="12" t="s">
        <v>6865</v>
      </c>
      <c r="FJV3" s="12" t="s">
        <v>6866</v>
      </c>
      <c r="FJW3" s="12" t="s">
        <v>6867</v>
      </c>
      <c r="FJX3" s="12" t="s">
        <v>6868</v>
      </c>
      <c r="FJY3" s="12" t="s">
        <v>6869</v>
      </c>
      <c r="FJZ3" s="12" t="s">
        <v>6870</v>
      </c>
      <c r="FKA3" s="12" t="s">
        <v>6871</v>
      </c>
      <c r="FKB3" s="12" t="s">
        <v>6872</v>
      </c>
      <c r="FKC3" s="12" t="s">
        <v>6873</v>
      </c>
      <c r="FKD3" s="12" t="s">
        <v>6874</v>
      </c>
      <c r="FKE3" s="12" t="s">
        <v>6875</v>
      </c>
      <c r="FKF3" s="12" t="s">
        <v>6876</v>
      </c>
      <c r="FKG3" s="12" t="s">
        <v>6877</v>
      </c>
      <c r="FKH3" s="12" t="s">
        <v>6878</v>
      </c>
      <c r="FKI3" s="12" t="s">
        <v>6879</v>
      </c>
      <c r="FKJ3" s="12" t="s">
        <v>6880</v>
      </c>
      <c r="FKK3" s="12" t="s">
        <v>6881</v>
      </c>
      <c r="FKL3" s="12" t="s">
        <v>6882</v>
      </c>
      <c r="FKM3" s="12" t="s">
        <v>6883</v>
      </c>
      <c r="FKN3" s="12" t="s">
        <v>6884</v>
      </c>
      <c r="FKO3" s="12" t="s">
        <v>6885</v>
      </c>
      <c r="FKP3" s="12" t="s">
        <v>6886</v>
      </c>
      <c r="FKQ3" s="12" t="s">
        <v>6887</v>
      </c>
      <c r="FKR3" s="12" t="s">
        <v>6888</v>
      </c>
      <c r="FKS3" s="12" t="s">
        <v>6889</v>
      </c>
      <c r="FKT3" s="12" t="s">
        <v>6890</v>
      </c>
      <c r="FKU3" s="12" t="s">
        <v>6891</v>
      </c>
      <c r="FKV3" s="12" t="s">
        <v>6892</v>
      </c>
      <c r="FKW3" s="12" t="s">
        <v>6893</v>
      </c>
      <c r="FKX3" s="12" t="s">
        <v>6894</v>
      </c>
      <c r="FKY3" s="12" t="s">
        <v>6895</v>
      </c>
      <c r="FKZ3" s="12" t="s">
        <v>6896</v>
      </c>
      <c r="FLA3" s="12" t="s">
        <v>6897</v>
      </c>
      <c r="FLB3" s="12" t="s">
        <v>6898</v>
      </c>
      <c r="FLC3" s="12" t="s">
        <v>6899</v>
      </c>
      <c r="FLD3" s="12" t="s">
        <v>6900</v>
      </c>
      <c r="FLE3" s="12" t="s">
        <v>6901</v>
      </c>
      <c r="FLF3" s="12" t="s">
        <v>6902</v>
      </c>
      <c r="FLG3" s="12" t="s">
        <v>6903</v>
      </c>
      <c r="FLH3" s="12" t="s">
        <v>6904</v>
      </c>
      <c r="FLI3" s="12" t="s">
        <v>6905</v>
      </c>
      <c r="FLJ3" s="12" t="s">
        <v>6906</v>
      </c>
      <c r="FLK3" s="12" t="s">
        <v>6907</v>
      </c>
      <c r="FLL3" s="12" t="s">
        <v>6908</v>
      </c>
      <c r="FLM3" s="12" t="s">
        <v>6909</v>
      </c>
      <c r="FLN3" s="12" t="s">
        <v>6910</v>
      </c>
      <c r="FLO3" s="12" t="s">
        <v>6911</v>
      </c>
      <c r="FLP3" s="12" t="s">
        <v>6912</v>
      </c>
      <c r="FLQ3" s="12" t="s">
        <v>6913</v>
      </c>
      <c r="FLR3" s="12" t="s">
        <v>6914</v>
      </c>
      <c r="FLS3" s="12" t="s">
        <v>6915</v>
      </c>
      <c r="FLT3" s="12" t="s">
        <v>6916</v>
      </c>
      <c r="FLU3" s="12" t="s">
        <v>6917</v>
      </c>
      <c r="FLV3" s="12" t="s">
        <v>6918</v>
      </c>
      <c r="FLW3" s="12" t="s">
        <v>6919</v>
      </c>
      <c r="FLX3" s="12" t="s">
        <v>6920</v>
      </c>
      <c r="FLY3" s="12" t="s">
        <v>6921</v>
      </c>
      <c r="FLZ3" s="12" t="s">
        <v>6922</v>
      </c>
      <c r="FMA3" s="12" t="s">
        <v>6923</v>
      </c>
      <c r="FMB3" s="12" t="s">
        <v>6924</v>
      </c>
      <c r="FMC3" s="12" t="s">
        <v>6925</v>
      </c>
      <c r="FMD3" s="12" t="s">
        <v>6926</v>
      </c>
      <c r="FME3" s="12" t="s">
        <v>6927</v>
      </c>
      <c r="FMF3" s="12" t="s">
        <v>6928</v>
      </c>
      <c r="FMG3" s="12" t="s">
        <v>6929</v>
      </c>
      <c r="FMH3" s="12" t="s">
        <v>6930</v>
      </c>
      <c r="FMI3" s="12" t="s">
        <v>6931</v>
      </c>
      <c r="FMJ3" s="12" t="s">
        <v>6932</v>
      </c>
      <c r="FMK3" s="12" t="s">
        <v>6933</v>
      </c>
      <c r="FML3" s="12" t="s">
        <v>6934</v>
      </c>
      <c r="FMM3" s="12" t="s">
        <v>6935</v>
      </c>
      <c r="FMN3" s="12" t="s">
        <v>6936</v>
      </c>
      <c r="FMO3" s="12" t="s">
        <v>6937</v>
      </c>
      <c r="FMP3" s="12" t="s">
        <v>6938</v>
      </c>
      <c r="FMQ3" s="12" t="s">
        <v>6939</v>
      </c>
      <c r="FMR3" s="12" t="s">
        <v>6940</v>
      </c>
      <c r="FMS3" s="12" t="s">
        <v>6941</v>
      </c>
      <c r="FMT3" s="12" t="s">
        <v>6942</v>
      </c>
      <c r="FMU3" s="12" t="s">
        <v>6943</v>
      </c>
      <c r="FMV3" s="12" t="s">
        <v>6944</v>
      </c>
      <c r="FMW3" s="12" t="s">
        <v>6945</v>
      </c>
      <c r="FMX3" s="12" t="s">
        <v>6946</v>
      </c>
      <c r="FMY3" s="12" t="s">
        <v>6947</v>
      </c>
      <c r="FMZ3" s="12" t="s">
        <v>6948</v>
      </c>
      <c r="FNA3" s="12" t="s">
        <v>6949</v>
      </c>
      <c r="FNB3" s="12" t="s">
        <v>6950</v>
      </c>
      <c r="FNC3" s="12" t="s">
        <v>6951</v>
      </c>
      <c r="FND3" s="12" t="s">
        <v>6952</v>
      </c>
      <c r="FNE3" s="12" t="s">
        <v>6953</v>
      </c>
      <c r="FNF3" s="12" t="s">
        <v>6954</v>
      </c>
      <c r="FNG3" s="12" t="s">
        <v>6955</v>
      </c>
      <c r="FNH3" s="12" t="s">
        <v>6956</v>
      </c>
      <c r="FNI3" s="12" t="s">
        <v>6957</v>
      </c>
      <c r="FNJ3" s="12" t="s">
        <v>6958</v>
      </c>
      <c r="FNK3" s="12" t="s">
        <v>6959</v>
      </c>
      <c r="FNL3" s="12" t="s">
        <v>6960</v>
      </c>
      <c r="FNM3" s="12" t="s">
        <v>6961</v>
      </c>
      <c r="FNN3" s="12" t="s">
        <v>6962</v>
      </c>
      <c r="FNO3" s="12" t="s">
        <v>6963</v>
      </c>
      <c r="FNP3" s="12" t="s">
        <v>6964</v>
      </c>
      <c r="FNQ3" s="12" t="s">
        <v>6965</v>
      </c>
      <c r="FNR3" s="12" t="s">
        <v>6966</v>
      </c>
      <c r="FNS3" s="12" t="s">
        <v>6967</v>
      </c>
      <c r="FNT3" s="12" t="s">
        <v>6968</v>
      </c>
      <c r="FNU3" s="12" t="s">
        <v>6969</v>
      </c>
      <c r="FNV3" s="12" t="s">
        <v>6970</v>
      </c>
      <c r="FNW3" s="12" t="s">
        <v>6971</v>
      </c>
      <c r="FNX3" s="12" t="s">
        <v>6972</v>
      </c>
      <c r="FNY3" s="12" t="s">
        <v>6973</v>
      </c>
      <c r="FNZ3" s="12" t="s">
        <v>6974</v>
      </c>
      <c r="FOA3" s="12" t="s">
        <v>6975</v>
      </c>
      <c r="FOB3" s="12" t="s">
        <v>6976</v>
      </c>
      <c r="FOC3" s="12" t="s">
        <v>6977</v>
      </c>
      <c r="FOD3" s="12" t="s">
        <v>6978</v>
      </c>
      <c r="FOE3" s="12" t="s">
        <v>6979</v>
      </c>
      <c r="FOF3" s="12" t="s">
        <v>6980</v>
      </c>
      <c r="FOG3" s="12" t="s">
        <v>6981</v>
      </c>
      <c r="FOH3" s="12" t="s">
        <v>6982</v>
      </c>
      <c r="FOI3" s="12" t="s">
        <v>6983</v>
      </c>
      <c r="FOJ3" s="12" t="s">
        <v>6984</v>
      </c>
      <c r="FOK3" s="12" t="s">
        <v>6985</v>
      </c>
      <c r="FOL3" s="12" t="s">
        <v>6986</v>
      </c>
      <c r="FOM3" s="12" t="s">
        <v>6987</v>
      </c>
      <c r="FON3" s="12" t="s">
        <v>6988</v>
      </c>
      <c r="FOO3" s="12" t="s">
        <v>6989</v>
      </c>
      <c r="FOP3" s="12" t="s">
        <v>6990</v>
      </c>
      <c r="FOQ3" s="12" t="s">
        <v>6991</v>
      </c>
      <c r="FOR3" s="12" t="s">
        <v>6992</v>
      </c>
      <c r="FOS3" s="12" t="s">
        <v>6993</v>
      </c>
      <c r="FOT3" s="12" t="s">
        <v>6994</v>
      </c>
      <c r="FOU3" s="12" t="s">
        <v>6995</v>
      </c>
      <c r="FOV3" s="12" t="s">
        <v>6996</v>
      </c>
      <c r="FOW3" s="12" t="s">
        <v>6997</v>
      </c>
      <c r="FOX3" s="12" t="s">
        <v>6998</v>
      </c>
      <c r="FOY3" s="12" t="s">
        <v>6999</v>
      </c>
      <c r="FOZ3" s="12" t="s">
        <v>7000</v>
      </c>
      <c r="FPA3" s="12" t="s">
        <v>7001</v>
      </c>
      <c r="FPB3" s="12" t="s">
        <v>7002</v>
      </c>
      <c r="FPC3" s="12" t="s">
        <v>7003</v>
      </c>
      <c r="FPD3" s="12" t="s">
        <v>7004</v>
      </c>
      <c r="FPE3" s="12" t="s">
        <v>7005</v>
      </c>
      <c r="FPF3" s="12" t="s">
        <v>7006</v>
      </c>
      <c r="FPG3" s="12" t="s">
        <v>7007</v>
      </c>
      <c r="FPH3" s="12" t="s">
        <v>7008</v>
      </c>
      <c r="FPI3" s="12" t="s">
        <v>7009</v>
      </c>
      <c r="FPJ3" s="12" t="s">
        <v>7010</v>
      </c>
      <c r="FPK3" s="12" t="s">
        <v>7011</v>
      </c>
      <c r="FPL3" s="12" t="s">
        <v>7012</v>
      </c>
      <c r="FPM3" s="12" t="s">
        <v>7013</v>
      </c>
      <c r="FPN3" s="12" t="s">
        <v>7014</v>
      </c>
      <c r="FPO3" s="12" t="s">
        <v>7015</v>
      </c>
      <c r="FPP3" s="12" t="s">
        <v>7016</v>
      </c>
      <c r="FPQ3" s="12" t="s">
        <v>7017</v>
      </c>
      <c r="FPR3" s="12" t="s">
        <v>7018</v>
      </c>
      <c r="FPS3" s="12" t="s">
        <v>7019</v>
      </c>
      <c r="FPT3" s="12" t="s">
        <v>7020</v>
      </c>
      <c r="FPU3" s="12" t="s">
        <v>7021</v>
      </c>
      <c r="FPV3" s="12" t="s">
        <v>7022</v>
      </c>
      <c r="FPW3" s="12" t="s">
        <v>7023</v>
      </c>
      <c r="FPX3" s="12" t="s">
        <v>7024</v>
      </c>
      <c r="FPY3" s="12" t="s">
        <v>7025</v>
      </c>
      <c r="FPZ3" s="12" t="s">
        <v>7026</v>
      </c>
      <c r="FQA3" s="12" t="s">
        <v>7027</v>
      </c>
      <c r="FQB3" s="12" t="s">
        <v>7028</v>
      </c>
      <c r="FQC3" s="12" t="s">
        <v>7029</v>
      </c>
      <c r="FQD3" s="12" t="s">
        <v>7030</v>
      </c>
      <c r="FQE3" s="12" t="s">
        <v>7031</v>
      </c>
      <c r="FQF3" s="12" t="s">
        <v>7032</v>
      </c>
      <c r="FQG3" s="12" t="s">
        <v>7033</v>
      </c>
      <c r="FQH3" s="12" t="s">
        <v>7034</v>
      </c>
      <c r="FQI3" s="12" t="s">
        <v>7035</v>
      </c>
      <c r="FQJ3" s="12" t="s">
        <v>7036</v>
      </c>
      <c r="FQK3" s="12" t="s">
        <v>7037</v>
      </c>
      <c r="FQL3" s="12" t="s">
        <v>7038</v>
      </c>
      <c r="FQM3" s="12" t="s">
        <v>7039</v>
      </c>
      <c r="FQN3" s="12" t="s">
        <v>7040</v>
      </c>
      <c r="FQO3" s="12" t="s">
        <v>7041</v>
      </c>
      <c r="FQP3" s="12" t="s">
        <v>7042</v>
      </c>
      <c r="FQQ3" s="12" t="s">
        <v>7043</v>
      </c>
      <c r="FQR3" s="12" t="s">
        <v>7044</v>
      </c>
      <c r="FQS3" s="12" t="s">
        <v>7045</v>
      </c>
      <c r="FQT3" s="12" t="s">
        <v>7046</v>
      </c>
      <c r="FQU3" s="12" t="s">
        <v>7047</v>
      </c>
      <c r="FQV3" s="12" t="s">
        <v>7048</v>
      </c>
      <c r="FQW3" s="12" t="s">
        <v>7049</v>
      </c>
      <c r="FQX3" s="12" t="s">
        <v>7050</v>
      </c>
      <c r="FQY3" s="12" t="s">
        <v>7051</v>
      </c>
      <c r="FQZ3" s="12" t="s">
        <v>7052</v>
      </c>
      <c r="FRA3" s="12" t="s">
        <v>7053</v>
      </c>
      <c r="FRB3" s="12" t="s">
        <v>7054</v>
      </c>
      <c r="FRC3" s="12" t="s">
        <v>7055</v>
      </c>
      <c r="FRD3" s="12" t="s">
        <v>7056</v>
      </c>
      <c r="FRE3" s="12" t="s">
        <v>7057</v>
      </c>
      <c r="FRF3" s="12" t="s">
        <v>7058</v>
      </c>
      <c r="FRG3" s="12" t="s">
        <v>7059</v>
      </c>
      <c r="FRH3" s="12" t="s">
        <v>7060</v>
      </c>
      <c r="FRI3" s="12" t="s">
        <v>7061</v>
      </c>
      <c r="FRJ3" s="12" t="s">
        <v>7062</v>
      </c>
      <c r="FRK3" s="12" t="s">
        <v>7063</v>
      </c>
      <c r="FRL3" s="12" t="s">
        <v>7064</v>
      </c>
      <c r="FRM3" s="12" t="s">
        <v>7065</v>
      </c>
      <c r="FRN3" s="12" t="s">
        <v>7066</v>
      </c>
      <c r="FRO3" s="12" t="s">
        <v>7067</v>
      </c>
      <c r="FRP3" s="12" t="s">
        <v>7068</v>
      </c>
      <c r="FRQ3" s="12" t="s">
        <v>7069</v>
      </c>
      <c r="FRR3" s="12" t="s">
        <v>7070</v>
      </c>
      <c r="FRS3" s="12" t="s">
        <v>7071</v>
      </c>
      <c r="FRT3" s="12" t="s">
        <v>7072</v>
      </c>
      <c r="FRU3" s="12" t="s">
        <v>7073</v>
      </c>
      <c r="FRV3" s="12" t="s">
        <v>7074</v>
      </c>
      <c r="FRW3" s="12" t="s">
        <v>7075</v>
      </c>
      <c r="FRX3" s="12" t="s">
        <v>7076</v>
      </c>
      <c r="FRY3" s="12" t="s">
        <v>7077</v>
      </c>
      <c r="FRZ3" s="12" t="s">
        <v>7078</v>
      </c>
      <c r="FSA3" s="12" t="s">
        <v>7079</v>
      </c>
      <c r="FSB3" s="12" t="s">
        <v>7080</v>
      </c>
      <c r="FSC3" s="12" t="s">
        <v>7081</v>
      </c>
      <c r="FSD3" s="12" t="s">
        <v>7082</v>
      </c>
      <c r="FSE3" s="12" t="s">
        <v>7083</v>
      </c>
      <c r="FSF3" s="12" t="s">
        <v>7084</v>
      </c>
      <c r="FSG3" s="12" t="s">
        <v>7085</v>
      </c>
      <c r="FSH3" s="12" t="s">
        <v>7086</v>
      </c>
      <c r="FSI3" s="12" t="s">
        <v>7087</v>
      </c>
      <c r="FSJ3" s="12" t="s">
        <v>7088</v>
      </c>
      <c r="FSK3" s="12" t="s">
        <v>7089</v>
      </c>
      <c r="FSL3" s="12" t="s">
        <v>7090</v>
      </c>
      <c r="FSM3" s="12" t="s">
        <v>7091</v>
      </c>
      <c r="FSN3" s="12" t="s">
        <v>7092</v>
      </c>
      <c r="FSO3" s="12" t="s">
        <v>7093</v>
      </c>
      <c r="FSP3" s="12" t="s">
        <v>7094</v>
      </c>
      <c r="FSQ3" s="12" t="s">
        <v>7095</v>
      </c>
      <c r="FSR3" s="12" t="s">
        <v>7096</v>
      </c>
      <c r="FSS3" s="12" t="s">
        <v>7097</v>
      </c>
      <c r="FST3" s="12" t="s">
        <v>7098</v>
      </c>
      <c r="FSU3" s="12" t="s">
        <v>7099</v>
      </c>
      <c r="FSV3" s="12" t="s">
        <v>7100</v>
      </c>
      <c r="FSW3" s="12" t="s">
        <v>7101</v>
      </c>
      <c r="FSX3" s="12" t="s">
        <v>7102</v>
      </c>
      <c r="FSY3" s="12" t="s">
        <v>7103</v>
      </c>
      <c r="FSZ3" s="12" t="s">
        <v>7104</v>
      </c>
      <c r="FTA3" s="12" t="s">
        <v>7105</v>
      </c>
      <c r="FTB3" s="12" t="s">
        <v>7106</v>
      </c>
      <c r="FTC3" s="12" t="s">
        <v>7107</v>
      </c>
      <c r="FTD3" s="12" t="s">
        <v>7108</v>
      </c>
      <c r="FTE3" s="12" t="s">
        <v>7109</v>
      </c>
      <c r="FTF3" s="12" t="s">
        <v>7110</v>
      </c>
      <c r="FTG3" s="12" t="s">
        <v>7111</v>
      </c>
      <c r="FTH3" s="12" t="s">
        <v>7112</v>
      </c>
      <c r="FTI3" s="12" t="s">
        <v>7113</v>
      </c>
      <c r="FTJ3" s="12" t="s">
        <v>7114</v>
      </c>
      <c r="FTK3" s="12" t="s">
        <v>7115</v>
      </c>
      <c r="FTL3" s="12" t="s">
        <v>7116</v>
      </c>
      <c r="FTM3" s="12" t="s">
        <v>7117</v>
      </c>
      <c r="FTN3" s="12" t="s">
        <v>7118</v>
      </c>
      <c r="FTO3" s="12" t="s">
        <v>7119</v>
      </c>
      <c r="FTP3" s="12" t="s">
        <v>7120</v>
      </c>
      <c r="FTQ3" s="12" t="s">
        <v>7121</v>
      </c>
      <c r="FTR3" s="12" t="s">
        <v>7122</v>
      </c>
      <c r="FTS3" s="12" t="s">
        <v>7123</v>
      </c>
      <c r="FTT3" s="12" t="s">
        <v>7124</v>
      </c>
      <c r="FTU3" s="12" t="s">
        <v>7125</v>
      </c>
      <c r="FTV3" s="12" t="s">
        <v>7126</v>
      </c>
      <c r="FTW3" s="12" t="s">
        <v>7127</v>
      </c>
      <c r="FTX3" s="12" t="s">
        <v>7128</v>
      </c>
      <c r="FTY3" s="12" t="s">
        <v>7129</v>
      </c>
      <c r="FTZ3" s="12" t="s">
        <v>7130</v>
      </c>
      <c r="FUA3" s="12" t="s">
        <v>7131</v>
      </c>
      <c r="FUB3" s="12" t="s">
        <v>7132</v>
      </c>
      <c r="FUC3" s="12" t="s">
        <v>7133</v>
      </c>
      <c r="FUD3" s="12" t="s">
        <v>7134</v>
      </c>
      <c r="FUE3" s="12" t="s">
        <v>7135</v>
      </c>
      <c r="FUF3" s="12" t="s">
        <v>7136</v>
      </c>
      <c r="FUG3" s="12" t="s">
        <v>7137</v>
      </c>
      <c r="FUH3" s="12" t="s">
        <v>7138</v>
      </c>
      <c r="FUI3" s="12" t="s">
        <v>7139</v>
      </c>
      <c r="FUJ3" s="12" t="s">
        <v>7140</v>
      </c>
      <c r="FUK3" s="12" t="s">
        <v>7141</v>
      </c>
      <c r="FUL3" s="12" t="s">
        <v>7142</v>
      </c>
      <c r="FUM3" s="12" t="s">
        <v>7143</v>
      </c>
      <c r="FUN3" s="12" t="s">
        <v>7144</v>
      </c>
      <c r="FUO3" s="12" t="s">
        <v>7145</v>
      </c>
      <c r="FUP3" s="12" t="s">
        <v>7146</v>
      </c>
      <c r="FUQ3" s="12" t="s">
        <v>7147</v>
      </c>
      <c r="FUR3" s="12" t="s">
        <v>7148</v>
      </c>
      <c r="FUS3" s="12" t="s">
        <v>7149</v>
      </c>
      <c r="FUT3" s="12" t="s">
        <v>7150</v>
      </c>
      <c r="FUU3" s="12" t="s">
        <v>7151</v>
      </c>
      <c r="FUV3" s="12" t="s">
        <v>7152</v>
      </c>
      <c r="FUW3" s="12" t="s">
        <v>7153</v>
      </c>
      <c r="FUX3" s="12" t="s">
        <v>7154</v>
      </c>
      <c r="FUY3" s="12" t="s">
        <v>7155</v>
      </c>
      <c r="FUZ3" s="12" t="s">
        <v>7156</v>
      </c>
      <c r="FVA3" s="12" t="s">
        <v>7157</v>
      </c>
      <c r="FVB3" s="12" t="s">
        <v>7158</v>
      </c>
      <c r="FVC3" s="12" t="s">
        <v>7159</v>
      </c>
      <c r="FVD3" s="12" t="s">
        <v>7160</v>
      </c>
      <c r="FVE3" s="12" t="s">
        <v>7161</v>
      </c>
      <c r="FVF3" s="12" t="s">
        <v>7162</v>
      </c>
      <c r="FVG3" s="12" t="s">
        <v>7163</v>
      </c>
      <c r="FVH3" s="12" t="s">
        <v>7164</v>
      </c>
      <c r="FVI3" s="12" t="s">
        <v>7165</v>
      </c>
      <c r="FVJ3" s="12" t="s">
        <v>7166</v>
      </c>
      <c r="FVK3" s="12" t="s">
        <v>7167</v>
      </c>
      <c r="FVL3" s="12" t="s">
        <v>7168</v>
      </c>
      <c r="FVM3" s="12" t="s">
        <v>7169</v>
      </c>
      <c r="FVN3" s="12" t="s">
        <v>7170</v>
      </c>
      <c r="FVO3" s="12" t="s">
        <v>7171</v>
      </c>
      <c r="FVP3" s="12" t="s">
        <v>7172</v>
      </c>
      <c r="FVQ3" s="12" t="s">
        <v>7173</v>
      </c>
      <c r="FVR3" s="12" t="s">
        <v>7174</v>
      </c>
      <c r="FVS3" s="12" t="s">
        <v>7175</v>
      </c>
      <c r="FVT3" s="12" t="s">
        <v>7176</v>
      </c>
      <c r="FVU3" s="12" t="s">
        <v>7177</v>
      </c>
      <c r="FVV3" s="12" t="s">
        <v>7178</v>
      </c>
      <c r="FVW3" s="12" t="s">
        <v>7179</v>
      </c>
      <c r="FVX3" s="12" t="s">
        <v>7180</v>
      </c>
      <c r="FVY3" s="12" t="s">
        <v>7181</v>
      </c>
      <c r="FVZ3" s="12" t="s">
        <v>7182</v>
      </c>
      <c r="FWA3" s="12" t="s">
        <v>7183</v>
      </c>
      <c r="FWB3" s="12" t="s">
        <v>7184</v>
      </c>
      <c r="FWC3" s="12" t="s">
        <v>7185</v>
      </c>
      <c r="FWD3" s="12" t="s">
        <v>7186</v>
      </c>
      <c r="FWE3" s="12" t="s">
        <v>7187</v>
      </c>
      <c r="FWF3" s="12" t="s">
        <v>7188</v>
      </c>
      <c r="FWG3" s="12" t="s">
        <v>7189</v>
      </c>
      <c r="FWH3" s="12" t="s">
        <v>7190</v>
      </c>
      <c r="FWI3" s="12" t="s">
        <v>7191</v>
      </c>
      <c r="FWJ3" s="12" t="s">
        <v>7192</v>
      </c>
      <c r="FWK3" s="12" t="s">
        <v>7193</v>
      </c>
      <c r="FWL3" s="12" t="s">
        <v>7194</v>
      </c>
      <c r="FWM3" s="12" t="s">
        <v>7195</v>
      </c>
      <c r="FWN3" s="12" t="s">
        <v>7196</v>
      </c>
      <c r="FWO3" s="12" t="s">
        <v>7197</v>
      </c>
      <c r="FWP3" s="12" t="s">
        <v>7198</v>
      </c>
      <c r="FWQ3" s="12" t="s">
        <v>7199</v>
      </c>
      <c r="FWR3" s="12" t="s">
        <v>7200</v>
      </c>
      <c r="FWS3" s="12" t="s">
        <v>7201</v>
      </c>
      <c r="FWT3" s="12" t="s">
        <v>7202</v>
      </c>
      <c r="FWU3" s="12" t="s">
        <v>7203</v>
      </c>
      <c r="FWV3" s="12" t="s">
        <v>7204</v>
      </c>
      <c r="FWW3" s="12" t="s">
        <v>7205</v>
      </c>
      <c r="FWX3" s="12" t="s">
        <v>7206</v>
      </c>
      <c r="FWY3" s="12" t="s">
        <v>7207</v>
      </c>
      <c r="FWZ3" s="12" t="s">
        <v>7208</v>
      </c>
      <c r="FXA3" s="12" t="s">
        <v>7209</v>
      </c>
      <c r="FXB3" s="12" t="s">
        <v>7210</v>
      </c>
      <c r="FXC3" s="12" t="s">
        <v>7211</v>
      </c>
      <c r="FXD3" s="12" t="s">
        <v>7212</v>
      </c>
      <c r="FXE3" s="12" t="s">
        <v>7213</v>
      </c>
      <c r="FXF3" s="12" t="s">
        <v>7214</v>
      </c>
      <c r="FXG3" s="12" t="s">
        <v>7215</v>
      </c>
      <c r="FXH3" s="12" t="s">
        <v>7216</v>
      </c>
      <c r="FXI3" s="12" t="s">
        <v>7217</v>
      </c>
      <c r="FXJ3" s="12" t="s">
        <v>7218</v>
      </c>
      <c r="FXK3" s="12" t="s">
        <v>7219</v>
      </c>
      <c r="FXL3" s="12" t="s">
        <v>7220</v>
      </c>
      <c r="FXM3" s="12" t="s">
        <v>7221</v>
      </c>
      <c r="FXN3" s="12" t="s">
        <v>7222</v>
      </c>
      <c r="FXO3" s="12" t="s">
        <v>7223</v>
      </c>
      <c r="FXP3" s="12" t="s">
        <v>7224</v>
      </c>
      <c r="FXQ3" s="12" t="s">
        <v>7225</v>
      </c>
      <c r="FXR3" s="12" t="s">
        <v>7226</v>
      </c>
      <c r="FXS3" s="12" t="s">
        <v>7227</v>
      </c>
      <c r="FXT3" s="12" t="s">
        <v>7228</v>
      </c>
      <c r="FXU3" s="12" t="s">
        <v>7229</v>
      </c>
      <c r="FXV3" s="12" t="s">
        <v>7230</v>
      </c>
      <c r="FXW3" s="12" t="s">
        <v>7231</v>
      </c>
      <c r="FXX3" s="12" t="s">
        <v>7232</v>
      </c>
      <c r="FXY3" s="12" t="s">
        <v>7233</v>
      </c>
      <c r="FXZ3" s="12" t="s">
        <v>7234</v>
      </c>
      <c r="FYA3" s="12" t="s">
        <v>7235</v>
      </c>
      <c r="FYB3" s="12" t="s">
        <v>7236</v>
      </c>
      <c r="FYC3" s="12" t="s">
        <v>7237</v>
      </c>
      <c r="FYD3" s="12" t="s">
        <v>7238</v>
      </c>
      <c r="FYE3" s="12" t="s">
        <v>7239</v>
      </c>
      <c r="FYF3" s="12" t="s">
        <v>7240</v>
      </c>
      <c r="FYG3" s="12" t="s">
        <v>7241</v>
      </c>
      <c r="FYH3" s="12" t="s">
        <v>7242</v>
      </c>
      <c r="FYI3" s="12" t="s">
        <v>7243</v>
      </c>
      <c r="FYJ3" s="12" t="s">
        <v>7244</v>
      </c>
      <c r="FYK3" s="12" t="s">
        <v>7245</v>
      </c>
      <c r="FYL3" s="12" t="s">
        <v>7246</v>
      </c>
      <c r="FYM3" s="12" t="s">
        <v>7247</v>
      </c>
      <c r="FYN3" s="12" t="s">
        <v>7248</v>
      </c>
      <c r="FYO3" s="12" t="s">
        <v>7249</v>
      </c>
      <c r="FYP3" s="12" t="s">
        <v>7250</v>
      </c>
      <c r="FYQ3" s="12" t="s">
        <v>7251</v>
      </c>
      <c r="FYR3" s="12" t="s">
        <v>7252</v>
      </c>
      <c r="FYS3" s="12" t="s">
        <v>7253</v>
      </c>
      <c r="FYT3" s="12" t="s">
        <v>7254</v>
      </c>
      <c r="FYU3" s="12" t="s">
        <v>7255</v>
      </c>
      <c r="FYV3" s="12" t="s">
        <v>7256</v>
      </c>
      <c r="FYW3" s="12" t="s">
        <v>7257</v>
      </c>
      <c r="FYX3" s="12" t="s">
        <v>7258</v>
      </c>
      <c r="FYY3" s="12" t="s">
        <v>7259</v>
      </c>
      <c r="FYZ3" s="12" t="s">
        <v>7260</v>
      </c>
      <c r="FZA3" s="12" t="s">
        <v>7261</v>
      </c>
      <c r="FZB3" s="12" t="s">
        <v>7262</v>
      </c>
      <c r="FZC3" s="12" t="s">
        <v>7263</v>
      </c>
      <c r="FZD3" s="12" t="s">
        <v>7264</v>
      </c>
      <c r="FZE3" s="12" t="s">
        <v>7265</v>
      </c>
      <c r="FZF3" s="12" t="s">
        <v>7266</v>
      </c>
      <c r="FZG3" s="12" t="s">
        <v>7267</v>
      </c>
      <c r="FZH3" s="12" t="s">
        <v>7268</v>
      </c>
      <c r="FZI3" s="12" t="s">
        <v>7269</v>
      </c>
      <c r="FZJ3" s="12" t="s">
        <v>7270</v>
      </c>
      <c r="FZK3" s="12" t="s">
        <v>7271</v>
      </c>
      <c r="FZL3" s="12" t="s">
        <v>7272</v>
      </c>
      <c r="FZM3" s="12" t="s">
        <v>7273</v>
      </c>
      <c r="FZN3" s="12" t="s">
        <v>7274</v>
      </c>
      <c r="FZO3" s="12" t="s">
        <v>7275</v>
      </c>
      <c r="FZP3" s="12" t="s">
        <v>7276</v>
      </c>
      <c r="FZQ3" s="12" t="s">
        <v>7277</v>
      </c>
      <c r="FZR3" s="12" t="s">
        <v>7278</v>
      </c>
      <c r="FZS3" s="12" t="s">
        <v>7279</v>
      </c>
      <c r="FZT3" s="12" t="s">
        <v>7280</v>
      </c>
      <c r="FZU3" s="12" t="s">
        <v>7281</v>
      </c>
      <c r="FZV3" s="12" t="s">
        <v>7282</v>
      </c>
      <c r="FZW3" s="12" t="s">
        <v>7283</v>
      </c>
      <c r="FZX3" s="12" t="s">
        <v>7284</v>
      </c>
      <c r="FZY3" s="12" t="s">
        <v>7285</v>
      </c>
      <c r="FZZ3" s="12" t="s">
        <v>7286</v>
      </c>
      <c r="GAA3" s="12" t="s">
        <v>7287</v>
      </c>
      <c r="GAB3" s="12" t="s">
        <v>7288</v>
      </c>
      <c r="GAC3" s="12" t="s">
        <v>7289</v>
      </c>
      <c r="GAD3" s="12" t="s">
        <v>7290</v>
      </c>
      <c r="GAE3" s="12" t="s">
        <v>7291</v>
      </c>
      <c r="GAF3" s="12" t="s">
        <v>7292</v>
      </c>
      <c r="GAG3" s="12" t="s">
        <v>7293</v>
      </c>
      <c r="GAH3" s="12" t="s">
        <v>7294</v>
      </c>
      <c r="GAI3" s="12" t="s">
        <v>7295</v>
      </c>
      <c r="GAJ3" s="12" t="s">
        <v>7296</v>
      </c>
      <c r="GAK3" s="12" t="s">
        <v>7297</v>
      </c>
      <c r="GAL3" s="12" t="s">
        <v>7298</v>
      </c>
      <c r="GAM3" s="12" t="s">
        <v>7299</v>
      </c>
      <c r="GAN3" s="12" t="s">
        <v>7300</v>
      </c>
      <c r="GAO3" s="12" t="s">
        <v>7301</v>
      </c>
      <c r="GAP3" s="12" t="s">
        <v>7302</v>
      </c>
      <c r="GAQ3" s="12" t="s">
        <v>7303</v>
      </c>
      <c r="GAR3" s="12" t="s">
        <v>7304</v>
      </c>
      <c r="GAS3" s="12" t="s">
        <v>7305</v>
      </c>
      <c r="GAT3" s="12" t="s">
        <v>7306</v>
      </c>
      <c r="GAU3" s="12" t="s">
        <v>7307</v>
      </c>
      <c r="GAV3" s="12" t="s">
        <v>7308</v>
      </c>
      <c r="GAW3" s="12" t="s">
        <v>7309</v>
      </c>
      <c r="GAX3" s="12" t="s">
        <v>7310</v>
      </c>
      <c r="GAY3" s="12" t="s">
        <v>7311</v>
      </c>
      <c r="GAZ3" s="12" t="s">
        <v>7312</v>
      </c>
      <c r="GBA3" s="12" t="s">
        <v>7313</v>
      </c>
      <c r="GBB3" s="12" t="s">
        <v>7314</v>
      </c>
      <c r="GBC3" s="12" t="s">
        <v>7315</v>
      </c>
      <c r="GBD3" s="12" t="s">
        <v>7316</v>
      </c>
      <c r="GBE3" s="12" t="s">
        <v>7317</v>
      </c>
      <c r="GBF3" s="12" t="s">
        <v>7318</v>
      </c>
      <c r="GBG3" s="12" t="s">
        <v>7319</v>
      </c>
      <c r="GBH3" s="12" t="s">
        <v>7320</v>
      </c>
      <c r="GBI3" s="12" t="s">
        <v>7321</v>
      </c>
      <c r="GBJ3" s="12" t="s">
        <v>7322</v>
      </c>
      <c r="GBK3" s="12" t="s">
        <v>7323</v>
      </c>
      <c r="GBL3" s="12" t="s">
        <v>7324</v>
      </c>
      <c r="GBM3" s="12" t="s">
        <v>7325</v>
      </c>
      <c r="GBN3" s="12" t="s">
        <v>7326</v>
      </c>
      <c r="GBO3" s="12" t="s">
        <v>7327</v>
      </c>
      <c r="GBP3" s="12" t="s">
        <v>7328</v>
      </c>
      <c r="GBQ3" s="12" t="s">
        <v>7329</v>
      </c>
      <c r="GBR3" s="12" t="s">
        <v>7330</v>
      </c>
      <c r="GBS3" s="12" t="s">
        <v>7331</v>
      </c>
      <c r="GBT3" s="12" t="s">
        <v>7332</v>
      </c>
      <c r="GBU3" s="12" t="s">
        <v>7333</v>
      </c>
      <c r="GBV3" s="12" t="s">
        <v>7334</v>
      </c>
      <c r="GBW3" s="12" t="s">
        <v>7335</v>
      </c>
      <c r="GBX3" s="12" t="s">
        <v>7336</v>
      </c>
      <c r="GBY3" s="12" t="s">
        <v>7337</v>
      </c>
      <c r="GBZ3" s="12" t="s">
        <v>7338</v>
      </c>
      <c r="GCA3" s="12" t="s">
        <v>7339</v>
      </c>
      <c r="GCB3" s="12" t="s">
        <v>7340</v>
      </c>
      <c r="GCC3" s="12" t="s">
        <v>7341</v>
      </c>
      <c r="GCD3" s="12" t="s">
        <v>7342</v>
      </c>
      <c r="GCE3" s="12" t="s">
        <v>7343</v>
      </c>
      <c r="GCF3" s="12" t="s">
        <v>7344</v>
      </c>
      <c r="GCG3" s="12" t="s">
        <v>7345</v>
      </c>
      <c r="GCH3" s="12" t="s">
        <v>7346</v>
      </c>
      <c r="GCI3" s="12" t="s">
        <v>7347</v>
      </c>
      <c r="GCJ3" s="12" t="s">
        <v>7348</v>
      </c>
      <c r="GCK3" s="12" t="s">
        <v>7349</v>
      </c>
      <c r="GCL3" s="12" t="s">
        <v>7350</v>
      </c>
      <c r="GCM3" s="12" t="s">
        <v>7351</v>
      </c>
      <c r="GCN3" s="12" t="s">
        <v>7352</v>
      </c>
      <c r="GCO3" s="12" t="s">
        <v>7353</v>
      </c>
      <c r="GCP3" s="12" t="s">
        <v>7354</v>
      </c>
      <c r="GCQ3" s="12" t="s">
        <v>7355</v>
      </c>
      <c r="GCR3" s="12" t="s">
        <v>7356</v>
      </c>
      <c r="GCS3" s="12" t="s">
        <v>7357</v>
      </c>
      <c r="GCT3" s="12" t="s">
        <v>7358</v>
      </c>
      <c r="GCU3" s="12" t="s">
        <v>7359</v>
      </c>
      <c r="GCV3" s="12" t="s">
        <v>7360</v>
      </c>
      <c r="GCW3" s="12" t="s">
        <v>7361</v>
      </c>
      <c r="GCX3" s="12" t="s">
        <v>7362</v>
      </c>
      <c r="GCY3" s="12" t="s">
        <v>7363</v>
      </c>
      <c r="GCZ3" s="12" t="s">
        <v>7364</v>
      </c>
      <c r="GDA3" s="12" t="s">
        <v>7365</v>
      </c>
      <c r="GDB3" s="12" t="s">
        <v>7366</v>
      </c>
      <c r="GDC3" s="12" t="s">
        <v>7367</v>
      </c>
      <c r="GDD3" s="12" t="s">
        <v>7368</v>
      </c>
      <c r="GDE3" s="12" t="s">
        <v>7369</v>
      </c>
      <c r="GDF3" s="12" t="s">
        <v>7370</v>
      </c>
      <c r="GDG3" s="12" t="s">
        <v>7371</v>
      </c>
      <c r="GDH3" s="12" t="s">
        <v>7372</v>
      </c>
      <c r="GDI3" s="12" t="s">
        <v>7373</v>
      </c>
      <c r="GDJ3" s="12" t="s">
        <v>7374</v>
      </c>
      <c r="GDK3" s="12" t="s">
        <v>7375</v>
      </c>
      <c r="GDL3" s="12" t="s">
        <v>7376</v>
      </c>
      <c r="GDM3" s="12" t="s">
        <v>7377</v>
      </c>
      <c r="GDN3" s="12" t="s">
        <v>7378</v>
      </c>
      <c r="GDO3" s="12" t="s">
        <v>7379</v>
      </c>
      <c r="GDP3" s="12" t="s">
        <v>7380</v>
      </c>
      <c r="GDQ3" s="12" t="s">
        <v>7381</v>
      </c>
      <c r="GDR3" s="12" t="s">
        <v>7382</v>
      </c>
      <c r="GDS3" s="12" t="s">
        <v>7383</v>
      </c>
      <c r="GDT3" s="12" t="s">
        <v>7384</v>
      </c>
      <c r="GDU3" s="12" t="s">
        <v>7385</v>
      </c>
      <c r="GDV3" s="12" t="s">
        <v>7386</v>
      </c>
      <c r="GDW3" s="12" t="s">
        <v>7387</v>
      </c>
      <c r="GDX3" s="12" t="s">
        <v>7388</v>
      </c>
      <c r="GDY3" s="12" t="s">
        <v>7389</v>
      </c>
      <c r="GDZ3" s="12" t="s">
        <v>7390</v>
      </c>
      <c r="GEA3" s="12" t="s">
        <v>7391</v>
      </c>
      <c r="GEB3" s="12" t="s">
        <v>7392</v>
      </c>
      <c r="GEC3" s="12" t="s">
        <v>7393</v>
      </c>
      <c r="GED3" s="12" t="s">
        <v>7394</v>
      </c>
      <c r="GEE3" s="12" t="s">
        <v>7395</v>
      </c>
      <c r="GEF3" s="12" t="s">
        <v>7396</v>
      </c>
      <c r="GEG3" s="12" t="s">
        <v>7397</v>
      </c>
      <c r="GEH3" s="12" t="s">
        <v>7398</v>
      </c>
      <c r="GEI3" s="12" t="s">
        <v>7399</v>
      </c>
      <c r="GEJ3" s="12" t="s">
        <v>7400</v>
      </c>
      <c r="GEK3" s="12" t="s">
        <v>7401</v>
      </c>
      <c r="GEL3" s="12" t="s">
        <v>7402</v>
      </c>
      <c r="GEM3" s="12" t="s">
        <v>7403</v>
      </c>
      <c r="GEN3" s="12" t="s">
        <v>7404</v>
      </c>
      <c r="GEO3" s="12" t="s">
        <v>7405</v>
      </c>
      <c r="GEP3" s="12" t="s">
        <v>7406</v>
      </c>
      <c r="GEQ3" s="12" t="s">
        <v>7407</v>
      </c>
      <c r="GER3" s="12" t="s">
        <v>7408</v>
      </c>
      <c r="GES3" s="12" t="s">
        <v>7409</v>
      </c>
      <c r="GET3" s="12" t="s">
        <v>7410</v>
      </c>
      <c r="GEU3" s="12" t="s">
        <v>7411</v>
      </c>
      <c r="GEV3" s="12" t="s">
        <v>7412</v>
      </c>
      <c r="GEW3" s="12" t="s">
        <v>7413</v>
      </c>
      <c r="GEX3" s="12" t="s">
        <v>7414</v>
      </c>
      <c r="GEY3" s="12" t="s">
        <v>7415</v>
      </c>
      <c r="GEZ3" s="12" t="s">
        <v>7416</v>
      </c>
      <c r="GFA3" s="12" t="s">
        <v>7417</v>
      </c>
      <c r="GFB3" s="12" t="s">
        <v>7418</v>
      </c>
      <c r="GFC3" s="12" t="s">
        <v>7419</v>
      </c>
      <c r="GFD3" s="12" t="s">
        <v>7420</v>
      </c>
      <c r="GFE3" s="12" t="s">
        <v>7421</v>
      </c>
      <c r="GFF3" s="12" t="s">
        <v>7422</v>
      </c>
      <c r="GFG3" s="12" t="s">
        <v>7423</v>
      </c>
      <c r="GFH3" s="12" t="s">
        <v>7424</v>
      </c>
      <c r="GFI3" s="12" t="s">
        <v>7425</v>
      </c>
      <c r="GFJ3" s="12" t="s">
        <v>7426</v>
      </c>
      <c r="GFK3" s="12" t="s">
        <v>7427</v>
      </c>
      <c r="GFL3" s="12" t="s">
        <v>7428</v>
      </c>
      <c r="GFM3" s="12" t="s">
        <v>7429</v>
      </c>
      <c r="GFN3" s="12" t="s">
        <v>7430</v>
      </c>
      <c r="GFO3" s="12" t="s">
        <v>7431</v>
      </c>
      <c r="GFP3" s="12" t="s">
        <v>7432</v>
      </c>
      <c r="GFQ3" s="12" t="s">
        <v>7433</v>
      </c>
      <c r="GFR3" s="12" t="s">
        <v>7434</v>
      </c>
      <c r="GFS3" s="12" t="s">
        <v>7435</v>
      </c>
      <c r="GFT3" s="12" t="s">
        <v>7436</v>
      </c>
      <c r="GFU3" s="12" t="s">
        <v>7437</v>
      </c>
      <c r="GFV3" s="12" t="s">
        <v>7438</v>
      </c>
      <c r="GFW3" s="12" t="s">
        <v>7439</v>
      </c>
      <c r="GFX3" s="12" t="s">
        <v>7440</v>
      </c>
      <c r="GFY3" s="12" t="s">
        <v>7441</v>
      </c>
      <c r="GFZ3" s="12" t="s">
        <v>7442</v>
      </c>
      <c r="GGA3" s="12" t="s">
        <v>7443</v>
      </c>
      <c r="GGB3" s="12" t="s">
        <v>7444</v>
      </c>
      <c r="GGC3" s="12" t="s">
        <v>7445</v>
      </c>
      <c r="GGD3" s="12" t="s">
        <v>7446</v>
      </c>
      <c r="GGE3" s="12" t="s">
        <v>7447</v>
      </c>
      <c r="GGF3" s="12" t="s">
        <v>7448</v>
      </c>
      <c r="GGG3" s="12" t="s">
        <v>7449</v>
      </c>
      <c r="GGH3" s="12" t="s">
        <v>7450</v>
      </c>
      <c r="GGI3" s="12" t="s">
        <v>7451</v>
      </c>
      <c r="GGJ3" s="12" t="s">
        <v>7452</v>
      </c>
      <c r="GGK3" s="12" t="s">
        <v>7453</v>
      </c>
      <c r="GGL3" s="12" t="s">
        <v>7454</v>
      </c>
      <c r="GGM3" s="12" t="s">
        <v>7455</v>
      </c>
      <c r="GGN3" s="12" t="s">
        <v>7456</v>
      </c>
      <c r="GGO3" s="12" t="s">
        <v>7457</v>
      </c>
      <c r="GGP3" s="12" t="s">
        <v>7458</v>
      </c>
      <c r="GGQ3" s="12" t="s">
        <v>7459</v>
      </c>
      <c r="GGR3" s="12" t="s">
        <v>7460</v>
      </c>
      <c r="GGS3" s="12" t="s">
        <v>7461</v>
      </c>
      <c r="GGT3" s="12" t="s">
        <v>7462</v>
      </c>
      <c r="GGU3" s="12" t="s">
        <v>7463</v>
      </c>
      <c r="GGV3" s="12" t="s">
        <v>7464</v>
      </c>
      <c r="GGW3" s="12" t="s">
        <v>7465</v>
      </c>
      <c r="GGX3" s="12" t="s">
        <v>7466</v>
      </c>
      <c r="GGY3" s="12" t="s">
        <v>7467</v>
      </c>
      <c r="GGZ3" s="12" t="s">
        <v>7468</v>
      </c>
      <c r="GHA3" s="12" t="s">
        <v>7469</v>
      </c>
      <c r="GHB3" s="12" t="s">
        <v>7470</v>
      </c>
      <c r="GHC3" s="12" t="s">
        <v>7471</v>
      </c>
      <c r="GHD3" s="12" t="s">
        <v>7472</v>
      </c>
      <c r="GHE3" s="12" t="s">
        <v>7473</v>
      </c>
      <c r="GHF3" s="12" t="s">
        <v>7474</v>
      </c>
      <c r="GHG3" s="12" t="s">
        <v>7475</v>
      </c>
      <c r="GHH3" s="12" t="s">
        <v>7476</v>
      </c>
      <c r="GHI3" s="12" t="s">
        <v>7477</v>
      </c>
      <c r="GHJ3" s="12" t="s">
        <v>7478</v>
      </c>
      <c r="GHK3" s="12" t="s">
        <v>7479</v>
      </c>
      <c r="GHL3" s="12" t="s">
        <v>7480</v>
      </c>
      <c r="GHM3" s="12" t="s">
        <v>7481</v>
      </c>
      <c r="GHN3" s="12" t="s">
        <v>7482</v>
      </c>
      <c r="GHO3" s="12" t="s">
        <v>7483</v>
      </c>
      <c r="GHP3" s="12" t="s">
        <v>7484</v>
      </c>
      <c r="GHQ3" s="12" t="s">
        <v>7485</v>
      </c>
      <c r="GHR3" s="12" t="s">
        <v>7486</v>
      </c>
      <c r="GHS3" s="12" t="s">
        <v>7487</v>
      </c>
      <c r="GHT3" s="12" t="s">
        <v>7488</v>
      </c>
      <c r="GHU3" s="12" t="s">
        <v>7489</v>
      </c>
      <c r="GHV3" s="12" t="s">
        <v>7490</v>
      </c>
      <c r="GHW3" s="12" t="s">
        <v>7491</v>
      </c>
      <c r="GHX3" s="12" t="s">
        <v>7492</v>
      </c>
      <c r="GHY3" s="12" t="s">
        <v>7493</v>
      </c>
      <c r="GHZ3" s="12" t="s">
        <v>7494</v>
      </c>
      <c r="GIA3" s="12" t="s">
        <v>7495</v>
      </c>
      <c r="GIB3" s="12" t="s">
        <v>7496</v>
      </c>
      <c r="GIC3" s="12" t="s">
        <v>7497</v>
      </c>
      <c r="GID3" s="12" t="s">
        <v>7498</v>
      </c>
      <c r="GIE3" s="12" t="s">
        <v>7499</v>
      </c>
      <c r="GIF3" s="12" t="s">
        <v>7500</v>
      </c>
      <c r="GIG3" s="12" t="s">
        <v>7501</v>
      </c>
      <c r="GIH3" s="12" t="s">
        <v>7502</v>
      </c>
      <c r="GII3" s="12" t="s">
        <v>7503</v>
      </c>
      <c r="GIJ3" s="12" t="s">
        <v>7504</v>
      </c>
      <c r="GIK3" s="12" t="s">
        <v>7505</v>
      </c>
      <c r="GIL3" s="12" t="s">
        <v>7506</v>
      </c>
      <c r="GIM3" s="12" t="s">
        <v>7507</v>
      </c>
      <c r="GIN3" s="12" t="s">
        <v>7508</v>
      </c>
      <c r="GIO3" s="12" t="s">
        <v>7509</v>
      </c>
      <c r="GIP3" s="12" t="s">
        <v>7510</v>
      </c>
      <c r="GIQ3" s="12" t="s">
        <v>7511</v>
      </c>
      <c r="GIR3" s="12" t="s">
        <v>7512</v>
      </c>
      <c r="GIS3" s="12" t="s">
        <v>7513</v>
      </c>
      <c r="GIT3" s="12" t="s">
        <v>7514</v>
      </c>
      <c r="GIU3" s="12" t="s">
        <v>7515</v>
      </c>
      <c r="GIV3" s="12" t="s">
        <v>7516</v>
      </c>
      <c r="GIW3" s="12" t="s">
        <v>7517</v>
      </c>
      <c r="GIX3" s="12" t="s">
        <v>7518</v>
      </c>
      <c r="GIY3" s="12" t="s">
        <v>7519</v>
      </c>
      <c r="GIZ3" s="12" t="s">
        <v>7520</v>
      </c>
      <c r="GJA3" s="12" t="s">
        <v>7521</v>
      </c>
      <c r="GJB3" s="12" t="s">
        <v>7522</v>
      </c>
      <c r="GJC3" s="12" t="s">
        <v>7523</v>
      </c>
      <c r="GJD3" s="12" t="s">
        <v>7524</v>
      </c>
      <c r="GJE3" s="12" t="s">
        <v>7525</v>
      </c>
      <c r="GJF3" s="12" t="s">
        <v>7526</v>
      </c>
      <c r="GJG3" s="12" t="s">
        <v>7527</v>
      </c>
      <c r="GJH3" s="12" t="s">
        <v>7528</v>
      </c>
      <c r="GJI3" s="12" t="s">
        <v>7529</v>
      </c>
      <c r="GJJ3" s="12" t="s">
        <v>7530</v>
      </c>
      <c r="GJK3" s="12" t="s">
        <v>7531</v>
      </c>
      <c r="GJL3" s="12" t="s">
        <v>7532</v>
      </c>
      <c r="GJM3" s="12" t="s">
        <v>7533</v>
      </c>
      <c r="GJN3" s="12" t="s">
        <v>7534</v>
      </c>
      <c r="GJO3" s="12" t="s">
        <v>7535</v>
      </c>
      <c r="GJP3" s="12" t="s">
        <v>7536</v>
      </c>
      <c r="GJQ3" s="12" t="s">
        <v>7537</v>
      </c>
      <c r="GJR3" s="12" t="s">
        <v>7538</v>
      </c>
      <c r="GJS3" s="12" t="s">
        <v>7539</v>
      </c>
      <c r="GJT3" s="12" t="s">
        <v>7540</v>
      </c>
      <c r="GJU3" s="12" t="s">
        <v>7541</v>
      </c>
      <c r="GJV3" s="12" t="s">
        <v>7542</v>
      </c>
      <c r="GJW3" s="12" t="s">
        <v>7543</v>
      </c>
      <c r="GJX3" s="12" t="s">
        <v>7544</v>
      </c>
      <c r="GJY3" s="12" t="s">
        <v>7545</v>
      </c>
      <c r="GJZ3" s="12" t="s">
        <v>7546</v>
      </c>
      <c r="GKA3" s="12" t="s">
        <v>7547</v>
      </c>
      <c r="GKB3" s="12" t="s">
        <v>7548</v>
      </c>
      <c r="GKC3" s="12" t="s">
        <v>7549</v>
      </c>
      <c r="GKD3" s="12" t="s">
        <v>7550</v>
      </c>
      <c r="GKE3" s="12" t="s">
        <v>7551</v>
      </c>
      <c r="GKF3" s="12" t="s">
        <v>7552</v>
      </c>
      <c r="GKG3" s="12" t="s">
        <v>7553</v>
      </c>
      <c r="GKH3" s="12" t="s">
        <v>7554</v>
      </c>
      <c r="GKI3" s="12" t="s">
        <v>7555</v>
      </c>
      <c r="GKJ3" s="12" t="s">
        <v>7556</v>
      </c>
      <c r="GKK3" s="12" t="s">
        <v>7557</v>
      </c>
      <c r="GKL3" s="12" t="s">
        <v>7558</v>
      </c>
      <c r="GKM3" s="12" t="s">
        <v>7559</v>
      </c>
      <c r="GKN3" s="12" t="s">
        <v>7560</v>
      </c>
      <c r="GKO3" s="12" t="s">
        <v>7561</v>
      </c>
      <c r="GKP3" s="12" t="s">
        <v>7562</v>
      </c>
      <c r="GKQ3" s="12" t="s">
        <v>7563</v>
      </c>
      <c r="GKR3" s="12" t="s">
        <v>7564</v>
      </c>
      <c r="GKS3" s="12" t="s">
        <v>7565</v>
      </c>
      <c r="GKT3" s="12" t="s">
        <v>7566</v>
      </c>
      <c r="GKU3" s="12" t="s">
        <v>7567</v>
      </c>
      <c r="GKV3" s="12" t="s">
        <v>7568</v>
      </c>
      <c r="GKW3" s="12" t="s">
        <v>7569</v>
      </c>
      <c r="GKX3" s="12" t="s">
        <v>7570</v>
      </c>
      <c r="GKY3" s="12" t="s">
        <v>7571</v>
      </c>
      <c r="GKZ3" s="12" t="s">
        <v>7572</v>
      </c>
      <c r="GLA3" s="12" t="s">
        <v>7573</v>
      </c>
      <c r="GLB3" s="12" t="s">
        <v>7574</v>
      </c>
      <c r="GLC3" s="12" t="s">
        <v>7575</v>
      </c>
      <c r="GLD3" s="12" t="s">
        <v>7576</v>
      </c>
      <c r="GLE3" s="12" t="s">
        <v>7577</v>
      </c>
      <c r="GLF3" s="12" t="s">
        <v>7578</v>
      </c>
      <c r="GLG3" s="12" t="s">
        <v>7579</v>
      </c>
      <c r="GLH3" s="12" t="s">
        <v>7580</v>
      </c>
      <c r="GLI3" s="12" t="s">
        <v>7581</v>
      </c>
      <c r="GLJ3" s="12" t="s">
        <v>7582</v>
      </c>
      <c r="GLK3" s="12" t="s">
        <v>7583</v>
      </c>
      <c r="GLL3" s="12" t="s">
        <v>7584</v>
      </c>
      <c r="GLM3" s="12" t="s">
        <v>7585</v>
      </c>
      <c r="GLN3" s="12" t="s">
        <v>7586</v>
      </c>
      <c r="GLO3" s="12" t="s">
        <v>7587</v>
      </c>
      <c r="GLP3" s="12" t="s">
        <v>7588</v>
      </c>
      <c r="GLQ3" s="12" t="s">
        <v>7589</v>
      </c>
      <c r="GLR3" s="12" t="s">
        <v>7590</v>
      </c>
      <c r="GLS3" s="12" t="s">
        <v>7591</v>
      </c>
      <c r="GLT3" s="12" t="s">
        <v>7592</v>
      </c>
      <c r="GLU3" s="12" t="s">
        <v>7593</v>
      </c>
      <c r="GLV3" s="12" t="s">
        <v>7594</v>
      </c>
      <c r="GLW3" s="12" t="s">
        <v>7595</v>
      </c>
      <c r="GLX3" s="12" t="s">
        <v>7596</v>
      </c>
      <c r="GLY3" s="12" t="s">
        <v>7597</v>
      </c>
      <c r="GLZ3" s="12" t="s">
        <v>7598</v>
      </c>
      <c r="GMA3" s="12" t="s">
        <v>7599</v>
      </c>
      <c r="GMB3" s="12" t="s">
        <v>7600</v>
      </c>
      <c r="GMC3" s="12" t="s">
        <v>7601</v>
      </c>
      <c r="GMD3" s="12" t="s">
        <v>7602</v>
      </c>
      <c r="GME3" s="12" t="s">
        <v>7603</v>
      </c>
      <c r="GMF3" s="12" t="s">
        <v>7604</v>
      </c>
      <c r="GMG3" s="12" t="s">
        <v>7605</v>
      </c>
      <c r="GMH3" s="12" t="s">
        <v>7606</v>
      </c>
      <c r="GMI3" s="12" t="s">
        <v>7607</v>
      </c>
      <c r="GMJ3" s="12" t="s">
        <v>7608</v>
      </c>
      <c r="GMK3" s="12" t="s">
        <v>7609</v>
      </c>
      <c r="GML3" s="12" t="s">
        <v>7610</v>
      </c>
      <c r="GMM3" s="12" t="s">
        <v>7611</v>
      </c>
      <c r="GMN3" s="12" t="s">
        <v>7612</v>
      </c>
      <c r="GMO3" s="12" t="s">
        <v>7613</v>
      </c>
      <c r="GMP3" s="12" t="s">
        <v>7614</v>
      </c>
      <c r="GMQ3" s="12" t="s">
        <v>7615</v>
      </c>
      <c r="GMR3" s="12" t="s">
        <v>7616</v>
      </c>
      <c r="GMS3" s="12" t="s">
        <v>7617</v>
      </c>
      <c r="GMT3" s="12" t="s">
        <v>7618</v>
      </c>
      <c r="GMU3" s="12" t="s">
        <v>7619</v>
      </c>
      <c r="GMV3" s="12" t="s">
        <v>7620</v>
      </c>
      <c r="GMW3" s="12" t="s">
        <v>7621</v>
      </c>
      <c r="GMX3" s="12" t="s">
        <v>7622</v>
      </c>
      <c r="GMY3" s="12" t="s">
        <v>7623</v>
      </c>
      <c r="GMZ3" s="12" t="s">
        <v>7624</v>
      </c>
      <c r="GNA3" s="12" t="s">
        <v>7625</v>
      </c>
      <c r="GNB3" s="12" t="s">
        <v>7626</v>
      </c>
      <c r="GNC3" s="12" t="s">
        <v>7627</v>
      </c>
      <c r="GND3" s="12" t="s">
        <v>7628</v>
      </c>
      <c r="GNE3" s="12" t="s">
        <v>7629</v>
      </c>
      <c r="GNF3" s="12" t="s">
        <v>7630</v>
      </c>
      <c r="GNG3" s="12" t="s">
        <v>7631</v>
      </c>
      <c r="GNH3" s="12" t="s">
        <v>7632</v>
      </c>
      <c r="GNI3" s="12" t="s">
        <v>7633</v>
      </c>
      <c r="GNJ3" s="12" t="s">
        <v>7634</v>
      </c>
      <c r="GNK3" s="12" t="s">
        <v>7635</v>
      </c>
      <c r="GNL3" s="12" t="s">
        <v>7636</v>
      </c>
      <c r="GNM3" s="12" t="s">
        <v>7637</v>
      </c>
      <c r="GNN3" s="12" t="s">
        <v>7638</v>
      </c>
      <c r="GNO3" s="12" t="s">
        <v>7639</v>
      </c>
      <c r="GNP3" s="12" t="s">
        <v>7640</v>
      </c>
      <c r="GNQ3" s="12" t="s">
        <v>7641</v>
      </c>
      <c r="GNR3" s="12" t="s">
        <v>7642</v>
      </c>
      <c r="GNS3" s="12" t="s">
        <v>7643</v>
      </c>
      <c r="GNT3" s="12" t="s">
        <v>7644</v>
      </c>
      <c r="GNU3" s="12" t="s">
        <v>7645</v>
      </c>
      <c r="GNV3" s="12" t="s">
        <v>7646</v>
      </c>
      <c r="GNW3" s="12" t="s">
        <v>7647</v>
      </c>
      <c r="GNX3" s="12" t="s">
        <v>7648</v>
      </c>
      <c r="GNY3" s="12" t="s">
        <v>7649</v>
      </c>
      <c r="GNZ3" s="12" t="s">
        <v>7650</v>
      </c>
      <c r="GOA3" s="12" t="s">
        <v>7651</v>
      </c>
      <c r="GOB3" s="12" t="s">
        <v>7652</v>
      </c>
      <c r="GOC3" s="12" t="s">
        <v>7653</v>
      </c>
      <c r="GOD3" s="12" t="s">
        <v>7654</v>
      </c>
      <c r="GOE3" s="12" t="s">
        <v>7655</v>
      </c>
      <c r="GOF3" s="12" t="s">
        <v>7656</v>
      </c>
      <c r="GOG3" s="12" t="s">
        <v>7657</v>
      </c>
      <c r="GOH3" s="12" t="s">
        <v>7658</v>
      </c>
      <c r="GOI3" s="12" t="s">
        <v>7659</v>
      </c>
      <c r="GOJ3" s="12" t="s">
        <v>7660</v>
      </c>
      <c r="GOK3" s="12" t="s">
        <v>7661</v>
      </c>
      <c r="GOL3" s="12" t="s">
        <v>7662</v>
      </c>
      <c r="GOM3" s="12" t="s">
        <v>7663</v>
      </c>
      <c r="GON3" s="12" t="s">
        <v>7664</v>
      </c>
      <c r="GOO3" s="12" t="s">
        <v>7665</v>
      </c>
      <c r="GOP3" s="12" t="s">
        <v>7666</v>
      </c>
      <c r="GOQ3" s="12" t="s">
        <v>7667</v>
      </c>
      <c r="GOR3" s="12" t="s">
        <v>7668</v>
      </c>
      <c r="GOS3" s="12" t="s">
        <v>7669</v>
      </c>
      <c r="GOT3" s="12" t="s">
        <v>7670</v>
      </c>
      <c r="GOU3" s="12" t="s">
        <v>7671</v>
      </c>
      <c r="GOV3" s="12" t="s">
        <v>7672</v>
      </c>
      <c r="GOW3" s="12" t="s">
        <v>7673</v>
      </c>
      <c r="GOX3" s="12" t="s">
        <v>7674</v>
      </c>
      <c r="GOY3" s="12" t="s">
        <v>7675</v>
      </c>
      <c r="GOZ3" s="12" t="s">
        <v>7676</v>
      </c>
      <c r="GPA3" s="12" t="s">
        <v>7677</v>
      </c>
      <c r="GPB3" s="12" t="s">
        <v>7678</v>
      </c>
      <c r="GPC3" s="12" t="s">
        <v>7679</v>
      </c>
      <c r="GPD3" s="12" t="s">
        <v>7680</v>
      </c>
      <c r="GPE3" s="12" t="s">
        <v>7681</v>
      </c>
      <c r="GPF3" s="12" t="s">
        <v>7682</v>
      </c>
      <c r="GPG3" s="12" t="s">
        <v>7683</v>
      </c>
      <c r="GPH3" s="12" t="s">
        <v>7684</v>
      </c>
      <c r="GPI3" s="12" t="s">
        <v>7685</v>
      </c>
      <c r="GPJ3" s="12" t="s">
        <v>7686</v>
      </c>
      <c r="GPK3" s="12" t="s">
        <v>7687</v>
      </c>
      <c r="GPL3" s="12" t="s">
        <v>7688</v>
      </c>
      <c r="GPM3" s="12" t="s">
        <v>7689</v>
      </c>
      <c r="GPN3" s="12" t="s">
        <v>7690</v>
      </c>
      <c r="GPO3" s="12" t="s">
        <v>7691</v>
      </c>
      <c r="GPP3" s="12" t="s">
        <v>7692</v>
      </c>
      <c r="GPQ3" s="12" t="s">
        <v>7693</v>
      </c>
      <c r="GPR3" s="12" t="s">
        <v>7694</v>
      </c>
      <c r="GPS3" s="12" t="s">
        <v>7695</v>
      </c>
      <c r="GPT3" s="12" t="s">
        <v>7696</v>
      </c>
      <c r="GPU3" s="12" t="s">
        <v>7697</v>
      </c>
      <c r="GPV3" s="12" t="s">
        <v>7698</v>
      </c>
      <c r="GPW3" s="12" t="s">
        <v>7699</v>
      </c>
      <c r="GPX3" s="12" t="s">
        <v>7700</v>
      </c>
      <c r="GPY3" s="12" t="s">
        <v>7701</v>
      </c>
      <c r="GPZ3" s="12" t="s">
        <v>7702</v>
      </c>
      <c r="GQA3" s="12" t="s">
        <v>7703</v>
      </c>
      <c r="GQB3" s="12" t="s">
        <v>7704</v>
      </c>
      <c r="GQC3" s="12" t="s">
        <v>7705</v>
      </c>
      <c r="GQD3" s="12" t="s">
        <v>7706</v>
      </c>
      <c r="GQE3" s="12" t="s">
        <v>7707</v>
      </c>
      <c r="GQF3" s="12" t="s">
        <v>7708</v>
      </c>
      <c r="GQG3" s="12" t="s">
        <v>7709</v>
      </c>
      <c r="GQH3" s="12" t="s">
        <v>7710</v>
      </c>
      <c r="GQI3" s="12" t="s">
        <v>7711</v>
      </c>
      <c r="GQJ3" s="12" t="s">
        <v>7712</v>
      </c>
      <c r="GQK3" s="12" t="s">
        <v>7713</v>
      </c>
      <c r="GQL3" s="12" t="s">
        <v>7714</v>
      </c>
      <c r="GQM3" s="12" t="s">
        <v>7715</v>
      </c>
      <c r="GQN3" s="12" t="s">
        <v>7716</v>
      </c>
      <c r="GQO3" s="12" t="s">
        <v>7717</v>
      </c>
      <c r="GQP3" s="12" t="s">
        <v>7718</v>
      </c>
      <c r="GQQ3" s="12" t="s">
        <v>7719</v>
      </c>
      <c r="GQR3" s="12" t="s">
        <v>7720</v>
      </c>
      <c r="GQS3" s="12" t="s">
        <v>7721</v>
      </c>
      <c r="GQT3" s="12" t="s">
        <v>7722</v>
      </c>
      <c r="GQU3" s="12" t="s">
        <v>7723</v>
      </c>
      <c r="GQV3" s="12" t="s">
        <v>7724</v>
      </c>
      <c r="GQW3" s="12" t="s">
        <v>7725</v>
      </c>
      <c r="GQX3" s="12" t="s">
        <v>7726</v>
      </c>
      <c r="GQY3" s="12" t="s">
        <v>7727</v>
      </c>
      <c r="GQZ3" s="12" t="s">
        <v>7728</v>
      </c>
      <c r="GRA3" s="12" t="s">
        <v>7729</v>
      </c>
      <c r="GRB3" s="12" t="s">
        <v>7730</v>
      </c>
      <c r="GRC3" s="12" t="s">
        <v>7731</v>
      </c>
      <c r="GRD3" s="12" t="s">
        <v>7732</v>
      </c>
      <c r="GRE3" s="12" t="s">
        <v>7733</v>
      </c>
      <c r="GRF3" s="12" t="s">
        <v>7734</v>
      </c>
      <c r="GRG3" s="12" t="s">
        <v>7735</v>
      </c>
      <c r="GRH3" s="12" t="s">
        <v>7736</v>
      </c>
      <c r="GRI3" s="12" t="s">
        <v>7737</v>
      </c>
      <c r="GRJ3" s="12" t="s">
        <v>7738</v>
      </c>
      <c r="GRK3" s="12" t="s">
        <v>7739</v>
      </c>
      <c r="GRL3" s="12" t="s">
        <v>7740</v>
      </c>
      <c r="GRM3" s="12" t="s">
        <v>7741</v>
      </c>
      <c r="GRN3" s="12" t="s">
        <v>7742</v>
      </c>
      <c r="GRO3" s="12" t="s">
        <v>7743</v>
      </c>
      <c r="GRP3" s="12" t="s">
        <v>7744</v>
      </c>
      <c r="GRQ3" s="12" t="s">
        <v>7745</v>
      </c>
      <c r="GRR3" s="12" t="s">
        <v>7746</v>
      </c>
      <c r="GRS3" s="12" t="s">
        <v>7747</v>
      </c>
      <c r="GRT3" s="12" t="s">
        <v>7748</v>
      </c>
      <c r="GRU3" s="12" t="s">
        <v>7749</v>
      </c>
      <c r="GRV3" s="12" t="s">
        <v>7750</v>
      </c>
      <c r="GRW3" s="12" t="s">
        <v>7751</v>
      </c>
      <c r="GRX3" s="12" t="s">
        <v>7752</v>
      </c>
      <c r="GRY3" s="12" t="s">
        <v>7753</v>
      </c>
      <c r="GRZ3" s="12" t="s">
        <v>7754</v>
      </c>
      <c r="GSA3" s="12" t="s">
        <v>7755</v>
      </c>
      <c r="GSB3" s="12" t="s">
        <v>7756</v>
      </c>
      <c r="GSC3" s="12" t="s">
        <v>7757</v>
      </c>
      <c r="GSD3" s="12" t="s">
        <v>7758</v>
      </c>
      <c r="GSE3" s="12" t="s">
        <v>7759</v>
      </c>
      <c r="GSF3" s="12" t="s">
        <v>7760</v>
      </c>
      <c r="GSG3" s="12" t="s">
        <v>7761</v>
      </c>
      <c r="GSH3" s="12" t="s">
        <v>7762</v>
      </c>
      <c r="GSI3" s="12" t="s">
        <v>7763</v>
      </c>
      <c r="GSJ3" s="12" t="s">
        <v>7764</v>
      </c>
      <c r="GSK3" s="12" t="s">
        <v>7765</v>
      </c>
      <c r="GSL3" s="12" t="s">
        <v>7766</v>
      </c>
      <c r="GSM3" s="12" t="s">
        <v>7767</v>
      </c>
      <c r="GSN3" s="12" t="s">
        <v>7768</v>
      </c>
      <c r="GSO3" s="12" t="s">
        <v>7769</v>
      </c>
      <c r="GSP3" s="12" t="s">
        <v>7770</v>
      </c>
      <c r="GSQ3" s="12" t="s">
        <v>7771</v>
      </c>
      <c r="GSR3" s="12" t="s">
        <v>7772</v>
      </c>
      <c r="GSS3" s="12" t="s">
        <v>7773</v>
      </c>
      <c r="GST3" s="12" t="s">
        <v>7774</v>
      </c>
      <c r="GSU3" s="12" t="s">
        <v>7775</v>
      </c>
      <c r="GSV3" s="12" t="s">
        <v>7776</v>
      </c>
      <c r="GSW3" s="12" t="s">
        <v>7777</v>
      </c>
      <c r="GSX3" s="12" t="s">
        <v>7778</v>
      </c>
      <c r="GSY3" s="12" t="s">
        <v>7779</v>
      </c>
      <c r="GSZ3" s="12" t="s">
        <v>7780</v>
      </c>
      <c r="GTA3" s="12" t="s">
        <v>7781</v>
      </c>
      <c r="GTB3" s="12" t="s">
        <v>7782</v>
      </c>
      <c r="GTC3" s="12" t="s">
        <v>7783</v>
      </c>
      <c r="GTD3" s="12" t="s">
        <v>7784</v>
      </c>
      <c r="GTE3" s="12" t="s">
        <v>7785</v>
      </c>
      <c r="GTF3" s="12" t="s">
        <v>7786</v>
      </c>
      <c r="GTG3" s="12" t="s">
        <v>7787</v>
      </c>
      <c r="GTH3" s="12" t="s">
        <v>7788</v>
      </c>
      <c r="GTI3" s="12" t="s">
        <v>7789</v>
      </c>
      <c r="GTJ3" s="12" t="s">
        <v>7790</v>
      </c>
      <c r="GTK3" s="12" t="s">
        <v>7791</v>
      </c>
      <c r="GTL3" s="12" t="s">
        <v>7792</v>
      </c>
      <c r="GTM3" s="12" t="s">
        <v>7793</v>
      </c>
      <c r="GTN3" s="12" t="s">
        <v>7794</v>
      </c>
      <c r="GTO3" s="12" t="s">
        <v>7795</v>
      </c>
      <c r="GTP3" s="12" t="s">
        <v>7796</v>
      </c>
      <c r="GTQ3" s="12" t="s">
        <v>7797</v>
      </c>
      <c r="GTR3" s="12" t="s">
        <v>7798</v>
      </c>
      <c r="GTS3" s="12" t="s">
        <v>7799</v>
      </c>
      <c r="GTT3" s="12" t="s">
        <v>7800</v>
      </c>
      <c r="GTU3" s="12" t="s">
        <v>7801</v>
      </c>
      <c r="GTV3" s="12" t="s">
        <v>7802</v>
      </c>
      <c r="GTW3" s="12" t="s">
        <v>7803</v>
      </c>
      <c r="GTX3" s="12" t="s">
        <v>7804</v>
      </c>
      <c r="GTY3" s="12" t="s">
        <v>7805</v>
      </c>
      <c r="GTZ3" s="12" t="s">
        <v>7806</v>
      </c>
      <c r="GUA3" s="12" t="s">
        <v>7807</v>
      </c>
      <c r="GUB3" s="12" t="s">
        <v>7808</v>
      </c>
      <c r="GUC3" s="12" t="s">
        <v>7809</v>
      </c>
      <c r="GUD3" s="12" t="s">
        <v>7810</v>
      </c>
      <c r="GUE3" s="12" t="s">
        <v>7811</v>
      </c>
      <c r="GUF3" s="12" t="s">
        <v>7812</v>
      </c>
      <c r="GUG3" s="12" t="s">
        <v>7813</v>
      </c>
      <c r="GUH3" s="12" t="s">
        <v>7814</v>
      </c>
      <c r="GUI3" s="12" t="s">
        <v>7815</v>
      </c>
      <c r="GUJ3" s="12" t="s">
        <v>7816</v>
      </c>
      <c r="GUK3" s="12" t="s">
        <v>7817</v>
      </c>
      <c r="GUL3" s="12" t="s">
        <v>7818</v>
      </c>
      <c r="GUM3" s="12" t="s">
        <v>7819</v>
      </c>
      <c r="GUN3" s="12" t="s">
        <v>7820</v>
      </c>
      <c r="GUO3" s="12" t="s">
        <v>7821</v>
      </c>
      <c r="GUP3" s="12" t="s">
        <v>7822</v>
      </c>
      <c r="GUQ3" s="12" t="s">
        <v>7823</v>
      </c>
      <c r="GUR3" s="12" t="s">
        <v>7824</v>
      </c>
      <c r="GUS3" s="12" t="s">
        <v>7825</v>
      </c>
      <c r="GUT3" s="12" t="s">
        <v>7826</v>
      </c>
      <c r="GUU3" s="12" t="s">
        <v>7827</v>
      </c>
      <c r="GUV3" s="12" t="s">
        <v>7828</v>
      </c>
      <c r="GUW3" s="12" t="s">
        <v>7829</v>
      </c>
      <c r="GUX3" s="12" t="s">
        <v>7830</v>
      </c>
      <c r="GUY3" s="12" t="s">
        <v>7831</v>
      </c>
      <c r="GUZ3" s="12" t="s">
        <v>7832</v>
      </c>
      <c r="GVA3" s="12" t="s">
        <v>7833</v>
      </c>
      <c r="GVB3" s="12" t="s">
        <v>7834</v>
      </c>
      <c r="GVC3" s="12" t="s">
        <v>7835</v>
      </c>
      <c r="GVD3" s="12" t="s">
        <v>7836</v>
      </c>
      <c r="GVE3" s="12" t="s">
        <v>7837</v>
      </c>
      <c r="GVF3" s="12" t="s">
        <v>7838</v>
      </c>
      <c r="GVG3" s="12" t="s">
        <v>7839</v>
      </c>
      <c r="GVH3" s="12" t="s">
        <v>7840</v>
      </c>
      <c r="GVI3" s="12" t="s">
        <v>7841</v>
      </c>
      <c r="GVJ3" s="12" t="s">
        <v>7842</v>
      </c>
      <c r="GVK3" s="12" t="s">
        <v>7843</v>
      </c>
      <c r="GVL3" s="12" t="s">
        <v>7844</v>
      </c>
      <c r="GVM3" s="12" t="s">
        <v>7845</v>
      </c>
      <c r="GVN3" s="12" t="s">
        <v>7846</v>
      </c>
      <c r="GVO3" s="12" t="s">
        <v>7847</v>
      </c>
      <c r="GVP3" s="12" t="s">
        <v>7848</v>
      </c>
      <c r="GVQ3" s="12" t="s">
        <v>7849</v>
      </c>
      <c r="GVR3" s="12" t="s">
        <v>7850</v>
      </c>
      <c r="GVS3" s="12" t="s">
        <v>7851</v>
      </c>
      <c r="GVT3" s="12" t="s">
        <v>7852</v>
      </c>
      <c r="GVU3" s="12" t="s">
        <v>7853</v>
      </c>
      <c r="GVV3" s="12" t="s">
        <v>7854</v>
      </c>
      <c r="GVW3" s="12" t="s">
        <v>7855</v>
      </c>
      <c r="GVX3" s="12" t="s">
        <v>7856</v>
      </c>
      <c r="GVY3" s="12" t="s">
        <v>7857</v>
      </c>
      <c r="GVZ3" s="12" t="s">
        <v>7858</v>
      </c>
      <c r="GWA3" s="12" t="s">
        <v>7859</v>
      </c>
      <c r="GWB3" s="12" t="s">
        <v>7860</v>
      </c>
      <c r="GWC3" s="12" t="s">
        <v>7861</v>
      </c>
      <c r="GWD3" s="12" t="s">
        <v>7862</v>
      </c>
      <c r="GWE3" s="12" t="s">
        <v>7863</v>
      </c>
      <c r="GWF3" s="12" t="s">
        <v>7864</v>
      </c>
      <c r="GWG3" s="12" t="s">
        <v>7865</v>
      </c>
      <c r="GWH3" s="12" t="s">
        <v>7866</v>
      </c>
      <c r="GWI3" s="12" t="s">
        <v>7867</v>
      </c>
      <c r="GWJ3" s="12" t="s">
        <v>7868</v>
      </c>
      <c r="GWK3" s="12" t="s">
        <v>7869</v>
      </c>
      <c r="GWL3" s="12" t="s">
        <v>7870</v>
      </c>
      <c r="GWM3" s="12" t="s">
        <v>7871</v>
      </c>
      <c r="GWN3" s="12" t="s">
        <v>7872</v>
      </c>
      <c r="GWO3" s="12" t="s">
        <v>7873</v>
      </c>
      <c r="GWP3" s="12" t="s">
        <v>7874</v>
      </c>
      <c r="GWQ3" s="12" t="s">
        <v>7875</v>
      </c>
      <c r="GWR3" s="12" t="s">
        <v>7876</v>
      </c>
      <c r="GWS3" s="12" t="s">
        <v>7877</v>
      </c>
      <c r="GWT3" s="12" t="s">
        <v>7878</v>
      </c>
      <c r="GWU3" s="12" t="s">
        <v>7879</v>
      </c>
      <c r="GWV3" s="12" t="s">
        <v>7880</v>
      </c>
      <c r="GWW3" s="12" t="s">
        <v>7881</v>
      </c>
      <c r="GWX3" s="12" t="s">
        <v>7882</v>
      </c>
      <c r="GWY3" s="12" t="s">
        <v>7883</v>
      </c>
      <c r="GWZ3" s="12" t="s">
        <v>7884</v>
      </c>
      <c r="GXA3" s="12" t="s">
        <v>7885</v>
      </c>
      <c r="GXB3" s="12" t="s">
        <v>7886</v>
      </c>
      <c r="GXC3" s="12" t="s">
        <v>7887</v>
      </c>
      <c r="GXD3" s="12" t="s">
        <v>7888</v>
      </c>
      <c r="GXE3" s="12" t="s">
        <v>7889</v>
      </c>
      <c r="GXF3" s="12" t="s">
        <v>7890</v>
      </c>
      <c r="GXG3" s="12" t="s">
        <v>7891</v>
      </c>
      <c r="GXH3" s="12" t="s">
        <v>7892</v>
      </c>
      <c r="GXI3" s="12" t="s">
        <v>7893</v>
      </c>
      <c r="GXJ3" s="12" t="s">
        <v>7894</v>
      </c>
      <c r="GXK3" s="12" t="s">
        <v>7895</v>
      </c>
      <c r="GXL3" s="12" t="s">
        <v>7896</v>
      </c>
      <c r="GXM3" s="12" t="s">
        <v>7897</v>
      </c>
      <c r="GXN3" s="12" t="s">
        <v>7898</v>
      </c>
      <c r="GXO3" s="12" t="s">
        <v>7899</v>
      </c>
      <c r="GXP3" s="12" t="s">
        <v>7900</v>
      </c>
      <c r="GXQ3" s="12" t="s">
        <v>7901</v>
      </c>
      <c r="GXR3" s="12" t="s">
        <v>7902</v>
      </c>
      <c r="GXS3" s="12" t="s">
        <v>7903</v>
      </c>
      <c r="GXT3" s="12" t="s">
        <v>7904</v>
      </c>
      <c r="GXU3" s="12" t="s">
        <v>7905</v>
      </c>
      <c r="GXV3" s="12" t="s">
        <v>7906</v>
      </c>
      <c r="GXW3" s="12" t="s">
        <v>7907</v>
      </c>
      <c r="GXX3" s="12" t="s">
        <v>7908</v>
      </c>
      <c r="GXY3" s="12" t="s">
        <v>7909</v>
      </c>
      <c r="GXZ3" s="12" t="s">
        <v>7910</v>
      </c>
      <c r="GYA3" s="12" t="s">
        <v>7911</v>
      </c>
      <c r="GYB3" s="12" t="s">
        <v>7912</v>
      </c>
      <c r="GYC3" s="12" t="s">
        <v>7913</v>
      </c>
      <c r="GYD3" s="12" t="s">
        <v>7914</v>
      </c>
      <c r="GYE3" s="12" t="s">
        <v>7915</v>
      </c>
      <c r="GYF3" s="12" t="s">
        <v>7916</v>
      </c>
      <c r="GYG3" s="12" t="s">
        <v>7917</v>
      </c>
      <c r="GYH3" s="12" t="s">
        <v>7918</v>
      </c>
      <c r="GYI3" s="12" t="s">
        <v>7919</v>
      </c>
      <c r="GYJ3" s="12" t="s">
        <v>7920</v>
      </c>
      <c r="GYK3" s="12" t="s">
        <v>7921</v>
      </c>
      <c r="GYL3" s="12" t="s">
        <v>7922</v>
      </c>
      <c r="GYM3" s="12" t="s">
        <v>7923</v>
      </c>
      <c r="GYN3" s="12" t="s">
        <v>7924</v>
      </c>
      <c r="GYO3" s="12" t="s">
        <v>7925</v>
      </c>
      <c r="GYP3" s="12" t="s">
        <v>7926</v>
      </c>
      <c r="GYQ3" s="12" t="s">
        <v>7927</v>
      </c>
      <c r="GYR3" s="12" t="s">
        <v>7928</v>
      </c>
      <c r="GYS3" s="12" t="s">
        <v>7929</v>
      </c>
      <c r="GYT3" s="12" t="s">
        <v>7930</v>
      </c>
      <c r="GYU3" s="12" t="s">
        <v>7931</v>
      </c>
      <c r="GYV3" s="12" t="s">
        <v>7932</v>
      </c>
      <c r="GYW3" s="12" t="s">
        <v>7933</v>
      </c>
      <c r="GYX3" s="12" t="s">
        <v>7934</v>
      </c>
      <c r="GYY3" s="12" t="s">
        <v>7935</v>
      </c>
      <c r="GYZ3" s="12" t="s">
        <v>7936</v>
      </c>
      <c r="GZA3" s="12" t="s">
        <v>7937</v>
      </c>
      <c r="GZB3" s="12" t="s">
        <v>7938</v>
      </c>
      <c r="GZC3" s="12" t="s">
        <v>7939</v>
      </c>
      <c r="GZD3" s="12" t="s">
        <v>7940</v>
      </c>
      <c r="GZE3" s="12" t="s">
        <v>7941</v>
      </c>
      <c r="GZF3" s="12" t="s">
        <v>7942</v>
      </c>
      <c r="GZG3" s="12" t="s">
        <v>7943</v>
      </c>
      <c r="GZH3" s="12" t="s">
        <v>7944</v>
      </c>
      <c r="GZI3" s="12" t="s">
        <v>7945</v>
      </c>
      <c r="GZJ3" s="12" t="s">
        <v>7946</v>
      </c>
      <c r="GZK3" s="12" t="s">
        <v>7947</v>
      </c>
      <c r="GZL3" s="12" t="s">
        <v>7948</v>
      </c>
      <c r="GZM3" s="12" t="s">
        <v>7949</v>
      </c>
      <c r="GZN3" s="12" t="s">
        <v>7950</v>
      </c>
      <c r="GZO3" s="12" t="s">
        <v>7951</v>
      </c>
      <c r="GZP3" s="12" t="s">
        <v>7952</v>
      </c>
      <c r="GZQ3" s="12" t="s">
        <v>7953</v>
      </c>
      <c r="GZR3" s="12" t="s">
        <v>7954</v>
      </c>
      <c r="GZS3" s="12" t="s">
        <v>7955</v>
      </c>
      <c r="GZT3" s="12" t="s">
        <v>7956</v>
      </c>
      <c r="GZU3" s="12" t="s">
        <v>7957</v>
      </c>
      <c r="GZV3" s="12" t="s">
        <v>7958</v>
      </c>
      <c r="GZW3" s="12" t="s">
        <v>7959</v>
      </c>
      <c r="GZX3" s="12" t="s">
        <v>7960</v>
      </c>
      <c r="GZY3" s="12" t="s">
        <v>7961</v>
      </c>
      <c r="GZZ3" s="12" t="s">
        <v>7962</v>
      </c>
      <c r="HAA3" s="12" t="s">
        <v>7963</v>
      </c>
      <c r="HAB3" s="12" t="s">
        <v>7964</v>
      </c>
      <c r="HAC3" s="12" t="s">
        <v>7965</v>
      </c>
      <c r="HAD3" s="12" t="s">
        <v>7966</v>
      </c>
      <c r="HAE3" s="12" t="s">
        <v>7967</v>
      </c>
      <c r="HAF3" s="12" t="s">
        <v>7968</v>
      </c>
      <c r="HAG3" s="12" t="s">
        <v>7969</v>
      </c>
      <c r="HAH3" s="12" t="s">
        <v>7970</v>
      </c>
      <c r="HAI3" s="12" t="s">
        <v>7971</v>
      </c>
      <c r="HAJ3" s="12" t="s">
        <v>7972</v>
      </c>
      <c r="HAK3" s="12" t="s">
        <v>7973</v>
      </c>
      <c r="HAL3" s="12" t="s">
        <v>7974</v>
      </c>
      <c r="HAM3" s="12" t="s">
        <v>7975</v>
      </c>
      <c r="HAN3" s="12" t="s">
        <v>7976</v>
      </c>
      <c r="HAO3" s="12" t="s">
        <v>7977</v>
      </c>
      <c r="HAP3" s="12" t="s">
        <v>7978</v>
      </c>
      <c r="HAQ3" s="12" t="s">
        <v>7979</v>
      </c>
      <c r="HAR3" s="12" t="s">
        <v>7980</v>
      </c>
      <c r="HAS3" s="12" t="s">
        <v>7981</v>
      </c>
      <c r="HAT3" s="12" t="s">
        <v>7982</v>
      </c>
      <c r="HAU3" s="12" t="s">
        <v>7983</v>
      </c>
      <c r="HAV3" s="12" t="s">
        <v>7984</v>
      </c>
      <c r="HAW3" s="12" t="s">
        <v>7985</v>
      </c>
      <c r="HAX3" s="12" t="s">
        <v>7986</v>
      </c>
      <c r="HAY3" s="12" t="s">
        <v>7987</v>
      </c>
      <c r="HAZ3" s="12" t="s">
        <v>7988</v>
      </c>
      <c r="HBA3" s="12" t="s">
        <v>7989</v>
      </c>
      <c r="HBB3" s="12" t="s">
        <v>7990</v>
      </c>
      <c r="HBC3" s="12" t="s">
        <v>7991</v>
      </c>
      <c r="HBD3" s="12" t="s">
        <v>7992</v>
      </c>
      <c r="HBE3" s="12" t="s">
        <v>7993</v>
      </c>
      <c r="HBF3" s="12" t="s">
        <v>7994</v>
      </c>
      <c r="HBG3" s="12" t="s">
        <v>7995</v>
      </c>
      <c r="HBH3" s="12" t="s">
        <v>7996</v>
      </c>
      <c r="HBI3" s="12" t="s">
        <v>7997</v>
      </c>
      <c r="HBJ3" s="12" t="s">
        <v>7998</v>
      </c>
      <c r="HBK3" s="12" t="s">
        <v>7999</v>
      </c>
      <c r="HBL3" s="12" t="s">
        <v>8000</v>
      </c>
      <c r="HBM3" s="12" t="s">
        <v>8001</v>
      </c>
      <c r="HBN3" s="12" t="s">
        <v>8002</v>
      </c>
      <c r="HBO3" s="12" t="s">
        <v>8003</v>
      </c>
      <c r="HBP3" s="12" t="s">
        <v>8004</v>
      </c>
      <c r="HBQ3" s="12" t="s">
        <v>8005</v>
      </c>
      <c r="HBR3" s="12" t="s">
        <v>8006</v>
      </c>
      <c r="HBS3" s="12" t="s">
        <v>8007</v>
      </c>
      <c r="HBT3" s="12" t="s">
        <v>8008</v>
      </c>
      <c r="HBU3" s="12" t="s">
        <v>8009</v>
      </c>
      <c r="HBV3" s="12" t="s">
        <v>8010</v>
      </c>
      <c r="HBW3" s="12" t="s">
        <v>8011</v>
      </c>
      <c r="HBX3" s="12" t="s">
        <v>8012</v>
      </c>
      <c r="HBY3" s="12" t="s">
        <v>8013</v>
      </c>
      <c r="HBZ3" s="12" t="s">
        <v>8014</v>
      </c>
      <c r="HCA3" s="12" t="s">
        <v>8015</v>
      </c>
      <c r="HCB3" s="12" t="s">
        <v>8016</v>
      </c>
      <c r="HCC3" s="12" t="s">
        <v>8017</v>
      </c>
      <c r="HCD3" s="12" t="s">
        <v>8018</v>
      </c>
      <c r="HCE3" s="12" t="s">
        <v>8019</v>
      </c>
      <c r="HCF3" s="12" t="s">
        <v>8020</v>
      </c>
      <c r="HCG3" s="12" t="s">
        <v>8021</v>
      </c>
      <c r="HCH3" s="12" t="s">
        <v>8022</v>
      </c>
      <c r="HCI3" s="12" t="s">
        <v>8023</v>
      </c>
      <c r="HCJ3" s="12" t="s">
        <v>8024</v>
      </c>
      <c r="HCK3" s="12" t="s">
        <v>8025</v>
      </c>
      <c r="HCL3" s="12" t="s">
        <v>8026</v>
      </c>
      <c r="HCM3" s="12" t="s">
        <v>8027</v>
      </c>
      <c r="HCN3" s="12" t="s">
        <v>8028</v>
      </c>
      <c r="HCO3" s="12" t="s">
        <v>8029</v>
      </c>
      <c r="HCP3" s="12" t="s">
        <v>8030</v>
      </c>
      <c r="HCQ3" s="12" t="s">
        <v>8031</v>
      </c>
      <c r="HCR3" s="12" t="s">
        <v>8032</v>
      </c>
      <c r="HCS3" s="12" t="s">
        <v>8033</v>
      </c>
      <c r="HCT3" s="12" t="s">
        <v>8034</v>
      </c>
      <c r="HCU3" s="12" t="s">
        <v>8035</v>
      </c>
      <c r="HCV3" s="12" t="s">
        <v>8036</v>
      </c>
      <c r="HCW3" s="12" t="s">
        <v>8037</v>
      </c>
      <c r="HCX3" s="12" t="s">
        <v>8038</v>
      </c>
      <c r="HCY3" s="12" t="s">
        <v>8039</v>
      </c>
      <c r="HCZ3" s="12" t="s">
        <v>8040</v>
      </c>
      <c r="HDA3" s="12" t="s">
        <v>8041</v>
      </c>
      <c r="HDB3" s="12" t="s">
        <v>8042</v>
      </c>
      <c r="HDC3" s="12" t="s">
        <v>8043</v>
      </c>
      <c r="HDD3" s="12" t="s">
        <v>8044</v>
      </c>
      <c r="HDE3" s="12" t="s">
        <v>8045</v>
      </c>
      <c r="HDF3" s="12" t="s">
        <v>8046</v>
      </c>
      <c r="HDG3" s="12" t="s">
        <v>8047</v>
      </c>
      <c r="HDH3" s="12" t="s">
        <v>8048</v>
      </c>
      <c r="HDI3" s="12" t="s">
        <v>8049</v>
      </c>
      <c r="HDJ3" s="12" t="s">
        <v>8050</v>
      </c>
      <c r="HDK3" s="12" t="s">
        <v>8051</v>
      </c>
      <c r="HDL3" s="12" t="s">
        <v>8052</v>
      </c>
      <c r="HDM3" s="12" t="s">
        <v>8053</v>
      </c>
      <c r="HDN3" s="12" t="s">
        <v>8054</v>
      </c>
      <c r="HDO3" s="12" t="s">
        <v>8055</v>
      </c>
      <c r="HDP3" s="12" t="s">
        <v>8056</v>
      </c>
      <c r="HDQ3" s="12" t="s">
        <v>8057</v>
      </c>
      <c r="HDR3" s="12" t="s">
        <v>8058</v>
      </c>
      <c r="HDS3" s="12" t="s">
        <v>8059</v>
      </c>
      <c r="HDT3" s="12" t="s">
        <v>8060</v>
      </c>
      <c r="HDU3" s="12" t="s">
        <v>8061</v>
      </c>
      <c r="HDV3" s="12" t="s">
        <v>8062</v>
      </c>
      <c r="HDW3" s="12" t="s">
        <v>8063</v>
      </c>
      <c r="HDX3" s="12" t="s">
        <v>8064</v>
      </c>
      <c r="HDY3" s="12" t="s">
        <v>8065</v>
      </c>
      <c r="HDZ3" s="12" t="s">
        <v>8066</v>
      </c>
      <c r="HEA3" s="12" t="s">
        <v>8067</v>
      </c>
      <c r="HEB3" s="12" t="s">
        <v>8068</v>
      </c>
      <c r="HEC3" s="12" t="s">
        <v>8069</v>
      </c>
      <c r="HED3" s="12" t="s">
        <v>8070</v>
      </c>
      <c r="HEE3" s="12" t="s">
        <v>8071</v>
      </c>
      <c r="HEF3" s="12" t="s">
        <v>8072</v>
      </c>
      <c r="HEG3" s="12" t="s">
        <v>8073</v>
      </c>
      <c r="HEH3" s="12" t="s">
        <v>8074</v>
      </c>
      <c r="HEI3" s="12" t="s">
        <v>8075</v>
      </c>
      <c r="HEJ3" s="12" t="s">
        <v>8076</v>
      </c>
      <c r="HEK3" s="12" t="s">
        <v>8077</v>
      </c>
      <c r="HEL3" s="12" t="s">
        <v>8078</v>
      </c>
      <c r="HEM3" s="12" t="s">
        <v>8079</v>
      </c>
      <c r="HEN3" s="12" t="s">
        <v>8080</v>
      </c>
      <c r="HEO3" s="12" t="s">
        <v>8081</v>
      </c>
      <c r="HEP3" s="12" t="s">
        <v>8082</v>
      </c>
      <c r="HEQ3" s="12" t="s">
        <v>8083</v>
      </c>
      <c r="HER3" s="12" t="s">
        <v>8084</v>
      </c>
      <c r="HES3" s="12" t="s">
        <v>8085</v>
      </c>
      <c r="HET3" s="12" t="s">
        <v>8086</v>
      </c>
      <c r="HEU3" s="12" t="s">
        <v>8087</v>
      </c>
      <c r="HEV3" s="12" t="s">
        <v>8088</v>
      </c>
      <c r="HEW3" s="12" t="s">
        <v>8089</v>
      </c>
      <c r="HEX3" s="12" t="s">
        <v>8090</v>
      </c>
      <c r="HEY3" s="12" t="s">
        <v>8091</v>
      </c>
      <c r="HEZ3" s="12" t="s">
        <v>8092</v>
      </c>
      <c r="HFA3" s="12" t="s">
        <v>8093</v>
      </c>
      <c r="HFB3" s="12" t="s">
        <v>8094</v>
      </c>
      <c r="HFC3" s="12" t="s">
        <v>8095</v>
      </c>
      <c r="HFD3" s="12" t="s">
        <v>8096</v>
      </c>
      <c r="HFE3" s="12" t="s">
        <v>8097</v>
      </c>
      <c r="HFF3" s="12" t="s">
        <v>8098</v>
      </c>
      <c r="HFG3" s="12" t="s">
        <v>8099</v>
      </c>
      <c r="HFH3" s="12" t="s">
        <v>8100</v>
      </c>
      <c r="HFI3" s="12" t="s">
        <v>8101</v>
      </c>
      <c r="HFJ3" s="12" t="s">
        <v>8102</v>
      </c>
      <c r="HFK3" s="12" t="s">
        <v>8103</v>
      </c>
      <c r="HFL3" s="12" t="s">
        <v>8104</v>
      </c>
      <c r="HFM3" s="12" t="s">
        <v>8105</v>
      </c>
      <c r="HFN3" s="12" t="s">
        <v>8106</v>
      </c>
      <c r="HFO3" s="12" t="s">
        <v>8107</v>
      </c>
      <c r="HFP3" s="12" t="s">
        <v>8108</v>
      </c>
      <c r="HFQ3" s="12" t="s">
        <v>8109</v>
      </c>
      <c r="HFR3" s="12" t="s">
        <v>8110</v>
      </c>
      <c r="HFS3" s="12" t="s">
        <v>8111</v>
      </c>
      <c r="HFT3" s="12" t="s">
        <v>8112</v>
      </c>
      <c r="HFU3" s="12" t="s">
        <v>8113</v>
      </c>
      <c r="HFV3" s="12" t="s">
        <v>8114</v>
      </c>
      <c r="HFW3" s="12" t="s">
        <v>8115</v>
      </c>
      <c r="HFX3" s="12" t="s">
        <v>8116</v>
      </c>
      <c r="HFY3" s="12" t="s">
        <v>8117</v>
      </c>
      <c r="HFZ3" s="12" t="s">
        <v>8118</v>
      </c>
      <c r="HGA3" s="12" t="s">
        <v>8119</v>
      </c>
      <c r="HGB3" s="12" t="s">
        <v>8120</v>
      </c>
      <c r="HGC3" s="12" t="s">
        <v>8121</v>
      </c>
      <c r="HGD3" s="12" t="s">
        <v>8122</v>
      </c>
      <c r="HGE3" s="12" t="s">
        <v>8123</v>
      </c>
      <c r="HGF3" s="12" t="s">
        <v>8124</v>
      </c>
      <c r="HGG3" s="12" t="s">
        <v>8125</v>
      </c>
      <c r="HGH3" s="12" t="s">
        <v>8126</v>
      </c>
      <c r="HGI3" s="12" t="s">
        <v>8127</v>
      </c>
      <c r="HGJ3" s="12" t="s">
        <v>8128</v>
      </c>
      <c r="HGK3" s="12" t="s">
        <v>8129</v>
      </c>
      <c r="HGL3" s="12" t="s">
        <v>8130</v>
      </c>
      <c r="HGM3" s="12" t="s">
        <v>8131</v>
      </c>
      <c r="HGN3" s="12" t="s">
        <v>8132</v>
      </c>
      <c r="HGO3" s="12" t="s">
        <v>8133</v>
      </c>
      <c r="HGP3" s="12" t="s">
        <v>8134</v>
      </c>
      <c r="HGQ3" s="12" t="s">
        <v>8135</v>
      </c>
      <c r="HGR3" s="12" t="s">
        <v>8136</v>
      </c>
      <c r="HGS3" s="12" t="s">
        <v>8137</v>
      </c>
      <c r="HGT3" s="12" t="s">
        <v>8138</v>
      </c>
      <c r="HGU3" s="12" t="s">
        <v>8139</v>
      </c>
      <c r="HGV3" s="12" t="s">
        <v>8140</v>
      </c>
      <c r="HGW3" s="12" t="s">
        <v>8141</v>
      </c>
      <c r="HGX3" s="12" t="s">
        <v>8142</v>
      </c>
      <c r="HGY3" s="12" t="s">
        <v>8143</v>
      </c>
      <c r="HGZ3" s="12" t="s">
        <v>8144</v>
      </c>
      <c r="HHA3" s="12" t="s">
        <v>8145</v>
      </c>
      <c r="HHB3" s="12" t="s">
        <v>8146</v>
      </c>
      <c r="HHC3" s="12" t="s">
        <v>8147</v>
      </c>
      <c r="HHD3" s="12" t="s">
        <v>8148</v>
      </c>
      <c r="HHE3" s="12" t="s">
        <v>8149</v>
      </c>
      <c r="HHF3" s="12" t="s">
        <v>8150</v>
      </c>
      <c r="HHG3" s="12" t="s">
        <v>8151</v>
      </c>
      <c r="HHH3" s="12" t="s">
        <v>8152</v>
      </c>
      <c r="HHI3" s="12" t="s">
        <v>8153</v>
      </c>
      <c r="HHJ3" s="12" t="s">
        <v>8154</v>
      </c>
      <c r="HHK3" s="12" t="s">
        <v>8155</v>
      </c>
      <c r="HHL3" s="12" t="s">
        <v>8156</v>
      </c>
      <c r="HHM3" s="12" t="s">
        <v>8157</v>
      </c>
      <c r="HHN3" s="12" t="s">
        <v>8158</v>
      </c>
      <c r="HHO3" s="12" t="s">
        <v>8159</v>
      </c>
      <c r="HHP3" s="12" t="s">
        <v>8160</v>
      </c>
      <c r="HHQ3" s="12" t="s">
        <v>8161</v>
      </c>
      <c r="HHR3" s="12" t="s">
        <v>8162</v>
      </c>
      <c r="HHS3" s="12" t="s">
        <v>8163</v>
      </c>
      <c r="HHT3" s="12" t="s">
        <v>8164</v>
      </c>
      <c r="HHU3" s="12" t="s">
        <v>8165</v>
      </c>
      <c r="HHV3" s="12" t="s">
        <v>8166</v>
      </c>
      <c r="HHW3" s="12" t="s">
        <v>8167</v>
      </c>
      <c r="HHX3" s="12" t="s">
        <v>8168</v>
      </c>
      <c r="HHY3" s="12" t="s">
        <v>8169</v>
      </c>
      <c r="HHZ3" s="12" t="s">
        <v>8170</v>
      </c>
      <c r="HIA3" s="12" t="s">
        <v>8171</v>
      </c>
      <c r="HIB3" s="12" t="s">
        <v>8172</v>
      </c>
      <c r="HIC3" s="12" t="s">
        <v>8173</v>
      </c>
      <c r="HID3" s="12" t="s">
        <v>8174</v>
      </c>
      <c r="HIE3" s="12" t="s">
        <v>8175</v>
      </c>
      <c r="HIF3" s="12" t="s">
        <v>8176</v>
      </c>
      <c r="HIG3" s="12" t="s">
        <v>8177</v>
      </c>
      <c r="HIH3" s="12" t="s">
        <v>8178</v>
      </c>
      <c r="HII3" s="12" t="s">
        <v>8179</v>
      </c>
      <c r="HIJ3" s="12" t="s">
        <v>8180</v>
      </c>
      <c r="HIK3" s="12" t="s">
        <v>8181</v>
      </c>
      <c r="HIL3" s="12" t="s">
        <v>8182</v>
      </c>
      <c r="HIM3" s="12" t="s">
        <v>8183</v>
      </c>
      <c r="HIN3" s="12" t="s">
        <v>8184</v>
      </c>
      <c r="HIO3" s="12" t="s">
        <v>8185</v>
      </c>
      <c r="HIP3" s="12" t="s">
        <v>8186</v>
      </c>
      <c r="HIQ3" s="12" t="s">
        <v>8187</v>
      </c>
      <c r="HIR3" s="12" t="s">
        <v>8188</v>
      </c>
      <c r="HIS3" s="12" t="s">
        <v>8189</v>
      </c>
      <c r="HIT3" s="12" t="s">
        <v>8190</v>
      </c>
      <c r="HIU3" s="12" t="s">
        <v>8191</v>
      </c>
      <c r="HIV3" s="12" t="s">
        <v>8192</v>
      </c>
      <c r="HIW3" s="12" t="s">
        <v>8193</v>
      </c>
      <c r="HIX3" s="12" t="s">
        <v>8194</v>
      </c>
      <c r="HIY3" s="12" t="s">
        <v>8195</v>
      </c>
      <c r="HIZ3" s="12" t="s">
        <v>8196</v>
      </c>
      <c r="HJA3" s="12" t="s">
        <v>8197</v>
      </c>
      <c r="HJB3" s="12" t="s">
        <v>8198</v>
      </c>
      <c r="HJC3" s="12" t="s">
        <v>8199</v>
      </c>
      <c r="HJD3" s="12" t="s">
        <v>8200</v>
      </c>
      <c r="HJE3" s="12" t="s">
        <v>8201</v>
      </c>
      <c r="HJF3" s="12" t="s">
        <v>8202</v>
      </c>
      <c r="HJG3" s="12" t="s">
        <v>8203</v>
      </c>
      <c r="HJH3" s="12" t="s">
        <v>8204</v>
      </c>
      <c r="HJI3" s="12" t="s">
        <v>8205</v>
      </c>
      <c r="HJJ3" s="12" t="s">
        <v>8206</v>
      </c>
      <c r="HJK3" s="12" t="s">
        <v>8207</v>
      </c>
      <c r="HJL3" s="12" t="s">
        <v>8208</v>
      </c>
      <c r="HJM3" s="12" t="s">
        <v>8209</v>
      </c>
      <c r="HJN3" s="12" t="s">
        <v>8210</v>
      </c>
      <c r="HJO3" s="12" t="s">
        <v>8211</v>
      </c>
      <c r="HJP3" s="12" t="s">
        <v>8212</v>
      </c>
      <c r="HJQ3" s="12" t="s">
        <v>8213</v>
      </c>
      <c r="HJR3" s="12" t="s">
        <v>8214</v>
      </c>
      <c r="HJS3" s="12" t="s">
        <v>8215</v>
      </c>
      <c r="HJT3" s="12" t="s">
        <v>8216</v>
      </c>
      <c r="HJU3" s="12" t="s">
        <v>8217</v>
      </c>
      <c r="HJV3" s="12" t="s">
        <v>8218</v>
      </c>
      <c r="HJW3" s="12" t="s">
        <v>8219</v>
      </c>
      <c r="HJX3" s="12" t="s">
        <v>8220</v>
      </c>
      <c r="HJY3" s="12" t="s">
        <v>8221</v>
      </c>
      <c r="HJZ3" s="12" t="s">
        <v>8222</v>
      </c>
      <c r="HKA3" s="12" t="s">
        <v>8223</v>
      </c>
      <c r="HKB3" s="12" t="s">
        <v>8224</v>
      </c>
      <c r="HKC3" s="12" t="s">
        <v>8225</v>
      </c>
      <c r="HKD3" s="12" t="s">
        <v>8226</v>
      </c>
      <c r="HKE3" s="12" t="s">
        <v>8227</v>
      </c>
      <c r="HKF3" s="12" t="s">
        <v>8228</v>
      </c>
      <c r="HKG3" s="12" t="s">
        <v>8229</v>
      </c>
      <c r="HKH3" s="12" t="s">
        <v>8230</v>
      </c>
      <c r="HKI3" s="12" t="s">
        <v>8231</v>
      </c>
      <c r="HKJ3" s="12" t="s">
        <v>8232</v>
      </c>
      <c r="HKK3" s="12" t="s">
        <v>8233</v>
      </c>
      <c r="HKL3" s="12" t="s">
        <v>8234</v>
      </c>
      <c r="HKM3" s="12" t="s">
        <v>8235</v>
      </c>
      <c r="HKN3" s="12" t="s">
        <v>8236</v>
      </c>
      <c r="HKO3" s="12" t="s">
        <v>8237</v>
      </c>
      <c r="HKP3" s="12" t="s">
        <v>8238</v>
      </c>
      <c r="HKQ3" s="12" t="s">
        <v>8239</v>
      </c>
      <c r="HKR3" s="12" t="s">
        <v>8240</v>
      </c>
      <c r="HKS3" s="12" t="s">
        <v>8241</v>
      </c>
      <c r="HKT3" s="12" t="s">
        <v>8242</v>
      </c>
      <c r="HKU3" s="12" t="s">
        <v>8243</v>
      </c>
      <c r="HKV3" s="12" t="s">
        <v>8244</v>
      </c>
      <c r="HKW3" s="12" t="s">
        <v>8245</v>
      </c>
      <c r="HKX3" s="12" t="s">
        <v>8246</v>
      </c>
      <c r="HKY3" s="12" t="s">
        <v>8247</v>
      </c>
      <c r="HKZ3" s="12" t="s">
        <v>8248</v>
      </c>
      <c r="HLA3" s="12" t="s">
        <v>8249</v>
      </c>
      <c r="HLB3" s="12" t="s">
        <v>8250</v>
      </c>
      <c r="HLC3" s="12" t="s">
        <v>8251</v>
      </c>
      <c r="HLD3" s="12" t="s">
        <v>8252</v>
      </c>
      <c r="HLE3" s="12" t="s">
        <v>8253</v>
      </c>
      <c r="HLF3" s="12" t="s">
        <v>8254</v>
      </c>
      <c r="HLG3" s="12" t="s">
        <v>8255</v>
      </c>
      <c r="HLH3" s="12" t="s">
        <v>8256</v>
      </c>
      <c r="HLI3" s="12" t="s">
        <v>8257</v>
      </c>
      <c r="HLJ3" s="12" t="s">
        <v>8258</v>
      </c>
      <c r="HLK3" s="12" t="s">
        <v>8259</v>
      </c>
      <c r="HLL3" s="12" t="s">
        <v>8260</v>
      </c>
      <c r="HLM3" s="12" t="s">
        <v>8261</v>
      </c>
      <c r="HLN3" s="12" t="s">
        <v>8262</v>
      </c>
      <c r="HLO3" s="12" t="s">
        <v>8263</v>
      </c>
      <c r="HLP3" s="12" t="s">
        <v>8264</v>
      </c>
      <c r="HLQ3" s="12" t="s">
        <v>8265</v>
      </c>
      <c r="HLR3" s="12" t="s">
        <v>8266</v>
      </c>
      <c r="HLS3" s="12" t="s">
        <v>8267</v>
      </c>
      <c r="HLT3" s="12" t="s">
        <v>8268</v>
      </c>
      <c r="HLU3" s="12" t="s">
        <v>8269</v>
      </c>
      <c r="HLV3" s="12" t="s">
        <v>8270</v>
      </c>
      <c r="HLW3" s="12" t="s">
        <v>8271</v>
      </c>
      <c r="HLX3" s="12" t="s">
        <v>8272</v>
      </c>
      <c r="HLY3" s="12" t="s">
        <v>8273</v>
      </c>
      <c r="HLZ3" s="12" t="s">
        <v>8274</v>
      </c>
      <c r="HMA3" s="12" t="s">
        <v>8275</v>
      </c>
      <c r="HMB3" s="12" t="s">
        <v>8276</v>
      </c>
      <c r="HMC3" s="12" t="s">
        <v>8277</v>
      </c>
      <c r="HMD3" s="12" t="s">
        <v>8278</v>
      </c>
      <c r="HME3" s="12" t="s">
        <v>8279</v>
      </c>
      <c r="HMF3" s="12" t="s">
        <v>8280</v>
      </c>
      <c r="HMG3" s="12" t="s">
        <v>8281</v>
      </c>
      <c r="HMH3" s="12" t="s">
        <v>8282</v>
      </c>
      <c r="HMI3" s="12" t="s">
        <v>8283</v>
      </c>
      <c r="HMJ3" s="12" t="s">
        <v>8284</v>
      </c>
      <c r="HMK3" s="12" t="s">
        <v>8285</v>
      </c>
      <c r="HML3" s="12" t="s">
        <v>8286</v>
      </c>
      <c r="HMM3" s="12" t="s">
        <v>8287</v>
      </c>
      <c r="HMN3" s="12" t="s">
        <v>8288</v>
      </c>
      <c r="HMO3" s="12" t="s">
        <v>8289</v>
      </c>
      <c r="HMP3" s="12" t="s">
        <v>8290</v>
      </c>
      <c r="HMQ3" s="12" t="s">
        <v>8291</v>
      </c>
      <c r="HMR3" s="12" t="s">
        <v>8292</v>
      </c>
      <c r="HMS3" s="12" t="s">
        <v>8293</v>
      </c>
      <c r="HMT3" s="12" t="s">
        <v>8294</v>
      </c>
      <c r="HMU3" s="12" t="s">
        <v>8295</v>
      </c>
      <c r="HMV3" s="12" t="s">
        <v>8296</v>
      </c>
      <c r="HMW3" s="12" t="s">
        <v>8297</v>
      </c>
      <c r="HMX3" s="12" t="s">
        <v>8298</v>
      </c>
      <c r="HMY3" s="12" t="s">
        <v>8299</v>
      </c>
      <c r="HMZ3" s="12" t="s">
        <v>8300</v>
      </c>
      <c r="HNA3" s="12" t="s">
        <v>8301</v>
      </c>
      <c r="HNB3" s="12" t="s">
        <v>8302</v>
      </c>
      <c r="HNC3" s="12" t="s">
        <v>8303</v>
      </c>
      <c r="HND3" s="12" t="s">
        <v>8304</v>
      </c>
      <c r="HNE3" s="12" t="s">
        <v>8305</v>
      </c>
      <c r="HNF3" s="12" t="s">
        <v>8306</v>
      </c>
      <c r="HNG3" s="12" t="s">
        <v>8307</v>
      </c>
      <c r="HNH3" s="12" t="s">
        <v>8308</v>
      </c>
      <c r="HNI3" s="12" t="s">
        <v>8309</v>
      </c>
      <c r="HNJ3" s="12" t="s">
        <v>8310</v>
      </c>
      <c r="HNK3" s="12" t="s">
        <v>8311</v>
      </c>
      <c r="HNL3" s="12" t="s">
        <v>8312</v>
      </c>
      <c r="HNM3" s="12" t="s">
        <v>8313</v>
      </c>
      <c r="HNN3" s="12" t="s">
        <v>8314</v>
      </c>
      <c r="HNO3" s="12" t="s">
        <v>8315</v>
      </c>
      <c r="HNP3" s="12" t="s">
        <v>8316</v>
      </c>
      <c r="HNQ3" s="12" t="s">
        <v>8317</v>
      </c>
      <c r="HNR3" s="12" t="s">
        <v>8318</v>
      </c>
      <c r="HNS3" s="12" t="s">
        <v>8319</v>
      </c>
      <c r="HNT3" s="12" t="s">
        <v>8320</v>
      </c>
      <c r="HNU3" s="12" t="s">
        <v>8321</v>
      </c>
      <c r="HNV3" s="12" t="s">
        <v>8322</v>
      </c>
      <c r="HNW3" s="12" t="s">
        <v>8323</v>
      </c>
      <c r="HNX3" s="12" t="s">
        <v>8324</v>
      </c>
      <c r="HNY3" s="12" t="s">
        <v>8325</v>
      </c>
      <c r="HNZ3" s="12" t="s">
        <v>8326</v>
      </c>
      <c r="HOA3" s="12" t="s">
        <v>8327</v>
      </c>
      <c r="HOB3" s="12" t="s">
        <v>8328</v>
      </c>
      <c r="HOC3" s="12" t="s">
        <v>8329</v>
      </c>
      <c r="HOD3" s="12" t="s">
        <v>8330</v>
      </c>
      <c r="HOE3" s="12" t="s">
        <v>8331</v>
      </c>
      <c r="HOF3" s="12" t="s">
        <v>8332</v>
      </c>
      <c r="HOG3" s="12" t="s">
        <v>8333</v>
      </c>
      <c r="HOH3" s="12" t="s">
        <v>8334</v>
      </c>
      <c r="HOI3" s="12" t="s">
        <v>8335</v>
      </c>
      <c r="HOJ3" s="12" t="s">
        <v>8336</v>
      </c>
      <c r="HOK3" s="12" t="s">
        <v>8337</v>
      </c>
      <c r="HOL3" s="12" t="s">
        <v>8338</v>
      </c>
      <c r="HOM3" s="12" t="s">
        <v>8339</v>
      </c>
      <c r="HON3" s="12" t="s">
        <v>8340</v>
      </c>
      <c r="HOO3" s="12" t="s">
        <v>8341</v>
      </c>
      <c r="HOP3" s="12" t="s">
        <v>8342</v>
      </c>
      <c r="HOQ3" s="12" t="s">
        <v>8343</v>
      </c>
      <c r="HOR3" s="12" t="s">
        <v>8344</v>
      </c>
      <c r="HOS3" s="12" t="s">
        <v>8345</v>
      </c>
      <c r="HOT3" s="12" t="s">
        <v>8346</v>
      </c>
      <c r="HOU3" s="12" t="s">
        <v>8347</v>
      </c>
      <c r="HOV3" s="12" t="s">
        <v>8348</v>
      </c>
      <c r="HOW3" s="12" t="s">
        <v>8349</v>
      </c>
      <c r="HOX3" s="12" t="s">
        <v>8350</v>
      </c>
      <c r="HOY3" s="12" t="s">
        <v>8351</v>
      </c>
      <c r="HOZ3" s="12" t="s">
        <v>8352</v>
      </c>
      <c r="HPA3" s="12" t="s">
        <v>8353</v>
      </c>
      <c r="HPB3" s="12" t="s">
        <v>8354</v>
      </c>
      <c r="HPC3" s="12" t="s">
        <v>8355</v>
      </c>
      <c r="HPD3" s="12" t="s">
        <v>8356</v>
      </c>
      <c r="HPE3" s="12" t="s">
        <v>8357</v>
      </c>
      <c r="HPF3" s="12" t="s">
        <v>8358</v>
      </c>
      <c r="HPG3" s="12" t="s">
        <v>8359</v>
      </c>
      <c r="HPH3" s="12" t="s">
        <v>8360</v>
      </c>
      <c r="HPI3" s="12" t="s">
        <v>8361</v>
      </c>
      <c r="HPJ3" s="12" t="s">
        <v>8362</v>
      </c>
      <c r="HPK3" s="12" t="s">
        <v>8363</v>
      </c>
      <c r="HPL3" s="12" t="s">
        <v>8364</v>
      </c>
      <c r="HPM3" s="12" t="s">
        <v>8365</v>
      </c>
      <c r="HPN3" s="12" t="s">
        <v>8366</v>
      </c>
      <c r="HPO3" s="12" t="s">
        <v>8367</v>
      </c>
      <c r="HPP3" s="12" t="s">
        <v>8368</v>
      </c>
      <c r="HPQ3" s="12" t="s">
        <v>8369</v>
      </c>
      <c r="HPR3" s="12" t="s">
        <v>8370</v>
      </c>
      <c r="HPS3" s="12" t="s">
        <v>8371</v>
      </c>
      <c r="HPT3" s="12" t="s">
        <v>8372</v>
      </c>
      <c r="HPU3" s="12" t="s">
        <v>8373</v>
      </c>
      <c r="HPV3" s="12" t="s">
        <v>8374</v>
      </c>
      <c r="HPW3" s="12" t="s">
        <v>8375</v>
      </c>
      <c r="HPX3" s="12" t="s">
        <v>8376</v>
      </c>
      <c r="HPY3" s="12" t="s">
        <v>8377</v>
      </c>
      <c r="HPZ3" s="12" t="s">
        <v>8378</v>
      </c>
      <c r="HQA3" s="12" t="s">
        <v>8379</v>
      </c>
      <c r="HQB3" s="12" t="s">
        <v>8380</v>
      </c>
      <c r="HQC3" s="12" t="s">
        <v>8381</v>
      </c>
      <c r="HQD3" s="12" t="s">
        <v>8382</v>
      </c>
      <c r="HQE3" s="12" t="s">
        <v>8383</v>
      </c>
      <c r="HQF3" s="12" t="s">
        <v>8384</v>
      </c>
      <c r="HQG3" s="12" t="s">
        <v>8385</v>
      </c>
      <c r="HQH3" s="12" t="s">
        <v>8386</v>
      </c>
      <c r="HQI3" s="12" t="s">
        <v>8387</v>
      </c>
      <c r="HQJ3" s="12" t="s">
        <v>8388</v>
      </c>
      <c r="HQK3" s="12" t="s">
        <v>8389</v>
      </c>
      <c r="HQL3" s="12" t="s">
        <v>8390</v>
      </c>
      <c r="HQM3" s="12" t="s">
        <v>8391</v>
      </c>
      <c r="HQN3" s="12" t="s">
        <v>8392</v>
      </c>
      <c r="HQO3" s="12" t="s">
        <v>8393</v>
      </c>
      <c r="HQP3" s="12" t="s">
        <v>8394</v>
      </c>
      <c r="HQQ3" s="12" t="s">
        <v>8395</v>
      </c>
      <c r="HQR3" s="12" t="s">
        <v>8396</v>
      </c>
      <c r="HQS3" s="12" t="s">
        <v>8397</v>
      </c>
      <c r="HQT3" s="12" t="s">
        <v>8398</v>
      </c>
      <c r="HQU3" s="12" t="s">
        <v>8399</v>
      </c>
      <c r="HQV3" s="12" t="s">
        <v>8400</v>
      </c>
      <c r="HQW3" s="12" t="s">
        <v>8401</v>
      </c>
      <c r="HQX3" s="12" t="s">
        <v>8402</v>
      </c>
      <c r="HQY3" s="12" t="s">
        <v>8403</v>
      </c>
      <c r="HQZ3" s="12" t="s">
        <v>8404</v>
      </c>
      <c r="HRA3" s="12" t="s">
        <v>8405</v>
      </c>
      <c r="HRB3" s="12" t="s">
        <v>8406</v>
      </c>
      <c r="HRC3" s="12" t="s">
        <v>8407</v>
      </c>
      <c r="HRD3" s="12" t="s">
        <v>8408</v>
      </c>
      <c r="HRE3" s="12" t="s">
        <v>8409</v>
      </c>
      <c r="HRF3" s="12" t="s">
        <v>8410</v>
      </c>
      <c r="HRG3" s="12" t="s">
        <v>8411</v>
      </c>
      <c r="HRH3" s="12" t="s">
        <v>8412</v>
      </c>
      <c r="HRI3" s="12" t="s">
        <v>8413</v>
      </c>
      <c r="HRJ3" s="12" t="s">
        <v>8414</v>
      </c>
      <c r="HRK3" s="12" t="s">
        <v>8415</v>
      </c>
      <c r="HRL3" s="12" t="s">
        <v>8416</v>
      </c>
      <c r="HRM3" s="12" t="s">
        <v>8417</v>
      </c>
      <c r="HRN3" s="12" t="s">
        <v>8418</v>
      </c>
      <c r="HRO3" s="12" t="s">
        <v>8419</v>
      </c>
      <c r="HRP3" s="12" t="s">
        <v>8420</v>
      </c>
      <c r="HRQ3" s="12" t="s">
        <v>8421</v>
      </c>
      <c r="HRR3" s="12" t="s">
        <v>8422</v>
      </c>
      <c r="HRS3" s="12" t="s">
        <v>8423</v>
      </c>
      <c r="HRT3" s="12" t="s">
        <v>8424</v>
      </c>
      <c r="HRU3" s="12" t="s">
        <v>8425</v>
      </c>
      <c r="HRV3" s="12" t="s">
        <v>8426</v>
      </c>
      <c r="HRW3" s="12" t="s">
        <v>8427</v>
      </c>
      <c r="HRX3" s="12" t="s">
        <v>8428</v>
      </c>
      <c r="HRY3" s="12" t="s">
        <v>8429</v>
      </c>
      <c r="HRZ3" s="12" t="s">
        <v>8430</v>
      </c>
      <c r="HSA3" s="12" t="s">
        <v>8431</v>
      </c>
      <c r="HSB3" s="12" t="s">
        <v>8432</v>
      </c>
      <c r="HSC3" s="12" t="s">
        <v>8433</v>
      </c>
      <c r="HSD3" s="12" t="s">
        <v>8434</v>
      </c>
      <c r="HSE3" s="12" t="s">
        <v>8435</v>
      </c>
      <c r="HSF3" s="12" t="s">
        <v>8436</v>
      </c>
      <c r="HSG3" s="12" t="s">
        <v>8437</v>
      </c>
      <c r="HSH3" s="12" t="s">
        <v>8438</v>
      </c>
      <c r="HSI3" s="12" t="s">
        <v>8439</v>
      </c>
      <c r="HSJ3" s="12" t="s">
        <v>8440</v>
      </c>
      <c r="HSK3" s="12" t="s">
        <v>8441</v>
      </c>
      <c r="HSL3" s="12" t="s">
        <v>8442</v>
      </c>
      <c r="HSM3" s="12" t="s">
        <v>8443</v>
      </c>
      <c r="HSN3" s="12" t="s">
        <v>8444</v>
      </c>
      <c r="HSO3" s="12" t="s">
        <v>8445</v>
      </c>
      <c r="HSP3" s="12" t="s">
        <v>8446</v>
      </c>
      <c r="HSQ3" s="12" t="s">
        <v>8447</v>
      </c>
      <c r="HSR3" s="12" t="s">
        <v>8448</v>
      </c>
      <c r="HSS3" s="12" t="s">
        <v>8449</v>
      </c>
      <c r="HST3" s="12" t="s">
        <v>8450</v>
      </c>
      <c r="HSU3" s="12" t="s">
        <v>8451</v>
      </c>
      <c r="HSV3" s="12" t="s">
        <v>8452</v>
      </c>
      <c r="HSW3" s="12" t="s">
        <v>8453</v>
      </c>
      <c r="HSX3" s="12" t="s">
        <v>8454</v>
      </c>
      <c r="HSY3" s="12" t="s">
        <v>8455</v>
      </c>
      <c r="HSZ3" s="12" t="s">
        <v>8456</v>
      </c>
      <c r="HTA3" s="12" t="s">
        <v>8457</v>
      </c>
      <c r="HTB3" s="12" t="s">
        <v>8458</v>
      </c>
      <c r="HTC3" s="12" t="s">
        <v>8459</v>
      </c>
      <c r="HTD3" s="12" t="s">
        <v>8460</v>
      </c>
      <c r="HTE3" s="12" t="s">
        <v>8461</v>
      </c>
      <c r="HTF3" s="12" t="s">
        <v>8462</v>
      </c>
      <c r="HTG3" s="12" t="s">
        <v>8463</v>
      </c>
      <c r="HTH3" s="12" t="s">
        <v>8464</v>
      </c>
      <c r="HTI3" s="12" t="s">
        <v>8465</v>
      </c>
      <c r="HTJ3" s="12" t="s">
        <v>8466</v>
      </c>
      <c r="HTK3" s="12" t="s">
        <v>8467</v>
      </c>
      <c r="HTL3" s="12" t="s">
        <v>8468</v>
      </c>
      <c r="HTM3" s="12" t="s">
        <v>8469</v>
      </c>
      <c r="HTN3" s="12" t="s">
        <v>8470</v>
      </c>
      <c r="HTO3" s="12" t="s">
        <v>8471</v>
      </c>
      <c r="HTP3" s="12" t="s">
        <v>8472</v>
      </c>
      <c r="HTQ3" s="12" t="s">
        <v>8473</v>
      </c>
      <c r="HTR3" s="12" t="s">
        <v>8474</v>
      </c>
      <c r="HTS3" s="12" t="s">
        <v>8475</v>
      </c>
      <c r="HTT3" s="12" t="s">
        <v>8476</v>
      </c>
      <c r="HTU3" s="12" t="s">
        <v>8477</v>
      </c>
      <c r="HTV3" s="12" t="s">
        <v>8478</v>
      </c>
      <c r="HTW3" s="12" t="s">
        <v>8479</v>
      </c>
      <c r="HTX3" s="12" t="s">
        <v>8480</v>
      </c>
      <c r="HTY3" s="12" t="s">
        <v>8481</v>
      </c>
      <c r="HTZ3" s="12" t="s">
        <v>8482</v>
      </c>
      <c r="HUA3" s="12" t="s">
        <v>8483</v>
      </c>
      <c r="HUB3" s="12" t="s">
        <v>8484</v>
      </c>
      <c r="HUC3" s="12" t="s">
        <v>8485</v>
      </c>
      <c r="HUD3" s="12" t="s">
        <v>8486</v>
      </c>
      <c r="HUE3" s="12" t="s">
        <v>8487</v>
      </c>
      <c r="HUF3" s="12" t="s">
        <v>8488</v>
      </c>
      <c r="HUG3" s="12" t="s">
        <v>8489</v>
      </c>
      <c r="HUH3" s="12" t="s">
        <v>8490</v>
      </c>
      <c r="HUI3" s="12" t="s">
        <v>8491</v>
      </c>
      <c r="HUJ3" s="12" t="s">
        <v>8492</v>
      </c>
      <c r="HUK3" s="12" t="s">
        <v>8493</v>
      </c>
      <c r="HUL3" s="12" t="s">
        <v>8494</v>
      </c>
      <c r="HUM3" s="12" t="s">
        <v>8495</v>
      </c>
      <c r="HUN3" s="12" t="s">
        <v>8496</v>
      </c>
      <c r="HUO3" s="12" t="s">
        <v>8497</v>
      </c>
      <c r="HUP3" s="12" t="s">
        <v>8498</v>
      </c>
      <c r="HUQ3" s="12" t="s">
        <v>8499</v>
      </c>
      <c r="HUR3" s="12" t="s">
        <v>8500</v>
      </c>
      <c r="HUS3" s="12" t="s">
        <v>8501</v>
      </c>
      <c r="HUT3" s="12" t="s">
        <v>8502</v>
      </c>
      <c r="HUU3" s="12" t="s">
        <v>8503</v>
      </c>
      <c r="HUV3" s="12" t="s">
        <v>8504</v>
      </c>
      <c r="HUW3" s="12" t="s">
        <v>8505</v>
      </c>
      <c r="HUX3" s="12" t="s">
        <v>8506</v>
      </c>
      <c r="HUY3" s="12" t="s">
        <v>8507</v>
      </c>
      <c r="HUZ3" s="12" t="s">
        <v>8508</v>
      </c>
      <c r="HVA3" s="12" t="s">
        <v>8509</v>
      </c>
      <c r="HVB3" s="12" t="s">
        <v>8510</v>
      </c>
      <c r="HVC3" s="12" t="s">
        <v>8511</v>
      </c>
      <c r="HVD3" s="12" t="s">
        <v>8512</v>
      </c>
      <c r="HVE3" s="12" t="s">
        <v>8513</v>
      </c>
      <c r="HVF3" s="12" t="s">
        <v>8514</v>
      </c>
      <c r="HVG3" s="12" t="s">
        <v>8515</v>
      </c>
      <c r="HVH3" s="12" t="s">
        <v>8516</v>
      </c>
      <c r="HVI3" s="12" t="s">
        <v>8517</v>
      </c>
      <c r="HVJ3" s="12" t="s">
        <v>8518</v>
      </c>
      <c r="HVK3" s="12" t="s">
        <v>8519</v>
      </c>
      <c r="HVL3" s="12" t="s">
        <v>8520</v>
      </c>
      <c r="HVM3" s="12" t="s">
        <v>8521</v>
      </c>
      <c r="HVN3" s="12" t="s">
        <v>8522</v>
      </c>
      <c r="HVO3" s="12" t="s">
        <v>8523</v>
      </c>
      <c r="HVP3" s="12" t="s">
        <v>8524</v>
      </c>
      <c r="HVQ3" s="12" t="s">
        <v>8525</v>
      </c>
      <c r="HVR3" s="12" t="s">
        <v>8526</v>
      </c>
      <c r="HVS3" s="12" t="s">
        <v>8527</v>
      </c>
      <c r="HVT3" s="12" t="s">
        <v>8528</v>
      </c>
      <c r="HVU3" s="12" t="s">
        <v>8529</v>
      </c>
      <c r="HVV3" s="12" t="s">
        <v>8530</v>
      </c>
      <c r="HVW3" s="12" t="s">
        <v>8531</v>
      </c>
      <c r="HVX3" s="12" t="s">
        <v>8532</v>
      </c>
      <c r="HVY3" s="12" t="s">
        <v>8533</v>
      </c>
      <c r="HVZ3" s="12" t="s">
        <v>8534</v>
      </c>
      <c r="HWA3" s="12" t="s">
        <v>8535</v>
      </c>
      <c r="HWB3" s="12" t="s">
        <v>8536</v>
      </c>
      <c r="HWC3" s="12" t="s">
        <v>8537</v>
      </c>
      <c r="HWD3" s="12" t="s">
        <v>8538</v>
      </c>
      <c r="HWE3" s="12" t="s">
        <v>8539</v>
      </c>
      <c r="HWF3" s="12" t="s">
        <v>8540</v>
      </c>
      <c r="HWG3" s="12" t="s">
        <v>8541</v>
      </c>
      <c r="HWH3" s="12" t="s">
        <v>8542</v>
      </c>
      <c r="HWI3" s="12" t="s">
        <v>8543</v>
      </c>
      <c r="HWJ3" s="12" t="s">
        <v>8544</v>
      </c>
      <c r="HWK3" s="12" t="s">
        <v>8545</v>
      </c>
      <c r="HWL3" s="12" t="s">
        <v>8546</v>
      </c>
      <c r="HWM3" s="12" t="s">
        <v>8547</v>
      </c>
      <c r="HWN3" s="12" t="s">
        <v>8548</v>
      </c>
      <c r="HWO3" s="12" t="s">
        <v>8549</v>
      </c>
      <c r="HWP3" s="12" t="s">
        <v>8550</v>
      </c>
      <c r="HWQ3" s="12" t="s">
        <v>8551</v>
      </c>
      <c r="HWR3" s="12" t="s">
        <v>8552</v>
      </c>
      <c r="HWS3" s="12" t="s">
        <v>8553</v>
      </c>
      <c r="HWT3" s="12" t="s">
        <v>8554</v>
      </c>
      <c r="HWU3" s="12" t="s">
        <v>8555</v>
      </c>
      <c r="HWV3" s="12" t="s">
        <v>8556</v>
      </c>
      <c r="HWW3" s="12" t="s">
        <v>8557</v>
      </c>
      <c r="HWX3" s="12" t="s">
        <v>8558</v>
      </c>
      <c r="HWY3" s="12" t="s">
        <v>8559</v>
      </c>
      <c r="HWZ3" s="12" t="s">
        <v>8560</v>
      </c>
      <c r="HXA3" s="12" t="s">
        <v>8561</v>
      </c>
      <c r="HXB3" s="12" t="s">
        <v>8562</v>
      </c>
      <c r="HXC3" s="12" t="s">
        <v>8563</v>
      </c>
      <c r="HXD3" s="12" t="s">
        <v>8564</v>
      </c>
      <c r="HXE3" s="12" t="s">
        <v>8565</v>
      </c>
      <c r="HXF3" s="12" t="s">
        <v>8566</v>
      </c>
      <c r="HXG3" s="12" t="s">
        <v>8567</v>
      </c>
      <c r="HXH3" s="12" t="s">
        <v>8568</v>
      </c>
      <c r="HXI3" s="12" t="s">
        <v>8569</v>
      </c>
      <c r="HXJ3" s="12" t="s">
        <v>8570</v>
      </c>
      <c r="HXK3" s="12" t="s">
        <v>8571</v>
      </c>
      <c r="HXL3" s="12" t="s">
        <v>8572</v>
      </c>
      <c r="HXM3" s="12" t="s">
        <v>8573</v>
      </c>
      <c r="HXN3" s="12" t="s">
        <v>8574</v>
      </c>
      <c r="HXO3" s="12" t="s">
        <v>8575</v>
      </c>
      <c r="HXP3" s="12" t="s">
        <v>8576</v>
      </c>
      <c r="HXQ3" s="12" t="s">
        <v>8577</v>
      </c>
      <c r="HXR3" s="12" t="s">
        <v>8578</v>
      </c>
      <c r="HXS3" s="12" t="s">
        <v>8579</v>
      </c>
      <c r="HXT3" s="12" t="s">
        <v>8580</v>
      </c>
      <c r="HXU3" s="12" t="s">
        <v>8581</v>
      </c>
      <c r="HXV3" s="12" t="s">
        <v>8582</v>
      </c>
      <c r="HXW3" s="12" t="s">
        <v>8583</v>
      </c>
      <c r="HXX3" s="12" t="s">
        <v>8584</v>
      </c>
      <c r="HXY3" s="12" t="s">
        <v>8585</v>
      </c>
      <c r="HXZ3" s="12" t="s">
        <v>8586</v>
      </c>
      <c r="HYA3" s="12" t="s">
        <v>8587</v>
      </c>
      <c r="HYB3" s="12" t="s">
        <v>8588</v>
      </c>
      <c r="HYC3" s="12" t="s">
        <v>8589</v>
      </c>
      <c r="HYD3" s="12" t="s">
        <v>8590</v>
      </c>
      <c r="HYE3" s="12" t="s">
        <v>8591</v>
      </c>
      <c r="HYF3" s="12" t="s">
        <v>8592</v>
      </c>
      <c r="HYG3" s="12" t="s">
        <v>8593</v>
      </c>
      <c r="HYH3" s="12" t="s">
        <v>8594</v>
      </c>
      <c r="HYI3" s="12" t="s">
        <v>8595</v>
      </c>
      <c r="HYJ3" s="12" t="s">
        <v>8596</v>
      </c>
      <c r="HYK3" s="12" t="s">
        <v>8597</v>
      </c>
      <c r="HYL3" s="12" t="s">
        <v>8598</v>
      </c>
      <c r="HYM3" s="12" t="s">
        <v>8599</v>
      </c>
      <c r="HYN3" s="12" t="s">
        <v>8600</v>
      </c>
      <c r="HYO3" s="12" t="s">
        <v>8601</v>
      </c>
      <c r="HYP3" s="12" t="s">
        <v>8602</v>
      </c>
      <c r="HYQ3" s="12" t="s">
        <v>8603</v>
      </c>
      <c r="HYR3" s="12" t="s">
        <v>8604</v>
      </c>
      <c r="HYS3" s="12" t="s">
        <v>8605</v>
      </c>
      <c r="HYT3" s="12" t="s">
        <v>8606</v>
      </c>
      <c r="HYU3" s="12" t="s">
        <v>8607</v>
      </c>
      <c r="HYV3" s="12" t="s">
        <v>8608</v>
      </c>
      <c r="HYW3" s="12" t="s">
        <v>8609</v>
      </c>
      <c r="HYX3" s="12" t="s">
        <v>8610</v>
      </c>
      <c r="HYY3" s="12" t="s">
        <v>8611</v>
      </c>
      <c r="HYZ3" s="12" t="s">
        <v>8612</v>
      </c>
      <c r="HZA3" s="12" t="s">
        <v>8613</v>
      </c>
      <c r="HZB3" s="12" t="s">
        <v>8614</v>
      </c>
      <c r="HZC3" s="12" t="s">
        <v>8615</v>
      </c>
      <c r="HZD3" s="12" t="s">
        <v>8616</v>
      </c>
      <c r="HZE3" s="12" t="s">
        <v>8617</v>
      </c>
      <c r="HZF3" s="12" t="s">
        <v>8618</v>
      </c>
      <c r="HZG3" s="12" t="s">
        <v>8619</v>
      </c>
      <c r="HZH3" s="12" t="s">
        <v>8620</v>
      </c>
      <c r="HZI3" s="12" t="s">
        <v>8621</v>
      </c>
      <c r="HZJ3" s="12" t="s">
        <v>8622</v>
      </c>
      <c r="HZK3" s="12" t="s">
        <v>8623</v>
      </c>
      <c r="HZL3" s="12" t="s">
        <v>8624</v>
      </c>
      <c r="HZM3" s="12" t="s">
        <v>8625</v>
      </c>
      <c r="HZN3" s="12" t="s">
        <v>8626</v>
      </c>
      <c r="HZO3" s="12" t="s">
        <v>8627</v>
      </c>
      <c r="HZP3" s="12" t="s">
        <v>8628</v>
      </c>
      <c r="HZQ3" s="12" t="s">
        <v>8629</v>
      </c>
      <c r="HZR3" s="12" t="s">
        <v>8630</v>
      </c>
      <c r="HZS3" s="12" t="s">
        <v>8631</v>
      </c>
      <c r="HZT3" s="12" t="s">
        <v>8632</v>
      </c>
      <c r="HZU3" s="12" t="s">
        <v>8633</v>
      </c>
      <c r="HZV3" s="12" t="s">
        <v>8634</v>
      </c>
      <c r="HZW3" s="12" t="s">
        <v>8635</v>
      </c>
      <c r="HZX3" s="12" t="s">
        <v>8636</v>
      </c>
      <c r="HZY3" s="12" t="s">
        <v>8637</v>
      </c>
      <c r="HZZ3" s="12" t="s">
        <v>8638</v>
      </c>
      <c r="IAA3" s="12" t="s">
        <v>8639</v>
      </c>
      <c r="IAB3" s="12" t="s">
        <v>8640</v>
      </c>
      <c r="IAC3" s="12" t="s">
        <v>8641</v>
      </c>
      <c r="IAD3" s="12" t="s">
        <v>8642</v>
      </c>
      <c r="IAE3" s="12" t="s">
        <v>8643</v>
      </c>
      <c r="IAF3" s="12" t="s">
        <v>8644</v>
      </c>
      <c r="IAG3" s="12" t="s">
        <v>8645</v>
      </c>
      <c r="IAH3" s="12" t="s">
        <v>8646</v>
      </c>
      <c r="IAI3" s="12" t="s">
        <v>8647</v>
      </c>
      <c r="IAJ3" s="12" t="s">
        <v>8648</v>
      </c>
      <c r="IAK3" s="12" t="s">
        <v>8649</v>
      </c>
      <c r="IAL3" s="12" t="s">
        <v>8650</v>
      </c>
      <c r="IAM3" s="12" t="s">
        <v>8651</v>
      </c>
      <c r="IAN3" s="12" t="s">
        <v>8652</v>
      </c>
      <c r="IAO3" s="12" t="s">
        <v>8653</v>
      </c>
      <c r="IAP3" s="12" t="s">
        <v>8654</v>
      </c>
      <c r="IAQ3" s="12" t="s">
        <v>8655</v>
      </c>
      <c r="IAR3" s="12" t="s">
        <v>8656</v>
      </c>
      <c r="IAS3" s="12" t="s">
        <v>8657</v>
      </c>
      <c r="IAT3" s="12" t="s">
        <v>8658</v>
      </c>
      <c r="IAU3" s="12" t="s">
        <v>8659</v>
      </c>
      <c r="IAV3" s="12" t="s">
        <v>8660</v>
      </c>
      <c r="IAW3" s="12" t="s">
        <v>8661</v>
      </c>
      <c r="IAX3" s="12" t="s">
        <v>8662</v>
      </c>
      <c r="IAY3" s="12" t="s">
        <v>8663</v>
      </c>
      <c r="IAZ3" s="12" t="s">
        <v>8664</v>
      </c>
      <c r="IBA3" s="12" t="s">
        <v>8665</v>
      </c>
      <c r="IBB3" s="12" t="s">
        <v>8666</v>
      </c>
      <c r="IBC3" s="12" t="s">
        <v>8667</v>
      </c>
      <c r="IBD3" s="12" t="s">
        <v>8668</v>
      </c>
      <c r="IBE3" s="12" t="s">
        <v>8669</v>
      </c>
      <c r="IBF3" s="12" t="s">
        <v>8670</v>
      </c>
      <c r="IBG3" s="12" t="s">
        <v>8671</v>
      </c>
      <c r="IBH3" s="12" t="s">
        <v>8672</v>
      </c>
      <c r="IBI3" s="12" t="s">
        <v>8673</v>
      </c>
      <c r="IBJ3" s="12" t="s">
        <v>8674</v>
      </c>
      <c r="IBK3" s="12" t="s">
        <v>8675</v>
      </c>
      <c r="IBL3" s="12" t="s">
        <v>8676</v>
      </c>
      <c r="IBM3" s="12" t="s">
        <v>8677</v>
      </c>
      <c r="IBN3" s="12" t="s">
        <v>8678</v>
      </c>
      <c r="IBO3" s="12" t="s">
        <v>8679</v>
      </c>
      <c r="IBP3" s="12" t="s">
        <v>8680</v>
      </c>
      <c r="IBQ3" s="12" t="s">
        <v>8681</v>
      </c>
      <c r="IBR3" s="12" t="s">
        <v>8682</v>
      </c>
      <c r="IBS3" s="12" t="s">
        <v>8683</v>
      </c>
      <c r="IBT3" s="12" t="s">
        <v>8684</v>
      </c>
      <c r="IBU3" s="12" t="s">
        <v>8685</v>
      </c>
      <c r="IBV3" s="12" t="s">
        <v>8686</v>
      </c>
      <c r="IBW3" s="12" t="s">
        <v>8687</v>
      </c>
      <c r="IBX3" s="12" t="s">
        <v>8688</v>
      </c>
      <c r="IBY3" s="12" t="s">
        <v>8689</v>
      </c>
      <c r="IBZ3" s="12" t="s">
        <v>8690</v>
      </c>
      <c r="ICA3" s="12" t="s">
        <v>8691</v>
      </c>
      <c r="ICB3" s="12" t="s">
        <v>8692</v>
      </c>
      <c r="ICC3" s="12" t="s">
        <v>8693</v>
      </c>
      <c r="ICD3" s="12" t="s">
        <v>8694</v>
      </c>
      <c r="ICE3" s="12" t="s">
        <v>8695</v>
      </c>
      <c r="ICF3" s="12" t="s">
        <v>8696</v>
      </c>
      <c r="ICG3" s="12" t="s">
        <v>8697</v>
      </c>
      <c r="ICH3" s="12" t="s">
        <v>8698</v>
      </c>
      <c r="ICI3" s="12" t="s">
        <v>8699</v>
      </c>
      <c r="ICJ3" s="12" t="s">
        <v>8700</v>
      </c>
      <c r="ICK3" s="12" t="s">
        <v>8701</v>
      </c>
      <c r="ICL3" s="12" t="s">
        <v>8702</v>
      </c>
      <c r="ICM3" s="12" t="s">
        <v>8703</v>
      </c>
      <c r="ICN3" s="12" t="s">
        <v>8704</v>
      </c>
      <c r="ICO3" s="12" t="s">
        <v>8705</v>
      </c>
      <c r="ICP3" s="12" t="s">
        <v>8706</v>
      </c>
      <c r="ICQ3" s="12" t="s">
        <v>8707</v>
      </c>
      <c r="ICR3" s="12" t="s">
        <v>8708</v>
      </c>
      <c r="ICS3" s="12" t="s">
        <v>8709</v>
      </c>
      <c r="ICT3" s="12" t="s">
        <v>8710</v>
      </c>
      <c r="ICU3" s="12" t="s">
        <v>8711</v>
      </c>
      <c r="ICV3" s="12" t="s">
        <v>8712</v>
      </c>
      <c r="ICW3" s="12" t="s">
        <v>8713</v>
      </c>
      <c r="ICX3" s="12" t="s">
        <v>8714</v>
      </c>
      <c r="ICY3" s="12" t="s">
        <v>8715</v>
      </c>
      <c r="ICZ3" s="12" t="s">
        <v>8716</v>
      </c>
      <c r="IDA3" s="12" t="s">
        <v>8717</v>
      </c>
      <c r="IDB3" s="12" t="s">
        <v>8718</v>
      </c>
      <c r="IDC3" s="12" t="s">
        <v>8719</v>
      </c>
      <c r="IDD3" s="12" t="s">
        <v>8720</v>
      </c>
      <c r="IDE3" s="12" t="s">
        <v>8721</v>
      </c>
      <c r="IDF3" s="12" t="s">
        <v>8722</v>
      </c>
      <c r="IDG3" s="12" t="s">
        <v>8723</v>
      </c>
      <c r="IDH3" s="12" t="s">
        <v>8724</v>
      </c>
      <c r="IDI3" s="12" t="s">
        <v>8725</v>
      </c>
      <c r="IDJ3" s="12" t="s">
        <v>8726</v>
      </c>
      <c r="IDK3" s="12" t="s">
        <v>8727</v>
      </c>
      <c r="IDL3" s="12" t="s">
        <v>8728</v>
      </c>
      <c r="IDM3" s="12" t="s">
        <v>8729</v>
      </c>
      <c r="IDN3" s="12" t="s">
        <v>8730</v>
      </c>
      <c r="IDO3" s="12" t="s">
        <v>8731</v>
      </c>
      <c r="IDP3" s="12" t="s">
        <v>8732</v>
      </c>
      <c r="IDQ3" s="12" t="s">
        <v>8733</v>
      </c>
      <c r="IDR3" s="12" t="s">
        <v>8734</v>
      </c>
      <c r="IDS3" s="12" t="s">
        <v>8735</v>
      </c>
      <c r="IDT3" s="12" t="s">
        <v>8736</v>
      </c>
      <c r="IDU3" s="12" t="s">
        <v>8737</v>
      </c>
      <c r="IDV3" s="12" t="s">
        <v>8738</v>
      </c>
      <c r="IDW3" s="12" t="s">
        <v>8739</v>
      </c>
      <c r="IDX3" s="12" t="s">
        <v>8740</v>
      </c>
      <c r="IDY3" s="12" t="s">
        <v>8741</v>
      </c>
      <c r="IDZ3" s="12" t="s">
        <v>8742</v>
      </c>
      <c r="IEA3" s="12" t="s">
        <v>8743</v>
      </c>
      <c r="IEB3" s="12" t="s">
        <v>8744</v>
      </c>
      <c r="IEC3" s="12" t="s">
        <v>8745</v>
      </c>
      <c r="IED3" s="12" t="s">
        <v>8746</v>
      </c>
      <c r="IEE3" s="12" t="s">
        <v>8747</v>
      </c>
      <c r="IEF3" s="12" t="s">
        <v>8748</v>
      </c>
      <c r="IEG3" s="12" t="s">
        <v>8749</v>
      </c>
      <c r="IEH3" s="12" t="s">
        <v>8750</v>
      </c>
      <c r="IEI3" s="12" t="s">
        <v>8751</v>
      </c>
      <c r="IEJ3" s="12" t="s">
        <v>8752</v>
      </c>
      <c r="IEK3" s="12" t="s">
        <v>8753</v>
      </c>
      <c r="IEL3" s="12" t="s">
        <v>8754</v>
      </c>
      <c r="IEM3" s="12" t="s">
        <v>8755</v>
      </c>
      <c r="IEN3" s="12" t="s">
        <v>8756</v>
      </c>
      <c r="IEO3" s="12" t="s">
        <v>8757</v>
      </c>
      <c r="IEP3" s="12" t="s">
        <v>8758</v>
      </c>
      <c r="IEQ3" s="12" t="s">
        <v>8759</v>
      </c>
      <c r="IER3" s="12" t="s">
        <v>8760</v>
      </c>
      <c r="IES3" s="12" t="s">
        <v>8761</v>
      </c>
      <c r="IET3" s="12" t="s">
        <v>8762</v>
      </c>
      <c r="IEU3" s="12" t="s">
        <v>8763</v>
      </c>
      <c r="IEV3" s="12" t="s">
        <v>8764</v>
      </c>
      <c r="IEW3" s="12" t="s">
        <v>8765</v>
      </c>
      <c r="IEX3" s="12" t="s">
        <v>8766</v>
      </c>
      <c r="IEY3" s="12" t="s">
        <v>8767</v>
      </c>
      <c r="IEZ3" s="12" t="s">
        <v>8768</v>
      </c>
      <c r="IFA3" s="12" t="s">
        <v>8769</v>
      </c>
      <c r="IFB3" s="12" t="s">
        <v>8770</v>
      </c>
      <c r="IFC3" s="12" t="s">
        <v>8771</v>
      </c>
      <c r="IFD3" s="12" t="s">
        <v>8772</v>
      </c>
      <c r="IFE3" s="12" t="s">
        <v>8773</v>
      </c>
      <c r="IFF3" s="12" t="s">
        <v>8774</v>
      </c>
      <c r="IFG3" s="12" t="s">
        <v>8775</v>
      </c>
      <c r="IFH3" s="12" t="s">
        <v>8776</v>
      </c>
      <c r="IFI3" s="12" t="s">
        <v>8777</v>
      </c>
      <c r="IFJ3" s="12" t="s">
        <v>8778</v>
      </c>
      <c r="IFK3" s="12" t="s">
        <v>8779</v>
      </c>
      <c r="IFL3" s="12" t="s">
        <v>8780</v>
      </c>
      <c r="IFM3" s="12" t="s">
        <v>8781</v>
      </c>
      <c r="IFN3" s="12" t="s">
        <v>8782</v>
      </c>
      <c r="IFO3" s="12" t="s">
        <v>8783</v>
      </c>
      <c r="IFP3" s="12" t="s">
        <v>8784</v>
      </c>
      <c r="IFQ3" s="12" t="s">
        <v>8785</v>
      </c>
      <c r="IFR3" s="12" t="s">
        <v>8786</v>
      </c>
      <c r="IFS3" s="12" t="s">
        <v>8787</v>
      </c>
      <c r="IFT3" s="12" t="s">
        <v>8788</v>
      </c>
      <c r="IFU3" s="12" t="s">
        <v>8789</v>
      </c>
      <c r="IFV3" s="12" t="s">
        <v>8790</v>
      </c>
      <c r="IFW3" s="12" t="s">
        <v>8791</v>
      </c>
      <c r="IFX3" s="12" t="s">
        <v>8792</v>
      </c>
      <c r="IFY3" s="12" t="s">
        <v>8793</v>
      </c>
      <c r="IFZ3" s="12" t="s">
        <v>8794</v>
      </c>
      <c r="IGA3" s="12" t="s">
        <v>8795</v>
      </c>
      <c r="IGB3" s="12" t="s">
        <v>8796</v>
      </c>
      <c r="IGC3" s="12" t="s">
        <v>8797</v>
      </c>
      <c r="IGD3" s="12" t="s">
        <v>8798</v>
      </c>
      <c r="IGE3" s="12" t="s">
        <v>8799</v>
      </c>
      <c r="IGF3" s="12" t="s">
        <v>8800</v>
      </c>
      <c r="IGG3" s="12" t="s">
        <v>8801</v>
      </c>
      <c r="IGH3" s="12" t="s">
        <v>8802</v>
      </c>
      <c r="IGI3" s="12" t="s">
        <v>8803</v>
      </c>
      <c r="IGJ3" s="12" t="s">
        <v>8804</v>
      </c>
      <c r="IGK3" s="12" t="s">
        <v>8805</v>
      </c>
      <c r="IGL3" s="12" t="s">
        <v>8806</v>
      </c>
      <c r="IGM3" s="12" t="s">
        <v>8807</v>
      </c>
      <c r="IGN3" s="12" t="s">
        <v>8808</v>
      </c>
      <c r="IGO3" s="12" t="s">
        <v>8809</v>
      </c>
      <c r="IGP3" s="12" t="s">
        <v>8810</v>
      </c>
      <c r="IGQ3" s="12" t="s">
        <v>8811</v>
      </c>
      <c r="IGR3" s="12" t="s">
        <v>8812</v>
      </c>
      <c r="IGS3" s="12" t="s">
        <v>8813</v>
      </c>
      <c r="IGT3" s="12" t="s">
        <v>8814</v>
      </c>
      <c r="IGU3" s="12" t="s">
        <v>8815</v>
      </c>
      <c r="IGV3" s="12" t="s">
        <v>8816</v>
      </c>
      <c r="IGW3" s="12" t="s">
        <v>8817</v>
      </c>
      <c r="IGX3" s="12" t="s">
        <v>8818</v>
      </c>
      <c r="IGY3" s="12" t="s">
        <v>8819</v>
      </c>
      <c r="IGZ3" s="12" t="s">
        <v>8820</v>
      </c>
      <c r="IHA3" s="12" t="s">
        <v>8821</v>
      </c>
      <c r="IHB3" s="12" t="s">
        <v>8822</v>
      </c>
      <c r="IHC3" s="12" t="s">
        <v>8823</v>
      </c>
      <c r="IHD3" s="12" t="s">
        <v>8824</v>
      </c>
      <c r="IHE3" s="12" t="s">
        <v>8825</v>
      </c>
      <c r="IHF3" s="12" t="s">
        <v>8826</v>
      </c>
      <c r="IHG3" s="12" t="s">
        <v>8827</v>
      </c>
      <c r="IHH3" s="12" t="s">
        <v>8828</v>
      </c>
      <c r="IHI3" s="12" t="s">
        <v>8829</v>
      </c>
      <c r="IHJ3" s="12" t="s">
        <v>8830</v>
      </c>
      <c r="IHK3" s="12" t="s">
        <v>8831</v>
      </c>
      <c r="IHL3" s="12" t="s">
        <v>8832</v>
      </c>
      <c r="IHM3" s="12" t="s">
        <v>8833</v>
      </c>
      <c r="IHN3" s="12" t="s">
        <v>8834</v>
      </c>
      <c r="IHO3" s="12" t="s">
        <v>8835</v>
      </c>
      <c r="IHP3" s="12" t="s">
        <v>8836</v>
      </c>
      <c r="IHQ3" s="12" t="s">
        <v>8837</v>
      </c>
      <c r="IHR3" s="12" t="s">
        <v>8838</v>
      </c>
      <c r="IHS3" s="12" t="s">
        <v>8839</v>
      </c>
      <c r="IHT3" s="12" t="s">
        <v>8840</v>
      </c>
      <c r="IHU3" s="12" t="s">
        <v>8841</v>
      </c>
      <c r="IHV3" s="12" t="s">
        <v>8842</v>
      </c>
      <c r="IHW3" s="12" t="s">
        <v>8843</v>
      </c>
      <c r="IHX3" s="12" t="s">
        <v>8844</v>
      </c>
      <c r="IHY3" s="12" t="s">
        <v>8845</v>
      </c>
      <c r="IHZ3" s="12" t="s">
        <v>8846</v>
      </c>
      <c r="IIA3" s="12" t="s">
        <v>8847</v>
      </c>
      <c r="IIB3" s="12" t="s">
        <v>8848</v>
      </c>
      <c r="IIC3" s="12" t="s">
        <v>8849</v>
      </c>
      <c r="IID3" s="12" t="s">
        <v>8850</v>
      </c>
      <c r="IIE3" s="12" t="s">
        <v>8851</v>
      </c>
      <c r="IIF3" s="12" t="s">
        <v>8852</v>
      </c>
      <c r="IIG3" s="12" t="s">
        <v>8853</v>
      </c>
      <c r="IIH3" s="12" t="s">
        <v>8854</v>
      </c>
      <c r="III3" s="12" t="s">
        <v>8855</v>
      </c>
      <c r="IIJ3" s="12" t="s">
        <v>8856</v>
      </c>
      <c r="IIK3" s="12" t="s">
        <v>8857</v>
      </c>
      <c r="IIL3" s="12" t="s">
        <v>8858</v>
      </c>
      <c r="IIM3" s="12" t="s">
        <v>8859</v>
      </c>
      <c r="IIN3" s="12" t="s">
        <v>8860</v>
      </c>
      <c r="IIO3" s="12" t="s">
        <v>8861</v>
      </c>
      <c r="IIP3" s="12" t="s">
        <v>8862</v>
      </c>
      <c r="IIQ3" s="12" t="s">
        <v>8863</v>
      </c>
      <c r="IIR3" s="12" t="s">
        <v>8864</v>
      </c>
      <c r="IIS3" s="12" t="s">
        <v>8865</v>
      </c>
      <c r="IIT3" s="12" t="s">
        <v>8866</v>
      </c>
      <c r="IIU3" s="12" t="s">
        <v>8867</v>
      </c>
      <c r="IIV3" s="12" t="s">
        <v>8868</v>
      </c>
      <c r="IIW3" s="12" t="s">
        <v>8869</v>
      </c>
      <c r="IIX3" s="12" t="s">
        <v>8870</v>
      </c>
      <c r="IIY3" s="12" t="s">
        <v>8871</v>
      </c>
      <c r="IIZ3" s="12" t="s">
        <v>8872</v>
      </c>
      <c r="IJA3" s="12" t="s">
        <v>8873</v>
      </c>
      <c r="IJB3" s="12" t="s">
        <v>8874</v>
      </c>
      <c r="IJC3" s="12" t="s">
        <v>8875</v>
      </c>
      <c r="IJD3" s="12" t="s">
        <v>8876</v>
      </c>
      <c r="IJE3" s="12" t="s">
        <v>8877</v>
      </c>
      <c r="IJF3" s="12" t="s">
        <v>8878</v>
      </c>
      <c r="IJG3" s="12" t="s">
        <v>8879</v>
      </c>
      <c r="IJH3" s="12" t="s">
        <v>8880</v>
      </c>
      <c r="IJI3" s="12" t="s">
        <v>8881</v>
      </c>
      <c r="IJJ3" s="12" t="s">
        <v>8882</v>
      </c>
      <c r="IJK3" s="12" t="s">
        <v>8883</v>
      </c>
      <c r="IJL3" s="12" t="s">
        <v>8884</v>
      </c>
      <c r="IJM3" s="12" t="s">
        <v>8885</v>
      </c>
      <c r="IJN3" s="12" t="s">
        <v>8886</v>
      </c>
      <c r="IJO3" s="12" t="s">
        <v>8887</v>
      </c>
      <c r="IJP3" s="12" t="s">
        <v>8888</v>
      </c>
      <c r="IJQ3" s="12" t="s">
        <v>8889</v>
      </c>
      <c r="IJR3" s="12" t="s">
        <v>8890</v>
      </c>
      <c r="IJS3" s="12" t="s">
        <v>8891</v>
      </c>
      <c r="IJT3" s="12" t="s">
        <v>8892</v>
      </c>
      <c r="IJU3" s="12" t="s">
        <v>8893</v>
      </c>
      <c r="IJV3" s="12" t="s">
        <v>8894</v>
      </c>
      <c r="IJW3" s="12" t="s">
        <v>8895</v>
      </c>
      <c r="IJX3" s="12" t="s">
        <v>8896</v>
      </c>
      <c r="IJY3" s="12" t="s">
        <v>8897</v>
      </c>
      <c r="IJZ3" s="12" t="s">
        <v>8898</v>
      </c>
      <c r="IKA3" s="12" t="s">
        <v>8899</v>
      </c>
      <c r="IKB3" s="12" t="s">
        <v>8900</v>
      </c>
      <c r="IKC3" s="12" t="s">
        <v>8901</v>
      </c>
      <c r="IKD3" s="12" t="s">
        <v>8902</v>
      </c>
      <c r="IKE3" s="12" t="s">
        <v>8903</v>
      </c>
      <c r="IKF3" s="12" t="s">
        <v>8904</v>
      </c>
      <c r="IKG3" s="12" t="s">
        <v>8905</v>
      </c>
      <c r="IKH3" s="12" t="s">
        <v>8906</v>
      </c>
      <c r="IKI3" s="12" t="s">
        <v>8907</v>
      </c>
      <c r="IKJ3" s="12" t="s">
        <v>8908</v>
      </c>
      <c r="IKK3" s="12" t="s">
        <v>8909</v>
      </c>
      <c r="IKL3" s="12" t="s">
        <v>8910</v>
      </c>
      <c r="IKM3" s="12" t="s">
        <v>8911</v>
      </c>
      <c r="IKN3" s="12" t="s">
        <v>8912</v>
      </c>
      <c r="IKO3" s="12" t="s">
        <v>8913</v>
      </c>
      <c r="IKP3" s="12" t="s">
        <v>8914</v>
      </c>
      <c r="IKQ3" s="12" t="s">
        <v>8915</v>
      </c>
      <c r="IKR3" s="12" t="s">
        <v>8916</v>
      </c>
      <c r="IKS3" s="12" t="s">
        <v>8917</v>
      </c>
      <c r="IKT3" s="12" t="s">
        <v>8918</v>
      </c>
      <c r="IKU3" s="12" t="s">
        <v>8919</v>
      </c>
      <c r="IKV3" s="12" t="s">
        <v>8920</v>
      </c>
      <c r="IKW3" s="12" t="s">
        <v>8921</v>
      </c>
      <c r="IKX3" s="12" t="s">
        <v>8922</v>
      </c>
      <c r="IKY3" s="12" t="s">
        <v>8923</v>
      </c>
      <c r="IKZ3" s="12" t="s">
        <v>8924</v>
      </c>
      <c r="ILA3" s="12" t="s">
        <v>8925</v>
      </c>
      <c r="ILB3" s="12" t="s">
        <v>8926</v>
      </c>
      <c r="ILC3" s="12" t="s">
        <v>8927</v>
      </c>
      <c r="ILD3" s="12" t="s">
        <v>8928</v>
      </c>
      <c r="ILE3" s="12" t="s">
        <v>8929</v>
      </c>
      <c r="ILF3" s="12" t="s">
        <v>8930</v>
      </c>
      <c r="ILG3" s="12" t="s">
        <v>8931</v>
      </c>
      <c r="ILH3" s="12" t="s">
        <v>8932</v>
      </c>
      <c r="ILI3" s="12" t="s">
        <v>8933</v>
      </c>
      <c r="ILJ3" s="12" t="s">
        <v>8934</v>
      </c>
      <c r="ILK3" s="12" t="s">
        <v>8935</v>
      </c>
      <c r="ILL3" s="12" t="s">
        <v>8936</v>
      </c>
      <c r="ILM3" s="12" t="s">
        <v>8937</v>
      </c>
      <c r="ILN3" s="12" t="s">
        <v>8938</v>
      </c>
      <c r="ILO3" s="12" t="s">
        <v>8939</v>
      </c>
      <c r="ILP3" s="12" t="s">
        <v>8940</v>
      </c>
      <c r="ILQ3" s="12" t="s">
        <v>8941</v>
      </c>
      <c r="ILR3" s="12" t="s">
        <v>8942</v>
      </c>
      <c r="ILS3" s="12" t="s">
        <v>8943</v>
      </c>
      <c r="ILT3" s="12" t="s">
        <v>8944</v>
      </c>
      <c r="ILU3" s="12" t="s">
        <v>8945</v>
      </c>
      <c r="ILV3" s="12" t="s">
        <v>8946</v>
      </c>
      <c r="ILW3" s="12" t="s">
        <v>8947</v>
      </c>
      <c r="ILX3" s="12" t="s">
        <v>8948</v>
      </c>
      <c r="ILY3" s="12" t="s">
        <v>8949</v>
      </c>
      <c r="ILZ3" s="12" t="s">
        <v>8950</v>
      </c>
      <c r="IMA3" s="12" t="s">
        <v>8951</v>
      </c>
      <c r="IMB3" s="12" t="s">
        <v>8952</v>
      </c>
      <c r="IMC3" s="12" t="s">
        <v>8953</v>
      </c>
      <c r="IMD3" s="12" t="s">
        <v>8954</v>
      </c>
      <c r="IME3" s="12" t="s">
        <v>8955</v>
      </c>
      <c r="IMF3" s="12" t="s">
        <v>8956</v>
      </c>
      <c r="IMG3" s="12" t="s">
        <v>8957</v>
      </c>
      <c r="IMH3" s="12" t="s">
        <v>8958</v>
      </c>
      <c r="IMI3" s="12" t="s">
        <v>8959</v>
      </c>
      <c r="IMJ3" s="12" t="s">
        <v>8960</v>
      </c>
      <c r="IMK3" s="12" t="s">
        <v>8961</v>
      </c>
      <c r="IML3" s="12" t="s">
        <v>8962</v>
      </c>
      <c r="IMM3" s="12" t="s">
        <v>8963</v>
      </c>
      <c r="IMN3" s="12" t="s">
        <v>8964</v>
      </c>
      <c r="IMO3" s="12" t="s">
        <v>8965</v>
      </c>
      <c r="IMP3" s="12" t="s">
        <v>8966</v>
      </c>
      <c r="IMQ3" s="12" t="s">
        <v>8967</v>
      </c>
      <c r="IMR3" s="12" t="s">
        <v>8968</v>
      </c>
      <c r="IMS3" s="12" t="s">
        <v>8969</v>
      </c>
      <c r="IMT3" s="12" t="s">
        <v>8970</v>
      </c>
      <c r="IMU3" s="12" t="s">
        <v>8971</v>
      </c>
      <c r="IMV3" s="12" t="s">
        <v>8972</v>
      </c>
      <c r="IMW3" s="12" t="s">
        <v>8973</v>
      </c>
      <c r="IMX3" s="12" t="s">
        <v>8974</v>
      </c>
      <c r="IMY3" s="12" t="s">
        <v>8975</v>
      </c>
      <c r="IMZ3" s="12" t="s">
        <v>8976</v>
      </c>
      <c r="INA3" s="12" t="s">
        <v>8977</v>
      </c>
      <c r="INB3" s="12" t="s">
        <v>8978</v>
      </c>
      <c r="INC3" s="12" t="s">
        <v>8979</v>
      </c>
      <c r="IND3" s="12" t="s">
        <v>8980</v>
      </c>
      <c r="INE3" s="12" t="s">
        <v>8981</v>
      </c>
      <c r="INF3" s="12" t="s">
        <v>8982</v>
      </c>
      <c r="ING3" s="12" t="s">
        <v>8983</v>
      </c>
      <c r="INH3" s="12" t="s">
        <v>8984</v>
      </c>
      <c r="INI3" s="12" t="s">
        <v>8985</v>
      </c>
      <c r="INJ3" s="12" t="s">
        <v>8986</v>
      </c>
      <c r="INK3" s="12" t="s">
        <v>8987</v>
      </c>
      <c r="INL3" s="12" t="s">
        <v>8988</v>
      </c>
      <c r="INM3" s="12" t="s">
        <v>8989</v>
      </c>
      <c r="INN3" s="12" t="s">
        <v>8990</v>
      </c>
      <c r="INO3" s="12" t="s">
        <v>8991</v>
      </c>
      <c r="INP3" s="12" t="s">
        <v>8992</v>
      </c>
      <c r="INQ3" s="12" t="s">
        <v>8993</v>
      </c>
      <c r="INR3" s="12" t="s">
        <v>8994</v>
      </c>
      <c r="INS3" s="12" t="s">
        <v>8995</v>
      </c>
      <c r="INT3" s="12" t="s">
        <v>8996</v>
      </c>
      <c r="INU3" s="12" t="s">
        <v>8997</v>
      </c>
      <c r="INV3" s="12" t="s">
        <v>8998</v>
      </c>
      <c r="INW3" s="12" t="s">
        <v>8999</v>
      </c>
      <c r="INX3" s="12" t="s">
        <v>9000</v>
      </c>
      <c r="INY3" s="12" t="s">
        <v>9001</v>
      </c>
      <c r="INZ3" s="12" t="s">
        <v>9002</v>
      </c>
      <c r="IOA3" s="12" t="s">
        <v>9003</v>
      </c>
      <c r="IOB3" s="12" t="s">
        <v>9004</v>
      </c>
      <c r="IOC3" s="12" t="s">
        <v>9005</v>
      </c>
      <c r="IOD3" s="12" t="s">
        <v>9006</v>
      </c>
      <c r="IOE3" s="12" t="s">
        <v>9007</v>
      </c>
      <c r="IOF3" s="12" t="s">
        <v>9008</v>
      </c>
      <c r="IOG3" s="12" t="s">
        <v>9009</v>
      </c>
      <c r="IOH3" s="12" t="s">
        <v>9010</v>
      </c>
      <c r="IOI3" s="12" t="s">
        <v>9011</v>
      </c>
      <c r="IOJ3" s="12" t="s">
        <v>9012</v>
      </c>
      <c r="IOK3" s="12" t="s">
        <v>9013</v>
      </c>
      <c r="IOL3" s="12" t="s">
        <v>9014</v>
      </c>
      <c r="IOM3" s="12" t="s">
        <v>9015</v>
      </c>
      <c r="ION3" s="12" t="s">
        <v>9016</v>
      </c>
      <c r="IOO3" s="12" t="s">
        <v>9017</v>
      </c>
      <c r="IOP3" s="12" t="s">
        <v>9018</v>
      </c>
      <c r="IOQ3" s="12" t="s">
        <v>9019</v>
      </c>
      <c r="IOR3" s="12" t="s">
        <v>9020</v>
      </c>
      <c r="IOS3" s="12" t="s">
        <v>9021</v>
      </c>
      <c r="IOT3" s="12" t="s">
        <v>9022</v>
      </c>
      <c r="IOU3" s="12" t="s">
        <v>9023</v>
      </c>
      <c r="IOV3" s="12" t="s">
        <v>9024</v>
      </c>
      <c r="IOW3" s="12" t="s">
        <v>9025</v>
      </c>
      <c r="IOX3" s="12" t="s">
        <v>9026</v>
      </c>
      <c r="IOY3" s="12" t="s">
        <v>9027</v>
      </c>
      <c r="IOZ3" s="12" t="s">
        <v>9028</v>
      </c>
      <c r="IPA3" s="12" t="s">
        <v>9029</v>
      </c>
      <c r="IPB3" s="12" t="s">
        <v>9030</v>
      </c>
      <c r="IPC3" s="12" t="s">
        <v>9031</v>
      </c>
      <c r="IPD3" s="12" t="s">
        <v>9032</v>
      </c>
      <c r="IPE3" s="12" t="s">
        <v>9033</v>
      </c>
      <c r="IPF3" s="12" t="s">
        <v>9034</v>
      </c>
      <c r="IPG3" s="12" t="s">
        <v>9035</v>
      </c>
      <c r="IPH3" s="12" t="s">
        <v>9036</v>
      </c>
      <c r="IPI3" s="12" t="s">
        <v>9037</v>
      </c>
      <c r="IPJ3" s="12" t="s">
        <v>9038</v>
      </c>
      <c r="IPK3" s="12" t="s">
        <v>9039</v>
      </c>
      <c r="IPL3" s="12" t="s">
        <v>9040</v>
      </c>
      <c r="IPM3" s="12" t="s">
        <v>9041</v>
      </c>
      <c r="IPN3" s="12" t="s">
        <v>9042</v>
      </c>
      <c r="IPO3" s="12" t="s">
        <v>9043</v>
      </c>
      <c r="IPP3" s="12" t="s">
        <v>9044</v>
      </c>
      <c r="IPQ3" s="12" t="s">
        <v>9045</v>
      </c>
      <c r="IPR3" s="12" t="s">
        <v>9046</v>
      </c>
      <c r="IPS3" s="12" t="s">
        <v>9047</v>
      </c>
      <c r="IPT3" s="12" t="s">
        <v>9048</v>
      </c>
      <c r="IPU3" s="12" t="s">
        <v>9049</v>
      </c>
      <c r="IPV3" s="12" t="s">
        <v>9050</v>
      </c>
      <c r="IPW3" s="12" t="s">
        <v>9051</v>
      </c>
      <c r="IPX3" s="12" t="s">
        <v>9052</v>
      </c>
      <c r="IPY3" s="12" t="s">
        <v>9053</v>
      </c>
      <c r="IPZ3" s="12" t="s">
        <v>9054</v>
      </c>
      <c r="IQA3" s="12" t="s">
        <v>9055</v>
      </c>
      <c r="IQB3" s="12" t="s">
        <v>9056</v>
      </c>
      <c r="IQC3" s="12" t="s">
        <v>9057</v>
      </c>
      <c r="IQD3" s="12" t="s">
        <v>9058</v>
      </c>
      <c r="IQE3" s="12" t="s">
        <v>9059</v>
      </c>
      <c r="IQF3" s="12" t="s">
        <v>9060</v>
      </c>
      <c r="IQG3" s="12" t="s">
        <v>9061</v>
      </c>
      <c r="IQH3" s="12" t="s">
        <v>9062</v>
      </c>
      <c r="IQI3" s="12" t="s">
        <v>9063</v>
      </c>
      <c r="IQJ3" s="12" t="s">
        <v>9064</v>
      </c>
      <c r="IQK3" s="12" t="s">
        <v>9065</v>
      </c>
      <c r="IQL3" s="12" t="s">
        <v>9066</v>
      </c>
      <c r="IQM3" s="12" t="s">
        <v>9067</v>
      </c>
      <c r="IQN3" s="12" t="s">
        <v>9068</v>
      </c>
      <c r="IQO3" s="12" t="s">
        <v>9069</v>
      </c>
      <c r="IQP3" s="12" t="s">
        <v>9070</v>
      </c>
      <c r="IQQ3" s="12" t="s">
        <v>9071</v>
      </c>
      <c r="IQR3" s="12" t="s">
        <v>9072</v>
      </c>
      <c r="IQS3" s="12" t="s">
        <v>9073</v>
      </c>
      <c r="IQT3" s="12" t="s">
        <v>9074</v>
      </c>
      <c r="IQU3" s="12" t="s">
        <v>9075</v>
      </c>
      <c r="IQV3" s="12" t="s">
        <v>9076</v>
      </c>
      <c r="IQW3" s="12" t="s">
        <v>9077</v>
      </c>
      <c r="IQX3" s="12" t="s">
        <v>9078</v>
      </c>
      <c r="IQY3" s="12" t="s">
        <v>9079</v>
      </c>
      <c r="IQZ3" s="12" t="s">
        <v>9080</v>
      </c>
      <c r="IRA3" s="12" t="s">
        <v>9081</v>
      </c>
      <c r="IRB3" s="12" t="s">
        <v>9082</v>
      </c>
      <c r="IRC3" s="12" t="s">
        <v>9083</v>
      </c>
      <c r="IRD3" s="12" t="s">
        <v>9084</v>
      </c>
      <c r="IRE3" s="12" t="s">
        <v>9085</v>
      </c>
      <c r="IRF3" s="12" t="s">
        <v>9086</v>
      </c>
      <c r="IRG3" s="12" t="s">
        <v>9087</v>
      </c>
      <c r="IRH3" s="12" t="s">
        <v>9088</v>
      </c>
      <c r="IRI3" s="12" t="s">
        <v>9089</v>
      </c>
      <c r="IRJ3" s="12" t="s">
        <v>9090</v>
      </c>
      <c r="IRK3" s="12" t="s">
        <v>9091</v>
      </c>
      <c r="IRL3" s="12" t="s">
        <v>9092</v>
      </c>
      <c r="IRM3" s="12" t="s">
        <v>9093</v>
      </c>
      <c r="IRN3" s="12" t="s">
        <v>9094</v>
      </c>
      <c r="IRO3" s="12" t="s">
        <v>9095</v>
      </c>
      <c r="IRP3" s="12" t="s">
        <v>9096</v>
      </c>
      <c r="IRQ3" s="12" t="s">
        <v>9097</v>
      </c>
      <c r="IRR3" s="12" t="s">
        <v>9098</v>
      </c>
      <c r="IRS3" s="12" t="s">
        <v>9099</v>
      </c>
      <c r="IRT3" s="12" t="s">
        <v>9100</v>
      </c>
      <c r="IRU3" s="12" t="s">
        <v>9101</v>
      </c>
      <c r="IRV3" s="12" t="s">
        <v>9102</v>
      </c>
      <c r="IRW3" s="12" t="s">
        <v>9103</v>
      </c>
      <c r="IRX3" s="12" t="s">
        <v>9104</v>
      </c>
      <c r="IRY3" s="12" t="s">
        <v>9105</v>
      </c>
      <c r="IRZ3" s="12" t="s">
        <v>9106</v>
      </c>
      <c r="ISA3" s="12" t="s">
        <v>9107</v>
      </c>
      <c r="ISB3" s="12" t="s">
        <v>9108</v>
      </c>
      <c r="ISC3" s="12" t="s">
        <v>9109</v>
      </c>
      <c r="ISD3" s="12" t="s">
        <v>9110</v>
      </c>
      <c r="ISE3" s="12" t="s">
        <v>9111</v>
      </c>
      <c r="ISF3" s="12" t="s">
        <v>9112</v>
      </c>
      <c r="ISG3" s="12" t="s">
        <v>9113</v>
      </c>
      <c r="ISH3" s="12" t="s">
        <v>9114</v>
      </c>
      <c r="ISI3" s="12" t="s">
        <v>9115</v>
      </c>
      <c r="ISJ3" s="12" t="s">
        <v>9116</v>
      </c>
      <c r="ISK3" s="12" t="s">
        <v>9117</v>
      </c>
      <c r="ISL3" s="12" t="s">
        <v>9118</v>
      </c>
      <c r="ISM3" s="12" t="s">
        <v>9119</v>
      </c>
      <c r="ISN3" s="12" t="s">
        <v>9120</v>
      </c>
      <c r="ISO3" s="12" t="s">
        <v>9121</v>
      </c>
      <c r="ISP3" s="12" t="s">
        <v>9122</v>
      </c>
      <c r="ISQ3" s="12" t="s">
        <v>9123</v>
      </c>
      <c r="ISR3" s="12" t="s">
        <v>9124</v>
      </c>
      <c r="ISS3" s="12" t="s">
        <v>9125</v>
      </c>
      <c r="IST3" s="12" t="s">
        <v>9126</v>
      </c>
      <c r="ISU3" s="12" t="s">
        <v>9127</v>
      </c>
      <c r="ISV3" s="12" t="s">
        <v>9128</v>
      </c>
      <c r="ISW3" s="12" t="s">
        <v>9129</v>
      </c>
      <c r="ISX3" s="12" t="s">
        <v>9130</v>
      </c>
      <c r="ISY3" s="12" t="s">
        <v>9131</v>
      </c>
      <c r="ISZ3" s="12" t="s">
        <v>9132</v>
      </c>
      <c r="ITA3" s="12" t="s">
        <v>9133</v>
      </c>
      <c r="ITB3" s="12" t="s">
        <v>9134</v>
      </c>
      <c r="ITC3" s="12" t="s">
        <v>9135</v>
      </c>
      <c r="ITD3" s="12" t="s">
        <v>9136</v>
      </c>
      <c r="ITE3" s="12" t="s">
        <v>9137</v>
      </c>
      <c r="ITF3" s="12" t="s">
        <v>9138</v>
      </c>
      <c r="ITG3" s="12" t="s">
        <v>9139</v>
      </c>
      <c r="ITH3" s="12" t="s">
        <v>9140</v>
      </c>
      <c r="ITI3" s="12" t="s">
        <v>9141</v>
      </c>
      <c r="ITJ3" s="12" t="s">
        <v>9142</v>
      </c>
      <c r="ITK3" s="12" t="s">
        <v>9143</v>
      </c>
      <c r="ITL3" s="12" t="s">
        <v>9144</v>
      </c>
      <c r="ITM3" s="12" t="s">
        <v>9145</v>
      </c>
      <c r="ITN3" s="12" t="s">
        <v>9146</v>
      </c>
      <c r="ITO3" s="12" t="s">
        <v>9147</v>
      </c>
      <c r="ITP3" s="12" t="s">
        <v>9148</v>
      </c>
      <c r="ITQ3" s="12" t="s">
        <v>9149</v>
      </c>
      <c r="ITR3" s="12" t="s">
        <v>9150</v>
      </c>
      <c r="ITS3" s="12" t="s">
        <v>9151</v>
      </c>
      <c r="ITT3" s="12" t="s">
        <v>9152</v>
      </c>
      <c r="ITU3" s="12" t="s">
        <v>9153</v>
      </c>
      <c r="ITV3" s="12" t="s">
        <v>9154</v>
      </c>
      <c r="ITW3" s="12" t="s">
        <v>9155</v>
      </c>
      <c r="ITX3" s="12" t="s">
        <v>9156</v>
      </c>
      <c r="ITY3" s="12" t="s">
        <v>9157</v>
      </c>
      <c r="ITZ3" s="12" t="s">
        <v>9158</v>
      </c>
      <c r="IUA3" s="12" t="s">
        <v>9159</v>
      </c>
      <c r="IUB3" s="12" t="s">
        <v>9160</v>
      </c>
      <c r="IUC3" s="12" t="s">
        <v>9161</v>
      </c>
      <c r="IUD3" s="12" t="s">
        <v>9162</v>
      </c>
      <c r="IUE3" s="12" t="s">
        <v>9163</v>
      </c>
      <c r="IUF3" s="12" t="s">
        <v>9164</v>
      </c>
      <c r="IUG3" s="12" t="s">
        <v>9165</v>
      </c>
      <c r="IUH3" s="12" t="s">
        <v>9166</v>
      </c>
      <c r="IUI3" s="12" t="s">
        <v>9167</v>
      </c>
      <c r="IUJ3" s="12" t="s">
        <v>9168</v>
      </c>
      <c r="IUK3" s="12" t="s">
        <v>9169</v>
      </c>
      <c r="IUL3" s="12" t="s">
        <v>9170</v>
      </c>
      <c r="IUM3" s="12" t="s">
        <v>9171</v>
      </c>
      <c r="IUN3" s="12" t="s">
        <v>9172</v>
      </c>
      <c r="IUO3" s="12" t="s">
        <v>9173</v>
      </c>
      <c r="IUP3" s="12" t="s">
        <v>9174</v>
      </c>
      <c r="IUQ3" s="12" t="s">
        <v>9175</v>
      </c>
      <c r="IUR3" s="12" t="s">
        <v>9176</v>
      </c>
      <c r="IUS3" s="12" t="s">
        <v>9177</v>
      </c>
      <c r="IUT3" s="12" t="s">
        <v>9178</v>
      </c>
      <c r="IUU3" s="12" t="s">
        <v>9179</v>
      </c>
      <c r="IUV3" s="12" t="s">
        <v>9180</v>
      </c>
      <c r="IUW3" s="12" t="s">
        <v>9181</v>
      </c>
      <c r="IUX3" s="12" t="s">
        <v>9182</v>
      </c>
      <c r="IUY3" s="12" t="s">
        <v>9183</v>
      </c>
      <c r="IUZ3" s="12" t="s">
        <v>9184</v>
      </c>
      <c r="IVA3" s="12" t="s">
        <v>9185</v>
      </c>
      <c r="IVB3" s="12" t="s">
        <v>9186</v>
      </c>
      <c r="IVC3" s="12" t="s">
        <v>9187</v>
      </c>
      <c r="IVD3" s="12" t="s">
        <v>9188</v>
      </c>
      <c r="IVE3" s="12" t="s">
        <v>9189</v>
      </c>
      <c r="IVF3" s="12" t="s">
        <v>9190</v>
      </c>
      <c r="IVG3" s="12" t="s">
        <v>9191</v>
      </c>
      <c r="IVH3" s="12" t="s">
        <v>9192</v>
      </c>
      <c r="IVI3" s="12" t="s">
        <v>9193</v>
      </c>
      <c r="IVJ3" s="12" t="s">
        <v>9194</v>
      </c>
      <c r="IVK3" s="12" t="s">
        <v>9195</v>
      </c>
      <c r="IVL3" s="12" t="s">
        <v>9196</v>
      </c>
      <c r="IVM3" s="12" t="s">
        <v>9197</v>
      </c>
      <c r="IVN3" s="12" t="s">
        <v>9198</v>
      </c>
      <c r="IVO3" s="12" t="s">
        <v>9199</v>
      </c>
      <c r="IVP3" s="12" t="s">
        <v>9200</v>
      </c>
      <c r="IVQ3" s="12" t="s">
        <v>9201</v>
      </c>
      <c r="IVR3" s="12" t="s">
        <v>9202</v>
      </c>
      <c r="IVS3" s="12" t="s">
        <v>9203</v>
      </c>
      <c r="IVT3" s="12" t="s">
        <v>9204</v>
      </c>
      <c r="IVU3" s="12" t="s">
        <v>9205</v>
      </c>
      <c r="IVV3" s="12" t="s">
        <v>9206</v>
      </c>
      <c r="IVW3" s="12" t="s">
        <v>9207</v>
      </c>
      <c r="IVX3" s="12" t="s">
        <v>9208</v>
      </c>
      <c r="IVY3" s="12" t="s">
        <v>9209</v>
      </c>
      <c r="IVZ3" s="12" t="s">
        <v>9210</v>
      </c>
      <c r="IWA3" s="12" t="s">
        <v>9211</v>
      </c>
      <c r="IWB3" s="12" t="s">
        <v>9212</v>
      </c>
      <c r="IWC3" s="12" t="s">
        <v>9213</v>
      </c>
      <c r="IWD3" s="12" t="s">
        <v>9214</v>
      </c>
      <c r="IWE3" s="12" t="s">
        <v>9215</v>
      </c>
      <c r="IWF3" s="12" t="s">
        <v>9216</v>
      </c>
      <c r="IWG3" s="12" t="s">
        <v>9217</v>
      </c>
      <c r="IWH3" s="12" t="s">
        <v>9218</v>
      </c>
      <c r="IWI3" s="12" t="s">
        <v>9219</v>
      </c>
      <c r="IWJ3" s="12" t="s">
        <v>9220</v>
      </c>
      <c r="IWK3" s="12" t="s">
        <v>9221</v>
      </c>
      <c r="IWL3" s="12" t="s">
        <v>9222</v>
      </c>
      <c r="IWM3" s="12" t="s">
        <v>9223</v>
      </c>
      <c r="IWN3" s="12" t="s">
        <v>9224</v>
      </c>
      <c r="IWO3" s="12" t="s">
        <v>9225</v>
      </c>
      <c r="IWP3" s="12" t="s">
        <v>9226</v>
      </c>
      <c r="IWQ3" s="12" t="s">
        <v>9227</v>
      </c>
      <c r="IWR3" s="12" t="s">
        <v>9228</v>
      </c>
      <c r="IWS3" s="12" t="s">
        <v>9229</v>
      </c>
      <c r="IWT3" s="12" t="s">
        <v>9230</v>
      </c>
      <c r="IWU3" s="12" t="s">
        <v>9231</v>
      </c>
      <c r="IWV3" s="12" t="s">
        <v>9232</v>
      </c>
      <c r="IWW3" s="12" t="s">
        <v>9233</v>
      </c>
      <c r="IWX3" s="12" t="s">
        <v>9234</v>
      </c>
      <c r="IWY3" s="12" t="s">
        <v>9235</v>
      </c>
      <c r="IWZ3" s="12" t="s">
        <v>9236</v>
      </c>
      <c r="IXA3" s="12" t="s">
        <v>9237</v>
      </c>
      <c r="IXB3" s="12" t="s">
        <v>9238</v>
      </c>
      <c r="IXC3" s="12" t="s">
        <v>9239</v>
      </c>
      <c r="IXD3" s="12" t="s">
        <v>9240</v>
      </c>
      <c r="IXE3" s="12" t="s">
        <v>9241</v>
      </c>
      <c r="IXF3" s="12" t="s">
        <v>9242</v>
      </c>
      <c r="IXG3" s="12" t="s">
        <v>9243</v>
      </c>
      <c r="IXH3" s="12" t="s">
        <v>9244</v>
      </c>
      <c r="IXI3" s="12" t="s">
        <v>9245</v>
      </c>
      <c r="IXJ3" s="12" t="s">
        <v>9246</v>
      </c>
      <c r="IXK3" s="12" t="s">
        <v>9247</v>
      </c>
      <c r="IXL3" s="12" t="s">
        <v>9248</v>
      </c>
      <c r="IXM3" s="12" t="s">
        <v>9249</v>
      </c>
      <c r="IXN3" s="12" t="s">
        <v>9250</v>
      </c>
      <c r="IXO3" s="12" t="s">
        <v>9251</v>
      </c>
      <c r="IXP3" s="12" t="s">
        <v>9252</v>
      </c>
      <c r="IXQ3" s="12" t="s">
        <v>9253</v>
      </c>
      <c r="IXR3" s="12" t="s">
        <v>9254</v>
      </c>
      <c r="IXS3" s="12" t="s">
        <v>9255</v>
      </c>
      <c r="IXT3" s="12" t="s">
        <v>9256</v>
      </c>
      <c r="IXU3" s="12" t="s">
        <v>9257</v>
      </c>
      <c r="IXV3" s="12" t="s">
        <v>9258</v>
      </c>
      <c r="IXW3" s="12" t="s">
        <v>9259</v>
      </c>
      <c r="IXX3" s="12" t="s">
        <v>9260</v>
      </c>
      <c r="IXY3" s="12" t="s">
        <v>9261</v>
      </c>
      <c r="IXZ3" s="12" t="s">
        <v>9262</v>
      </c>
      <c r="IYA3" s="12" t="s">
        <v>9263</v>
      </c>
      <c r="IYB3" s="12" t="s">
        <v>9264</v>
      </c>
      <c r="IYC3" s="12" t="s">
        <v>9265</v>
      </c>
      <c r="IYD3" s="12" t="s">
        <v>9266</v>
      </c>
      <c r="IYE3" s="12" t="s">
        <v>9267</v>
      </c>
      <c r="IYF3" s="12" t="s">
        <v>9268</v>
      </c>
      <c r="IYG3" s="12" t="s">
        <v>9269</v>
      </c>
      <c r="IYH3" s="12" t="s">
        <v>9270</v>
      </c>
      <c r="IYI3" s="12" t="s">
        <v>9271</v>
      </c>
      <c r="IYJ3" s="12" t="s">
        <v>9272</v>
      </c>
      <c r="IYK3" s="12" t="s">
        <v>9273</v>
      </c>
      <c r="IYL3" s="12" t="s">
        <v>9274</v>
      </c>
      <c r="IYM3" s="12" t="s">
        <v>9275</v>
      </c>
      <c r="IYN3" s="12" t="s">
        <v>9276</v>
      </c>
      <c r="IYO3" s="12" t="s">
        <v>9277</v>
      </c>
      <c r="IYP3" s="12" t="s">
        <v>9278</v>
      </c>
      <c r="IYQ3" s="12" t="s">
        <v>9279</v>
      </c>
      <c r="IYR3" s="12" t="s">
        <v>9280</v>
      </c>
      <c r="IYS3" s="12" t="s">
        <v>9281</v>
      </c>
      <c r="IYT3" s="12" t="s">
        <v>9282</v>
      </c>
      <c r="IYU3" s="12" t="s">
        <v>9283</v>
      </c>
      <c r="IYV3" s="12" t="s">
        <v>9284</v>
      </c>
      <c r="IYW3" s="12" t="s">
        <v>9285</v>
      </c>
      <c r="IYX3" s="12" t="s">
        <v>9286</v>
      </c>
      <c r="IYY3" s="12" t="s">
        <v>9287</v>
      </c>
      <c r="IYZ3" s="12" t="s">
        <v>9288</v>
      </c>
      <c r="IZA3" s="12" t="s">
        <v>9289</v>
      </c>
      <c r="IZB3" s="12" t="s">
        <v>9290</v>
      </c>
      <c r="IZC3" s="12" t="s">
        <v>9291</v>
      </c>
      <c r="IZD3" s="12" t="s">
        <v>9292</v>
      </c>
      <c r="IZE3" s="12" t="s">
        <v>9293</v>
      </c>
      <c r="IZF3" s="12" t="s">
        <v>9294</v>
      </c>
      <c r="IZG3" s="12" t="s">
        <v>9295</v>
      </c>
      <c r="IZH3" s="12" t="s">
        <v>9296</v>
      </c>
      <c r="IZI3" s="12" t="s">
        <v>9297</v>
      </c>
      <c r="IZJ3" s="12" t="s">
        <v>9298</v>
      </c>
      <c r="IZK3" s="12" t="s">
        <v>9299</v>
      </c>
      <c r="IZL3" s="12" t="s">
        <v>9300</v>
      </c>
      <c r="IZM3" s="12" t="s">
        <v>9301</v>
      </c>
      <c r="IZN3" s="12" t="s">
        <v>9302</v>
      </c>
      <c r="IZO3" s="12" t="s">
        <v>9303</v>
      </c>
      <c r="IZP3" s="12" t="s">
        <v>9304</v>
      </c>
      <c r="IZQ3" s="12" t="s">
        <v>9305</v>
      </c>
      <c r="IZR3" s="12" t="s">
        <v>9306</v>
      </c>
      <c r="IZS3" s="12" t="s">
        <v>9307</v>
      </c>
      <c r="IZT3" s="12" t="s">
        <v>9308</v>
      </c>
      <c r="IZU3" s="12" t="s">
        <v>9309</v>
      </c>
      <c r="IZV3" s="12" t="s">
        <v>9310</v>
      </c>
      <c r="IZW3" s="12" t="s">
        <v>9311</v>
      </c>
      <c r="IZX3" s="12" t="s">
        <v>9312</v>
      </c>
      <c r="IZY3" s="12" t="s">
        <v>9313</v>
      </c>
      <c r="IZZ3" s="12" t="s">
        <v>9314</v>
      </c>
      <c r="JAA3" s="12" t="s">
        <v>9315</v>
      </c>
      <c r="JAB3" s="12" t="s">
        <v>9316</v>
      </c>
      <c r="JAC3" s="12" t="s">
        <v>9317</v>
      </c>
      <c r="JAD3" s="12" t="s">
        <v>9318</v>
      </c>
      <c r="JAE3" s="12" t="s">
        <v>9319</v>
      </c>
      <c r="JAF3" s="12" t="s">
        <v>9320</v>
      </c>
      <c r="JAG3" s="12" t="s">
        <v>9321</v>
      </c>
      <c r="JAH3" s="12" t="s">
        <v>9322</v>
      </c>
      <c r="JAI3" s="12" t="s">
        <v>9323</v>
      </c>
      <c r="JAJ3" s="12" t="s">
        <v>9324</v>
      </c>
      <c r="JAK3" s="12" t="s">
        <v>9325</v>
      </c>
      <c r="JAL3" s="12" t="s">
        <v>9326</v>
      </c>
      <c r="JAM3" s="12" t="s">
        <v>9327</v>
      </c>
      <c r="JAN3" s="12" t="s">
        <v>9328</v>
      </c>
      <c r="JAO3" s="12" t="s">
        <v>9329</v>
      </c>
      <c r="JAP3" s="12" t="s">
        <v>9330</v>
      </c>
      <c r="JAQ3" s="12" t="s">
        <v>9331</v>
      </c>
      <c r="JAR3" s="12" t="s">
        <v>9332</v>
      </c>
      <c r="JAS3" s="12" t="s">
        <v>9333</v>
      </c>
      <c r="JAT3" s="12" t="s">
        <v>9334</v>
      </c>
      <c r="JAU3" s="12" t="s">
        <v>9335</v>
      </c>
      <c r="JAV3" s="12" t="s">
        <v>9336</v>
      </c>
      <c r="JAW3" s="12" t="s">
        <v>9337</v>
      </c>
      <c r="JAX3" s="12" t="s">
        <v>9338</v>
      </c>
      <c r="JAY3" s="12" t="s">
        <v>9339</v>
      </c>
      <c r="JAZ3" s="12" t="s">
        <v>9340</v>
      </c>
      <c r="JBA3" s="12" t="s">
        <v>9341</v>
      </c>
      <c r="JBB3" s="12" t="s">
        <v>9342</v>
      </c>
      <c r="JBC3" s="12" t="s">
        <v>9343</v>
      </c>
      <c r="JBD3" s="12" t="s">
        <v>9344</v>
      </c>
      <c r="JBE3" s="12" t="s">
        <v>9345</v>
      </c>
      <c r="JBF3" s="12" t="s">
        <v>9346</v>
      </c>
      <c r="JBG3" s="12" t="s">
        <v>9347</v>
      </c>
      <c r="JBH3" s="12" t="s">
        <v>9348</v>
      </c>
      <c r="JBI3" s="12" t="s">
        <v>9349</v>
      </c>
      <c r="JBJ3" s="12" t="s">
        <v>9350</v>
      </c>
      <c r="JBK3" s="12" t="s">
        <v>9351</v>
      </c>
      <c r="JBL3" s="12" t="s">
        <v>9352</v>
      </c>
      <c r="JBM3" s="12" t="s">
        <v>9353</v>
      </c>
      <c r="JBN3" s="12" t="s">
        <v>9354</v>
      </c>
      <c r="JBO3" s="12" t="s">
        <v>9355</v>
      </c>
      <c r="JBP3" s="12" t="s">
        <v>9356</v>
      </c>
      <c r="JBQ3" s="12" t="s">
        <v>9357</v>
      </c>
      <c r="JBR3" s="12" t="s">
        <v>9358</v>
      </c>
      <c r="JBS3" s="12" t="s">
        <v>9359</v>
      </c>
      <c r="JBT3" s="12" t="s">
        <v>9360</v>
      </c>
      <c r="JBU3" s="12" t="s">
        <v>9361</v>
      </c>
      <c r="JBV3" s="12" t="s">
        <v>9362</v>
      </c>
      <c r="JBW3" s="12" t="s">
        <v>9363</v>
      </c>
      <c r="JBX3" s="12" t="s">
        <v>9364</v>
      </c>
      <c r="JBY3" s="12" t="s">
        <v>9365</v>
      </c>
      <c r="JBZ3" s="12" t="s">
        <v>9366</v>
      </c>
      <c r="JCA3" s="12" t="s">
        <v>9367</v>
      </c>
      <c r="JCB3" s="12" t="s">
        <v>9368</v>
      </c>
      <c r="JCC3" s="12" t="s">
        <v>9369</v>
      </c>
      <c r="JCD3" s="12" t="s">
        <v>9370</v>
      </c>
      <c r="JCE3" s="12" t="s">
        <v>9371</v>
      </c>
      <c r="JCF3" s="12" t="s">
        <v>9372</v>
      </c>
      <c r="JCG3" s="12" t="s">
        <v>9373</v>
      </c>
      <c r="JCH3" s="12" t="s">
        <v>9374</v>
      </c>
      <c r="JCI3" s="12" t="s">
        <v>9375</v>
      </c>
      <c r="JCJ3" s="12" t="s">
        <v>9376</v>
      </c>
      <c r="JCK3" s="12" t="s">
        <v>9377</v>
      </c>
      <c r="JCL3" s="12" t="s">
        <v>9378</v>
      </c>
      <c r="JCM3" s="12" t="s">
        <v>9379</v>
      </c>
      <c r="JCN3" s="12" t="s">
        <v>9380</v>
      </c>
      <c r="JCO3" s="12" t="s">
        <v>9381</v>
      </c>
      <c r="JCP3" s="12" t="s">
        <v>9382</v>
      </c>
      <c r="JCQ3" s="12" t="s">
        <v>9383</v>
      </c>
      <c r="JCR3" s="12" t="s">
        <v>9384</v>
      </c>
      <c r="JCS3" s="12" t="s">
        <v>9385</v>
      </c>
      <c r="JCT3" s="12" t="s">
        <v>9386</v>
      </c>
      <c r="JCU3" s="12" t="s">
        <v>9387</v>
      </c>
      <c r="JCV3" s="12" t="s">
        <v>9388</v>
      </c>
      <c r="JCW3" s="12" t="s">
        <v>9389</v>
      </c>
      <c r="JCX3" s="12" t="s">
        <v>9390</v>
      </c>
      <c r="JCY3" s="12" t="s">
        <v>9391</v>
      </c>
      <c r="JCZ3" s="12" t="s">
        <v>9392</v>
      </c>
      <c r="JDA3" s="12" t="s">
        <v>9393</v>
      </c>
      <c r="JDB3" s="12" t="s">
        <v>9394</v>
      </c>
      <c r="JDC3" s="12" t="s">
        <v>9395</v>
      </c>
      <c r="JDD3" s="12" t="s">
        <v>9396</v>
      </c>
      <c r="JDE3" s="12" t="s">
        <v>9397</v>
      </c>
      <c r="JDF3" s="12" t="s">
        <v>9398</v>
      </c>
      <c r="JDG3" s="12" t="s">
        <v>9399</v>
      </c>
      <c r="JDH3" s="12" t="s">
        <v>9400</v>
      </c>
      <c r="JDI3" s="12" t="s">
        <v>9401</v>
      </c>
      <c r="JDJ3" s="12" t="s">
        <v>9402</v>
      </c>
      <c r="JDK3" s="12" t="s">
        <v>9403</v>
      </c>
      <c r="JDL3" s="12" t="s">
        <v>9404</v>
      </c>
      <c r="JDM3" s="12" t="s">
        <v>9405</v>
      </c>
      <c r="JDN3" s="12" t="s">
        <v>9406</v>
      </c>
      <c r="JDO3" s="12" t="s">
        <v>9407</v>
      </c>
      <c r="JDP3" s="12" t="s">
        <v>9408</v>
      </c>
      <c r="JDQ3" s="12" t="s">
        <v>9409</v>
      </c>
      <c r="JDR3" s="12" t="s">
        <v>9410</v>
      </c>
      <c r="JDS3" s="12" t="s">
        <v>9411</v>
      </c>
      <c r="JDT3" s="12" t="s">
        <v>9412</v>
      </c>
      <c r="JDU3" s="12" t="s">
        <v>9413</v>
      </c>
      <c r="JDV3" s="12" t="s">
        <v>9414</v>
      </c>
      <c r="JDW3" s="12" t="s">
        <v>9415</v>
      </c>
      <c r="JDX3" s="12" t="s">
        <v>9416</v>
      </c>
      <c r="JDY3" s="12" t="s">
        <v>9417</v>
      </c>
      <c r="JDZ3" s="12" t="s">
        <v>9418</v>
      </c>
      <c r="JEA3" s="12" t="s">
        <v>9419</v>
      </c>
      <c r="JEB3" s="12" t="s">
        <v>9420</v>
      </c>
      <c r="JEC3" s="12" t="s">
        <v>9421</v>
      </c>
      <c r="JED3" s="12" t="s">
        <v>9422</v>
      </c>
      <c r="JEE3" s="12" t="s">
        <v>9423</v>
      </c>
      <c r="JEF3" s="12" t="s">
        <v>9424</v>
      </c>
      <c r="JEG3" s="12" t="s">
        <v>9425</v>
      </c>
      <c r="JEH3" s="12" t="s">
        <v>9426</v>
      </c>
      <c r="JEI3" s="12" t="s">
        <v>9427</v>
      </c>
      <c r="JEJ3" s="12" t="s">
        <v>9428</v>
      </c>
      <c r="JEK3" s="12" t="s">
        <v>9429</v>
      </c>
      <c r="JEL3" s="12" t="s">
        <v>9430</v>
      </c>
      <c r="JEM3" s="12" t="s">
        <v>9431</v>
      </c>
      <c r="JEN3" s="12" t="s">
        <v>9432</v>
      </c>
      <c r="JEO3" s="12" t="s">
        <v>9433</v>
      </c>
      <c r="JEP3" s="12" t="s">
        <v>9434</v>
      </c>
      <c r="JEQ3" s="12" t="s">
        <v>9435</v>
      </c>
      <c r="JER3" s="12" t="s">
        <v>9436</v>
      </c>
      <c r="JES3" s="12" t="s">
        <v>9437</v>
      </c>
      <c r="JET3" s="12" t="s">
        <v>9438</v>
      </c>
      <c r="JEU3" s="12" t="s">
        <v>9439</v>
      </c>
      <c r="JEV3" s="12" t="s">
        <v>9440</v>
      </c>
      <c r="JEW3" s="12" t="s">
        <v>9441</v>
      </c>
      <c r="JEX3" s="12" t="s">
        <v>9442</v>
      </c>
      <c r="JEY3" s="12" t="s">
        <v>9443</v>
      </c>
      <c r="JEZ3" s="12" t="s">
        <v>9444</v>
      </c>
      <c r="JFA3" s="12" t="s">
        <v>9445</v>
      </c>
      <c r="JFB3" s="12" t="s">
        <v>9446</v>
      </c>
      <c r="JFC3" s="12" t="s">
        <v>9447</v>
      </c>
      <c r="JFD3" s="12" t="s">
        <v>9448</v>
      </c>
      <c r="JFE3" s="12" t="s">
        <v>9449</v>
      </c>
      <c r="JFF3" s="12" t="s">
        <v>9450</v>
      </c>
      <c r="JFG3" s="12" t="s">
        <v>9451</v>
      </c>
      <c r="JFH3" s="12" t="s">
        <v>9452</v>
      </c>
      <c r="JFI3" s="12" t="s">
        <v>9453</v>
      </c>
      <c r="JFJ3" s="12" t="s">
        <v>9454</v>
      </c>
      <c r="JFK3" s="12" t="s">
        <v>9455</v>
      </c>
      <c r="JFL3" s="12" t="s">
        <v>9456</v>
      </c>
      <c r="JFM3" s="12" t="s">
        <v>9457</v>
      </c>
      <c r="JFN3" s="12" t="s">
        <v>9458</v>
      </c>
      <c r="JFO3" s="12" t="s">
        <v>9459</v>
      </c>
      <c r="JFP3" s="12" t="s">
        <v>9460</v>
      </c>
      <c r="JFQ3" s="12" t="s">
        <v>9461</v>
      </c>
      <c r="JFR3" s="12" t="s">
        <v>9462</v>
      </c>
      <c r="JFS3" s="12" t="s">
        <v>9463</v>
      </c>
      <c r="JFT3" s="12" t="s">
        <v>9464</v>
      </c>
      <c r="JFU3" s="12" t="s">
        <v>9465</v>
      </c>
      <c r="JFV3" s="12" t="s">
        <v>9466</v>
      </c>
      <c r="JFW3" s="12" t="s">
        <v>9467</v>
      </c>
      <c r="JFX3" s="12" t="s">
        <v>9468</v>
      </c>
      <c r="JFY3" s="12" t="s">
        <v>9469</v>
      </c>
      <c r="JFZ3" s="12" t="s">
        <v>9470</v>
      </c>
      <c r="JGA3" s="12" t="s">
        <v>9471</v>
      </c>
      <c r="JGB3" s="12" t="s">
        <v>9472</v>
      </c>
      <c r="JGC3" s="12" t="s">
        <v>9473</v>
      </c>
      <c r="JGD3" s="12" t="s">
        <v>9474</v>
      </c>
      <c r="JGE3" s="12" t="s">
        <v>9475</v>
      </c>
      <c r="JGF3" s="12" t="s">
        <v>9476</v>
      </c>
      <c r="JGG3" s="12" t="s">
        <v>9477</v>
      </c>
      <c r="JGH3" s="12" t="s">
        <v>9478</v>
      </c>
      <c r="JGI3" s="12" t="s">
        <v>9479</v>
      </c>
      <c r="JGJ3" s="12" t="s">
        <v>9480</v>
      </c>
      <c r="JGK3" s="12" t="s">
        <v>9481</v>
      </c>
      <c r="JGL3" s="12" t="s">
        <v>9482</v>
      </c>
      <c r="JGM3" s="12" t="s">
        <v>9483</v>
      </c>
      <c r="JGN3" s="12" t="s">
        <v>9484</v>
      </c>
      <c r="JGO3" s="12" t="s">
        <v>9485</v>
      </c>
      <c r="JGP3" s="12" t="s">
        <v>9486</v>
      </c>
      <c r="JGQ3" s="12" t="s">
        <v>9487</v>
      </c>
      <c r="JGR3" s="12" t="s">
        <v>9488</v>
      </c>
      <c r="JGS3" s="12" t="s">
        <v>9489</v>
      </c>
      <c r="JGT3" s="12" t="s">
        <v>9490</v>
      </c>
      <c r="JGU3" s="12" t="s">
        <v>9491</v>
      </c>
      <c r="JGV3" s="12" t="s">
        <v>9492</v>
      </c>
      <c r="JGW3" s="12" t="s">
        <v>9493</v>
      </c>
      <c r="JGX3" s="12" t="s">
        <v>9494</v>
      </c>
      <c r="JGY3" s="12" t="s">
        <v>9495</v>
      </c>
      <c r="JGZ3" s="12" t="s">
        <v>9496</v>
      </c>
      <c r="JHA3" s="12" t="s">
        <v>9497</v>
      </c>
      <c r="JHB3" s="12" t="s">
        <v>9498</v>
      </c>
      <c r="JHC3" s="12" t="s">
        <v>9499</v>
      </c>
      <c r="JHD3" s="12" t="s">
        <v>9500</v>
      </c>
      <c r="JHE3" s="12" t="s">
        <v>9501</v>
      </c>
      <c r="JHF3" s="12" t="s">
        <v>9502</v>
      </c>
      <c r="JHG3" s="12" t="s">
        <v>9503</v>
      </c>
      <c r="JHH3" s="12" t="s">
        <v>9504</v>
      </c>
      <c r="JHI3" s="12" t="s">
        <v>9505</v>
      </c>
      <c r="JHJ3" s="12" t="s">
        <v>9506</v>
      </c>
      <c r="JHK3" s="12" t="s">
        <v>9507</v>
      </c>
      <c r="JHL3" s="12" t="s">
        <v>9508</v>
      </c>
      <c r="JHM3" s="12" t="s">
        <v>9509</v>
      </c>
      <c r="JHN3" s="12" t="s">
        <v>9510</v>
      </c>
      <c r="JHO3" s="12" t="s">
        <v>9511</v>
      </c>
      <c r="JHP3" s="12" t="s">
        <v>9512</v>
      </c>
      <c r="JHQ3" s="12" t="s">
        <v>9513</v>
      </c>
      <c r="JHR3" s="12" t="s">
        <v>9514</v>
      </c>
      <c r="JHS3" s="12" t="s">
        <v>9515</v>
      </c>
      <c r="JHT3" s="12" t="s">
        <v>9516</v>
      </c>
      <c r="JHU3" s="12" t="s">
        <v>9517</v>
      </c>
      <c r="JHV3" s="12" t="s">
        <v>9518</v>
      </c>
      <c r="JHW3" s="12" t="s">
        <v>9519</v>
      </c>
      <c r="JHX3" s="12" t="s">
        <v>9520</v>
      </c>
      <c r="JHY3" s="12" t="s">
        <v>9521</v>
      </c>
      <c r="JHZ3" s="12" t="s">
        <v>9522</v>
      </c>
      <c r="JIA3" s="12" t="s">
        <v>9523</v>
      </c>
      <c r="JIB3" s="12" t="s">
        <v>9524</v>
      </c>
      <c r="JIC3" s="12" t="s">
        <v>9525</v>
      </c>
      <c r="JID3" s="12" t="s">
        <v>9526</v>
      </c>
      <c r="JIE3" s="12" t="s">
        <v>9527</v>
      </c>
      <c r="JIF3" s="12" t="s">
        <v>9528</v>
      </c>
      <c r="JIG3" s="12" t="s">
        <v>9529</v>
      </c>
      <c r="JIH3" s="12" t="s">
        <v>9530</v>
      </c>
      <c r="JII3" s="12" t="s">
        <v>9531</v>
      </c>
      <c r="JIJ3" s="12" t="s">
        <v>9532</v>
      </c>
      <c r="JIK3" s="12" t="s">
        <v>9533</v>
      </c>
      <c r="JIL3" s="12" t="s">
        <v>9534</v>
      </c>
      <c r="JIM3" s="12" t="s">
        <v>9535</v>
      </c>
      <c r="JIN3" s="12" t="s">
        <v>9536</v>
      </c>
      <c r="JIO3" s="12" t="s">
        <v>9537</v>
      </c>
      <c r="JIP3" s="12" t="s">
        <v>9538</v>
      </c>
      <c r="JIQ3" s="12" t="s">
        <v>9539</v>
      </c>
      <c r="JIR3" s="12" t="s">
        <v>9540</v>
      </c>
      <c r="JIS3" s="12" t="s">
        <v>9541</v>
      </c>
      <c r="JIT3" s="12" t="s">
        <v>9542</v>
      </c>
      <c r="JIU3" s="12" t="s">
        <v>9543</v>
      </c>
      <c r="JIV3" s="12" t="s">
        <v>9544</v>
      </c>
      <c r="JIW3" s="12" t="s">
        <v>9545</v>
      </c>
      <c r="JIX3" s="12" t="s">
        <v>9546</v>
      </c>
      <c r="JIY3" s="12" t="s">
        <v>9547</v>
      </c>
      <c r="JIZ3" s="12" t="s">
        <v>9548</v>
      </c>
      <c r="JJA3" s="12" t="s">
        <v>9549</v>
      </c>
      <c r="JJB3" s="12" t="s">
        <v>9550</v>
      </c>
      <c r="JJC3" s="12" t="s">
        <v>9551</v>
      </c>
      <c r="JJD3" s="12" t="s">
        <v>9552</v>
      </c>
      <c r="JJE3" s="12" t="s">
        <v>9553</v>
      </c>
      <c r="JJF3" s="12" t="s">
        <v>9554</v>
      </c>
      <c r="JJG3" s="12" t="s">
        <v>9555</v>
      </c>
      <c r="JJH3" s="12" t="s">
        <v>9556</v>
      </c>
      <c r="JJI3" s="12" t="s">
        <v>9557</v>
      </c>
      <c r="JJJ3" s="12" t="s">
        <v>9558</v>
      </c>
      <c r="JJK3" s="12" t="s">
        <v>9559</v>
      </c>
      <c r="JJL3" s="12" t="s">
        <v>9560</v>
      </c>
      <c r="JJM3" s="12" t="s">
        <v>9561</v>
      </c>
      <c r="JJN3" s="12" t="s">
        <v>9562</v>
      </c>
      <c r="JJO3" s="12" t="s">
        <v>9563</v>
      </c>
      <c r="JJP3" s="12" t="s">
        <v>9564</v>
      </c>
      <c r="JJQ3" s="12" t="s">
        <v>9565</v>
      </c>
      <c r="JJR3" s="12" t="s">
        <v>9566</v>
      </c>
      <c r="JJS3" s="12" t="s">
        <v>9567</v>
      </c>
      <c r="JJT3" s="12" t="s">
        <v>9568</v>
      </c>
      <c r="JJU3" s="12" t="s">
        <v>9569</v>
      </c>
      <c r="JJV3" s="12" t="s">
        <v>9570</v>
      </c>
      <c r="JJW3" s="12" t="s">
        <v>9571</v>
      </c>
      <c r="JJX3" s="12" t="s">
        <v>9572</v>
      </c>
      <c r="JJY3" s="12" t="s">
        <v>9573</v>
      </c>
      <c r="JJZ3" s="12" t="s">
        <v>9574</v>
      </c>
      <c r="JKA3" s="12" t="s">
        <v>9575</v>
      </c>
      <c r="JKB3" s="12" t="s">
        <v>9576</v>
      </c>
      <c r="JKC3" s="12" t="s">
        <v>9577</v>
      </c>
      <c r="JKD3" s="12" t="s">
        <v>9578</v>
      </c>
      <c r="JKE3" s="12" t="s">
        <v>9579</v>
      </c>
      <c r="JKF3" s="12" t="s">
        <v>9580</v>
      </c>
      <c r="JKG3" s="12" t="s">
        <v>9581</v>
      </c>
      <c r="JKH3" s="12" t="s">
        <v>9582</v>
      </c>
      <c r="JKI3" s="12" t="s">
        <v>9583</v>
      </c>
      <c r="JKJ3" s="12" t="s">
        <v>9584</v>
      </c>
      <c r="JKK3" s="12" t="s">
        <v>9585</v>
      </c>
      <c r="JKL3" s="12" t="s">
        <v>9586</v>
      </c>
      <c r="JKM3" s="12" t="s">
        <v>9587</v>
      </c>
      <c r="JKN3" s="12" t="s">
        <v>9588</v>
      </c>
      <c r="JKO3" s="12" t="s">
        <v>9589</v>
      </c>
      <c r="JKP3" s="12" t="s">
        <v>9590</v>
      </c>
      <c r="JKQ3" s="12" t="s">
        <v>9591</v>
      </c>
      <c r="JKR3" s="12" t="s">
        <v>9592</v>
      </c>
      <c r="JKS3" s="12" t="s">
        <v>9593</v>
      </c>
      <c r="JKT3" s="12" t="s">
        <v>9594</v>
      </c>
      <c r="JKU3" s="12" t="s">
        <v>9595</v>
      </c>
      <c r="JKV3" s="12" t="s">
        <v>9596</v>
      </c>
      <c r="JKW3" s="12" t="s">
        <v>9597</v>
      </c>
      <c r="JKX3" s="12" t="s">
        <v>9598</v>
      </c>
      <c r="JKY3" s="12" t="s">
        <v>9599</v>
      </c>
      <c r="JKZ3" s="12" t="s">
        <v>9600</v>
      </c>
      <c r="JLA3" s="12" t="s">
        <v>9601</v>
      </c>
      <c r="JLB3" s="12" t="s">
        <v>9602</v>
      </c>
      <c r="JLC3" s="12" t="s">
        <v>9603</v>
      </c>
      <c r="JLD3" s="12" t="s">
        <v>9604</v>
      </c>
      <c r="JLE3" s="12" t="s">
        <v>9605</v>
      </c>
      <c r="JLF3" s="12" t="s">
        <v>9606</v>
      </c>
      <c r="JLG3" s="12" t="s">
        <v>9607</v>
      </c>
      <c r="JLH3" s="12" t="s">
        <v>9608</v>
      </c>
      <c r="JLI3" s="12" t="s">
        <v>9609</v>
      </c>
      <c r="JLJ3" s="12" t="s">
        <v>9610</v>
      </c>
      <c r="JLK3" s="12" t="s">
        <v>9611</v>
      </c>
      <c r="JLL3" s="12" t="s">
        <v>9612</v>
      </c>
      <c r="JLM3" s="12" t="s">
        <v>9613</v>
      </c>
      <c r="JLN3" s="12" t="s">
        <v>9614</v>
      </c>
      <c r="JLO3" s="12" t="s">
        <v>9615</v>
      </c>
      <c r="JLP3" s="12" t="s">
        <v>9616</v>
      </c>
      <c r="JLQ3" s="12" t="s">
        <v>9617</v>
      </c>
      <c r="JLR3" s="12" t="s">
        <v>9618</v>
      </c>
      <c r="JLS3" s="12" t="s">
        <v>9619</v>
      </c>
      <c r="JLT3" s="12" t="s">
        <v>9620</v>
      </c>
      <c r="JLU3" s="12" t="s">
        <v>9621</v>
      </c>
      <c r="JLV3" s="12" t="s">
        <v>9622</v>
      </c>
      <c r="JLW3" s="12" t="s">
        <v>9623</v>
      </c>
      <c r="JLX3" s="12" t="s">
        <v>9624</v>
      </c>
      <c r="JLY3" s="12" t="s">
        <v>9625</v>
      </c>
      <c r="JLZ3" s="12" t="s">
        <v>9626</v>
      </c>
      <c r="JMA3" s="12" t="s">
        <v>9627</v>
      </c>
      <c r="JMB3" s="12" t="s">
        <v>9628</v>
      </c>
      <c r="JMC3" s="12" t="s">
        <v>9629</v>
      </c>
      <c r="JMD3" s="12" t="s">
        <v>9630</v>
      </c>
      <c r="JME3" s="12" t="s">
        <v>9631</v>
      </c>
      <c r="JMF3" s="12" t="s">
        <v>9632</v>
      </c>
      <c r="JMG3" s="12" t="s">
        <v>9633</v>
      </c>
      <c r="JMH3" s="12" t="s">
        <v>9634</v>
      </c>
      <c r="JMI3" s="12" t="s">
        <v>9635</v>
      </c>
      <c r="JMJ3" s="12" t="s">
        <v>9636</v>
      </c>
      <c r="JMK3" s="12" t="s">
        <v>9637</v>
      </c>
      <c r="JML3" s="12" t="s">
        <v>9638</v>
      </c>
      <c r="JMM3" s="12" t="s">
        <v>9639</v>
      </c>
      <c r="JMN3" s="12" t="s">
        <v>9640</v>
      </c>
      <c r="JMO3" s="12" t="s">
        <v>9641</v>
      </c>
      <c r="JMP3" s="12" t="s">
        <v>9642</v>
      </c>
      <c r="JMQ3" s="12" t="s">
        <v>9643</v>
      </c>
      <c r="JMR3" s="12" t="s">
        <v>9644</v>
      </c>
      <c r="JMS3" s="12" t="s">
        <v>9645</v>
      </c>
      <c r="JMT3" s="12" t="s">
        <v>9646</v>
      </c>
      <c r="JMU3" s="12" t="s">
        <v>9647</v>
      </c>
      <c r="JMV3" s="12" t="s">
        <v>9648</v>
      </c>
      <c r="JMW3" s="12" t="s">
        <v>9649</v>
      </c>
      <c r="JMX3" s="12" t="s">
        <v>9650</v>
      </c>
      <c r="JMY3" s="12" t="s">
        <v>9651</v>
      </c>
      <c r="JMZ3" s="12" t="s">
        <v>9652</v>
      </c>
      <c r="JNA3" s="12" t="s">
        <v>9653</v>
      </c>
      <c r="JNB3" s="12" t="s">
        <v>9654</v>
      </c>
      <c r="JNC3" s="12" t="s">
        <v>9655</v>
      </c>
      <c r="JND3" s="12" t="s">
        <v>9656</v>
      </c>
      <c r="JNE3" s="12" t="s">
        <v>9657</v>
      </c>
      <c r="JNF3" s="12" t="s">
        <v>9658</v>
      </c>
      <c r="JNG3" s="12" t="s">
        <v>9659</v>
      </c>
      <c r="JNH3" s="12" t="s">
        <v>9660</v>
      </c>
      <c r="JNI3" s="12" t="s">
        <v>9661</v>
      </c>
      <c r="JNJ3" s="12" t="s">
        <v>9662</v>
      </c>
      <c r="JNK3" s="12" t="s">
        <v>9663</v>
      </c>
      <c r="JNL3" s="12" t="s">
        <v>9664</v>
      </c>
      <c r="JNM3" s="12" t="s">
        <v>9665</v>
      </c>
      <c r="JNN3" s="12" t="s">
        <v>9666</v>
      </c>
      <c r="JNO3" s="12" t="s">
        <v>9667</v>
      </c>
      <c r="JNP3" s="12" t="s">
        <v>9668</v>
      </c>
      <c r="JNQ3" s="12" t="s">
        <v>9669</v>
      </c>
      <c r="JNR3" s="12" t="s">
        <v>9670</v>
      </c>
      <c r="JNS3" s="12" t="s">
        <v>9671</v>
      </c>
      <c r="JNT3" s="12" t="s">
        <v>9672</v>
      </c>
      <c r="JNU3" s="12" t="s">
        <v>9673</v>
      </c>
      <c r="JNV3" s="12" t="s">
        <v>9674</v>
      </c>
      <c r="JNW3" s="12" t="s">
        <v>9675</v>
      </c>
      <c r="JNX3" s="12" t="s">
        <v>9676</v>
      </c>
      <c r="JNY3" s="12" t="s">
        <v>9677</v>
      </c>
      <c r="JNZ3" s="12" t="s">
        <v>9678</v>
      </c>
      <c r="JOA3" s="12" t="s">
        <v>9679</v>
      </c>
      <c r="JOB3" s="12" t="s">
        <v>9680</v>
      </c>
      <c r="JOC3" s="12" t="s">
        <v>9681</v>
      </c>
      <c r="JOD3" s="12" t="s">
        <v>9682</v>
      </c>
      <c r="JOE3" s="12" t="s">
        <v>9683</v>
      </c>
      <c r="JOF3" s="12" t="s">
        <v>9684</v>
      </c>
      <c r="JOG3" s="12" t="s">
        <v>9685</v>
      </c>
      <c r="JOH3" s="12" t="s">
        <v>9686</v>
      </c>
      <c r="JOI3" s="12" t="s">
        <v>9687</v>
      </c>
      <c r="JOJ3" s="12" t="s">
        <v>9688</v>
      </c>
      <c r="JOK3" s="12" t="s">
        <v>9689</v>
      </c>
      <c r="JOL3" s="12" t="s">
        <v>9690</v>
      </c>
      <c r="JOM3" s="12" t="s">
        <v>9691</v>
      </c>
      <c r="JON3" s="12" t="s">
        <v>9692</v>
      </c>
      <c r="JOO3" s="12" t="s">
        <v>9693</v>
      </c>
      <c r="JOP3" s="12" t="s">
        <v>9694</v>
      </c>
      <c r="JOQ3" s="12" t="s">
        <v>9695</v>
      </c>
      <c r="JOR3" s="12" t="s">
        <v>9696</v>
      </c>
      <c r="JOS3" s="12" t="s">
        <v>9697</v>
      </c>
      <c r="JOT3" s="12" t="s">
        <v>9698</v>
      </c>
      <c r="JOU3" s="12" t="s">
        <v>9699</v>
      </c>
      <c r="JOV3" s="12" t="s">
        <v>9700</v>
      </c>
      <c r="JOW3" s="12" t="s">
        <v>9701</v>
      </c>
      <c r="JOX3" s="12" t="s">
        <v>9702</v>
      </c>
      <c r="JOY3" s="12" t="s">
        <v>9703</v>
      </c>
      <c r="JOZ3" s="12" t="s">
        <v>9704</v>
      </c>
      <c r="JPA3" s="12" t="s">
        <v>9705</v>
      </c>
      <c r="JPB3" s="12" t="s">
        <v>9706</v>
      </c>
      <c r="JPC3" s="12" t="s">
        <v>9707</v>
      </c>
      <c r="JPD3" s="12" t="s">
        <v>9708</v>
      </c>
      <c r="JPE3" s="12" t="s">
        <v>9709</v>
      </c>
      <c r="JPF3" s="12" t="s">
        <v>9710</v>
      </c>
      <c r="JPG3" s="12" t="s">
        <v>9711</v>
      </c>
      <c r="JPH3" s="12" t="s">
        <v>9712</v>
      </c>
      <c r="JPI3" s="12" t="s">
        <v>9713</v>
      </c>
      <c r="JPJ3" s="12" t="s">
        <v>9714</v>
      </c>
      <c r="JPK3" s="12" t="s">
        <v>9715</v>
      </c>
      <c r="JPL3" s="12" t="s">
        <v>9716</v>
      </c>
      <c r="JPM3" s="12" t="s">
        <v>9717</v>
      </c>
      <c r="JPN3" s="12" t="s">
        <v>9718</v>
      </c>
      <c r="JPO3" s="12" t="s">
        <v>9719</v>
      </c>
      <c r="JPP3" s="12" t="s">
        <v>9720</v>
      </c>
      <c r="JPQ3" s="12" t="s">
        <v>9721</v>
      </c>
      <c r="JPR3" s="12" t="s">
        <v>9722</v>
      </c>
      <c r="JPS3" s="12" t="s">
        <v>9723</v>
      </c>
      <c r="JPT3" s="12" t="s">
        <v>9724</v>
      </c>
      <c r="JPU3" s="12" t="s">
        <v>9725</v>
      </c>
      <c r="JPV3" s="12" t="s">
        <v>9726</v>
      </c>
      <c r="JPW3" s="12" t="s">
        <v>9727</v>
      </c>
      <c r="JPX3" s="12" t="s">
        <v>9728</v>
      </c>
      <c r="JPY3" s="12" t="s">
        <v>9729</v>
      </c>
      <c r="JPZ3" s="12" t="s">
        <v>9730</v>
      </c>
      <c r="JQA3" s="12" t="s">
        <v>9731</v>
      </c>
      <c r="JQB3" s="12" t="s">
        <v>9732</v>
      </c>
      <c r="JQC3" s="12" t="s">
        <v>9733</v>
      </c>
      <c r="JQD3" s="12" t="s">
        <v>9734</v>
      </c>
      <c r="JQE3" s="12" t="s">
        <v>9735</v>
      </c>
      <c r="JQF3" s="12" t="s">
        <v>9736</v>
      </c>
      <c r="JQG3" s="12" t="s">
        <v>9737</v>
      </c>
      <c r="JQH3" s="12" t="s">
        <v>9738</v>
      </c>
      <c r="JQI3" s="12" t="s">
        <v>9739</v>
      </c>
      <c r="JQJ3" s="12" t="s">
        <v>9740</v>
      </c>
      <c r="JQK3" s="12" t="s">
        <v>9741</v>
      </c>
      <c r="JQL3" s="12" t="s">
        <v>9742</v>
      </c>
      <c r="JQM3" s="12" t="s">
        <v>9743</v>
      </c>
      <c r="JQN3" s="12" t="s">
        <v>9744</v>
      </c>
      <c r="JQO3" s="12" t="s">
        <v>9745</v>
      </c>
      <c r="JQP3" s="12" t="s">
        <v>9746</v>
      </c>
      <c r="JQQ3" s="12" t="s">
        <v>9747</v>
      </c>
      <c r="JQR3" s="12" t="s">
        <v>9748</v>
      </c>
      <c r="JQS3" s="12" t="s">
        <v>9749</v>
      </c>
      <c r="JQT3" s="12" t="s">
        <v>9750</v>
      </c>
      <c r="JQU3" s="12" t="s">
        <v>9751</v>
      </c>
      <c r="JQV3" s="12" t="s">
        <v>9752</v>
      </c>
      <c r="JQW3" s="12" t="s">
        <v>9753</v>
      </c>
      <c r="JQX3" s="12" t="s">
        <v>9754</v>
      </c>
      <c r="JQY3" s="12" t="s">
        <v>9755</v>
      </c>
      <c r="JQZ3" s="12" t="s">
        <v>9756</v>
      </c>
      <c r="JRA3" s="12" t="s">
        <v>9757</v>
      </c>
      <c r="JRB3" s="12" t="s">
        <v>9758</v>
      </c>
      <c r="JRC3" s="12" t="s">
        <v>9759</v>
      </c>
      <c r="JRD3" s="12" t="s">
        <v>9760</v>
      </c>
      <c r="JRE3" s="12" t="s">
        <v>9761</v>
      </c>
      <c r="JRF3" s="12" t="s">
        <v>9762</v>
      </c>
      <c r="JRG3" s="12" t="s">
        <v>9763</v>
      </c>
      <c r="JRH3" s="12" t="s">
        <v>9764</v>
      </c>
      <c r="JRI3" s="12" t="s">
        <v>9765</v>
      </c>
      <c r="JRJ3" s="12" t="s">
        <v>9766</v>
      </c>
      <c r="JRK3" s="12" t="s">
        <v>9767</v>
      </c>
      <c r="JRL3" s="12" t="s">
        <v>9768</v>
      </c>
      <c r="JRM3" s="12" t="s">
        <v>9769</v>
      </c>
      <c r="JRN3" s="12" t="s">
        <v>9770</v>
      </c>
      <c r="JRO3" s="12" t="s">
        <v>9771</v>
      </c>
      <c r="JRP3" s="12" t="s">
        <v>9772</v>
      </c>
      <c r="JRQ3" s="12" t="s">
        <v>9773</v>
      </c>
      <c r="JRR3" s="12" t="s">
        <v>9774</v>
      </c>
      <c r="JRS3" s="12" t="s">
        <v>9775</v>
      </c>
      <c r="JRT3" s="12" t="s">
        <v>9776</v>
      </c>
      <c r="JRU3" s="12" t="s">
        <v>9777</v>
      </c>
      <c r="JRV3" s="12" t="s">
        <v>9778</v>
      </c>
      <c r="JRW3" s="12" t="s">
        <v>9779</v>
      </c>
      <c r="JRX3" s="12" t="s">
        <v>9780</v>
      </c>
      <c r="JRY3" s="12" t="s">
        <v>9781</v>
      </c>
      <c r="JRZ3" s="12" t="s">
        <v>9782</v>
      </c>
      <c r="JSA3" s="12" t="s">
        <v>9783</v>
      </c>
      <c r="JSB3" s="12" t="s">
        <v>9784</v>
      </c>
      <c r="JSC3" s="12" t="s">
        <v>9785</v>
      </c>
      <c r="JSD3" s="12" t="s">
        <v>9786</v>
      </c>
      <c r="JSE3" s="12" t="s">
        <v>9787</v>
      </c>
      <c r="JSF3" s="12" t="s">
        <v>9788</v>
      </c>
      <c r="JSG3" s="12" t="s">
        <v>9789</v>
      </c>
      <c r="JSH3" s="12" t="s">
        <v>9790</v>
      </c>
      <c r="JSI3" s="12" t="s">
        <v>9791</v>
      </c>
      <c r="JSJ3" s="12" t="s">
        <v>9792</v>
      </c>
      <c r="JSK3" s="12" t="s">
        <v>9793</v>
      </c>
      <c r="JSL3" s="12" t="s">
        <v>9794</v>
      </c>
      <c r="JSM3" s="12" t="s">
        <v>9795</v>
      </c>
      <c r="JSN3" s="12" t="s">
        <v>9796</v>
      </c>
      <c r="JSO3" s="12" t="s">
        <v>9797</v>
      </c>
      <c r="JSP3" s="12" t="s">
        <v>9798</v>
      </c>
      <c r="JSQ3" s="12" t="s">
        <v>9799</v>
      </c>
      <c r="JSR3" s="12" t="s">
        <v>9800</v>
      </c>
      <c r="JSS3" s="12" t="s">
        <v>9801</v>
      </c>
      <c r="JST3" s="12" t="s">
        <v>9802</v>
      </c>
      <c r="JSU3" s="12" t="s">
        <v>9803</v>
      </c>
      <c r="JSV3" s="12" t="s">
        <v>9804</v>
      </c>
      <c r="JSW3" s="12" t="s">
        <v>9805</v>
      </c>
      <c r="JSX3" s="12" t="s">
        <v>9806</v>
      </c>
      <c r="JSY3" s="12" t="s">
        <v>9807</v>
      </c>
      <c r="JSZ3" s="12" t="s">
        <v>9808</v>
      </c>
      <c r="JTA3" s="12" t="s">
        <v>9809</v>
      </c>
      <c r="JTB3" s="12" t="s">
        <v>9810</v>
      </c>
      <c r="JTC3" s="12" t="s">
        <v>9811</v>
      </c>
      <c r="JTD3" s="12" t="s">
        <v>9812</v>
      </c>
      <c r="JTE3" s="12" t="s">
        <v>9813</v>
      </c>
      <c r="JTF3" s="12" t="s">
        <v>9814</v>
      </c>
      <c r="JTG3" s="12" t="s">
        <v>9815</v>
      </c>
      <c r="JTH3" s="12" t="s">
        <v>9816</v>
      </c>
      <c r="JTI3" s="12" t="s">
        <v>9817</v>
      </c>
      <c r="JTJ3" s="12" t="s">
        <v>9818</v>
      </c>
      <c r="JTK3" s="12" t="s">
        <v>9819</v>
      </c>
      <c r="JTL3" s="12" t="s">
        <v>9820</v>
      </c>
      <c r="JTM3" s="12" t="s">
        <v>9821</v>
      </c>
      <c r="JTN3" s="12" t="s">
        <v>9822</v>
      </c>
      <c r="JTO3" s="12" t="s">
        <v>9823</v>
      </c>
      <c r="JTP3" s="12" t="s">
        <v>9824</v>
      </c>
      <c r="JTQ3" s="12" t="s">
        <v>9825</v>
      </c>
      <c r="JTR3" s="12" t="s">
        <v>9826</v>
      </c>
      <c r="JTS3" s="12" t="s">
        <v>9827</v>
      </c>
      <c r="JTT3" s="12" t="s">
        <v>9828</v>
      </c>
      <c r="JTU3" s="12" t="s">
        <v>9829</v>
      </c>
      <c r="JTV3" s="12" t="s">
        <v>9830</v>
      </c>
      <c r="JTW3" s="12" t="s">
        <v>9831</v>
      </c>
      <c r="JTX3" s="12" t="s">
        <v>9832</v>
      </c>
      <c r="JTY3" s="12" t="s">
        <v>9833</v>
      </c>
      <c r="JTZ3" s="12" t="s">
        <v>9834</v>
      </c>
      <c r="JUA3" s="12" t="s">
        <v>9835</v>
      </c>
      <c r="JUB3" s="12" t="s">
        <v>9836</v>
      </c>
      <c r="JUC3" s="12" t="s">
        <v>9837</v>
      </c>
      <c r="JUD3" s="12" t="s">
        <v>9838</v>
      </c>
      <c r="JUE3" s="12" t="s">
        <v>9839</v>
      </c>
      <c r="JUF3" s="12" t="s">
        <v>9840</v>
      </c>
      <c r="JUG3" s="12" t="s">
        <v>9841</v>
      </c>
      <c r="JUH3" s="12" t="s">
        <v>9842</v>
      </c>
      <c r="JUI3" s="12" t="s">
        <v>9843</v>
      </c>
      <c r="JUJ3" s="12" t="s">
        <v>9844</v>
      </c>
      <c r="JUK3" s="12" t="s">
        <v>9845</v>
      </c>
      <c r="JUL3" s="12" t="s">
        <v>9846</v>
      </c>
      <c r="JUM3" s="12" t="s">
        <v>9847</v>
      </c>
      <c r="JUN3" s="12" t="s">
        <v>9848</v>
      </c>
      <c r="JUO3" s="12" t="s">
        <v>9849</v>
      </c>
      <c r="JUP3" s="12" t="s">
        <v>9850</v>
      </c>
      <c r="JUQ3" s="12" t="s">
        <v>9851</v>
      </c>
      <c r="JUR3" s="12" t="s">
        <v>9852</v>
      </c>
      <c r="JUS3" s="12" t="s">
        <v>9853</v>
      </c>
      <c r="JUT3" s="12" t="s">
        <v>9854</v>
      </c>
      <c r="JUU3" s="12" t="s">
        <v>9855</v>
      </c>
      <c r="JUV3" s="12" t="s">
        <v>9856</v>
      </c>
      <c r="JUW3" s="12" t="s">
        <v>9857</v>
      </c>
      <c r="JUX3" s="12" t="s">
        <v>9858</v>
      </c>
      <c r="JUY3" s="12" t="s">
        <v>9859</v>
      </c>
      <c r="JUZ3" s="12" t="s">
        <v>9860</v>
      </c>
      <c r="JVA3" s="12" t="s">
        <v>9861</v>
      </c>
      <c r="JVB3" s="12" t="s">
        <v>9862</v>
      </c>
      <c r="JVC3" s="12" t="s">
        <v>9863</v>
      </c>
      <c r="JVD3" s="12" t="s">
        <v>9864</v>
      </c>
      <c r="JVE3" s="12" t="s">
        <v>9865</v>
      </c>
      <c r="JVF3" s="12" t="s">
        <v>9866</v>
      </c>
      <c r="JVG3" s="12" t="s">
        <v>9867</v>
      </c>
      <c r="JVH3" s="12" t="s">
        <v>9868</v>
      </c>
      <c r="JVI3" s="12" t="s">
        <v>9869</v>
      </c>
      <c r="JVJ3" s="12" t="s">
        <v>9870</v>
      </c>
      <c r="JVK3" s="12" t="s">
        <v>9871</v>
      </c>
      <c r="JVL3" s="12" t="s">
        <v>9872</v>
      </c>
      <c r="JVM3" s="12" t="s">
        <v>9873</v>
      </c>
      <c r="JVN3" s="12" t="s">
        <v>9874</v>
      </c>
      <c r="JVO3" s="12" t="s">
        <v>9875</v>
      </c>
      <c r="JVP3" s="12" t="s">
        <v>9876</v>
      </c>
      <c r="JVQ3" s="12" t="s">
        <v>9877</v>
      </c>
      <c r="JVR3" s="12" t="s">
        <v>9878</v>
      </c>
      <c r="JVS3" s="12" t="s">
        <v>9879</v>
      </c>
      <c r="JVT3" s="12" t="s">
        <v>9880</v>
      </c>
      <c r="JVU3" s="12" t="s">
        <v>9881</v>
      </c>
      <c r="JVV3" s="12" t="s">
        <v>9882</v>
      </c>
      <c r="JVW3" s="12" t="s">
        <v>9883</v>
      </c>
      <c r="JVX3" s="12" t="s">
        <v>9884</v>
      </c>
      <c r="JVY3" s="12" t="s">
        <v>9885</v>
      </c>
      <c r="JVZ3" s="12" t="s">
        <v>9886</v>
      </c>
      <c r="JWA3" s="12" t="s">
        <v>9887</v>
      </c>
      <c r="JWB3" s="12" t="s">
        <v>9888</v>
      </c>
      <c r="JWC3" s="12" t="s">
        <v>9889</v>
      </c>
      <c r="JWD3" s="12" t="s">
        <v>9890</v>
      </c>
      <c r="JWE3" s="12" t="s">
        <v>9891</v>
      </c>
      <c r="JWF3" s="12" t="s">
        <v>9892</v>
      </c>
      <c r="JWG3" s="12" t="s">
        <v>9893</v>
      </c>
      <c r="JWH3" s="12" t="s">
        <v>9894</v>
      </c>
      <c r="JWI3" s="12" t="s">
        <v>9895</v>
      </c>
      <c r="JWJ3" s="12" t="s">
        <v>9896</v>
      </c>
      <c r="JWK3" s="12" t="s">
        <v>9897</v>
      </c>
      <c r="JWL3" s="12" t="s">
        <v>9898</v>
      </c>
      <c r="JWM3" s="12" t="s">
        <v>9899</v>
      </c>
      <c r="JWN3" s="12" t="s">
        <v>9900</v>
      </c>
      <c r="JWO3" s="12" t="s">
        <v>9901</v>
      </c>
      <c r="JWP3" s="12" t="s">
        <v>9902</v>
      </c>
      <c r="JWQ3" s="12" t="s">
        <v>9903</v>
      </c>
      <c r="JWR3" s="12" t="s">
        <v>9904</v>
      </c>
      <c r="JWS3" s="12" t="s">
        <v>9905</v>
      </c>
      <c r="JWT3" s="12" t="s">
        <v>9906</v>
      </c>
      <c r="JWU3" s="12" t="s">
        <v>9907</v>
      </c>
      <c r="JWV3" s="12" t="s">
        <v>9908</v>
      </c>
      <c r="JWW3" s="12" t="s">
        <v>9909</v>
      </c>
      <c r="JWX3" s="12" t="s">
        <v>9910</v>
      </c>
      <c r="JWY3" s="12" t="s">
        <v>9911</v>
      </c>
      <c r="JWZ3" s="12" t="s">
        <v>9912</v>
      </c>
      <c r="JXA3" s="12" t="s">
        <v>9913</v>
      </c>
      <c r="JXB3" s="12" t="s">
        <v>9914</v>
      </c>
      <c r="JXC3" s="12" t="s">
        <v>9915</v>
      </c>
      <c r="JXD3" s="12" t="s">
        <v>9916</v>
      </c>
      <c r="JXE3" s="12" t="s">
        <v>9917</v>
      </c>
      <c r="JXF3" s="12" t="s">
        <v>9918</v>
      </c>
      <c r="JXG3" s="12" t="s">
        <v>9919</v>
      </c>
      <c r="JXH3" s="12" t="s">
        <v>9920</v>
      </c>
      <c r="JXI3" s="12" t="s">
        <v>9921</v>
      </c>
      <c r="JXJ3" s="12" t="s">
        <v>9922</v>
      </c>
      <c r="JXK3" s="12" t="s">
        <v>9923</v>
      </c>
      <c r="JXL3" s="12" t="s">
        <v>9924</v>
      </c>
      <c r="JXM3" s="12" t="s">
        <v>9925</v>
      </c>
      <c r="JXN3" s="12" t="s">
        <v>9926</v>
      </c>
      <c r="JXO3" s="12" t="s">
        <v>9927</v>
      </c>
      <c r="JXP3" s="12" t="s">
        <v>9928</v>
      </c>
      <c r="JXQ3" s="12" t="s">
        <v>9929</v>
      </c>
      <c r="JXR3" s="12" t="s">
        <v>9930</v>
      </c>
      <c r="JXS3" s="12" t="s">
        <v>9931</v>
      </c>
      <c r="JXT3" s="12" t="s">
        <v>9932</v>
      </c>
      <c r="JXU3" s="12" t="s">
        <v>9933</v>
      </c>
      <c r="JXV3" s="12" t="s">
        <v>9934</v>
      </c>
      <c r="JXW3" s="12" t="s">
        <v>9935</v>
      </c>
      <c r="JXX3" s="12" t="s">
        <v>9936</v>
      </c>
      <c r="JXY3" s="12" t="s">
        <v>9937</v>
      </c>
      <c r="JXZ3" s="12" t="s">
        <v>9938</v>
      </c>
      <c r="JYA3" s="12" t="s">
        <v>9939</v>
      </c>
      <c r="JYB3" s="12" t="s">
        <v>9940</v>
      </c>
      <c r="JYC3" s="12" t="s">
        <v>9941</v>
      </c>
      <c r="JYD3" s="12" t="s">
        <v>9942</v>
      </c>
      <c r="JYE3" s="12" t="s">
        <v>9943</v>
      </c>
      <c r="JYF3" s="12" t="s">
        <v>9944</v>
      </c>
      <c r="JYG3" s="12" t="s">
        <v>9945</v>
      </c>
      <c r="JYH3" s="12" t="s">
        <v>9946</v>
      </c>
      <c r="JYI3" s="12" t="s">
        <v>9947</v>
      </c>
      <c r="JYJ3" s="12" t="s">
        <v>9948</v>
      </c>
      <c r="JYK3" s="12" t="s">
        <v>9949</v>
      </c>
      <c r="JYL3" s="12" t="s">
        <v>9950</v>
      </c>
      <c r="JYM3" s="12" t="s">
        <v>9951</v>
      </c>
      <c r="JYN3" s="12" t="s">
        <v>9952</v>
      </c>
      <c r="JYO3" s="12" t="s">
        <v>9953</v>
      </c>
      <c r="JYP3" s="12" t="s">
        <v>9954</v>
      </c>
      <c r="JYQ3" s="12" t="s">
        <v>9955</v>
      </c>
      <c r="JYR3" s="12" t="s">
        <v>9956</v>
      </c>
      <c r="JYS3" s="12" t="s">
        <v>9957</v>
      </c>
      <c r="JYT3" s="12" t="s">
        <v>9958</v>
      </c>
      <c r="JYU3" s="12" t="s">
        <v>9959</v>
      </c>
      <c r="JYV3" s="12" t="s">
        <v>9960</v>
      </c>
      <c r="JYW3" s="12" t="s">
        <v>9961</v>
      </c>
      <c r="JYX3" s="12" t="s">
        <v>9962</v>
      </c>
      <c r="JYY3" s="12" t="s">
        <v>9963</v>
      </c>
      <c r="JYZ3" s="12" t="s">
        <v>9964</v>
      </c>
      <c r="JZA3" s="12" t="s">
        <v>9965</v>
      </c>
      <c r="JZB3" s="12" t="s">
        <v>9966</v>
      </c>
      <c r="JZC3" s="12" t="s">
        <v>9967</v>
      </c>
      <c r="JZD3" s="12" t="s">
        <v>9968</v>
      </c>
      <c r="JZE3" s="12" t="s">
        <v>9969</v>
      </c>
      <c r="JZF3" s="12" t="s">
        <v>9970</v>
      </c>
      <c r="JZG3" s="12" t="s">
        <v>9971</v>
      </c>
      <c r="JZH3" s="12" t="s">
        <v>9972</v>
      </c>
      <c r="JZI3" s="12" t="s">
        <v>9973</v>
      </c>
      <c r="JZJ3" s="12" t="s">
        <v>9974</v>
      </c>
      <c r="JZK3" s="12" t="s">
        <v>9975</v>
      </c>
      <c r="JZL3" s="12" t="s">
        <v>9976</v>
      </c>
      <c r="JZM3" s="12" t="s">
        <v>9977</v>
      </c>
      <c r="JZN3" s="12" t="s">
        <v>9978</v>
      </c>
      <c r="JZO3" s="12" t="s">
        <v>9979</v>
      </c>
      <c r="JZP3" s="12" t="s">
        <v>9980</v>
      </c>
      <c r="JZQ3" s="12" t="s">
        <v>9981</v>
      </c>
      <c r="JZR3" s="12" t="s">
        <v>9982</v>
      </c>
      <c r="JZS3" s="12" t="s">
        <v>9983</v>
      </c>
      <c r="JZT3" s="12" t="s">
        <v>9984</v>
      </c>
      <c r="JZU3" s="12" t="s">
        <v>9985</v>
      </c>
      <c r="JZV3" s="12" t="s">
        <v>9986</v>
      </c>
      <c r="JZW3" s="12" t="s">
        <v>9987</v>
      </c>
      <c r="JZX3" s="12" t="s">
        <v>9988</v>
      </c>
      <c r="JZY3" s="12" t="s">
        <v>9989</v>
      </c>
      <c r="JZZ3" s="12" t="s">
        <v>9990</v>
      </c>
      <c r="KAA3" s="12" t="s">
        <v>9991</v>
      </c>
      <c r="KAB3" s="12" t="s">
        <v>9992</v>
      </c>
      <c r="KAC3" s="12" t="s">
        <v>9993</v>
      </c>
      <c r="KAD3" s="12" t="s">
        <v>9994</v>
      </c>
      <c r="KAE3" s="12" t="s">
        <v>9995</v>
      </c>
      <c r="KAF3" s="12" t="s">
        <v>9996</v>
      </c>
      <c r="KAG3" s="12" t="s">
        <v>9997</v>
      </c>
      <c r="KAH3" s="12" t="s">
        <v>9998</v>
      </c>
      <c r="KAI3" s="12" t="s">
        <v>9999</v>
      </c>
      <c r="KAJ3" s="12" t="s">
        <v>10000</v>
      </c>
      <c r="KAK3" s="12" t="s">
        <v>10001</v>
      </c>
      <c r="KAL3" s="12" t="s">
        <v>10002</v>
      </c>
      <c r="KAM3" s="12" t="s">
        <v>10003</v>
      </c>
      <c r="KAN3" s="12" t="s">
        <v>10004</v>
      </c>
      <c r="KAO3" s="12" t="s">
        <v>10005</v>
      </c>
      <c r="KAP3" s="12" t="s">
        <v>10006</v>
      </c>
      <c r="KAQ3" s="12" t="s">
        <v>10007</v>
      </c>
      <c r="KAR3" s="12" t="s">
        <v>10008</v>
      </c>
      <c r="KAS3" s="12" t="s">
        <v>10009</v>
      </c>
      <c r="KAT3" s="12" t="s">
        <v>10010</v>
      </c>
      <c r="KAU3" s="12" t="s">
        <v>10011</v>
      </c>
      <c r="KAV3" s="12" t="s">
        <v>10012</v>
      </c>
      <c r="KAW3" s="12" t="s">
        <v>10013</v>
      </c>
      <c r="KAX3" s="12" t="s">
        <v>10014</v>
      </c>
      <c r="KAY3" s="12" t="s">
        <v>10015</v>
      </c>
      <c r="KAZ3" s="12" t="s">
        <v>10016</v>
      </c>
      <c r="KBA3" s="12" t="s">
        <v>10017</v>
      </c>
      <c r="KBB3" s="12" t="s">
        <v>10018</v>
      </c>
      <c r="KBC3" s="12" t="s">
        <v>10019</v>
      </c>
      <c r="KBD3" s="12" t="s">
        <v>10020</v>
      </c>
      <c r="KBE3" s="12" t="s">
        <v>10021</v>
      </c>
      <c r="KBF3" s="12" t="s">
        <v>10022</v>
      </c>
      <c r="KBG3" s="12" t="s">
        <v>10023</v>
      </c>
      <c r="KBH3" s="12" t="s">
        <v>10024</v>
      </c>
      <c r="KBI3" s="12" t="s">
        <v>10025</v>
      </c>
      <c r="KBJ3" s="12" t="s">
        <v>10026</v>
      </c>
      <c r="KBK3" s="12" t="s">
        <v>10027</v>
      </c>
      <c r="KBL3" s="12" t="s">
        <v>10028</v>
      </c>
      <c r="KBM3" s="12" t="s">
        <v>10029</v>
      </c>
      <c r="KBN3" s="12" t="s">
        <v>10030</v>
      </c>
      <c r="KBO3" s="12" t="s">
        <v>10031</v>
      </c>
      <c r="KBP3" s="12" t="s">
        <v>10032</v>
      </c>
      <c r="KBQ3" s="12" t="s">
        <v>10033</v>
      </c>
      <c r="KBR3" s="12" t="s">
        <v>10034</v>
      </c>
      <c r="KBS3" s="12" t="s">
        <v>10035</v>
      </c>
      <c r="KBT3" s="12" t="s">
        <v>10036</v>
      </c>
      <c r="KBU3" s="12" t="s">
        <v>10037</v>
      </c>
      <c r="KBV3" s="12" t="s">
        <v>10038</v>
      </c>
      <c r="KBW3" s="12" t="s">
        <v>10039</v>
      </c>
      <c r="KBX3" s="12" t="s">
        <v>10040</v>
      </c>
      <c r="KBY3" s="12" t="s">
        <v>10041</v>
      </c>
      <c r="KBZ3" s="12" t="s">
        <v>10042</v>
      </c>
      <c r="KCA3" s="12" t="s">
        <v>10043</v>
      </c>
      <c r="KCB3" s="12" t="s">
        <v>10044</v>
      </c>
      <c r="KCC3" s="12" t="s">
        <v>10045</v>
      </c>
      <c r="KCD3" s="12" t="s">
        <v>10046</v>
      </c>
      <c r="KCE3" s="12" t="s">
        <v>10047</v>
      </c>
      <c r="KCF3" s="12" t="s">
        <v>10048</v>
      </c>
      <c r="KCG3" s="12" t="s">
        <v>10049</v>
      </c>
      <c r="KCH3" s="12" t="s">
        <v>10050</v>
      </c>
      <c r="KCI3" s="12" t="s">
        <v>10051</v>
      </c>
      <c r="KCJ3" s="12" t="s">
        <v>10052</v>
      </c>
      <c r="KCK3" s="12" t="s">
        <v>10053</v>
      </c>
      <c r="KCL3" s="12" t="s">
        <v>10054</v>
      </c>
      <c r="KCM3" s="12" t="s">
        <v>10055</v>
      </c>
      <c r="KCN3" s="12" t="s">
        <v>10056</v>
      </c>
      <c r="KCO3" s="12" t="s">
        <v>10057</v>
      </c>
      <c r="KCP3" s="12" t="s">
        <v>10058</v>
      </c>
      <c r="KCQ3" s="12" t="s">
        <v>10059</v>
      </c>
      <c r="KCR3" s="12" t="s">
        <v>10060</v>
      </c>
      <c r="KCS3" s="12" t="s">
        <v>10061</v>
      </c>
      <c r="KCT3" s="12" t="s">
        <v>10062</v>
      </c>
      <c r="KCU3" s="12" t="s">
        <v>10063</v>
      </c>
      <c r="KCV3" s="12" t="s">
        <v>10064</v>
      </c>
      <c r="KCW3" s="12" t="s">
        <v>10065</v>
      </c>
      <c r="KCX3" s="12" t="s">
        <v>10066</v>
      </c>
      <c r="KCY3" s="12" t="s">
        <v>10067</v>
      </c>
      <c r="KCZ3" s="12" t="s">
        <v>10068</v>
      </c>
      <c r="KDA3" s="12" t="s">
        <v>10069</v>
      </c>
      <c r="KDB3" s="12" t="s">
        <v>10070</v>
      </c>
      <c r="KDC3" s="12" t="s">
        <v>10071</v>
      </c>
      <c r="KDD3" s="12" t="s">
        <v>10072</v>
      </c>
      <c r="KDE3" s="12" t="s">
        <v>10073</v>
      </c>
      <c r="KDF3" s="12" t="s">
        <v>10074</v>
      </c>
      <c r="KDG3" s="12" t="s">
        <v>10075</v>
      </c>
      <c r="KDH3" s="12" t="s">
        <v>10076</v>
      </c>
      <c r="KDI3" s="12" t="s">
        <v>10077</v>
      </c>
      <c r="KDJ3" s="12" t="s">
        <v>10078</v>
      </c>
      <c r="KDK3" s="12" t="s">
        <v>10079</v>
      </c>
      <c r="KDL3" s="12" t="s">
        <v>10080</v>
      </c>
      <c r="KDM3" s="12" t="s">
        <v>10081</v>
      </c>
      <c r="KDN3" s="12" t="s">
        <v>10082</v>
      </c>
      <c r="KDO3" s="12" t="s">
        <v>10083</v>
      </c>
      <c r="KDP3" s="12" t="s">
        <v>10084</v>
      </c>
      <c r="KDQ3" s="12" t="s">
        <v>10085</v>
      </c>
      <c r="KDR3" s="12" t="s">
        <v>10086</v>
      </c>
      <c r="KDS3" s="12" t="s">
        <v>10087</v>
      </c>
      <c r="KDT3" s="12" t="s">
        <v>10088</v>
      </c>
      <c r="KDU3" s="12" t="s">
        <v>10089</v>
      </c>
      <c r="KDV3" s="12" t="s">
        <v>10090</v>
      </c>
      <c r="KDW3" s="12" t="s">
        <v>10091</v>
      </c>
      <c r="KDX3" s="12" t="s">
        <v>10092</v>
      </c>
      <c r="KDY3" s="12" t="s">
        <v>10093</v>
      </c>
      <c r="KDZ3" s="12" t="s">
        <v>10094</v>
      </c>
      <c r="KEA3" s="12" t="s">
        <v>10095</v>
      </c>
      <c r="KEB3" s="12" t="s">
        <v>10096</v>
      </c>
      <c r="KEC3" s="12" t="s">
        <v>10097</v>
      </c>
      <c r="KED3" s="12" t="s">
        <v>10098</v>
      </c>
      <c r="KEE3" s="12" t="s">
        <v>10099</v>
      </c>
      <c r="KEF3" s="12" t="s">
        <v>10100</v>
      </c>
      <c r="KEG3" s="12" t="s">
        <v>10101</v>
      </c>
      <c r="KEH3" s="12" t="s">
        <v>10102</v>
      </c>
      <c r="KEI3" s="12" t="s">
        <v>10103</v>
      </c>
      <c r="KEJ3" s="12" t="s">
        <v>10104</v>
      </c>
      <c r="KEK3" s="12" t="s">
        <v>10105</v>
      </c>
      <c r="KEL3" s="12" t="s">
        <v>10106</v>
      </c>
      <c r="KEM3" s="12" t="s">
        <v>10107</v>
      </c>
      <c r="KEN3" s="12" t="s">
        <v>10108</v>
      </c>
      <c r="KEO3" s="12" t="s">
        <v>10109</v>
      </c>
      <c r="KEP3" s="12" t="s">
        <v>10110</v>
      </c>
      <c r="KEQ3" s="12" t="s">
        <v>10111</v>
      </c>
      <c r="KER3" s="12" t="s">
        <v>10112</v>
      </c>
      <c r="KES3" s="12" t="s">
        <v>10113</v>
      </c>
      <c r="KET3" s="12" t="s">
        <v>10114</v>
      </c>
      <c r="KEU3" s="12" t="s">
        <v>10115</v>
      </c>
      <c r="KEV3" s="12" t="s">
        <v>10116</v>
      </c>
      <c r="KEW3" s="12" t="s">
        <v>10117</v>
      </c>
      <c r="KEX3" s="12" t="s">
        <v>10118</v>
      </c>
      <c r="KEY3" s="12" t="s">
        <v>10119</v>
      </c>
      <c r="KEZ3" s="12" t="s">
        <v>10120</v>
      </c>
      <c r="KFA3" s="12" t="s">
        <v>10121</v>
      </c>
      <c r="KFB3" s="12" t="s">
        <v>10122</v>
      </c>
      <c r="KFC3" s="12" t="s">
        <v>10123</v>
      </c>
      <c r="KFD3" s="12" t="s">
        <v>10124</v>
      </c>
      <c r="KFE3" s="12" t="s">
        <v>10125</v>
      </c>
      <c r="KFF3" s="12" t="s">
        <v>10126</v>
      </c>
      <c r="KFG3" s="12" t="s">
        <v>10127</v>
      </c>
      <c r="KFH3" s="12" t="s">
        <v>10128</v>
      </c>
      <c r="KFI3" s="12" t="s">
        <v>10129</v>
      </c>
      <c r="KFJ3" s="12" t="s">
        <v>10130</v>
      </c>
      <c r="KFK3" s="12" t="s">
        <v>10131</v>
      </c>
      <c r="KFL3" s="12" t="s">
        <v>10132</v>
      </c>
      <c r="KFM3" s="12" t="s">
        <v>10133</v>
      </c>
      <c r="KFN3" s="12" t="s">
        <v>10134</v>
      </c>
      <c r="KFO3" s="12" t="s">
        <v>10135</v>
      </c>
      <c r="KFP3" s="12" t="s">
        <v>10136</v>
      </c>
      <c r="KFQ3" s="12" t="s">
        <v>10137</v>
      </c>
      <c r="KFR3" s="12" t="s">
        <v>10138</v>
      </c>
      <c r="KFS3" s="12" t="s">
        <v>10139</v>
      </c>
      <c r="KFT3" s="12" t="s">
        <v>10140</v>
      </c>
      <c r="KFU3" s="12" t="s">
        <v>10141</v>
      </c>
      <c r="KFV3" s="12" t="s">
        <v>10142</v>
      </c>
      <c r="KFW3" s="12" t="s">
        <v>10143</v>
      </c>
      <c r="KFX3" s="12" t="s">
        <v>10144</v>
      </c>
      <c r="KFY3" s="12" t="s">
        <v>10145</v>
      </c>
      <c r="KFZ3" s="12" t="s">
        <v>10146</v>
      </c>
      <c r="KGA3" s="12" t="s">
        <v>10147</v>
      </c>
      <c r="KGB3" s="12" t="s">
        <v>10148</v>
      </c>
      <c r="KGC3" s="12" t="s">
        <v>10149</v>
      </c>
      <c r="KGD3" s="12" t="s">
        <v>10150</v>
      </c>
      <c r="KGE3" s="12" t="s">
        <v>10151</v>
      </c>
      <c r="KGF3" s="12" t="s">
        <v>10152</v>
      </c>
      <c r="KGG3" s="12" t="s">
        <v>10153</v>
      </c>
      <c r="KGH3" s="12" t="s">
        <v>10154</v>
      </c>
      <c r="KGI3" s="12" t="s">
        <v>10155</v>
      </c>
      <c r="KGJ3" s="12" t="s">
        <v>10156</v>
      </c>
      <c r="KGK3" s="12" t="s">
        <v>10157</v>
      </c>
      <c r="KGL3" s="12" t="s">
        <v>10158</v>
      </c>
      <c r="KGM3" s="12" t="s">
        <v>10159</v>
      </c>
      <c r="KGN3" s="12" t="s">
        <v>10160</v>
      </c>
      <c r="KGO3" s="12" t="s">
        <v>10161</v>
      </c>
      <c r="KGP3" s="12" t="s">
        <v>10162</v>
      </c>
      <c r="KGQ3" s="12" t="s">
        <v>10163</v>
      </c>
      <c r="KGR3" s="12" t="s">
        <v>10164</v>
      </c>
      <c r="KGS3" s="12" t="s">
        <v>10165</v>
      </c>
      <c r="KGT3" s="12" t="s">
        <v>10166</v>
      </c>
      <c r="KGU3" s="12" t="s">
        <v>10167</v>
      </c>
      <c r="KGV3" s="12" t="s">
        <v>10168</v>
      </c>
      <c r="KGW3" s="12" t="s">
        <v>10169</v>
      </c>
      <c r="KGX3" s="12" t="s">
        <v>10170</v>
      </c>
      <c r="KGY3" s="12" t="s">
        <v>10171</v>
      </c>
      <c r="KGZ3" s="12" t="s">
        <v>10172</v>
      </c>
      <c r="KHA3" s="12" t="s">
        <v>10173</v>
      </c>
      <c r="KHB3" s="12" t="s">
        <v>10174</v>
      </c>
      <c r="KHC3" s="12" t="s">
        <v>10175</v>
      </c>
      <c r="KHD3" s="12" t="s">
        <v>10176</v>
      </c>
      <c r="KHE3" s="12" t="s">
        <v>10177</v>
      </c>
      <c r="KHF3" s="12" t="s">
        <v>10178</v>
      </c>
      <c r="KHG3" s="12" t="s">
        <v>10179</v>
      </c>
      <c r="KHH3" s="12" t="s">
        <v>10180</v>
      </c>
      <c r="KHI3" s="12" t="s">
        <v>10181</v>
      </c>
      <c r="KHJ3" s="12" t="s">
        <v>10182</v>
      </c>
      <c r="KHK3" s="12" t="s">
        <v>10183</v>
      </c>
      <c r="KHL3" s="12" t="s">
        <v>10184</v>
      </c>
      <c r="KHM3" s="12" t="s">
        <v>10185</v>
      </c>
      <c r="KHN3" s="12" t="s">
        <v>10186</v>
      </c>
      <c r="KHO3" s="12" t="s">
        <v>10187</v>
      </c>
      <c r="KHP3" s="12" t="s">
        <v>10188</v>
      </c>
      <c r="KHQ3" s="12" t="s">
        <v>10189</v>
      </c>
      <c r="KHR3" s="12" t="s">
        <v>10190</v>
      </c>
      <c r="KHS3" s="12" t="s">
        <v>10191</v>
      </c>
      <c r="KHT3" s="12" t="s">
        <v>10192</v>
      </c>
      <c r="KHU3" s="12" t="s">
        <v>10193</v>
      </c>
      <c r="KHV3" s="12" t="s">
        <v>10194</v>
      </c>
      <c r="KHW3" s="12" t="s">
        <v>10195</v>
      </c>
      <c r="KHX3" s="12" t="s">
        <v>10196</v>
      </c>
      <c r="KHY3" s="12" t="s">
        <v>10197</v>
      </c>
      <c r="KHZ3" s="12" t="s">
        <v>10198</v>
      </c>
      <c r="KIA3" s="12" t="s">
        <v>10199</v>
      </c>
      <c r="KIB3" s="12" t="s">
        <v>10200</v>
      </c>
      <c r="KIC3" s="12" t="s">
        <v>10201</v>
      </c>
      <c r="KID3" s="12" t="s">
        <v>10202</v>
      </c>
      <c r="KIE3" s="12" t="s">
        <v>10203</v>
      </c>
      <c r="KIF3" s="12" t="s">
        <v>10204</v>
      </c>
      <c r="KIG3" s="12" t="s">
        <v>10205</v>
      </c>
      <c r="KIH3" s="12" t="s">
        <v>10206</v>
      </c>
      <c r="KII3" s="12" t="s">
        <v>10207</v>
      </c>
      <c r="KIJ3" s="12" t="s">
        <v>10208</v>
      </c>
      <c r="KIK3" s="12" t="s">
        <v>10209</v>
      </c>
      <c r="KIL3" s="12" t="s">
        <v>10210</v>
      </c>
      <c r="KIM3" s="12" t="s">
        <v>10211</v>
      </c>
      <c r="KIN3" s="12" t="s">
        <v>10212</v>
      </c>
      <c r="KIO3" s="12" t="s">
        <v>10213</v>
      </c>
      <c r="KIP3" s="12" t="s">
        <v>10214</v>
      </c>
      <c r="KIQ3" s="12" t="s">
        <v>10215</v>
      </c>
      <c r="KIR3" s="12" t="s">
        <v>10216</v>
      </c>
      <c r="KIS3" s="12" t="s">
        <v>10217</v>
      </c>
      <c r="KIT3" s="12" t="s">
        <v>10218</v>
      </c>
      <c r="KIU3" s="12" t="s">
        <v>10219</v>
      </c>
      <c r="KIV3" s="12" t="s">
        <v>10220</v>
      </c>
      <c r="KIW3" s="12" t="s">
        <v>10221</v>
      </c>
      <c r="KIX3" s="12" t="s">
        <v>10222</v>
      </c>
      <c r="KIY3" s="12" t="s">
        <v>10223</v>
      </c>
      <c r="KIZ3" s="12" t="s">
        <v>10224</v>
      </c>
      <c r="KJA3" s="12" t="s">
        <v>10225</v>
      </c>
      <c r="KJB3" s="12" t="s">
        <v>10226</v>
      </c>
      <c r="KJC3" s="12" t="s">
        <v>10227</v>
      </c>
      <c r="KJD3" s="12" t="s">
        <v>10228</v>
      </c>
      <c r="KJE3" s="12" t="s">
        <v>10229</v>
      </c>
      <c r="KJF3" s="12" t="s">
        <v>10230</v>
      </c>
      <c r="KJG3" s="12" t="s">
        <v>10231</v>
      </c>
      <c r="KJH3" s="12" t="s">
        <v>10232</v>
      </c>
      <c r="KJI3" s="12" t="s">
        <v>10233</v>
      </c>
      <c r="KJJ3" s="12" t="s">
        <v>10234</v>
      </c>
      <c r="KJK3" s="12" t="s">
        <v>10235</v>
      </c>
      <c r="KJL3" s="12" t="s">
        <v>10236</v>
      </c>
      <c r="KJM3" s="12" t="s">
        <v>10237</v>
      </c>
      <c r="KJN3" s="12" t="s">
        <v>10238</v>
      </c>
      <c r="KJO3" s="12" t="s">
        <v>10239</v>
      </c>
      <c r="KJP3" s="12" t="s">
        <v>10240</v>
      </c>
      <c r="KJQ3" s="12" t="s">
        <v>10241</v>
      </c>
      <c r="KJR3" s="12" t="s">
        <v>10242</v>
      </c>
      <c r="KJS3" s="12" t="s">
        <v>10243</v>
      </c>
      <c r="KJT3" s="12" t="s">
        <v>10244</v>
      </c>
      <c r="KJU3" s="12" t="s">
        <v>10245</v>
      </c>
      <c r="KJV3" s="12" t="s">
        <v>10246</v>
      </c>
      <c r="KJW3" s="12" t="s">
        <v>10247</v>
      </c>
      <c r="KJX3" s="12" t="s">
        <v>10248</v>
      </c>
      <c r="KJY3" s="12" t="s">
        <v>10249</v>
      </c>
      <c r="KJZ3" s="12" t="s">
        <v>10250</v>
      </c>
      <c r="KKA3" s="12" t="s">
        <v>10251</v>
      </c>
      <c r="KKB3" s="12" t="s">
        <v>10252</v>
      </c>
      <c r="KKC3" s="12" t="s">
        <v>10253</v>
      </c>
      <c r="KKD3" s="12" t="s">
        <v>10254</v>
      </c>
      <c r="KKE3" s="12" t="s">
        <v>10255</v>
      </c>
      <c r="KKF3" s="12" t="s">
        <v>10256</v>
      </c>
      <c r="KKG3" s="12" t="s">
        <v>10257</v>
      </c>
      <c r="KKH3" s="12" t="s">
        <v>10258</v>
      </c>
      <c r="KKI3" s="12" t="s">
        <v>10259</v>
      </c>
      <c r="KKJ3" s="12" t="s">
        <v>10260</v>
      </c>
      <c r="KKK3" s="12" t="s">
        <v>10261</v>
      </c>
      <c r="KKL3" s="12" t="s">
        <v>10262</v>
      </c>
      <c r="KKM3" s="12" t="s">
        <v>10263</v>
      </c>
      <c r="KKN3" s="12" t="s">
        <v>10264</v>
      </c>
      <c r="KKO3" s="12" t="s">
        <v>10265</v>
      </c>
      <c r="KKP3" s="12" t="s">
        <v>10266</v>
      </c>
      <c r="KKQ3" s="12" t="s">
        <v>10267</v>
      </c>
      <c r="KKR3" s="12" t="s">
        <v>10268</v>
      </c>
      <c r="KKS3" s="12" t="s">
        <v>10269</v>
      </c>
      <c r="KKT3" s="12" t="s">
        <v>10270</v>
      </c>
      <c r="KKU3" s="12" t="s">
        <v>10271</v>
      </c>
      <c r="KKV3" s="12" t="s">
        <v>10272</v>
      </c>
      <c r="KKW3" s="12" t="s">
        <v>10273</v>
      </c>
      <c r="KKX3" s="12" t="s">
        <v>10274</v>
      </c>
      <c r="KKY3" s="12" t="s">
        <v>10275</v>
      </c>
      <c r="KKZ3" s="12" t="s">
        <v>10276</v>
      </c>
      <c r="KLA3" s="12" t="s">
        <v>10277</v>
      </c>
      <c r="KLB3" s="12" t="s">
        <v>10278</v>
      </c>
      <c r="KLC3" s="12" t="s">
        <v>10279</v>
      </c>
      <c r="KLD3" s="12" t="s">
        <v>10280</v>
      </c>
      <c r="KLE3" s="12" t="s">
        <v>10281</v>
      </c>
      <c r="KLF3" s="12" t="s">
        <v>10282</v>
      </c>
      <c r="KLG3" s="12" t="s">
        <v>10283</v>
      </c>
      <c r="KLH3" s="12" t="s">
        <v>10284</v>
      </c>
      <c r="KLI3" s="12" t="s">
        <v>10285</v>
      </c>
      <c r="KLJ3" s="12" t="s">
        <v>10286</v>
      </c>
      <c r="KLK3" s="12" t="s">
        <v>10287</v>
      </c>
      <c r="KLL3" s="12" t="s">
        <v>10288</v>
      </c>
      <c r="KLM3" s="12" t="s">
        <v>10289</v>
      </c>
      <c r="KLN3" s="12" t="s">
        <v>10290</v>
      </c>
      <c r="KLO3" s="12" t="s">
        <v>10291</v>
      </c>
      <c r="KLP3" s="12" t="s">
        <v>10292</v>
      </c>
      <c r="KLQ3" s="12" t="s">
        <v>10293</v>
      </c>
      <c r="KLR3" s="12" t="s">
        <v>10294</v>
      </c>
      <c r="KLS3" s="12" t="s">
        <v>10295</v>
      </c>
      <c r="KLT3" s="12" t="s">
        <v>10296</v>
      </c>
      <c r="KLU3" s="12" t="s">
        <v>10297</v>
      </c>
      <c r="KLV3" s="12" t="s">
        <v>10298</v>
      </c>
      <c r="KLW3" s="12" t="s">
        <v>10299</v>
      </c>
      <c r="KLX3" s="12" t="s">
        <v>10300</v>
      </c>
      <c r="KLY3" s="12" t="s">
        <v>10301</v>
      </c>
      <c r="KLZ3" s="12" t="s">
        <v>10302</v>
      </c>
      <c r="KMA3" s="12" t="s">
        <v>10303</v>
      </c>
      <c r="KMB3" s="12" t="s">
        <v>10304</v>
      </c>
      <c r="KMC3" s="12" t="s">
        <v>10305</v>
      </c>
      <c r="KMD3" s="12" t="s">
        <v>10306</v>
      </c>
      <c r="KME3" s="12" t="s">
        <v>10307</v>
      </c>
      <c r="KMF3" s="12" t="s">
        <v>10308</v>
      </c>
      <c r="KMG3" s="12" t="s">
        <v>10309</v>
      </c>
      <c r="KMH3" s="12" t="s">
        <v>10310</v>
      </c>
      <c r="KMI3" s="12" t="s">
        <v>10311</v>
      </c>
      <c r="KMJ3" s="12" t="s">
        <v>10312</v>
      </c>
      <c r="KMK3" s="12" t="s">
        <v>10313</v>
      </c>
      <c r="KML3" s="12" t="s">
        <v>10314</v>
      </c>
      <c r="KMM3" s="12" t="s">
        <v>10315</v>
      </c>
      <c r="KMN3" s="12" t="s">
        <v>10316</v>
      </c>
      <c r="KMO3" s="12" t="s">
        <v>10317</v>
      </c>
      <c r="KMP3" s="12" t="s">
        <v>10318</v>
      </c>
      <c r="KMQ3" s="12" t="s">
        <v>10319</v>
      </c>
      <c r="KMR3" s="12" t="s">
        <v>10320</v>
      </c>
      <c r="KMS3" s="12" t="s">
        <v>10321</v>
      </c>
      <c r="KMT3" s="12" t="s">
        <v>10322</v>
      </c>
      <c r="KMU3" s="12" t="s">
        <v>10323</v>
      </c>
      <c r="KMV3" s="12" t="s">
        <v>10324</v>
      </c>
      <c r="KMW3" s="12" t="s">
        <v>10325</v>
      </c>
      <c r="KMX3" s="12" t="s">
        <v>10326</v>
      </c>
      <c r="KMY3" s="12" t="s">
        <v>10327</v>
      </c>
      <c r="KMZ3" s="12" t="s">
        <v>10328</v>
      </c>
      <c r="KNA3" s="12" t="s">
        <v>10329</v>
      </c>
      <c r="KNB3" s="12" t="s">
        <v>10330</v>
      </c>
      <c r="KNC3" s="12" t="s">
        <v>10331</v>
      </c>
      <c r="KND3" s="12" t="s">
        <v>10332</v>
      </c>
      <c r="KNE3" s="12" t="s">
        <v>10333</v>
      </c>
      <c r="KNF3" s="12" t="s">
        <v>10334</v>
      </c>
      <c r="KNG3" s="12" t="s">
        <v>10335</v>
      </c>
      <c r="KNH3" s="12" t="s">
        <v>10336</v>
      </c>
      <c r="KNI3" s="12" t="s">
        <v>10337</v>
      </c>
      <c r="KNJ3" s="12" t="s">
        <v>10338</v>
      </c>
      <c r="KNK3" s="12" t="s">
        <v>10339</v>
      </c>
      <c r="KNL3" s="12" t="s">
        <v>10340</v>
      </c>
      <c r="KNM3" s="12" t="s">
        <v>10341</v>
      </c>
      <c r="KNN3" s="12" t="s">
        <v>10342</v>
      </c>
      <c r="KNO3" s="12" t="s">
        <v>10343</v>
      </c>
      <c r="KNP3" s="12" t="s">
        <v>10344</v>
      </c>
      <c r="KNQ3" s="12" t="s">
        <v>10345</v>
      </c>
      <c r="KNR3" s="12" t="s">
        <v>10346</v>
      </c>
      <c r="KNS3" s="12" t="s">
        <v>10347</v>
      </c>
      <c r="KNT3" s="12" t="s">
        <v>10348</v>
      </c>
      <c r="KNU3" s="12" t="s">
        <v>10349</v>
      </c>
      <c r="KNV3" s="12" t="s">
        <v>10350</v>
      </c>
      <c r="KNW3" s="12" t="s">
        <v>10351</v>
      </c>
      <c r="KNX3" s="12" t="s">
        <v>10352</v>
      </c>
      <c r="KNY3" s="12" t="s">
        <v>10353</v>
      </c>
      <c r="KNZ3" s="12" t="s">
        <v>10354</v>
      </c>
      <c r="KOA3" s="12" t="s">
        <v>10355</v>
      </c>
      <c r="KOB3" s="12" t="s">
        <v>10356</v>
      </c>
      <c r="KOC3" s="12" t="s">
        <v>10357</v>
      </c>
      <c r="KOD3" s="12" t="s">
        <v>10358</v>
      </c>
      <c r="KOE3" s="12" t="s">
        <v>10359</v>
      </c>
      <c r="KOF3" s="12" t="s">
        <v>10360</v>
      </c>
      <c r="KOG3" s="12" t="s">
        <v>10361</v>
      </c>
      <c r="KOH3" s="12" t="s">
        <v>10362</v>
      </c>
      <c r="KOI3" s="12" t="s">
        <v>10363</v>
      </c>
      <c r="KOJ3" s="12" t="s">
        <v>10364</v>
      </c>
      <c r="KOK3" s="12" t="s">
        <v>10365</v>
      </c>
      <c r="KOL3" s="12" t="s">
        <v>10366</v>
      </c>
      <c r="KOM3" s="12" t="s">
        <v>10367</v>
      </c>
      <c r="KON3" s="12" t="s">
        <v>10368</v>
      </c>
      <c r="KOO3" s="12" t="s">
        <v>10369</v>
      </c>
      <c r="KOP3" s="12" t="s">
        <v>10370</v>
      </c>
      <c r="KOQ3" s="12" t="s">
        <v>10371</v>
      </c>
      <c r="KOR3" s="12" t="s">
        <v>10372</v>
      </c>
      <c r="KOS3" s="12" t="s">
        <v>10373</v>
      </c>
      <c r="KOT3" s="12" t="s">
        <v>10374</v>
      </c>
      <c r="KOU3" s="12" t="s">
        <v>10375</v>
      </c>
      <c r="KOV3" s="12" t="s">
        <v>10376</v>
      </c>
      <c r="KOW3" s="12" t="s">
        <v>10377</v>
      </c>
      <c r="KOX3" s="12" t="s">
        <v>10378</v>
      </c>
      <c r="KOY3" s="12" t="s">
        <v>10379</v>
      </c>
      <c r="KOZ3" s="12" t="s">
        <v>10380</v>
      </c>
      <c r="KPA3" s="12" t="s">
        <v>10381</v>
      </c>
      <c r="KPB3" s="12" t="s">
        <v>10382</v>
      </c>
      <c r="KPC3" s="12" t="s">
        <v>10383</v>
      </c>
      <c r="KPD3" s="12" t="s">
        <v>10384</v>
      </c>
      <c r="KPE3" s="12" t="s">
        <v>10385</v>
      </c>
      <c r="KPF3" s="12" t="s">
        <v>10386</v>
      </c>
      <c r="KPG3" s="12" t="s">
        <v>10387</v>
      </c>
      <c r="KPH3" s="12" t="s">
        <v>10388</v>
      </c>
      <c r="KPI3" s="12" t="s">
        <v>10389</v>
      </c>
      <c r="KPJ3" s="12" t="s">
        <v>10390</v>
      </c>
      <c r="KPK3" s="12" t="s">
        <v>10391</v>
      </c>
      <c r="KPL3" s="12" t="s">
        <v>10392</v>
      </c>
      <c r="KPM3" s="12" t="s">
        <v>10393</v>
      </c>
      <c r="KPN3" s="12" t="s">
        <v>10394</v>
      </c>
      <c r="KPO3" s="12" t="s">
        <v>10395</v>
      </c>
      <c r="KPP3" s="12" t="s">
        <v>10396</v>
      </c>
      <c r="KPQ3" s="12" t="s">
        <v>10397</v>
      </c>
      <c r="KPR3" s="12" t="s">
        <v>10398</v>
      </c>
      <c r="KPS3" s="12" t="s">
        <v>10399</v>
      </c>
      <c r="KPT3" s="12" t="s">
        <v>10400</v>
      </c>
      <c r="KPU3" s="12" t="s">
        <v>10401</v>
      </c>
      <c r="KPV3" s="12" t="s">
        <v>10402</v>
      </c>
      <c r="KPW3" s="12" t="s">
        <v>10403</v>
      </c>
      <c r="KPX3" s="12" t="s">
        <v>10404</v>
      </c>
      <c r="KPY3" s="12" t="s">
        <v>10405</v>
      </c>
      <c r="KPZ3" s="12" t="s">
        <v>10406</v>
      </c>
      <c r="KQA3" s="12" t="s">
        <v>10407</v>
      </c>
      <c r="KQB3" s="12" t="s">
        <v>10408</v>
      </c>
      <c r="KQC3" s="12" t="s">
        <v>10409</v>
      </c>
      <c r="KQD3" s="12" t="s">
        <v>10410</v>
      </c>
      <c r="KQE3" s="12" t="s">
        <v>10411</v>
      </c>
      <c r="KQF3" s="12" t="s">
        <v>10412</v>
      </c>
      <c r="KQG3" s="12" t="s">
        <v>10413</v>
      </c>
      <c r="KQH3" s="12" t="s">
        <v>10414</v>
      </c>
      <c r="KQI3" s="12" t="s">
        <v>10415</v>
      </c>
      <c r="KQJ3" s="12" t="s">
        <v>10416</v>
      </c>
      <c r="KQK3" s="12" t="s">
        <v>10417</v>
      </c>
      <c r="KQL3" s="12" t="s">
        <v>10418</v>
      </c>
      <c r="KQM3" s="12" t="s">
        <v>10419</v>
      </c>
      <c r="KQN3" s="12" t="s">
        <v>10420</v>
      </c>
      <c r="KQO3" s="12" t="s">
        <v>10421</v>
      </c>
      <c r="KQP3" s="12" t="s">
        <v>10422</v>
      </c>
      <c r="KQQ3" s="12" t="s">
        <v>10423</v>
      </c>
      <c r="KQR3" s="12" t="s">
        <v>10424</v>
      </c>
      <c r="KQS3" s="12" t="s">
        <v>10425</v>
      </c>
      <c r="KQT3" s="12" t="s">
        <v>10426</v>
      </c>
      <c r="KQU3" s="12" t="s">
        <v>10427</v>
      </c>
      <c r="KQV3" s="12" t="s">
        <v>10428</v>
      </c>
      <c r="KQW3" s="12" t="s">
        <v>10429</v>
      </c>
      <c r="KQX3" s="12" t="s">
        <v>10430</v>
      </c>
      <c r="KQY3" s="12" t="s">
        <v>10431</v>
      </c>
      <c r="KQZ3" s="12" t="s">
        <v>10432</v>
      </c>
      <c r="KRA3" s="12" t="s">
        <v>10433</v>
      </c>
      <c r="KRB3" s="12" t="s">
        <v>10434</v>
      </c>
      <c r="KRC3" s="12" t="s">
        <v>10435</v>
      </c>
      <c r="KRD3" s="12" t="s">
        <v>10436</v>
      </c>
      <c r="KRE3" s="12" t="s">
        <v>10437</v>
      </c>
      <c r="KRF3" s="12" t="s">
        <v>10438</v>
      </c>
      <c r="KRG3" s="12" t="s">
        <v>10439</v>
      </c>
      <c r="KRH3" s="12" t="s">
        <v>10440</v>
      </c>
      <c r="KRI3" s="12" t="s">
        <v>10441</v>
      </c>
      <c r="KRJ3" s="12" t="s">
        <v>10442</v>
      </c>
      <c r="KRK3" s="12" t="s">
        <v>10443</v>
      </c>
      <c r="KRL3" s="12" t="s">
        <v>10444</v>
      </c>
      <c r="KRM3" s="12" t="s">
        <v>10445</v>
      </c>
      <c r="KRN3" s="12" t="s">
        <v>10446</v>
      </c>
      <c r="KRO3" s="12" t="s">
        <v>10447</v>
      </c>
      <c r="KRP3" s="12" t="s">
        <v>10448</v>
      </c>
      <c r="KRQ3" s="12" t="s">
        <v>10449</v>
      </c>
      <c r="KRR3" s="12" t="s">
        <v>10450</v>
      </c>
      <c r="KRS3" s="12" t="s">
        <v>10451</v>
      </c>
      <c r="KRT3" s="12" t="s">
        <v>10452</v>
      </c>
      <c r="KRU3" s="12" t="s">
        <v>10453</v>
      </c>
      <c r="KRV3" s="12" t="s">
        <v>10454</v>
      </c>
      <c r="KRW3" s="12" t="s">
        <v>10455</v>
      </c>
      <c r="KRX3" s="12" t="s">
        <v>10456</v>
      </c>
      <c r="KRY3" s="12" t="s">
        <v>10457</v>
      </c>
      <c r="KRZ3" s="12" t="s">
        <v>10458</v>
      </c>
      <c r="KSA3" s="12" t="s">
        <v>10459</v>
      </c>
      <c r="KSB3" s="12" t="s">
        <v>10460</v>
      </c>
      <c r="KSC3" s="12" t="s">
        <v>10461</v>
      </c>
      <c r="KSD3" s="12" t="s">
        <v>10462</v>
      </c>
      <c r="KSE3" s="12" t="s">
        <v>10463</v>
      </c>
      <c r="KSF3" s="12" t="s">
        <v>10464</v>
      </c>
      <c r="KSG3" s="12" t="s">
        <v>10465</v>
      </c>
      <c r="KSH3" s="12" t="s">
        <v>10466</v>
      </c>
      <c r="KSI3" s="12" t="s">
        <v>10467</v>
      </c>
      <c r="KSJ3" s="12" t="s">
        <v>10468</v>
      </c>
      <c r="KSK3" s="12" t="s">
        <v>10469</v>
      </c>
      <c r="KSL3" s="12" t="s">
        <v>10470</v>
      </c>
      <c r="KSM3" s="12" t="s">
        <v>10471</v>
      </c>
      <c r="KSN3" s="12" t="s">
        <v>10472</v>
      </c>
      <c r="KSO3" s="12" t="s">
        <v>10473</v>
      </c>
      <c r="KSP3" s="12" t="s">
        <v>10474</v>
      </c>
      <c r="KSQ3" s="12" t="s">
        <v>10475</v>
      </c>
      <c r="KSR3" s="12" t="s">
        <v>10476</v>
      </c>
      <c r="KSS3" s="12" t="s">
        <v>10477</v>
      </c>
      <c r="KST3" s="12" t="s">
        <v>10478</v>
      </c>
      <c r="KSU3" s="12" t="s">
        <v>10479</v>
      </c>
      <c r="KSV3" s="12" t="s">
        <v>10480</v>
      </c>
      <c r="KSW3" s="12" t="s">
        <v>10481</v>
      </c>
      <c r="KSX3" s="12" t="s">
        <v>10482</v>
      </c>
      <c r="KSY3" s="12" t="s">
        <v>10483</v>
      </c>
      <c r="KSZ3" s="12" t="s">
        <v>10484</v>
      </c>
      <c r="KTA3" s="12" t="s">
        <v>10485</v>
      </c>
      <c r="KTB3" s="12" t="s">
        <v>10486</v>
      </c>
      <c r="KTC3" s="12" t="s">
        <v>10487</v>
      </c>
      <c r="KTD3" s="12" t="s">
        <v>10488</v>
      </c>
      <c r="KTE3" s="12" t="s">
        <v>10489</v>
      </c>
      <c r="KTF3" s="12" t="s">
        <v>10490</v>
      </c>
      <c r="KTG3" s="12" t="s">
        <v>10491</v>
      </c>
      <c r="KTH3" s="12" t="s">
        <v>10492</v>
      </c>
      <c r="KTI3" s="12" t="s">
        <v>10493</v>
      </c>
      <c r="KTJ3" s="12" t="s">
        <v>10494</v>
      </c>
      <c r="KTK3" s="12" t="s">
        <v>10495</v>
      </c>
      <c r="KTL3" s="12" t="s">
        <v>10496</v>
      </c>
      <c r="KTM3" s="12" t="s">
        <v>10497</v>
      </c>
      <c r="KTN3" s="12" t="s">
        <v>10498</v>
      </c>
      <c r="KTO3" s="12" t="s">
        <v>10499</v>
      </c>
      <c r="KTP3" s="12" t="s">
        <v>10500</v>
      </c>
      <c r="KTQ3" s="12" t="s">
        <v>10501</v>
      </c>
      <c r="KTR3" s="12" t="s">
        <v>10502</v>
      </c>
      <c r="KTS3" s="12" t="s">
        <v>10503</v>
      </c>
      <c r="KTT3" s="12" t="s">
        <v>10504</v>
      </c>
      <c r="KTU3" s="12" t="s">
        <v>10505</v>
      </c>
      <c r="KTV3" s="12" t="s">
        <v>10506</v>
      </c>
      <c r="KTW3" s="12" t="s">
        <v>10507</v>
      </c>
      <c r="KTX3" s="12" t="s">
        <v>10508</v>
      </c>
      <c r="KTY3" s="12" t="s">
        <v>10509</v>
      </c>
      <c r="KTZ3" s="12" t="s">
        <v>10510</v>
      </c>
      <c r="KUA3" s="12" t="s">
        <v>10511</v>
      </c>
      <c r="KUB3" s="12" t="s">
        <v>10512</v>
      </c>
      <c r="KUC3" s="12" t="s">
        <v>10513</v>
      </c>
      <c r="KUD3" s="12" t="s">
        <v>10514</v>
      </c>
      <c r="KUE3" s="12" t="s">
        <v>10515</v>
      </c>
      <c r="KUF3" s="12" t="s">
        <v>10516</v>
      </c>
      <c r="KUG3" s="12" t="s">
        <v>10517</v>
      </c>
      <c r="KUH3" s="12" t="s">
        <v>10518</v>
      </c>
      <c r="KUI3" s="12" t="s">
        <v>10519</v>
      </c>
      <c r="KUJ3" s="12" t="s">
        <v>10520</v>
      </c>
      <c r="KUK3" s="12" t="s">
        <v>10521</v>
      </c>
      <c r="KUL3" s="12" t="s">
        <v>10522</v>
      </c>
      <c r="KUM3" s="12" t="s">
        <v>10523</v>
      </c>
      <c r="KUN3" s="12" t="s">
        <v>10524</v>
      </c>
      <c r="KUO3" s="12" t="s">
        <v>10525</v>
      </c>
      <c r="KUP3" s="12" t="s">
        <v>10526</v>
      </c>
      <c r="KUQ3" s="12" t="s">
        <v>10527</v>
      </c>
      <c r="KUR3" s="12" t="s">
        <v>10528</v>
      </c>
      <c r="KUS3" s="12" t="s">
        <v>10529</v>
      </c>
      <c r="KUT3" s="12" t="s">
        <v>10530</v>
      </c>
      <c r="KUU3" s="12" t="s">
        <v>10531</v>
      </c>
      <c r="KUV3" s="12" t="s">
        <v>10532</v>
      </c>
      <c r="KUW3" s="12" t="s">
        <v>10533</v>
      </c>
      <c r="KUX3" s="12" t="s">
        <v>10534</v>
      </c>
      <c r="KUY3" s="12" t="s">
        <v>10535</v>
      </c>
      <c r="KUZ3" s="12" t="s">
        <v>10536</v>
      </c>
      <c r="KVA3" s="12" t="s">
        <v>10537</v>
      </c>
      <c r="KVB3" s="12" t="s">
        <v>10538</v>
      </c>
      <c r="KVC3" s="12" t="s">
        <v>10539</v>
      </c>
      <c r="KVD3" s="12" t="s">
        <v>10540</v>
      </c>
      <c r="KVE3" s="12" t="s">
        <v>10541</v>
      </c>
      <c r="KVF3" s="12" t="s">
        <v>10542</v>
      </c>
      <c r="KVG3" s="12" t="s">
        <v>10543</v>
      </c>
      <c r="KVH3" s="12" t="s">
        <v>10544</v>
      </c>
      <c r="KVI3" s="12" t="s">
        <v>10545</v>
      </c>
      <c r="KVJ3" s="12" t="s">
        <v>10546</v>
      </c>
      <c r="KVK3" s="12" t="s">
        <v>10547</v>
      </c>
      <c r="KVL3" s="12" t="s">
        <v>10548</v>
      </c>
      <c r="KVM3" s="12" t="s">
        <v>10549</v>
      </c>
      <c r="KVN3" s="12" t="s">
        <v>10550</v>
      </c>
      <c r="KVO3" s="12" t="s">
        <v>10551</v>
      </c>
      <c r="KVP3" s="12" t="s">
        <v>10552</v>
      </c>
      <c r="KVQ3" s="12" t="s">
        <v>10553</v>
      </c>
      <c r="KVR3" s="12" t="s">
        <v>10554</v>
      </c>
      <c r="KVS3" s="12" t="s">
        <v>10555</v>
      </c>
      <c r="KVT3" s="12" t="s">
        <v>10556</v>
      </c>
      <c r="KVU3" s="12" t="s">
        <v>10557</v>
      </c>
      <c r="KVV3" s="12" t="s">
        <v>10558</v>
      </c>
      <c r="KVW3" s="12" t="s">
        <v>10559</v>
      </c>
      <c r="KVX3" s="12" t="s">
        <v>10560</v>
      </c>
      <c r="KVY3" s="12" t="s">
        <v>10561</v>
      </c>
      <c r="KVZ3" s="12" t="s">
        <v>10562</v>
      </c>
      <c r="KWA3" s="12" t="s">
        <v>10563</v>
      </c>
      <c r="KWB3" s="12" t="s">
        <v>10564</v>
      </c>
      <c r="KWC3" s="12" t="s">
        <v>10565</v>
      </c>
      <c r="KWD3" s="12" t="s">
        <v>10566</v>
      </c>
      <c r="KWE3" s="12" t="s">
        <v>10567</v>
      </c>
      <c r="KWF3" s="12" t="s">
        <v>10568</v>
      </c>
      <c r="KWG3" s="12" t="s">
        <v>10569</v>
      </c>
      <c r="KWH3" s="12" t="s">
        <v>10570</v>
      </c>
      <c r="KWI3" s="12" t="s">
        <v>10571</v>
      </c>
      <c r="KWJ3" s="12" t="s">
        <v>10572</v>
      </c>
      <c r="KWK3" s="12" t="s">
        <v>10573</v>
      </c>
      <c r="KWL3" s="12" t="s">
        <v>10574</v>
      </c>
      <c r="KWM3" s="12" t="s">
        <v>10575</v>
      </c>
      <c r="KWN3" s="12" t="s">
        <v>10576</v>
      </c>
      <c r="KWO3" s="12" t="s">
        <v>10577</v>
      </c>
      <c r="KWP3" s="12" t="s">
        <v>10578</v>
      </c>
      <c r="KWQ3" s="12" t="s">
        <v>10579</v>
      </c>
      <c r="KWR3" s="12" t="s">
        <v>10580</v>
      </c>
      <c r="KWS3" s="12" t="s">
        <v>10581</v>
      </c>
      <c r="KWT3" s="12" t="s">
        <v>10582</v>
      </c>
      <c r="KWU3" s="12" t="s">
        <v>10583</v>
      </c>
      <c r="KWV3" s="12" t="s">
        <v>10584</v>
      </c>
      <c r="KWW3" s="12" t="s">
        <v>10585</v>
      </c>
      <c r="KWX3" s="12" t="s">
        <v>10586</v>
      </c>
      <c r="KWY3" s="12" t="s">
        <v>10587</v>
      </c>
      <c r="KWZ3" s="12" t="s">
        <v>10588</v>
      </c>
      <c r="KXA3" s="12" t="s">
        <v>10589</v>
      </c>
      <c r="KXB3" s="12" t="s">
        <v>10590</v>
      </c>
      <c r="KXC3" s="12" t="s">
        <v>10591</v>
      </c>
      <c r="KXD3" s="12" t="s">
        <v>10592</v>
      </c>
      <c r="KXE3" s="12" t="s">
        <v>10593</v>
      </c>
      <c r="KXF3" s="12" t="s">
        <v>10594</v>
      </c>
      <c r="KXG3" s="12" t="s">
        <v>10595</v>
      </c>
      <c r="KXH3" s="12" t="s">
        <v>10596</v>
      </c>
      <c r="KXI3" s="12" t="s">
        <v>10597</v>
      </c>
      <c r="KXJ3" s="12" t="s">
        <v>10598</v>
      </c>
      <c r="KXK3" s="12" t="s">
        <v>10599</v>
      </c>
      <c r="KXL3" s="12" t="s">
        <v>10600</v>
      </c>
      <c r="KXM3" s="12" t="s">
        <v>10601</v>
      </c>
      <c r="KXN3" s="12" t="s">
        <v>10602</v>
      </c>
      <c r="KXO3" s="12" t="s">
        <v>10603</v>
      </c>
      <c r="KXP3" s="12" t="s">
        <v>10604</v>
      </c>
      <c r="KXQ3" s="12" t="s">
        <v>10605</v>
      </c>
      <c r="KXR3" s="12" t="s">
        <v>10606</v>
      </c>
      <c r="KXS3" s="12" t="s">
        <v>10607</v>
      </c>
      <c r="KXT3" s="12" t="s">
        <v>10608</v>
      </c>
      <c r="KXU3" s="12" t="s">
        <v>10609</v>
      </c>
      <c r="KXV3" s="12" t="s">
        <v>10610</v>
      </c>
      <c r="KXW3" s="12" t="s">
        <v>10611</v>
      </c>
      <c r="KXX3" s="12" t="s">
        <v>10612</v>
      </c>
      <c r="KXY3" s="12" t="s">
        <v>10613</v>
      </c>
      <c r="KXZ3" s="12" t="s">
        <v>10614</v>
      </c>
      <c r="KYA3" s="12" t="s">
        <v>10615</v>
      </c>
      <c r="KYB3" s="12" t="s">
        <v>10616</v>
      </c>
      <c r="KYC3" s="12" t="s">
        <v>10617</v>
      </c>
      <c r="KYD3" s="12" t="s">
        <v>10618</v>
      </c>
      <c r="KYE3" s="12" t="s">
        <v>10619</v>
      </c>
      <c r="KYF3" s="12" t="s">
        <v>10620</v>
      </c>
      <c r="KYG3" s="12" t="s">
        <v>10621</v>
      </c>
      <c r="KYH3" s="12" t="s">
        <v>10622</v>
      </c>
      <c r="KYI3" s="12" t="s">
        <v>10623</v>
      </c>
      <c r="KYJ3" s="12" t="s">
        <v>10624</v>
      </c>
      <c r="KYK3" s="12" t="s">
        <v>10625</v>
      </c>
      <c r="KYL3" s="12" t="s">
        <v>10626</v>
      </c>
      <c r="KYM3" s="12" t="s">
        <v>10627</v>
      </c>
      <c r="KYN3" s="12" t="s">
        <v>10628</v>
      </c>
      <c r="KYO3" s="12" t="s">
        <v>10629</v>
      </c>
      <c r="KYP3" s="12" t="s">
        <v>10630</v>
      </c>
      <c r="KYQ3" s="12" t="s">
        <v>10631</v>
      </c>
      <c r="KYR3" s="12" t="s">
        <v>10632</v>
      </c>
      <c r="KYS3" s="12" t="s">
        <v>10633</v>
      </c>
      <c r="KYT3" s="12" t="s">
        <v>10634</v>
      </c>
      <c r="KYU3" s="12" t="s">
        <v>10635</v>
      </c>
      <c r="KYV3" s="12" t="s">
        <v>10636</v>
      </c>
      <c r="KYW3" s="12" t="s">
        <v>10637</v>
      </c>
      <c r="KYX3" s="12" t="s">
        <v>10638</v>
      </c>
      <c r="KYY3" s="12" t="s">
        <v>10639</v>
      </c>
      <c r="KYZ3" s="12" t="s">
        <v>10640</v>
      </c>
      <c r="KZA3" s="12" t="s">
        <v>10641</v>
      </c>
      <c r="KZB3" s="12" t="s">
        <v>10642</v>
      </c>
      <c r="KZC3" s="12" t="s">
        <v>10643</v>
      </c>
      <c r="KZD3" s="12" t="s">
        <v>10644</v>
      </c>
      <c r="KZE3" s="12" t="s">
        <v>10645</v>
      </c>
      <c r="KZF3" s="12" t="s">
        <v>10646</v>
      </c>
      <c r="KZG3" s="12" t="s">
        <v>10647</v>
      </c>
      <c r="KZH3" s="12" t="s">
        <v>10648</v>
      </c>
      <c r="KZI3" s="12" t="s">
        <v>10649</v>
      </c>
      <c r="KZJ3" s="12" t="s">
        <v>10650</v>
      </c>
      <c r="KZK3" s="12" t="s">
        <v>10651</v>
      </c>
      <c r="KZL3" s="12" t="s">
        <v>10652</v>
      </c>
      <c r="KZM3" s="12" t="s">
        <v>10653</v>
      </c>
      <c r="KZN3" s="12" t="s">
        <v>10654</v>
      </c>
      <c r="KZO3" s="12" t="s">
        <v>10655</v>
      </c>
      <c r="KZP3" s="12" t="s">
        <v>10656</v>
      </c>
      <c r="KZQ3" s="12" t="s">
        <v>10657</v>
      </c>
      <c r="KZR3" s="12" t="s">
        <v>10658</v>
      </c>
      <c r="KZS3" s="12" t="s">
        <v>10659</v>
      </c>
      <c r="KZT3" s="12" t="s">
        <v>10660</v>
      </c>
      <c r="KZU3" s="12" t="s">
        <v>10661</v>
      </c>
      <c r="KZV3" s="12" t="s">
        <v>10662</v>
      </c>
      <c r="KZW3" s="12" t="s">
        <v>10663</v>
      </c>
      <c r="KZX3" s="12" t="s">
        <v>10664</v>
      </c>
      <c r="KZY3" s="12" t="s">
        <v>10665</v>
      </c>
      <c r="KZZ3" s="12" t="s">
        <v>10666</v>
      </c>
      <c r="LAA3" s="12" t="s">
        <v>10667</v>
      </c>
      <c r="LAB3" s="12" t="s">
        <v>10668</v>
      </c>
      <c r="LAC3" s="12" t="s">
        <v>10669</v>
      </c>
      <c r="LAD3" s="12" t="s">
        <v>10670</v>
      </c>
      <c r="LAE3" s="12" t="s">
        <v>10671</v>
      </c>
      <c r="LAF3" s="12" t="s">
        <v>10672</v>
      </c>
      <c r="LAG3" s="12" t="s">
        <v>10673</v>
      </c>
      <c r="LAH3" s="12" t="s">
        <v>10674</v>
      </c>
      <c r="LAI3" s="12" t="s">
        <v>10675</v>
      </c>
      <c r="LAJ3" s="12" t="s">
        <v>10676</v>
      </c>
      <c r="LAK3" s="12" t="s">
        <v>10677</v>
      </c>
      <c r="LAL3" s="12" t="s">
        <v>10678</v>
      </c>
      <c r="LAM3" s="12" t="s">
        <v>10679</v>
      </c>
      <c r="LAN3" s="12" t="s">
        <v>10680</v>
      </c>
      <c r="LAO3" s="12" t="s">
        <v>10681</v>
      </c>
      <c r="LAP3" s="12" t="s">
        <v>10682</v>
      </c>
      <c r="LAQ3" s="12" t="s">
        <v>10683</v>
      </c>
      <c r="LAR3" s="12" t="s">
        <v>10684</v>
      </c>
      <c r="LAS3" s="12" t="s">
        <v>10685</v>
      </c>
      <c r="LAT3" s="12" t="s">
        <v>10686</v>
      </c>
      <c r="LAU3" s="12" t="s">
        <v>10687</v>
      </c>
      <c r="LAV3" s="12" t="s">
        <v>10688</v>
      </c>
      <c r="LAW3" s="12" t="s">
        <v>10689</v>
      </c>
      <c r="LAX3" s="12" t="s">
        <v>10690</v>
      </c>
      <c r="LAY3" s="12" t="s">
        <v>10691</v>
      </c>
      <c r="LAZ3" s="12" t="s">
        <v>10692</v>
      </c>
      <c r="LBA3" s="12" t="s">
        <v>10693</v>
      </c>
      <c r="LBB3" s="12" t="s">
        <v>10694</v>
      </c>
      <c r="LBC3" s="12" t="s">
        <v>10695</v>
      </c>
      <c r="LBD3" s="12" t="s">
        <v>10696</v>
      </c>
      <c r="LBE3" s="12" t="s">
        <v>10697</v>
      </c>
      <c r="LBF3" s="12" t="s">
        <v>10698</v>
      </c>
      <c r="LBG3" s="12" t="s">
        <v>10699</v>
      </c>
      <c r="LBH3" s="12" t="s">
        <v>10700</v>
      </c>
      <c r="LBI3" s="12" t="s">
        <v>10701</v>
      </c>
      <c r="LBJ3" s="12" t="s">
        <v>10702</v>
      </c>
      <c r="LBK3" s="12" t="s">
        <v>10703</v>
      </c>
      <c r="LBL3" s="12" t="s">
        <v>10704</v>
      </c>
      <c r="LBM3" s="12" t="s">
        <v>10705</v>
      </c>
      <c r="LBN3" s="12" t="s">
        <v>10706</v>
      </c>
      <c r="LBO3" s="12" t="s">
        <v>10707</v>
      </c>
      <c r="LBP3" s="12" t="s">
        <v>10708</v>
      </c>
      <c r="LBQ3" s="12" t="s">
        <v>10709</v>
      </c>
      <c r="LBR3" s="12" t="s">
        <v>10710</v>
      </c>
      <c r="LBS3" s="12" t="s">
        <v>10711</v>
      </c>
      <c r="LBT3" s="12" t="s">
        <v>10712</v>
      </c>
      <c r="LBU3" s="12" t="s">
        <v>10713</v>
      </c>
      <c r="LBV3" s="12" t="s">
        <v>10714</v>
      </c>
      <c r="LBW3" s="12" t="s">
        <v>10715</v>
      </c>
      <c r="LBX3" s="12" t="s">
        <v>10716</v>
      </c>
      <c r="LBY3" s="12" t="s">
        <v>10717</v>
      </c>
      <c r="LBZ3" s="12" t="s">
        <v>10718</v>
      </c>
      <c r="LCA3" s="12" t="s">
        <v>10719</v>
      </c>
      <c r="LCB3" s="12" t="s">
        <v>10720</v>
      </c>
      <c r="LCC3" s="12" t="s">
        <v>10721</v>
      </c>
      <c r="LCD3" s="12" t="s">
        <v>10722</v>
      </c>
      <c r="LCE3" s="12" t="s">
        <v>10723</v>
      </c>
      <c r="LCF3" s="12" t="s">
        <v>10724</v>
      </c>
      <c r="LCG3" s="12" t="s">
        <v>10725</v>
      </c>
      <c r="LCH3" s="12" t="s">
        <v>10726</v>
      </c>
      <c r="LCI3" s="12" t="s">
        <v>10727</v>
      </c>
      <c r="LCJ3" s="12" t="s">
        <v>10728</v>
      </c>
      <c r="LCK3" s="12" t="s">
        <v>10729</v>
      </c>
      <c r="LCL3" s="12" t="s">
        <v>10730</v>
      </c>
      <c r="LCM3" s="12" t="s">
        <v>10731</v>
      </c>
      <c r="LCN3" s="12" t="s">
        <v>10732</v>
      </c>
      <c r="LCO3" s="12" t="s">
        <v>10733</v>
      </c>
      <c r="LCP3" s="12" t="s">
        <v>10734</v>
      </c>
      <c r="LCQ3" s="12" t="s">
        <v>10735</v>
      </c>
      <c r="LCR3" s="12" t="s">
        <v>10736</v>
      </c>
      <c r="LCS3" s="12" t="s">
        <v>10737</v>
      </c>
      <c r="LCT3" s="12" t="s">
        <v>10738</v>
      </c>
      <c r="LCU3" s="12" t="s">
        <v>10739</v>
      </c>
      <c r="LCV3" s="12" t="s">
        <v>10740</v>
      </c>
      <c r="LCW3" s="12" t="s">
        <v>10741</v>
      </c>
      <c r="LCX3" s="12" t="s">
        <v>10742</v>
      </c>
      <c r="LCY3" s="12" t="s">
        <v>10743</v>
      </c>
      <c r="LCZ3" s="12" t="s">
        <v>10744</v>
      </c>
      <c r="LDA3" s="12" t="s">
        <v>10745</v>
      </c>
      <c r="LDB3" s="12" t="s">
        <v>10746</v>
      </c>
      <c r="LDC3" s="12" t="s">
        <v>10747</v>
      </c>
      <c r="LDD3" s="12" t="s">
        <v>10748</v>
      </c>
      <c r="LDE3" s="12" t="s">
        <v>10749</v>
      </c>
      <c r="LDF3" s="12" t="s">
        <v>10750</v>
      </c>
      <c r="LDG3" s="12" t="s">
        <v>10751</v>
      </c>
      <c r="LDH3" s="12" t="s">
        <v>10752</v>
      </c>
      <c r="LDI3" s="12" t="s">
        <v>10753</v>
      </c>
      <c r="LDJ3" s="12" t="s">
        <v>10754</v>
      </c>
      <c r="LDK3" s="12" t="s">
        <v>10755</v>
      </c>
      <c r="LDL3" s="12" t="s">
        <v>10756</v>
      </c>
      <c r="LDM3" s="12" t="s">
        <v>10757</v>
      </c>
      <c r="LDN3" s="12" t="s">
        <v>10758</v>
      </c>
      <c r="LDO3" s="12" t="s">
        <v>10759</v>
      </c>
      <c r="LDP3" s="12" t="s">
        <v>10760</v>
      </c>
      <c r="LDQ3" s="12" t="s">
        <v>10761</v>
      </c>
      <c r="LDR3" s="12" t="s">
        <v>10762</v>
      </c>
      <c r="LDS3" s="12" t="s">
        <v>10763</v>
      </c>
      <c r="LDT3" s="12" t="s">
        <v>10764</v>
      </c>
      <c r="LDU3" s="12" t="s">
        <v>10765</v>
      </c>
      <c r="LDV3" s="12" t="s">
        <v>10766</v>
      </c>
      <c r="LDW3" s="12" t="s">
        <v>10767</v>
      </c>
      <c r="LDX3" s="12" t="s">
        <v>10768</v>
      </c>
      <c r="LDY3" s="12" t="s">
        <v>10769</v>
      </c>
      <c r="LDZ3" s="12" t="s">
        <v>10770</v>
      </c>
      <c r="LEA3" s="12" t="s">
        <v>10771</v>
      </c>
      <c r="LEB3" s="12" t="s">
        <v>10772</v>
      </c>
      <c r="LEC3" s="12" t="s">
        <v>10773</v>
      </c>
      <c r="LED3" s="12" t="s">
        <v>10774</v>
      </c>
      <c r="LEE3" s="12" t="s">
        <v>10775</v>
      </c>
      <c r="LEF3" s="12" t="s">
        <v>10776</v>
      </c>
      <c r="LEG3" s="12" t="s">
        <v>10777</v>
      </c>
      <c r="LEH3" s="12" t="s">
        <v>10778</v>
      </c>
      <c r="LEI3" s="12" t="s">
        <v>10779</v>
      </c>
      <c r="LEJ3" s="12" t="s">
        <v>10780</v>
      </c>
      <c r="LEK3" s="12" t="s">
        <v>10781</v>
      </c>
      <c r="LEL3" s="12" t="s">
        <v>10782</v>
      </c>
      <c r="LEM3" s="12" t="s">
        <v>10783</v>
      </c>
      <c r="LEN3" s="12" t="s">
        <v>10784</v>
      </c>
      <c r="LEO3" s="12" t="s">
        <v>10785</v>
      </c>
      <c r="LEP3" s="12" t="s">
        <v>10786</v>
      </c>
      <c r="LEQ3" s="12" t="s">
        <v>10787</v>
      </c>
      <c r="LER3" s="12" t="s">
        <v>10788</v>
      </c>
      <c r="LES3" s="12" t="s">
        <v>10789</v>
      </c>
      <c r="LET3" s="12" t="s">
        <v>10790</v>
      </c>
      <c r="LEU3" s="12" t="s">
        <v>10791</v>
      </c>
      <c r="LEV3" s="12" t="s">
        <v>10792</v>
      </c>
      <c r="LEW3" s="12" t="s">
        <v>10793</v>
      </c>
      <c r="LEX3" s="12" t="s">
        <v>10794</v>
      </c>
      <c r="LEY3" s="12" t="s">
        <v>10795</v>
      </c>
      <c r="LEZ3" s="12" t="s">
        <v>10796</v>
      </c>
      <c r="LFA3" s="12" t="s">
        <v>10797</v>
      </c>
      <c r="LFB3" s="12" t="s">
        <v>10798</v>
      </c>
      <c r="LFC3" s="12" t="s">
        <v>10799</v>
      </c>
      <c r="LFD3" s="12" t="s">
        <v>10800</v>
      </c>
      <c r="LFE3" s="12" t="s">
        <v>10801</v>
      </c>
      <c r="LFF3" s="12" t="s">
        <v>10802</v>
      </c>
      <c r="LFG3" s="12" t="s">
        <v>10803</v>
      </c>
      <c r="LFH3" s="12" t="s">
        <v>10804</v>
      </c>
      <c r="LFI3" s="12" t="s">
        <v>10805</v>
      </c>
      <c r="LFJ3" s="12" t="s">
        <v>10806</v>
      </c>
      <c r="LFK3" s="12" t="s">
        <v>10807</v>
      </c>
      <c r="LFL3" s="12" t="s">
        <v>10808</v>
      </c>
      <c r="LFM3" s="12" t="s">
        <v>10809</v>
      </c>
      <c r="LFN3" s="12" t="s">
        <v>10810</v>
      </c>
      <c r="LFO3" s="12" t="s">
        <v>10811</v>
      </c>
      <c r="LFP3" s="12" t="s">
        <v>10812</v>
      </c>
      <c r="LFQ3" s="12" t="s">
        <v>10813</v>
      </c>
      <c r="LFR3" s="12" t="s">
        <v>10814</v>
      </c>
      <c r="LFS3" s="12" t="s">
        <v>10815</v>
      </c>
      <c r="LFT3" s="12" t="s">
        <v>10816</v>
      </c>
      <c r="LFU3" s="12" t="s">
        <v>10817</v>
      </c>
      <c r="LFV3" s="12" t="s">
        <v>10818</v>
      </c>
      <c r="LFW3" s="12" t="s">
        <v>10819</v>
      </c>
      <c r="LFX3" s="12" t="s">
        <v>10820</v>
      </c>
      <c r="LFY3" s="12" t="s">
        <v>10821</v>
      </c>
      <c r="LFZ3" s="12" t="s">
        <v>10822</v>
      </c>
      <c r="LGA3" s="12" t="s">
        <v>10823</v>
      </c>
      <c r="LGB3" s="12" t="s">
        <v>10824</v>
      </c>
      <c r="LGC3" s="12" t="s">
        <v>10825</v>
      </c>
      <c r="LGD3" s="12" t="s">
        <v>10826</v>
      </c>
      <c r="LGE3" s="12" t="s">
        <v>10827</v>
      </c>
      <c r="LGF3" s="12" t="s">
        <v>10828</v>
      </c>
      <c r="LGG3" s="12" t="s">
        <v>10829</v>
      </c>
      <c r="LGH3" s="12" t="s">
        <v>10830</v>
      </c>
      <c r="LGI3" s="12" t="s">
        <v>10831</v>
      </c>
      <c r="LGJ3" s="12" t="s">
        <v>10832</v>
      </c>
      <c r="LGK3" s="12" t="s">
        <v>10833</v>
      </c>
      <c r="LGL3" s="12" t="s">
        <v>10834</v>
      </c>
      <c r="LGM3" s="12" t="s">
        <v>10835</v>
      </c>
      <c r="LGN3" s="12" t="s">
        <v>10836</v>
      </c>
      <c r="LGO3" s="12" t="s">
        <v>10837</v>
      </c>
      <c r="LGP3" s="12" t="s">
        <v>10838</v>
      </c>
      <c r="LGQ3" s="12" t="s">
        <v>10839</v>
      </c>
      <c r="LGR3" s="12" t="s">
        <v>10840</v>
      </c>
      <c r="LGS3" s="12" t="s">
        <v>10841</v>
      </c>
      <c r="LGT3" s="12" t="s">
        <v>10842</v>
      </c>
      <c r="LGU3" s="12" t="s">
        <v>10843</v>
      </c>
      <c r="LGV3" s="12" t="s">
        <v>10844</v>
      </c>
      <c r="LGW3" s="12" t="s">
        <v>10845</v>
      </c>
      <c r="LGX3" s="12" t="s">
        <v>10846</v>
      </c>
      <c r="LGY3" s="12" t="s">
        <v>10847</v>
      </c>
      <c r="LGZ3" s="12" t="s">
        <v>10848</v>
      </c>
      <c r="LHA3" s="12" t="s">
        <v>10849</v>
      </c>
      <c r="LHB3" s="12" t="s">
        <v>10850</v>
      </c>
      <c r="LHC3" s="12" t="s">
        <v>10851</v>
      </c>
      <c r="LHD3" s="12" t="s">
        <v>10852</v>
      </c>
      <c r="LHE3" s="12" t="s">
        <v>10853</v>
      </c>
      <c r="LHF3" s="12" t="s">
        <v>10854</v>
      </c>
      <c r="LHG3" s="12" t="s">
        <v>10855</v>
      </c>
      <c r="LHH3" s="12" t="s">
        <v>10856</v>
      </c>
      <c r="LHI3" s="12" t="s">
        <v>10857</v>
      </c>
      <c r="LHJ3" s="12" t="s">
        <v>10858</v>
      </c>
      <c r="LHK3" s="12" t="s">
        <v>10859</v>
      </c>
      <c r="LHL3" s="12" t="s">
        <v>10860</v>
      </c>
      <c r="LHM3" s="12" t="s">
        <v>10861</v>
      </c>
      <c r="LHN3" s="12" t="s">
        <v>10862</v>
      </c>
      <c r="LHO3" s="12" t="s">
        <v>10863</v>
      </c>
      <c r="LHP3" s="12" t="s">
        <v>10864</v>
      </c>
      <c r="LHQ3" s="12" t="s">
        <v>10865</v>
      </c>
      <c r="LHR3" s="12" t="s">
        <v>10866</v>
      </c>
      <c r="LHS3" s="12" t="s">
        <v>10867</v>
      </c>
      <c r="LHT3" s="12" t="s">
        <v>10868</v>
      </c>
      <c r="LHU3" s="12" t="s">
        <v>10869</v>
      </c>
      <c r="LHV3" s="12" t="s">
        <v>10870</v>
      </c>
      <c r="LHW3" s="12" t="s">
        <v>10871</v>
      </c>
      <c r="LHX3" s="12" t="s">
        <v>10872</v>
      </c>
      <c r="LHY3" s="12" t="s">
        <v>10873</v>
      </c>
      <c r="LHZ3" s="12" t="s">
        <v>10874</v>
      </c>
      <c r="LIA3" s="12" t="s">
        <v>10875</v>
      </c>
      <c r="LIB3" s="12" t="s">
        <v>10876</v>
      </c>
      <c r="LIC3" s="12" t="s">
        <v>10877</v>
      </c>
      <c r="LID3" s="12" t="s">
        <v>10878</v>
      </c>
      <c r="LIE3" s="12" t="s">
        <v>10879</v>
      </c>
      <c r="LIF3" s="12" t="s">
        <v>10880</v>
      </c>
      <c r="LIG3" s="12" t="s">
        <v>10881</v>
      </c>
      <c r="LIH3" s="12" t="s">
        <v>10882</v>
      </c>
      <c r="LII3" s="12" t="s">
        <v>10883</v>
      </c>
      <c r="LIJ3" s="12" t="s">
        <v>10884</v>
      </c>
      <c r="LIK3" s="12" t="s">
        <v>10885</v>
      </c>
      <c r="LIL3" s="12" t="s">
        <v>10886</v>
      </c>
      <c r="LIM3" s="12" t="s">
        <v>10887</v>
      </c>
      <c r="LIN3" s="12" t="s">
        <v>10888</v>
      </c>
      <c r="LIO3" s="12" t="s">
        <v>10889</v>
      </c>
      <c r="LIP3" s="12" t="s">
        <v>10890</v>
      </c>
      <c r="LIQ3" s="12" t="s">
        <v>10891</v>
      </c>
      <c r="LIR3" s="12" t="s">
        <v>10892</v>
      </c>
      <c r="LIS3" s="12" t="s">
        <v>10893</v>
      </c>
      <c r="LIT3" s="12" t="s">
        <v>10894</v>
      </c>
      <c r="LIU3" s="12" t="s">
        <v>10895</v>
      </c>
      <c r="LIV3" s="12" t="s">
        <v>10896</v>
      </c>
      <c r="LIW3" s="12" t="s">
        <v>10897</v>
      </c>
      <c r="LIX3" s="12" t="s">
        <v>10898</v>
      </c>
      <c r="LIY3" s="12" t="s">
        <v>10899</v>
      </c>
      <c r="LIZ3" s="12" t="s">
        <v>10900</v>
      </c>
      <c r="LJA3" s="12" t="s">
        <v>10901</v>
      </c>
      <c r="LJB3" s="12" t="s">
        <v>10902</v>
      </c>
      <c r="LJC3" s="12" t="s">
        <v>10903</v>
      </c>
      <c r="LJD3" s="12" t="s">
        <v>10904</v>
      </c>
      <c r="LJE3" s="12" t="s">
        <v>10905</v>
      </c>
      <c r="LJF3" s="12" t="s">
        <v>10906</v>
      </c>
      <c r="LJG3" s="12" t="s">
        <v>10907</v>
      </c>
      <c r="LJH3" s="12" t="s">
        <v>10908</v>
      </c>
      <c r="LJI3" s="12" t="s">
        <v>10909</v>
      </c>
      <c r="LJJ3" s="12" t="s">
        <v>10910</v>
      </c>
      <c r="LJK3" s="12" t="s">
        <v>10911</v>
      </c>
      <c r="LJL3" s="12" t="s">
        <v>10912</v>
      </c>
      <c r="LJM3" s="12" t="s">
        <v>10913</v>
      </c>
      <c r="LJN3" s="12" t="s">
        <v>10914</v>
      </c>
      <c r="LJO3" s="12" t="s">
        <v>10915</v>
      </c>
      <c r="LJP3" s="12" t="s">
        <v>10916</v>
      </c>
      <c r="LJQ3" s="12" t="s">
        <v>10917</v>
      </c>
      <c r="LJR3" s="12" t="s">
        <v>10918</v>
      </c>
      <c r="LJS3" s="12" t="s">
        <v>10919</v>
      </c>
      <c r="LJT3" s="12" t="s">
        <v>10920</v>
      </c>
      <c r="LJU3" s="12" t="s">
        <v>10921</v>
      </c>
      <c r="LJV3" s="12" t="s">
        <v>10922</v>
      </c>
      <c r="LJW3" s="12" t="s">
        <v>10923</v>
      </c>
      <c r="LJX3" s="12" t="s">
        <v>10924</v>
      </c>
      <c r="LJY3" s="12" t="s">
        <v>10925</v>
      </c>
      <c r="LJZ3" s="12" t="s">
        <v>10926</v>
      </c>
      <c r="LKA3" s="12" t="s">
        <v>10927</v>
      </c>
      <c r="LKB3" s="12" t="s">
        <v>10928</v>
      </c>
      <c r="LKC3" s="12" t="s">
        <v>10929</v>
      </c>
      <c r="LKD3" s="12" t="s">
        <v>10930</v>
      </c>
      <c r="LKE3" s="12" t="s">
        <v>10931</v>
      </c>
      <c r="LKF3" s="12" t="s">
        <v>10932</v>
      </c>
      <c r="LKG3" s="12" t="s">
        <v>10933</v>
      </c>
      <c r="LKH3" s="12" t="s">
        <v>10934</v>
      </c>
      <c r="LKI3" s="12" t="s">
        <v>10935</v>
      </c>
      <c r="LKJ3" s="12" t="s">
        <v>10936</v>
      </c>
      <c r="LKK3" s="12" t="s">
        <v>10937</v>
      </c>
      <c r="LKL3" s="12" t="s">
        <v>10938</v>
      </c>
      <c r="LKM3" s="12" t="s">
        <v>10939</v>
      </c>
      <c r="LKN3" s="12" t="s">
        <v>10940</v>
      </c>
      <c r="LKO3" s="12" t="s">
        <v>10941</v>
      </c>
      <c r="LKP3" s="12" t="s">
        <v>10942</v>
      </c>
      <c r="LKQ3" s="12" t="s">
        <v>10943</v>
      </c>
      <c r="LKR3" s="12" t="s">
        <v>10944</v>
      </c>
      <c r="LKS3" s="12" t="s">
        <v>10945</v>
      </c>
      <c r="LKT3" s="12" t="s">
        <v>10946</v>
      </c>
      <c r="LKU3" s="12" t="s">
        <v>10947</v>
      </c>
      <c r="LKV3" s="12" t="s">
        <v>10948</v>
      </c>
      <c r="LKW3" s="12" t="s">
        <v>10949</v>
      </c>
      <c r="LKX3" s="12" t="s">
        <v>10950</v>
      </c>
      <c r="LKY3" s="12" t="s">
        <v>10951</v>
      </c>
      <c r="LKZ3" s="12" t="s">
        <v>10952</v>
      </c>
      <c r="LLA3" s="12" t="s">
        <v>10953</v>
      </c>
      <c r="LLB3" s="12" t="s">
        <v>10954</v>
      </c>
      <c r="LLC3" s="12" t="s">
        <v>10955</v>
      </c>
      <c r="LLD3" s="12" t="s">
        <v>10956</v>
      </c>
      <c r="LLE3" s="12" t="s">
        <v>10957</v>
      </c>
      <c r="LLF3" s="12" t="s">
        <v>10958</v>
      </c>
      <c r="LLG3" s="12" t="s">
        <v>10959</v>
      </c>
      <c r="LLH3" s="12" t="s">
        <v>10960</v>
      </c>
      <c r="LLI3" s="12" t="s">
        <v>10961</v>
      </c>
      <c r="LLJ3" s="12" t="s">
        <v>10962</v>
      </c>
      <c r="LLK3" s="12" t="s">
        <v>10963</v>
      </c>
      <c r="LLL3" s="12" t="s">
        <v>10964</v>
      </c>
      <c r="LLM3" s="12" t="s">
        <v>10965</v>
      </c>
      <c r="LLN3" s="12" t="s">
        <v>10966</v>
      </c>
      <c r="LLO3" s="12" t="s">
        <v>10967</v>
      </c>
      <c r="LLP3" s="12" t="s">
        <v>10968</v>
      </c>
      <c r="LLQ3" s="12" t="s">
        <v>10969</v>
      </c>
      <c r="LLR3" s="12" t="s">
        <v>10970</v>
      </c>
      <c r="LLS3" s="12" t="s">
        <v>10971</v>
      </c>
      <c r="LLT3" s="12" t="s">
        <v>10972</v>
      </c>
      <c r="LLU3" s="12" t="s">
        <v>10973</v>
      </c>
      <c r="LLV3" s="12" t="s">
        <v>10974</v>
      </c>
      <c r="LLW3" s="12" t="s">
        <v>10975</v>
      </c>
      <c r="LLX3" s="12" t="s">
        <v>10976</v>
      </c>
      <c r="LLY3" s="12" t="s">
        <v>10977</v>
      </c>
      <c r="LLZ3" s="12" t="s">
        <v>10978</v>
      </c>
      <c r="LMA3" s="12" t="s">
        <v>10979</v>
      </c>
      <c r="LMB3" s="12" t="s">
        <v>10980</v>
      </c>
      <c r="LMC3" s="12" t="s">
        <v>10981</v>
      </c>
      <c r="LMD3" s="12" t="s">
        <v>10982</v>
      </c>
      <c r="LME3" s="12" t="s">
        <v>10983</v>
      </c>
      <c r="LMF3" s="12" t="s">
        <v>10984</v>
      </c>
      <c r="LMG3" s="12" t="s">
        <v>10985</v>
      </c>
      <c r="LMH3" s="12" t="s">
        <v>10986</v>
      </c>
      <c r="LMI3" s="12" t="s">
        <v>10987</v>
      </c>
      <c r="LMJ3" s="12" t="s">
        <v>10988</v>
      </c>
      <c r="LMK3" s="12" t="s">
        <v>10989</v>
      </c>
      <c r="LML3" s="12" t="s">
        <v>10990</v>
      </c>
      <c r="LMM3" s="12" t="s">
        <v>10991</v>
      </c>
      <c r="LMN3" s="12" t="s">
        <v>10992</v>
      </c>
      <c r="LMO3" s="12" t="s">
        <v>10993</v>
      </c>
      <c r="LMP3" s="12" t="s">
        <v>10994</v>
      </c>
      <c r="LMQ3" s="12" t="s">
        <v>10995</v>
      </c>
      <c r="LMR3" s="12" t="s">
        <v>10996</v>
      </c>
      <c r="LMS3" s="12" t="s">
        <v>10997</v>
      </c>
      <c r="LMT3" s="12" t="s">
        <v>10998</v>
      </c>
      <c r="LMU3" s="12" t="s">
        <v>10999</v>
      </c>
      <c r="LMV3" s="12" t="s">
        <v>11000</v>
      </c>
      <c r="LMW3" s="12" t="s">
        <v>11001</v>
      </c>
      <c r="LMX3" s="12" t="s">
        <v>11002</v>
      </c>
      <c r="LMY3" s="12" t="s">
        <v>11003</v>
      </c>
      <c r="LMZ3" s="12" t="s">
        <v>11004</v>
      </c>
      <c r="LNA3" s="12" t="s">
        <v>11005</v>
      </c>
      <c r="LNB3" s="12" t="s">
        <v>11006</v>
      </c>
      <c r="LNC3" s="12" t="s">
        <v>11007</v>
      </c>
      <c r="LND3" s="12" t="s">
        <v>11008</v>
      </c>
      <c r="LNE3" s="12" t="s">
        <v>11009</v>
      </c>
      <c r="LNF3" s="12" t="s">
        <v>11010</v>
      </c>
      <c r="LNG3" s="12" t="s">
        <v>11011</v>
      </c>
      <c r="LNH3" s="12" t="s">
        <v>11012</v>
      </c>
      <c r="LNI3" s="12" t="s">
        <v>11013</v>
      </c>
      <c r="LNJ3" s="12" t="s">
        <v>11014</v>
      </c>
      <c r="LNK3" s="12" t="s">
        <v>11015</v>
      </c>
      <c r="LNL3" s="12" t="s">
        <v>11016</v>
      </c>
      <c r="LNM3" s="12" t="s">
        <v>11017</v>
      </c>
      <c r="LNN3" s="12" t="s">
        <v>11018</v>
      </c>
      <c r="LNO3" s="12" t="s">
        <v>11019</v>
      </c>
      <c r="LNP3" s="12" t="s">
        <v>11020</v>
      </c>
      <c r="LNQ3" s="12" t="s">
        <v>11021</v>
      </c>
      <c r="LNR3" s="12" t="s">
        <v>11022</v>
      </c>
      <c r="LNS3" s="12" t="s">
        <v>11023</v>
      </c>
      <c r="LNT3" s="12" t="s">
        <v>11024</v>
      </c>
      <c r="LNU3" s="12" t="s">
        <v>11025</v>
      </c>
      <c r="LNV3" s="12" t="s">
        <v>11026</v>
      </c>
      <c r="LNW3" s="12" t="s">
        <v>11027</v>
      </c>
      <c r="LNX3" s="12" t="s">
        <v>11028</v>
      </c>
      <c r="LNY3" s="12" t="s">
        <v>11029</v>
      </c>
      <c r="LNZ3" s="12" t="s">
        <v>11030</v>
      </c>
      <c r="LOA3" s="12" t="s">
        <v>11031</v>
      </c>
      <c r="LOB3" s="12" t="s">
        <v>11032</v>
      </c>
      <c r="LOC3" s="12" t="s">
        <v>11033</v>
      </c>
      <c r="LOD3" s="12" t="s">
        <v>11034</v>
      </c>
      <c r="LOE3" s="12" t="s">
        <v>11035</v>
      </c>
      <c r="LOF3" s="12" t="s">
        <v>11036</v>
      </c>
      <c r="LOG3" s="12" t="s">
        <v>11037</v>
      </c>
      <c r="LOH3" s="12" t="s">
        <v>11038</v>
      </c>
      <c r="LOI3" s="12" t="s">
        <v>11039</v>
      </c>
      <c r="LOJ3" s="12" t="s">
        <v>11040</v>
      </c>
      <c r="LOK3" s="12" t="s">
        <v>11041</v>
      </c>
      <c r="LOL3" s="12" t="s">
        <v>11042</v>
      </c>
      <c r="LOM3" s="12" t="s">
        <v>11043</v>
      </c>
      <c r="LON3" s="12" t="s">
        <v>11044</v>
      </c>
      <c r="LOO3" s="12" t="s">
        <v>11045</v>
      </c>
      <c r="LOP3" s="12" t="s">
        <v>11046</v>
      </c>
      <c r="LOQ3" s="12" t="s">
        <v>11047</v>
      </c>
      <c r="LOR3" s="12" t="s">
        <v>11048</v>
      </c>
      <c r="LOS3" s="12" t="s">
        <v>11049</v>
      </c>
      <c r="LOT3" s="12" t="s">
        <v>11050</v>
      </c>
      <c r="LOU3" s="12" t="s">
        <v>11051</v>
      </c>
      <c r="LOV3" s="12" t="s">
        <v>11052</v>
      </c>
      <c r="LOW3" s="12" t="s">
        <v>11053</v>
      </c>
      <c r="LOX3" s="12" t="s">
        <v>11054</v>
      </c>
      <c r="LOY3" s="12" t="s">
        <v>11055</v>
      </c>
      <c r="LOZ3" s="12" t="s">
        <v>11056</v>
      </c>
      <c r="LPA3" s="12" t="s">
        <v>11057</v>
      </c>
      <c r="LPB3" s="12" t="s">
        <v>11058</v>
      </c>
      <c r="LPC3" s="12" t="s">
        <v>11059</v>
      </c>
      <c r="LPD3" s="12" t="s">
        <v>11060</v>
      </c>
      <c r="LPE3" s="12" t="s">
        <v>11061</v>
      </c>
      <c r="LPF3" s="12" t="s">
        <v>11062</v>
      </c>
      <c r="LPG3" s="12" t="s">
        <v>11063</v>
      </c>
      <c r="LPH3" s="12" t="s">
        <v>11064</v>
      </c>
      <c r="LPI3" s="12" t="s">
        <v>11065</v>
      </c>
      <c r="LPJ3" s="12" t="s">
        <v>11066</v>
      </c>
      <c r="LPK3" s="12" t="s">
        <v>11067</v>
      </c>
      <c r="LPL3" s="12" t="s">
        <v>11068</v>
      </c>
      <c r="LPM3" s="12" t="s">
        <v>11069</v>
      </c>
      <c r="LPN3" s="12" t="s">
        <v>11070</v>
      </c>
      <c r="LPO3" s="12" t="s">
        <v>11071</v>
      </c>
      <c r="LPP3" s="12" t="s">
        <v>11072</v>
      </c>
      <c r="LPQ3" s="12" t="s">
        <v>11073</v>
      </c>
      <c r="LPR3" s="12" t="s">
        <v>11074</v>
      </c>
      <c r="LPS3" s="12" t="s">
        <v>11075</v>
      </c>
      <c r="LPT3" s="12" t="s">
        <v>11076</v>
      </c>
      <c r="LPU3" s="12" t="s">
        <v>11077</v>
      </c>
      <c r="LPV3" s="12" t="s">
        <v>11078</v>
      </c>
      <c r="LPW3" s="12" t="s">
        <v>11079</v>
      </c>
      <c r="LPX3" s="12" t="s">
        <v>11080</v>
      </c>
      <c r="LPY3" s="12" t="s">
        <v>11081</v>
      </c>
      <c r="LPZ3" s="12" t="s">
        <v>11082</v>
      </c>
      <c r="LQA3" s="12" t="s">
        <v>11083</v>
      </c>
      <c r="LQB3" s="12" t="s">
        <v>11084</v>
      </c>
      <c r="LQC3" s="12" t="s">
        <v>11085</v>
      </c>
      <c r="LQD3" s="12" t="s">
        <v>11086</v>
      </c>
      <c r="LQE3" s="12" t="s">
        <v>11087</v>
      </c>
      <c r="LQF3" s="12" t="s">
        <v>11088</v>
      </c>
      <c r="LQG3" s="12" t="s">
        <v>11089</v>
      </c>
      <c r="LQH3" s="12" t="s">
        <v>11090</v>
      </c>
      <c r="LQI3" s="12" t="s">
        <v>11091</v>
      </c>
      <c r="LQJ3" s="12" t="s">
        <v>11092</v>
      </c>
      <c r="LQK3" s="12" t="s">
        <v>11093</v>
      </c>
      <c r="LQL3" s="12" t="s">
        <v>11094</v>
      </c>
      <c r="LQM3" s="12" t="s">
        <v>11095</v>
      </c>
      <c r="LQN3" s="12" t="s">
        <v>11096</v>
      </c>
      <c r="LQO3" s="12" t="s">
        <v>11097</v>
      </c>
      <c r="LQP3" s="12" t="s">
        <v>11098</v>
      </c>
      <c r="LQQ3" s="12" t="s">
        <v>11099</v>
      </c>
      <c r="LQR3" s="12" t="s">
        <v>11100</v>
      </c>
      <c r="LQS3" s="12" t="s">
        <v>11101</v>
      </c>
      <c r="LQT3" s="12" t="s">
        <v>11102</v>
      </c>
      <c r="LQU3" s="12" t="s">
        <v>11103</v>
      </c>
      <c r="LQV3" s="12" t="s">
        <v>11104</v>
      </c>
      <c r="LQW3" s="12" t="s">
        <v>11105</v>
      </c>
      <c r="LQX3" s="12" t="s">
        <v>11106</v>
      </c>
      <c r="LQY3" s="12" t="s">
        <v>11107</v>
      </c>
      <c r="LQZ3" s="12" t="s">
        <v>11108</v>
      </c>
      <c r="LRA3" s="12" t="s">
        <v>11109</v>
      </c>
      <c r="LRB3" s="12" t="s">
        <v>11110</v>
      </c>
      <c r="LRC3" s="12" t="s">
        <v>11111</v>
      </c>
      <c r="LRD3" s="12" t="s">
        <v>11112</v>
      </c>
      <c r="LRE3" s="12" t="s">
        <v>11113</v>
      </c>
      <c r="LRF3" s="12" t="s">
        <v>11114</v>
      </c>
      <c r="LRG3" s="12" t="s">
        <v>11115</v>
      </c>
      <c r="LRH3" s="12" t="s">
        <v>11116</v>
      </c>
      <c r="LRI3" s="12" t="s">
        <v>11117</v>
      </c>
      <c r="LRJ3" s="12" t="s">
        <v>11118</v>
      </c>
      <c r="LRK3" s="12" t="s">
        <v>11119</v>
      </c>
      <c r="LRL3" s="12" t="s">
        <v>11120</v>
      </c>
      <c r="LRM3" s="12" t="s">
        <v>11121</v>
      </c>
      <c r="LRN3" s="12" t="s">
        <v>11122</v>
      </c>
      <c r="LRO3" s="12" t="s">
        <v>11123</v>
      </c>
      <c r="LRP3" s="12" t="s">
        <v>11124</v>
      </c>
      <c r="LRQ3" s="12" t="s">
        <v>11125</v>
      </c>
      <c r="LRR3" s="12" t="s">
        <v>11126</v>
      </c>
      <c r="LRS3" s="12" t="s">
        <v>11127</v>
      </c>
      <c r="LRT3" s="12" t="s">
        <v>11128</v>
      </c>
      <c r="LRU3" s="12" t="s">
        <v>11129</v>
      </c>
      <c r="LRV3" s="12" t="s">
        <v>11130</v>
      </c>
      <c r="LRW3" s="12" t="s">
        <v>11131</v>
      </c>
      <c r="LRX3" s="12" t="s">
        <v>11132</v>
      </c>
      <c r="LRY3" s="12" t="s">
        <v>11133</v>
      </c>
      <c r="LRZ3" s="12" t="s">
        <v>11134</v>
      </c>
      <c r="LSA3" s="12" t="s">
        <v>11135</v>
      </c>
      <c r="LSB3" s="12" t="s">
        <v>11136</v>
      </c>
      <c r="LSC3" s="12" t="s">
        <v>11137</v>
      </c>
      <c r="LSD3" s="12" t="s">
        <v>11138</v>
      </c>
      <c r="LSE3" s="12" t="s">
        <v>11139</v>
      </c>
      <c r="LSF3" s="12" t="s">
        <v>11140</v>
      </c>
      <c r="LSG3" s="12" t="s">
        <v>11141</v>
      </c>
      <c r="LSH3" s="12" t="s">
        <v>11142</v>
      </c>
      <c r="LSI3" s="12" t="s">
        <v>11143</v>
      </c>
      <c r="LSJ3" s="12" t="s">
        <v>11144</v>
      </c>
      <c r="LSK3" s="12" t="s">
        <v>11145</v>
      </c>
      <c r="LSL3" s="12" t="s">
        <v>11146</v>
      </c>
      <c r="LSM3" s="12" t="s">
        <v>11147</v>
      </c>
      <c r="LSN3" s="12" t="s">
        <v>11148</v>
      </c>
      <c r="LSO3" s="12" t="s">
        <v>11149</v>
      </c>
      <c r="LSP3" s="12" t="s">
        <v>11150</v>
      </c>
      <c r="LSQ3" s="12" t="s">
        <v>11151</v>
      </c>
      <c r="LSR3" s="12" t="s">
        <v>11152</v>
      </c>
      <c r="LSS3" s="12" t="s">
        <v>11153</v>
      </c>
      <c r="LST3" s="12" t="s">
        <v>11154</v>
      </c>
      <c r="LSU3" s="12" t="s">
        <v>11155</v>
      </c>
      <c r="LSV3" s="12" t="s">
        <v>11156</v>
      </c>
      <c r="LSW3" s="12" t="s">
        <v>11157</v>
      </c>
      <c r="LSX3" s="12" t="s">
        <v>11158</v>
      </c>
      <c r="LSY3" s="12" t="s">
        <v>11159</v>
      </c>
      <c r="LSZ3" s="12" t="s">
        <v>11160</v>
      </c>
      <c r="LTA3" s="12" t="s">
        <v>11161</v>
      </c>
      <c r="LTB3" s="12" t="s">
        <v>11162</v>
      </c>
      <c r="LTC3" s="12" t="s">
        <v>11163</v>
      </c>
      <c r="LTD3" s="12" t="s">
        <v>11164</v>
      </c>
      <c r="LTE3" s="12" t="s">
        <v>11165</v>
      </c>
      <c r="LTF3" s="12" t="s">
        <v>11166</v>
      </c>
      <c r="LTG3" s="12" t="s">
        <v>11167</v>
      </c>
      <c r="LTH3" s="12" t="s">
        <v>11168</v>
      </c>
      <c r="LTI3" s="12" t="s">
        <v>11169</v>
      </c>
      <c r="LTJ3" s="12" t="s">
        <v>11170</v>
      </c>
      <c r="LTK3" s="12" t="s">
        <v>11171</v>
      </c>
      <c r="LTL3" s="12" t="s">
        <v>11172</v>
      </c>
      <c r="LTM3" s="12" t="s">
        <v>11173</v>
      </c>
      <c r="LTN3" s="12" t="s">
        <v>11174</v>
      </c>
      <c r="LTO3" s="12" t="s">
        <v>11175</v>
      </c>
      <c r="LTP3" s="12" t="s">
        <v>11176</v>
      </c>
      <c r="LTQ3" s="12" t="s">
        <v>11177</v>
      </c>
      <c r="LTR3" s="12" t="s">
        <v>11178</v>
      </c>
      <c r="LTS3" s="12" t="s">
        <v>11179</v>
      </c>
      <c r="LTT3" s="12" t="s">
        <v>11180</v>
      </c>
      <c r="LTU3" s="12" t="s">
        <v>11181</v>
      </c>
      <c r="LTV3" s="12" t="s">
        <v>11182</v>
      </c>
      <c r="LTW3" s="12" t="s">
        <v>11183</v>
      </c>
      <c r="LTX3" s="12" t="s">
        <v>11184</v>
      </c>
      <c r="LTY3" s="12" t="s">
        <v>11185</v>
      </c>
      <c r="LTZ3" s="12" t="s">
        <v>11186</v>
      </c>
      <c r="LUA3" s="12" t="s">
        <v>11187</v>
      </c>
      <c r="LUB3" s="12" t="s">
        <v>11188</v>
      </c>
      <c r="LUC3" s="12" t="s">
        <v>11189</v>
      </c>
      <c r="LUD3" s="12" t="s">
        <v>11190</v>
      </c>
      <c r="LUE3" s="12" t="s">
        <v>11191</v>
      </c>
      <c r="LUF3" s="12" t="s">
        <v>11192</v>
      </c>
      <c r="LUG3" s="12" t="s">
        <v>11193</v>
      </c>
      <c r="LUH3" s="12" t="s">
        <v>11194</v>
      </c>
      <c r="LUI3" s="12" t="s">
        <v>11195</v>
      </c>
      <c r="LUJ3" s="12" t="s">
        <v>11196</v>
      </c>
      <c r="LUK3" s="12" t="s">
        <v>11197</v>
      </c>
      <c r="LUL3" s="12" t="s">
        <v>11198</v>
      </c>
      <c r="LUM3" s="12" t="s">
        <v>11199</v>
      </c>
      <c r="LUN3" s="12" t="s">
        <v>11200</v>
      </c>
      <c r="LUO3" s="12" t="s">
        <v>11201</v>
      </c>
      <c r="LUP3" s="12" t="s">
        <v>11202</v>
      </c>
      <c r="LUQ3" s="12" t="s">
        <v>11203</v>
      </c>
      <c r="LUR3" s="12" t="s">
        <v>11204</v>
      </c>
      <c r="LUS3" s="12" t="s">
        <v>11205</v>
      </c>
      <c r="LUT3" s="12" t="s">
        <v>11206</v>
      </c>
      <c r="LUU3" s="12" t="s">
        <v>11207</v>
      </c>
      <c r="LUV3" s="12" t="s">
        <v>11208</v>
      </c>
      <c r="LUW3" s="12" t="s">
        <v>11209</v>
      </c>
      <c r="LUX3" s="12" t="s">
        <v>11210</v>
      </c>
      <c r="LUY3" s="12" t="s">
        <v>11211</v>
      </c>
      <c r="LUZ3" s="12" t="s">
        <v>11212</v>
      </c>
      <c r="LVA3" s="12" t="s">
        <v>11213</v>
      </c>
      <c r="LVB3" s="12" t="s">
        <v>11214</v>
      </c>
      <c r="LVC3" s="12" t="s">
        <v>11215</v>
      </c>
      <c r="LVD3" s="12" t="s">
        <v>11216</v>
      </c>
      <c r="LVE3" s="12" t="s">
        <v>11217</v>
      </c>
      <c r="LVF3" s="12" t="s">
        <v>11218</v>
      </c>
      <c r="LVG3" s="12" t="s">
        <v>11219</v>
      </c>
      <c r="LVH3" s="12" t="s">
        <v>11220</v>
      </c>
      <c r="LVI3" s="12" t="s">
        <v>11221</v>
      </c>
      <c r="LVJ3" s="12" t="s">
        <v>11222</v>
      </c>
      <c r="LVK3" s="12" t="s">
        <v>11223</v>
      </c>
      <c r="LVL3" s="12" t="s">
        <v>11224</v>
      </c>
      <c r="LVM3" s="12" t="s">
        <v>11225</v>
      </c>
      <c r="LVN3" s="12" t="s">
        <v>11226</v>
      </c>
      <c r="LVO3" s="12" t="s">
        <v>11227</v>
      </c>
      <c r="LVP3" s="12" t="s">
        <v>11228</v>
      </c>
      <c r="LVQ3" s="12" t="s">
        <v>11229</v>
      </c>
      <c r="LVR3" s="12" t="s">
        <v>11230</v>
      </c>
      <c r="LVS3" s="12" t="s">
        <v>11231</v>
      </c>
      <c r="LVT3" s="12" t="s">
        <v>11232</v>
      </c>
      <c r="LVU3" s="12" t="s">
        <v>11233</v>
      </c>
      <c r="LVV3" s="12" t="s">
        <v>11234</v>
      </c>
      <c r="LVW3" s="12" t="s">
        <v>11235</v>
      </c>
      <c r="LVX3" s="12" t="s">
        <v>11236</v>
      </c>
      <c r="LVY3" s="12" t="s">
        <v>11237</v>
      </c>
      <c r="LVZ3" s="12" t="s">
        <v>11238</v>
      </c>
      <c r="LWA3" s="12" t="s">
        <v>11239</v>
      </c>
      <c r="LWB3" s="12" t="s">
        <v>11240</v>
      </c>
      <c r="LWC3" s="12" t="s">
        <v>11241</v>
      </c>
      <c r="LWD3" s="12" t="s">
        <v>11242</v>
      </c>
      <c r="LWE3" s="12" t="s">
        <v>11243</v>
      </c>
      <c r="LWF3" s="12" t="s">
        <v>11244</v>
      </c>
      <c r="LWG3" s="12" t="s">
        <v>11245</v>
      </c>
      <c r="LWH3" s="12" t="s">
        <v>11246</v>
      </c>
      <c r="LWI3" s="12" t="s">
        <v>11247</v>
      </c>
      <c r="LWJ3" s="12" t="s">
        <v>11248</v>
      </c>
      <c r="LWK3" s="12" t="s">
        <v>11249</v>
      </c>
      <c r="LWL3" s="12" t="s">
        <v>11250</v>
      </c>
      <c r="LWM3" s="12" t="s">
        <v>11251</v>
      </c>
      <c r="LWN3" s="12" t="s">
        <v>11252</v>
      </c>
      <c r="LWO3" s="12" t="s">
        <v>11253</v>
      </c>
      <c r="LWP3" s="12" t="s">
        <v>11254</v>
      </c>
      <c r="LWQ3" s="12" t="s">
        <v>11255</v>
      </c>
      <c r="LWR3" s="12" t="s">
        <v>11256</v>
      </c>
      <c r="LWS3" s="12" t="s">
        <v>11257</v>
      </c>
      <c r="LWT3" s="12" t="s">
        <v>11258</v>
      </c>
      <c r="LWU3" s="12" t="s">
        <v>11259</v>
      </c>
      <c r="LWV3" s="12" t="s">
        <v>11260</v>
      </c>
      <c r="LWW3" s="12" t="s">
        <v>11261</v>
      </c>
      <c r="LWX3" s="12" t="s">
        <v>11262</v>
      </c>
      <c r="LWY3" s="12" t="s">
        <v>11263</v>
      </c>
      <c r="LWZ3" s="12" t="s">
        <v>11264</v>
      </c>
      <c r="LXA3" s="12" t="s">
        <v>11265</v>
      </c>
      <c r="LXB3" s="12" t="s">
        <v>11266</v>
      </c>
      <c r="LXC3" s="12" t="s">
        <v>11267</v>
      </c>
      <c r="LXD3" s="12" t="s">
        <v>11268</v>
      </c>
      <c r="LXE3" s="12" t="s">
        <v>11269</v>
      </c>
      <c r="LXF3" s="12" t="s">
        <v>11270</v>
      </c>
      <c r="LXG3" s="12" t="s">
        <v>11271</v>
      </c>
      <c r="LXH3" s="12" t="s">
        <v>11272</v>
      </c>
      <c r="LXI3" s="12" t="s">
        <v>11273</v>
      </c>
      <c r="LXJ3" s="12" t="s">
        <v>11274</v>
      </c>
      <c r="LXK3" s="12" t="s">
        <v>11275</v>
      </c>
      <c r="LXL3" s="12" t="s">
        <v>11276</v>
      </c>
      <c r="LXM3" s="12" t="s">
        <v>11277</v>
      </c>
      <c r="LXN3" s="12" t="s">
        <v>11278</v>
      </c>
      <c r="LXO3" s="12" t="s">
        <v>11279</v>
      </c>
      <c r="LXP3" s="12" t="s">
        <v>11280</v>
      </c>
      <c r="LXQ3" s="12" t="s">
        <v>11281</v>
      </c>
      <c r="LXR3" s="12" t="s">
        <v>11282</v>
      </c>
      <c r="LXS3" s="12" t="s">
        <v>11283</v>
      </c>
      <c r="LXT3" s="12" t="s">
        <v>11284</v>
      </c>
      <c r="LXU3" s="12" t="s">
        <v>11285</v>
      </c>
      <c r="LXV3" s="12" t="s">
        <v>11286</v>
      </c>
      <c r="LXW3" s="12" t="s">
        <v>11287</v>
      </c>
      <c r="LXX3" s="12" t="s">
        <v>11288</v>
      </c>
      <c r="LXY3" s="12" t="s">
        <v>11289</v>
      </c>
      <c r="LXZ3" s="12" t="s">
        <v>11290</v>
      </c>
      <c r="LYA3" s="12" t="s">
        <v>11291</v>
      </c>
      <c r="LYB3" s="12" t="s">
        <v>11292</v>
      </c>
      <c r="LYC3" s="12" t="s">
        <v>11293</v>
      </c>
      <c r="LYD3" s="12" t="s">
        <v>11294</v>
      </c>
      <c r="LYE3" s="12" t="s">
        <v>11295</v>
      </c>
      <c r="LYF3" s="12" t="s">
        <v>11296</v>
      </c>
      <c r="LYG3" s="12" t="s">
        <v>11297</v>
      </c>
      <c r="LYH3" s="12" t="s">
        <v>11298</v>
      </c>
      <c r="LYI3" s="12" t="s">
        <v>11299</v>
      </c>
      <c r="LYJ3" s="12" t="s">
        <v>11300</v>
      </c>
      <c r="LYK3" s="12" t="s">
        <v>11301</v>
      </c>
      <c r="LYL3" s="12" t="s">
        <v>11302</v>
      </c>
      <c r="LYM3" s="12" t="s">
        <v>11303</v>
      </c>
      <c r="LYN3" s="12" t="s">
        <v>11304</v>
      </c>
      <c r="LYO3" s="12" t="s">
        <v>11305</v>
      </c>
      <c r="LYP3" s="12" t="s">
        <v>11306</v>
      </c>
      <c r="LYQ3" s="12" t="s">
        <v>11307</v>
      </c>
      <c r="LYR3" s="12" t="s">
        <v>11308</v>
      </c>
      <c r="LYS3" s="12" t="s">
        <v>11309</v>
      </c>
      <c r="LYT3" s="12" t="s">
        <v>11310</v>
      </c>
      <c r="LYU3" s="12" t="s">
        <v>11311</v>
      </c>
      <c r="LYV3" s="12" t="s">
        <v>11312</v>
      </c>
      <c r="LYW3" s="12" t="s">
        <v>11313</v>
      </c>
      <c r="LYX3" s="12" t="s">
        <v>11314</v>
      </c>
      <c r="LYY3" s="12" t="s">
        <v>11315</v>
      </c>
      <c r="LYZ3" s="12" t="s">
        <v>11316</v>
      </c>
      <c r="LZA3" s="12" t="s">
        <v>11317</v>
      </c>
      <c r="LZB3" s="12" t="s">
        <v>11318</v>
      </c>
      <c r="LZC3" s="12" t="s">
        <v>11319</v>
      </c>
      <c r="LZD3" s="12" t="s">
        <v>11320</v>
      </c>
      <c r="LZE3" s="12" t="s">
        <v>11321</v>
      </c>
      <c r="LZF3" s="12" t="s">
        <v>11322</v>
      </c>
      <c r="LZG3" s="12" t="s">
        <v>11323</v>
      </c>
      <c r="LZH3" s="12" t="s">
        <v>11324</v>
      </c>
      <c r="LZI3" s="12" t="s">
        <v>11325</v>
      </c>
      <c r="LZJ3" s="12" t="s">
        <v>11326</v>
      </c>
      <c r="LZK3" s="12" t="s">
        <v>11327</v>
      </c>
      <c r="LZL3" s="12" t="s">
        <v>11328</v>
      </c>
      <c r="LZM3" s="12" t="s">
        <v>11329</v>
      </c>
      <c r="LZN3" s="12" t="s">
        <v>11330</v>
      </c>
      <c r="LZO3" s="12" t="s">
        <v>11331</v>
      </c>
      <c r="LZP3" s="12" t="s">
        <v>11332</v>
      </c>
      <c r="LZQ3" s="12" t="s">
        <v>11333</v>
      </c>
      <c r="LZR3" s="12" t="s">
        <v>11334</v>
      </c>
      <c r="LZS3" s="12" t="s">
        <v>11335</v>
      </c>
      <c r="LZT3" s="12" t="s">
        <v>11336</v>
      </c>
      <c r="LZU3" s="12" t="s">
        <v>11337</v>
      </c>
      <c r="LZV3" s="12" t="s">
        <v>11338</v>
      </c>
      <c r="LZW3" s="12" t="s">
        <v>11339</v>
      </c>
      <c r="LZX3" s="12" t="s">
        <v>11340</v>
      </c>
      <c r="LZY3" s="12" t="s">
        <v>11341</v>
      </c>
      <c r="LZZ3" s="12" t="s">
        <v>11342</v>
      </c>
      <c r="MAA3" s="12" t="s">
        <v>11343</v>
      </c>
      <c r="MAB3" s="12" t="s">
        <v>11344</v>
      </c>
      <c r="MAC3" s="12" t="s">
        <v>11345</v>
      </c>
      <c r="MAD3" s="12" t="s">
        <v>11346</v>
      </c>
      <c r="MAE3" s="12" t="s">
        <v>11347</v>
      </c>
      <c r="MAF3" s="12" t="s">
        <v>11348</v>
      </c>
      <c r="MAG3" s="12" t="s">
        <v>11349</v>
      </c>
      <c r="MAH3" s="12" t="s">
        <v>11350</v>
      </c>
      <c r="MAI3" s="12" t="s">
        <v>11351</v>
      </c>
      <c r="MAJ3" s="12" t="s">
        <v>11352</v>
      </c>
      <c r="MAK3" s="12" t="s">
        <v>11353</v>
      </c>
      <c r="MAL3" s="12" t="s">
        <v>11354</v>
      </c>
      <c r="MAM3" s="12" t="s">
        <v>11355</v>
      </c>
      <c r="MAN3" s="12" t="s">
        <v>11356</v>
      </c>
      <c r="MAO3" s="12" t="s">
        <v>11357</v>
      </c>
      <c r="MAP3" s="12" t="s">
        <v>11358</v>
      </c>
      <c r="MAQ3" s="12" t="s">
        <v>11359</v>
      </c>
      <c r="MAR3" s="12" t="s">
        <v>11360</v>
      </c>
      <c r="MAS3" s="12" t="s">
        <v>11361</v>
      </c>
      <c r="MAT3" s="12" t="s">
        <v>11362</v>
      </c>
      <c r="MAU3" s="12" t="s">
        <v>11363</v>
      </c>
      <c r="MAV3" s="12" t="s">
        <v>11364</v>
      </c>
      <c r="MAW3" s="12" t="s">
        <v>11365</v>
      </c>
      <c r="MAX3" s="12" t="s">
        <v>11366</v>
      </c>
      <c r="MAY3" s="12" t="s">
        <v>11367</v>
      </c>
      <c r="MAZ3" s="12" t="s">
        <v>11368</v>
      </c>
      <c r="MBA3" s="12" t="s">
        <v>11369</v>
      </c>
      <c r="MBB3" s="12" t="s">
        <v>11370</v>
      </c>
      <c r="MBC3" s="12" t="s">
        <v>11371</v>
      </c>
      <c r="MBD3" s="12" t="s">
        <v>11372</v>
      </c>
      <c r="MBE3" s="12" t="s">
        <v>11373</v>
      </c>
      <c r="MBF3" s="12" t="s">
        <v>11374</v>
      </c>
      <c r="MBG3" s="12" t="s">
        <v>11375</v>
      </c>
      <c r="MBH3" s="12" t="s">
        <v>11376</v>
      </c>
      <c r="MBI3" s="12" t="s">
        <v>11377</v>
      </c>
      <c r="MBJ3" s="12" t="s">
        <v>11378</v>
      </c>
      <c r="MBK3" s="12" t="s">
        <v>11379</v>
      </c>
      <c r="MBL3" s="12" t="s">
        <v>11380</v>
      </c>
      <c r="MBM3" s="12" t="s">
        <v>11381</v>
      </c>
      <c r="MBN3" s="12" t="s">
        <v>11382</v>
      </c>
      <c r="MBO3" s="12" t="s">
        <v>11383</v>
      </c>
      <c r="MBP3" s="12" t="s">
        <v>11384</v>
      </c>
      <c r="MBQ3" s="12" t="s">
        <v>11385</v>
      </c>
      <c r="MBR3" s="12" t="s">
        <v>11386</v>
      </c>
      <c r="MBS3" s="12" t="s">
        <v>11387</v>
      </c>
      <c r="MBT3" s="12" t="s">
        <v>11388</v>
      </c>
      <c r="MBU3" s="12" t="s">
        <v>11389</v>
      </c>
      <c r="MBV3" s="12" t="s">
        <v>11390</v>
      </c>
      <c r="MBW3" s="12" t="s">
        <v>11391</v>
      </c>
      <c r="MBX3" s="12" t="s">
        <v>11392</v>
      </c>
      <c r="MBY3" s="12" t="s">
        <v>11393</v>
      </c>
      <c r="MBZ3" s="12" t="s">
        <v>11394</v>
      </c>
      <c r="MCA3" s="12" t="s">
        <v>11395</v>
      </c>
      <c r="MCB3" s="12" t="s">
        <v>11396</v>
      </c>
      <c r="MCC3" s="12" t="s">
        <v>11397</v>
      </c>
      <c r="MCD3" s="12" t="s">
        <v>11398</v>
      </c>
      <c r="MCE3" s="12" t="s">
        <v>11399</v>
      </c>
      <c r="MCF3" s="12" t="s">
        <v>11400</v>
      </c>
      <c r="MCG3" s="12" t="s">
        <v>11401</v>
      </c>
      <c r="MCH3" s="12" t="s">
        <v>11402</v>
      </c>
      <c r="MCI3" s="12" t="s">
        <v>11403</v>
      </c>
      <c r="MCJ3" s="12" t="s">
        <v>11404</v>
      </c>
      <c r="MCK3" s="12" t="s">
        <v>11405</v>
      </c>
      <c r="MCL3" s="12" t="s">
        <v>11406</v>
      </c>
      <c r="MCM3" s="12" t="s">
        <v>11407</v>
      </c>
      <c r="MCN3" s="12" t="s">
        <v>11408</v>
      </c>
      <c r="MCO3" s="12" t="s">
        <v>11409</v>
      </c>
      <c r="MCP3" s="12" t="s">
        <v>11410</v>
      </c>
      <c r="MCQ3" s="12" t="s">
        <v>11411</v>
      </c>
      <c r="MCR3" s="12" t="s">
        <v>11412</v>
      </c>
      <c r="MCS3" s="12" t="s">
        <v>11413</v>
      </c>
      <c r="MCT3" s="12" t="s">
        <v>11414</v>
      </c>
      <c r="MCU3" s="12" t="s">
        <v>11415</v>
      </c>
      <c r="MCV3" s="12" t="s">
        <v>11416</v>
      </c>
      <c r="MCW3" s="12" t="s">
        <v>11417</v>
      </c>
      <c r="MCX3" s="12" t="s">
        <v>11418</v>
      </c>
      <c r="MCY3" s="12" t="s">
        <v>11419</v>
      </c>
      <c r="MCZ3" s="12" t="s">
        <v>11420</v>
      </c>
      <c r="MDA3" s="12" t="s">
        <v>11421</v>
      </c>
      <c r="MDB3" s="12" t="s">
        <v>11422</v>
      </c>
      <c r="MDC3" s="12" t="s">
        <v>11423</v>
      </c>
      <c r="MDD3" s="12" t="s">
        <v>11424</v>
      </c>
      <c r="MDE3" s="12" t="s">
        <v>11425</v>
      </c>
      <c r="MDF3" s="12" t="s">
        <v>11426</v>
      </c>
      <c r="MDG3" s="12" t="s">
        <v>11427</v>
      </c>
      <c r="MDH3" s="12" t="s">
        <v>11428</v>
      </c>
      <c r="MDI3" s="12" t="s">
        <v>11429</v>
      </c>
      <c r="MDJ3" s="12" t="s">
        <v>11430</v>
      </c>
      <c r="MDK3" s="12" t="s">
        <v>11431</v>
      </c>
      <c r="MDL3" s="12" t="s">
        <v>11432</v>
      </c>
      <c r="MDM3" s="12" t="s">
        <v>11433</v>
      </c>
      <c r="MDN3" s="12" t="s">
        <v>11434</v>
      </c>
      <c r="MDO3" s="12" t="s">
        <v>11435</v>
      </c>
      <c r="MDP3" s="12" t="s">
        <v>11436</v>
      </c>
      <c r="MDQ3" s="12" t="s">
        <v>11437</v>
      </c>
      <c r="MDR3" s="12" t="s">
        <v>11438</v>
      </c>
      <c r="MDS3" s="12" t="s">
        <v>11439</v>
      </c>
      <c r="MDT3" s="12" t="s">
        <v>11440</v>
      </c>
      <c r="MDU3" s="12" t="s">
        <v>11441</v>
      </c>
      <c r="MDV3" s="12" t="s">
        <v>11442</v>
      </c>
      <c r="MDW3" s="12" t="s">
        <v>11443</v>
      </c>
      <c r="MDX3" s="12" t="s">
        <v>11444</v>
      </c>
      <c r="MDY3" s="12" t="s">
        <v>11445</v>
      </c>
      <c r="MDZ3" s="12" t="s">
        <v>11446</v>
      </c>
      <c r="MEA3" s="12" t="s">
        <v>11447</v>
      </c>
      <c r="MEB3" s="12" t="s">
        <v>11448</v>
      </c>
      <c r="MEC3" s="12" t="s">
        <v>11449</v>
      </c>
      <c r="MED3" s="12" t="s">
        <v>11450</v>
      </c>
      <c r="MEE3" s="12" t="s">
        <v>11451</v>
      </c>
      <c r="MEF3" s="12" t="s">
        <v>11452</v>
      </c>
      <c r="MEG3" s="12" t="s">
        <v>11453</v>
      </c>
      <c r="MEH3" s="12" t="s">
        <v>11454</v>
      </c>
      <c r="MEI3" s="12" t="s">
        <v>11455</v>
      </c>
      <c r="MEJ3" s="12" t="s">
        <v>11456</v>
      </c>
      <c r="MEK3" s="12" t="s">
        <v>11457</v>
      </c>
      <c r="MEL3" s="12" t="s">
        <v>11458</v>
      </c>
      <c r="MEM3" s="12" t="s">
        <v>11459</v>
      </c>
      <c r="MEN3" s="12" t="s">
        <v>11460</v>
      </c>
      <c r="MEO3" s="12" t="s">
        <v>11461</v>
      </c>
      <c r="MEP3" s="12" t="s">
        <v>11462</v>
      </c>
      <c r="MEQ3" s="12" t="s">
        <v>11463</v>
      </c>
      <c r="MER3" s="12" t="s">
        <v>11464</v>
      </c>
      <c r="MES3" s="12" t="s">
        <v>11465</v>
      </c>
      <c r="MET3" s="12" t="s">
        <v>11466</v>
      </c>
      <c r="MEU3" s="12" t="s">
        <v>11467</v>
      </c>
      <c r="MEV3" s="12" t="s">
        <v>11468</v>
      </c>
      <c r="MEW3" s="12" t="s">
        <v>11469</v>
      </c>
      <c r="MEX3" s="12" t="s">
        <v>11470</v>
      </c>
      <c r="MEY3" s="12" t="s">
        <v>11471</v>
      </c>
      <c r="MEZ3" s="12" t="s">
        <v>11472</v>
      </c>
      <c r="MFA3" s="12" t="s">
        <v>11473</v>
      </c>
      <c r="MFB3" s="12" t="s">
        <v>11474</v>
      </c>
      <c r="MFC3" s="12" t="s">
        <v>11475</v>
      </c>
      <c r="MFD3" s="12" t="s">
        <v>11476</v>
      </c>
      <c r="MFE3" s="12" t="s">
        <v>11477</v>
      </c>
      <c r="MFF3" s="12" t="s">
        <v>11478</v>
      </c>
      <c r="MFG3" s="12" t="s">
        <v>11479</v>
      </c>
      <c r="MFH3" s="12" t="s">
        <v>11480</v>
      </c>
      <c r="MFI3" s="12" t="s">
        <v>11481</v>
      </c>
      <c r="MFJ3" s="12" t="s">
        <v>11482</v>
      </c>
      <c r="MFK3" s="12" t="s">
        <v>11483</v>
      </c>
      <c r="MFL3" s="12" t="s">
        <v>11484</v>
      </c>
      <c r="MFM3" s="12" t="s">
        <v>11485</v>
      </c>
      <c r="MFN3" s="12" t="s">
        <v>11486</v>
      </c>
      <c r="MFO3" s="12" t="s">
        <v>11487</v>
      </c>
      <c r="MFP3" s="12" t="s">
        <v>11488</v>
      </c>
      <c r="MFQ3" s="12" t="s">
        <v>11489</v>
      </c>
      <c r="MFR3" s="12" t="s">
        <v>11490</v>
      </c>
      <c r="MFS3" s="12" t="s">
        <v>11491</v>
      </c>
      <c r="MFT3" s="12" t="s">
        <v>11492</v>
      </c>
      <c r="MFU3" s="12" t="s">
        <v>11493</v>
      </c>
      <c r="MFV3" s="12" t="s">
        <v>11494</v>
      </c>
      <c r="MFW3" s="12" t="s">
        <v>11495</v>
      </c>
      <c r="MFX3" s="12" t="s">
        <v>11496</v>
      </c>
      <c r="MFY3" s="12" t="s">
        <v>11497</v>
      </c>
      <c r="MFZ3" s="12" t="s">
        <v>11498</v>
      </c>
      <c r="MGA3" s="12" t="s">
        <v>11499</v>
      </c>
      <c r="MGB3" s="12" t="s">
        <v>11500</v>
      </c>
      <c r="MGC3" s="12" t="s">
        <v>11501</v>
      </c>
      <c r="MGD3" s="12" t="s">
        <v>11502</v>
      </c>
      <c r="MGE3" s="12" t="s">
        <v>11503</v>
      </c>
      <c r="MGF3" s="12" t="s">
        <v>11504</v>
      </c>
      <c r="MGG3" s="12" t="s">
        <v>11505</v>
      </c>
      <c r="MGH3" s="12" t="s">
        <v>11506</v>
      </c>
      <c r="MGI3" s="12" t="s">
        <v>11507</v>
      </c>
      <c r="MGJ3" s="12" t="s">
        <v>11508</v>
      </c>
      <c r="MGK3" s="12" t="s">
        <v>11509</v>
      </c>
      <c r="MGL3" s="12" t="s">
        <v>11510</v>
      </c>
      <c r="MGM3" s="12" t="s">
        <v>11511</v>
      </c>
      <c r="MGN3" s="12" t="s">
        <v>11512</v>
      </c>
      <c r="MGO3" s="12" t="s">
        <v>11513</v>
      </c>
      <c r="MGP3" s="12" t="s">
        <v>11514</v>
      </c>
      <c r="MGQ3" s="12" t="s">
        <v>11515</v>
      </c>
      <c r="MGR3" s="12" t="s">
        <v>11516</v>
      </c>
      <c r="MGS3" s="12" t="s">
        <v>11517</v>
      </c>
      <c r="MGT3" s="12" t="s">
        <v>11518</v>
      </c>
      <c r="MGU3" s="12" t="s">
        <v>11519</v>
      </c>
      <c r="MGV3" s="12" t="s">
        <v>11520</v>
      </c>
      <c r="MGW3" s="12" t="s">
        <v>11521</v>
      </c>
      <c r="MGX3" s="12" t="s">
        <v>11522</v>
      </c>
      <c r="MGY3" s="12" t="s">
        <v>11523</v>
      </c>
      <c r="MGZ3" s="12" t="s">
        <v>11524</v>
      </c>
      <c r="MHA3" s="12" t="s">
        <v>11525</v>
      </c>
      <c r="MHB3" s="12" t="s">
        <v>11526</v>
      </c>
      <c r="MHC3" s="12" t="s">
        <v>11527</v>
      </c>
      <c r="MHD3" s="12" t="s">
        <v>11528</v>
      </c>
      <c r="MHE3" s="12" t="s">
        <v>11529</v>
      </c>
      <c r="MHF3" s="12" t="s">
        <v>11530</v>
      </c>
      <c r="MHG3" s="12" t="s">
        <v>11531</v>
      </c>
      <c r="MHH3" s="12" t="s">
        <v>11532</v>
      </c>
      <c r="MHI3" s="12" t="s">
        <v>11533</v>
      </c>
      <c r="MHJ3" s="12" t="s">
        <v>11534</v>
      </c>
      <c r="MHK3" s="12" t="s">
        <v>11535</v>
      </c>
      <c r="MHL3" s="12" t="s">
        <v>11536</v>
      </c>
      <c r="MHM3" s="12" t="s">
        <v>11537</v>
      </c>
      <c r="MHN3" s="12" t="s">
        <v>11538</v>
      </c>
      <c r="MHO3" s="12" t="s">
        <v>11539</v>
      </c>
      <c r="MHP3" s="12" t="s">
        <v>11540</v>
      </c>
      <c r="MHQ3" s="12" t="s">
        <v>11541</v>
      </c>
      <c r="MHR3" s="12" t="s">
        <v>11542</v>
      </c>
      <c r="MHS3" s="12" t="s">
        <v>11543</v>
      </c>
      <c r="MHT3" s="12" t="s">
        <v>11544</v>
      </c>
      <c r="MHU3" s="12" t="s">
        <v>11545</v>
      </c>
      <c r="MHV3" s="12" t="s">
        <v>11546</v>
      </c>
      <c r="MHW3" s="12" t="s">
        <v>11547</v>
      </c>
      <c r="MHX3" s="12" t="s">
        <v>11548</v>
      </c>
      <c r="MHY3" s="12" t="s">
        <v>11549</v>
      </c>
      <c r="MHZ3" s="12" t="s">
        <v>11550</v>
      </c>
      <c r="MIA3" s="12" t="s">
        <v>11551</v>
      </c>
      <c r="MIB3" s="12" t="s">
        <v>11552</v>
      </c>
      <c r="MIC3" s="12" t="s">
        <v>11553</v>
      </c>
      <c r="MID3" s="12" t="s">
        <v>11554</v>
      </c>
      <c r="MIE3" s="12" t="s">
        <v>11555</v>
      </c>
      <c r="MIF3" s="12" t="s">
        <v>11556</v>
      </c>
      <c r="MIG3" s="12" t="s">
        <v>11557</v>
      </c>
      <c r="MIH3" s="12" t="s">
        <v>11558</v>
      </c>
      <c r="MII3" s="12" t="s">
        <v>11559</v>
      </c>
      <c r="MIJ3" s="12" t="s">
        <v>11560</v>
      </c>
      <c r="MIK3" s="12" t="s">
        <v>11561</v>
      </c>
      <c r="MIL3" s="12" t="s">
        <v>11562</v>
      </c>
      <c r="MIM3" s="12" t="s">
        <v>11563</v>
      </c>
      <c r="MIN3" s="12" t="s">
        <v>11564</v>
      </c>
      <c r="MIO3" s="12" t="s">
        <v>11565</v>
      </c>
      <c r="MIP3" s="12" t="s">
        <v>11566</v>
      </c>
      <c r="MIQ3" s="12" t="s">
        <v>11567</v>
      </c>
      <c r="MIR3" s="12" t="s">
        <v>11568</v>
      </c>
      <c r="MIS3" s="12" t="s">
        <v>11569</v>
      </c>
      <c r="MIT3" s="12" t="s">
        <v>11570</v>
      </c>
      <c r="MIU3" s="12" t="s">
        <v>11571</v>
      </c>
      <c r="MIV3" s="12" t="s">
        <v>11572</v>
      </c>
      <c r="MIW3" s="12" t="s">
        <v>11573</v>
      </c>
      <c r="MIX3" s="12" t="s">
        <v>11574</v>
      </c>
      <c r="MIY3" s="12" t="s">
        <v>11575</v>
      </c>
      <c r="MIZ3" s="12" t="s">
        <v>11576</v>
      </c>
      <c r="MJA3" s="12" t="s">
        <v>11577</v>
      </c>
      <c r="MJB3" s="12" t="s">
        <v>11578</v>
      </c>
      <c r="MJC3" s="12" t="s">
        <v>11579</v>
      </c>
      <c r="MJD3" s="12" t="s">
        <v>11580</v>
      </c>
      <c r="MJE3" s="12" t="s">
        <v>11581</v>
      </c>
      <c r="MJF3" s="12" t="s">
        <v>11582</v>
      </c>
      <c r="MJG3" s="12" t="s">
        <v>11583</v>
      </c>
      <c r="MJH3" s="12" t="s">
        <v>11584</v>
      </c>
      <c r="MJI3" s="12" t="s">
        <v>11585</v>
      </c>
      <c r="MJJ3" s="12" t="s">
        <v>11586</v>
      </c>
      <c r="MJK3" s="12" t="s">
        <v>11587</v>
      </c>
      <c r="MJL3" s="12" t="s">
        <v>11588</v>
      </c>
      <c r="MJM3" s="12" t="s">
        <v>11589</v>
      </c>
      <c r="MJN3" s="12" t="s">
        <v>11590</v>
      </c>
      <c r="MJO3" s="12" t="s">
        <v>11591</v>
      </c>
      <c r="MJP3" s="12" t="s">
        <v>11592</v>
      </c>
      <c r="MJQ3" s="12" t="s">
        <v>11593</v>
      </c>
      <c r="MJR3" s="12" t="s">
        <v>11594</v>
      </c>
      <c r="MJS3" s="12" t="s">
        <v>11595</v>
      </c>
      <c r="MJT3" s="12" t="s">
        <v>11596</v>
      </c>
      <c r="MJU3" s="12" t="s">
        <v>11597</v>
      </c>
      <c r="MJV3" s="12" t="s">
        <v>11598</v>
      </c>
      <c r="MJW3" s="12" t="s">
        <v>11599</v>
      </c>
      <c r="MJX3" s="12" t="s">
        <v>11600</v>
      </c>
      <c r="MJY3" s="12" t="s">
        <v>11601</v>
      </c>
      <c r="MJZ3" s="12" t="s">
        <v>11602</v>
      </c>
      <c r="MKA3" s="12" t="s">
        <v>11603</v>
      </c>
      <c r="MKB3" s="12" t="s">
        <v>11604</v>
      </c>
      <c r="MKC3" s="12" t="s">
        <v>11605</v>
      </c>
      <c r="MKD3" s="12" t="s">
        <v>11606</v>
      </c>
      <c r="MKE3" s="12" t="s">
        <v>11607</v>
      </c>
      <c r="MKF3" s="12" t="s">
        <v>11608</v>
      </c>
      <c r="MKG3" s="12" t="s">
        <v>11609</v>
      </c>
      <c r="MKH3" s="12" t="s">
        <v>11610</v>
      </c>
      <c r="MKI3" s="12" t="s">
        <v>11611</v>
      </c>
      <c r="MKJ3" s="12" t="s">
        <v>11612</v>
      </c>
      <c r="MKK3" s="12" t="s">
        <v>11613</v>
      </c>
      <c r="MKL3" s="12" t="s">
        <v>11614</v>
      </c>
      <c r="MKM3" s="12" t="s">
        <v>11615</v>
      </c>
      <c r="MKN3" s="12" t="s">
        <v>11616</v>
      </c>
      <c r="MKO3" s="12" t="s">
        <v>11617</v>
      </c>
      <c r="MKP3" s="12" t="s">
        <v>11618</v>
      </c>
      <c r="MKQ3" s="12" t="s">
        <v>11619</v>
      </c>
      <c r="MKR3" s="12" t="s">
        <v>11620</v>
      </c>
      <c r="MKS3" s="12" t="s">
        <v>11621</v>
      </c>
      <c r="MKT3" s="12" t="s">
        <v>11622</v>
      </c>
      <c r="MKU3" s="12" t="s">
        <v>11623</v>
      </c>
      <c r="MKV3" s="12" t="s">
        <v>11624</v>
      </c>
      <c r="MKW3" s="12" t="s">
        <v>11625</v>
      </c>
      <c r="MKX3" s="12" t="s">
        <v>11626</v>
      </c>
      <c r="MKY3" s="12" t="s">
        <v>11627</v>
      </c>
      <c r="MKZ3" s="12" t="s">
        <v>11628</v>
      </c>
      <c r="MLA3" s="12" t="s">
        <v>11629</v>
      </c>
      <c r="MLB3" s="12" t="s">
        <v>11630</v>
      </c>
      <c r="MLC3" s="12" t="s">
        <v>11631</v>
      </c>
      <c r="MLD3" s="12" t="s">
        <v>11632</v>
      </c>
      <c r="MLE3" s="12" t="s">
        <v>11633</v>
      </c>
      <c r="MLF3" s="12" t="s">
        <v>11634</v>
      </c>
      <c r="MLG3" s="12" t="s">
        <v>11635</v>
      </c>
      <c r="MLH3" s="12" t="s">
        <v>11636</v>
      </c>
      <c r="MLI3" s="12" t="s">
        <v>11637</v>
      </c>
      <c r="MLJ3" s="12" t="s">
        <v>11638</v>
      </c>
      <c r="MLK3" s="12" t="s">
        <v>11639</v>
      </c>
      <c r="MLL3" s="12" t="s">
        <v>11640</v>
      </c>
      <c r="MLM3" s="12" t="s">
        <v>11641</v>
      </c>
      <c r="MLN3" s="12" t="s">
        <v>11642</v>
      </c>
      <c r="MLO3" s="12" t="s">
        <v>11643</v>
      </c>
      <c r="MLP3" s="12" t="s">
        <v>11644</v>
      </c>
      <c r="MLQ3" s="12" t="s">
        <v>11645</v>
      </c>
      <c r="MLR3" s="12" t="s">
        <v>11646</v>
      </c>
      <c r="MLS3" s="12" t="s">
        <v>11647</v>
      </c>
      <c r="MLT3" s="12" t="s">
        <v>11648</v>
      </c>
      <c r="MLU3" s="12" t="s">
        <v>11649</v>
      </c>
      <c r="MLV3" s="12" t="s">
        <v>11650</v>
      </c>
      <c r="MLW3" s="12" t="s">
        <v>11651</v>
      </c>
      <c r="MLX3" s="12" t="s">
        <v>11652</v>
      </c>
      <c r="MLY3" s="12" t="s">
        <v>11653</v>
      </c>
      <c r="MLZ3" s="12" t="s">
        <v>11654</v>
      </c>
      <c r="MMA3" s="12" t="s">
        <v>11655</v>
      </c>
      <c r="MMB3" s="12" t="s">
        <v>11656</v>
      </c>
      <c r="MMC3" s="12" t="s">
        <v>11657</v>
      </c>
      <c r="MMD3" s="12" t="s">
        <v>11658</v>
      </c>
      <c r="MME3" s="12" t="s">
        <v>11659</v>
      </c>
      <c r="MMF3" s="12" t="s">
        <v>11660</v>
      </c>
      <c r="MMG3" s="12" t="s">
        <v>11661</v>
      </c>
      <c r="MMH3" s="12" t="s">
        <v>11662</v>
      </c>
      <c r="MMI3" s="12" t="s">
        <v>11663</v>
      </c>
      <c r="MMJ3" s="12" t="s">
        <v>11664</v>
      </c>
      <c r="MMK3" s="12" t="s">
        <v>11665</v>
      </c>
      <c r="MML3" s="12" t="s">
        <v>11666</v>
      </c>
      <c r="MMM3" s="12" t="s">
        <v>11667</v>
      </c>
      <c r="MMN3" s="12" t="s">
        <v>11668</v>
      </c>
      <c r="MMO3" s="12" t="s">
        <v>11669</v>
      </c>
      <c r="MMP3" s="12" t="s">
        <v>11670</v>
      </c>
      <c r="MMQ3" s="12" t="s">
        <v>11671</v>
      </c>
      <c r="MMR3" s="12" t="s">
        <v>11672</v>
      </c>
      <c r="MMS3" s="12" t="s">
        <v>11673</v>
      </c>
      <c r="MMT3" s="12" t="s">
        <v>11674</v>
      </c>
      <c r="MMU3" s="12" t="s">
        <v>11675</v>
      </c>
      <c r="MMV3" s="12" t="s">
        <v>11676</v>
      </c>
      <c r="MMW3" s="12" t="s">
        <v>11677</v>
      </c>
      <c r="MMX3" s="12" t="s">
        <v>11678</v>
      </c>
      <c r="MMY3" s="12" t="s">
        <v>11679</v>
      </c>
      <c r="MMZ3" s="12" t="s">
        <v>11680</v>
      </c>
      <c r="MNA3" s="12" t="s">
        <v>11681</v>
      </c>
      <c r="MNB3" s="12" t="s">
        <v>11682</v>
      </c>
      <c r="MNC3" s="12" t="s">
        <v>11683</v>
      </c>
      <c r="MND3" s="12" t="s">
        <v>11684</v>
      </c>
      <c r="MNE3" s="12" t="s">
        <v>11685</v>
      </c>
      <c r="MNF3" s="12" t="s">
        <v>11686</v>
      </c>
      <c r="MNG3" s="12" t="s">
        <v>11687</v>
      </c>
      <c r="MNH3" s="12" t="s">
        <v>11688</v>
      </c>
      <c r="MNI3" s="12" t="s">
        <v>11689</v>
      </c>
      <c r="MNJ3" s="12" t="s">
        <v>11690</v>
      </c>
      <c r="MNK3" s="12" t="s">
        <v>11691</v>
      </c>
      <c r="MNL3" s="12" t="s">
        <v>11692</v>
      </c>
      <c r="MNM3" s="12" t="s">
        <v>11693</v>
      </c>
      <c r="MNN3" s="12" t="s">
        <v>11694</v>
      </c>
      <c r="MNO3" s="12" t="s">
        <v>11695</v>
      </c>
      <c r="MNP3" s="12" t="s">
        <v>11696</v>
      </c>
      <c r="MNQ3" s="12" t="s">
        <v>11697</v>
      </c>
      <c r="MNR3" s="12" t="s">
        <v>11698</v>
      </c>
      <c r="MNS3" s="12" t="s">
        <v>11699</v>
      </c>
      <c r="MNT3" s="12" t="s">
        <v>11700</v>
      </c>
      <c r="MNU3" s="12" t="s">
        <v>11701</v>
      </c>
      <c r="MNV3" s="12" t="s">
        <v>11702</v>
      </c>
      <c r="MNW3" s="12" t="s">
        <v>11703</v>
      </c>
      <c r="MNX3" s="12" t="s">
        <v>11704</v>
      </c>
      <c r="MNY3" s="12" t="s">
        <v>11705</v>
      </c>
      <c r="MNZ3" s="12" t="s">
        <v>11706</v>
      </c>
      <c r="MOA3" s="12" t="s">
        <v>11707</v>
      </c>
      <c r="MOB3" s="12" t="s">
        <v>11708</v>
      </c>
      <c r="MOC3" s="12" t="s">
        <v>11709</v>
      </c>
      <c r="MOD3" s="12" t="s">
        <v>11710</v>
      </c>
      <c r="MOE3" s="12" t="s">
        <v>11711</v>
      </c>
      <c r="MOF3" s="12" t="s">
        <v>11712</v>
      </c>
      <c r="MOG3" s="12" t="s">
        <v>11713</v>
      </c>
      <c r="MOH3" s="12" t="s">
        <v>11714</v>
      </c>
      <c r="MOI3" s="12" t="s">
        <v>11715</v>
      </c>
      <c r="MOJ3" s="12" t="s">
        <v>11716</v>
      </c>
      <c r="MOK3" s="12" t="s">
        <v>11717</v>
      </c>
      <c r="MOL3" s="12" t="s">
        <v>11718</v>
      </c>
      <c r="MOM3" s="12" t="s">
        <v>11719</v>
      </c>
      <c r="MON3" s="12" t="s">
        <v>11720</v>
      </c>
      <c r="MOO3" s="12" t="s">
        <v>11721</v>
      </c>
      <c r="MOP3" s="12" t="s">
        <v>11722</v>
      </c>
      <c r="MOQ3" s="12" t="s">
        <v>11723</v>
      </c>
      <c r="MOR3" s="12" t="s">
        <v>11724</v>
      </c>
      <c r="MOS3" s="12" t="s">
        <v>11725</v>
      </c>
      <c r="MOT3" s="12" t="s">
        <v>11726</v>
      </c>
      <c r="MOU3" s="12" t="s">
        <v>11727</v>
      </c>
      <c r="MOV3" s="12" t="s">
        <v>11728</v>
      </c>
      <c r="MOW3" s="12" t="s">
        <v>11729</v>
      </c>
      <c r="MOX3" s="12" t="s">
        <v>11730</v>
      </c>
      <c r="MOY3" s="12" t="s">
        <v>11731</v>
      </c>
      <c r="MOZ3" s="12" t="s">
        <v>11732</v>
      </c>
      <c r="MPA3" s="12" t="s">
        <v>11733</v>
      </c>
      <c r="MPB3" s="12" t="s">
        <v>11734</v>
      </c>
      <c r="MPC3" s="12" t="s">
        <v>11735</v>
      </c>
      <c r="MPD3" s="12" t="s">
        <v>11736</v>
      </c>
      <c r="MPE3" s="12" t="s">
        <v>11737</v>
      </c>
      <c r="MPF3" s="12" t="s">
        <v>11738</v>
      </c>
      <c r="MPG3" s="12" t="s">
        <v>11739</v>
      </c>
      <c r="MPH3" s="12" t="s">
        <v>11740</v>
      </c>
      <c r="MPI3" s="12" t="s">
        <v>11741</v>
      </c>
      <c r="MPJ3" s="12" t="s">
        <v>11742</v>
      </c>
      <c r="MPK3" s="12" t="s">
        <v>11743</v>
      </c>
      <c r="MPL3" s="12" t="s">
        <v>11744</v>
      </c>
      <c r="MPM3" s="12" t="s">
        <v>11745</v>
      </c>
      <c r="MPN3" s="12" t="s">
        <v>11746</v>
      </c>
      <c r="MPO3" s="12" t="s">
        <v>11747</v>
      </c>
      <c r="MPP3" s="12" t="s">
        <v>11748</v>
      </c>
      <c r="MPQ3" s="12" t="s">
        <v>11749</v>
      </c>
      <c r="MPR3" s="12" t="s">
        <v>11750</v>
      </c>
      <c r="MPS3" s="12" t="s">
        <v>11751</v>
      </c>
      <c r="MPT3" s="12" t="s">
        <v>11752</v>
      </c>
      <c r="MPU3" s="12" t="s">
        <v>11753</v>
      </c>
      <c r="MPV3" s="12" t="s">
        <v>11754</v>
      </c>
      <c r="MPW3" s="12" t="s">
        <v>11755</v>
      </c>
      <c r="MPX3" s="12" t="s">
        <v>11756</v>
      </c>
      <c r="MPY3" s="12" t="s">
        <v>11757</v>
      </c>
      <c r="MPZ3" s="12" t="s">
        <v>11758</v>
      </c>
      <c r="MQA3" s="12" t="s">
        <v>11759</v>
      </c>
      <c r="MQB3" s="12" t="s">
        <v>11760</v>
      </c>
      <c r="MQC3" s="12" t="s">
        <v>11761</v>
      </c>
      <c r="MQD3" s="12" t="s">
        <v>11762</v>
      </c>
      <c r="MQE3" s="12" t="s">
        <v>11763</v>
      </c>
      <c r="MQF3" s="12" t="s">
        <v>11764</v>
      </c>
      <c r="MQG3" s="12" t="s">
        <v>11765</v>
      </c>
      <c r="MQH3" s="12" t="s">
        <v>11766</v>
      </c>
      <c r="MQI3" s="12" t="s">
        <v>11767</v>
      </c>
      <c r="MQJ3" s="12" t="s">
        <v>11768</v>
      </c>
      <c r="MQK3" s="12" t="s">
        <v>11769</v>
      </c>
      <c r="MQL3" s="12" t="s">
        <v>11770</v>
      </c>
      <c r="MQM3" s="12" t="s">
        <v>11771</v>
      </c>
      <c r="MQN3" s="12" t="s">
        <v>11772</v>
      </c>
      <c r="MQO3" s="12" t="s">
        <v>11773</v>
      </c>
      <c r="MQP3" s="12" t="s">
        <v>11774</v>
      </c>
      <c r="MQQ3" s="12" t="s">
        <v>11775</v>
      </c>
      <c r="MQR3" s="12" t="s">
        <v>11776</v>
      </c>
      <c r="MQS3" s="12" t="s">
        <v>11777</v>
      </c>
      <c r="MQT3" s="12" t="s">
        <v>11778</v>
      </c>
      <c r="MQU3" s="12" t="s">
        <v>11779</v>
      </c>
      <c r="MQV3" s="12" t="s">
        <v>11780</v>
      </c>
      <c r="MQW3" s="12" t="s">
        <v>11781</v>
      </c>
      <c r="MQX3" s="12" t="s">
        <v>11782</v>
      </c>
      <c r="MQY3" s="12" t="s">
        <v>11783</v>
      </c>
      <c r="MQZ3" s="12" t="s">
        <v>11784</v>
      </c>
      <c r="MRA3" s="12" t="s">
        <v>11785</v>
      </c>
      <c r="MRB3" s="12" t="s">
        <v>11786</v>
      </c>
      <c r="MRC3" s="12" t="s">
        <v>11787</v>
      </c>
      <c r="MRD3" s="12" t="s">
        <v>11788</v>
      </c>
      <c r="MRE3" s="12" t="s">
        <v>11789</v>
      </c>
      <c r="MRF3" s="12" t="s">
        <v>11790</v>
      </c>
      <c r="MRG3" s="12" t="s">
        <v>11791</v>
      </c>
      <c r="MRH3" s="12" t="s">
        <v>11792</v>
      </c>
      <c r="MRI3" s="12" t="s">
        <v>11793</v>
      </c>
      <c r="MRJ3" s="12" t="s">
        <v>11794</v>
      </c>
      <c r="MRK3" s="12" t="s">
        <v>11795</v>
      </c>
      <c r="MRL3" s="12" t="s">
        <v>11796</v>
      </c>
      <c r="MRM3" s="12" t="s">
        <v>11797</v>
      </c>
      <c r="MRN3" s="12" t="s">
        <v>11798</v>
      </c>
      <c r="MRO3" s="12" t="s">
        <v>11799</v>
      </c>
      <c r="MRP3" s="12" t="s">
        <v>11800</v>
      </c>
      <c r="MRQ3" s="12" t="s">
        <v>11801</v>
      </c>
      <c r="MRR3" s="12" t="s">
        <v>11802</v>
      </c>
      <c r="MRS3" s="12" t="s">
        <v>11803</v>
      </c>
      <c r="MRT3" s="12" t="s">
        <v>11804</v>
      </c>
      <c r="MRU3" s="12" t="s">
        <v>11805</v>
      </c>
      <c r="MRV3" s="12" t="s">
        <v>11806</v>
      </c>
      <c r="MRW3" s="12" t="s">
        <v>11807</v>
      </c>
      <c r="MRX3" s="12" t="s">
        <v>11808</v>
      </c>
      <c r="MRY3" s="12" t="s">
        <v>11809</v>
      </c>
      <c r="MRZ3" s="12" t="s">
        <v>11810</v>
      </c>
      <c r="MSA3" s="12" t="s">
        <v>11811</v>
      </c>
      <c r="MSB3" s="12" t="s">
        <v>11812</v>
      </c>
      <c r="MSC3" s="12" t="s">
        <v>11813</v>
      </c>
      <c r="MSD3" s="12" t="s">
        <v>11814</v>
      </c>
      <c r="MSE3" s="12" t="s">
        <v>11815</v>
      </c>
      <c r="MSF3" s="12" t="s">
        <v>11816</v>
      </c>
      <c r="MSG3" s="12" t="s">
        <v>11817</v>
      </c>
      <c r="MSH3" s="12" t="s">
        <v>11818</v>
      </c>
      <c r="MSI3" s="12" t="s">
        <v>11819</v>
      </c>
      <c r="MSJ3" s="12" t="s">
        <v>11820</v>
      </c>
      <c r="MSK3" s="12" t="s">
        <v>11821</v>
      </c>
      <c r="MSL3" s="12" t="s">
        <v>11822</v>
      </c>
      <c r="MSM3" s="12" t="s">
        <v>11823</v>
      </c>
      <c r="MSN3" s="12" t="s">
        <v>11824</v>
      </c>
      <c r="MSO3" s="12" t="s">
        <v>11825</v>
      </c>
      <c r="MSP3" s="12" t="s">
        <v>11826</v>
      </c>
      <c r="MSQ3" s="12" t="s">
        <v>11827</v>
      </c>
      <c r="MSR3" s="12" t="s">
        <v>11828</v>
      </c>
      <c r="MSS3" s="12" t="s">
        <v>11829</v>
      </c>
      <c r="MST3" s="12" t="s">
        <v>11830</v>
      </c>
      <c r="MSU3" s="12" t="s">
        <v>11831</v>
      </c>
      <c r="MSV3" s="12" t="s">
        <v>11832</v>
      </c>
      <c r="MSW3" s="12" t="s">
        <v>11833</v>
      </c>
      <c r="MSX3" s="12" t="s">
        <v>11834</v>
      </c>
      <c r="MSY3" s="12" t="s">
        <v>11835</v>
      </c>
      <c r="MSZ3" s="12" t="s">
        <v>11836</v>
      </c>
      <c r="MTA3" s="12" t="s">
        <v>11837</v>
      </c>
      <c r="MTB3" s="12" t="s">
        <v>11838</v>
      </c>
      <c r="MTC3" s="12" t="s">
        <v>11839</v>
      </c>
      <c r="MTD3" s="12" t="s">
        <v>11840</v>
      </c>
      <c r="MTE3" s="12" t="s">
        <v>11841</v>
      </c>
      <c r="MTF3" s="12" t="s">
        <v>11842</v>
      </c>
      <c r="MTG3" s="12" t="s">
        <v>11843</v>
      </c>
      <c r="MTH3" s="12" t="s">
        <v>11844</v>
      </c>
      <c r="MTI3" s="12" t="s">
        <v>11845</v>
      </c>
      <c r="MTJ3" s="12" t="s">
        <v>11846</v>
      </c>
      <c r="MTK3" s="12" t="s">
        <v>11847</v>
      </c>
      <c r="MTL3" s="12" t="s">
        <v>11848</v>
      </c>
      <c r="MTM3" s="12" t="s">
        <v>11849</v>
      </c>
      <c r="MTN3" s="12" t="s">
        <v>11850</v>
      </c>
      <c r="MTO3" s="12" t="s">
        <v>11851</v>
      </c>
      <c r="MTP3" s="12" t="s">
        <v>11852</v>
      </c>
      <c r="MTQ3" s="12" t="s">
        <v>11853</v>
      </c>
      <c r="MTR3" s="12" t="s">
        <v>11854</v>
      </c>
      <c r="MTS3" s="12" t="s">
        <v>11855</v>
      </c>
      <c r="MTT3" s="12" t="s">
        <v>11856</v>
      </c>
      <c r="MTU3" s="12" t="s">
        <v>11857</v>
      </c>
      <c r="MTV3" s="12" t="s">
        <v>11858</v>
      </c>
      <c r="MTW3" s="12" t="s">
        <v>11859</v>
      </c>
      <c r="MTX3" s="12" t="s">
        <v>11860</v>
      </c>
      <c r="MTY3" s="12" t="s">
        <v>11861</v>
      </c>
      <c r="MTZ3" s="12" t="s">
        <v>11862</v>
      </c>
      <c r="MUA3" s="12" t="s">
        <v>11863</v>
      </c>
      <c r="MUB3" s="12" t="s">
        <v>11864</v>
      </c>
      <c r="MUC3" s="12" t="s">
        <v>11865</v>
      </c>
      <c r="MUD3" s="12" t="s">
        <v>11866</v>
      </c>
      <c r="MUE3" s="12" t="s">
        <v>11867</v>
      </c>
      <c r="MUF3" s="12" t="s">
        <v>11868</v>
      </c>
      <c r="MUG3" s="12" t="s">
        <v>11869</v>
      </c>
      <c r="MUH3" s="12" t="s">
        <v>11870</v>
      </c>
      <c r="MUI3" s="12" t="s">
        <v>11871</v>
      </c>
      <c r="MUJ3" s="12" t="s">
        <v>11872</v>
      </c>
      <c r="MUK3" s="12" t="s">
        <v>11873</v>
      </c>
      <c r="MUL3" s="12" t="s">
        <v>11874</v>
      </c>
      <c r="MUM3" s="12" t="s">
        <v>11875</v>
      </c>
      <c r="MUN3" s="12" t="s">
        <v>11876</v>
      </c>
      <c r="MUO3" s="12" t="s">
        <v>11877</v>
      </c>
      <c r="MUP3" s="12" t="s">
        <v>11878</v>
      </c>
      <c r="MUQ3" s="12" t="s">
        <v>11879</v>
      </c>
      <c r="MUR3" s="12" t="s">
        <v>11880</v>
      </c>
      <c r="MUS3" s="12" t="s">
        <v>11881</v>
      </c>
      <c r="MUT3" s="12" t="s">
        <v>11882</v>
      </c>
      <c r="MUU3" s="12" t="s">
        <v>11883</v>
      </c>
      <c r="MUV3" s="12" t="s">
        <v>11884</v>
      </c>
      <c r="MUW3" s="12" t="s">
        <v>11885</v>
      </c>
      <c r="MUX3" s="12" t="s">
        <v>11886</v>
      </c>
      <c r="MUY3" s="12" t="s">
        <v>11887</v>
      </c>
      <c r="MUZ3" s="12" t="s">
        <v>11888</v>
      </c>
      <c r="MVA3" s="12" t="s">
        <v>11889</v>
      </c>
      <c r="MVB3" s="12" t="s">
        <v>11890</v>
      </c>
      <c r="MVC3" s="12" t="s">
        <v>11891</v>
      </c>
      <c r="MVD3" s="12" t="s">
        <v>11892</v>
      </c>
      <c r="MVE3" s="12" t="s">
        <v>11893</v>
      </c>
      <c r="MVF3" s="12" t="s">
        <v>11894</v>
      </c>
      <c r="MVG3" s="12" t="s">
        <v>11895</v>
      </c>
      <c r="MVH3" s="12" t="s">
        <v>11896</v>
      </c>
      <c r="MVI3" s="12" t="s">
        <v>11897</v>
      </c>
      <c r="MVJ3" s="12" t="s">
        <v>11898</v>
      </c>
      <c r="MVK3" s="12" t="s">
        <v>11899</v>
      </c>
      <c r="MVL3" s="12" t="s">
        <v>11900</v>
      </c>
      <c r="MVM3" s="12" t="s">
        <v>11901</v>
      </c>
      <c r="MVN3" s="12" t="s">
        <v>11902</v>
      </c>
      <c r="MVO3" s="12" t="s">
        <v>11903</v>
      </c>
      <c r="MVP3" s="12" t="s">
        <v>11904</v>
      </c>
      <c r="MVQ3" s="12" t="s">
        <v>11905</v>
      </c>
      <c r="MVR3" s="12" t="s">
        <v>11906</v>
      </c>
      <c r="MVS3" s="12" t="s">
        <v>11907</v>
      </c>
      <c r="MVT3" s="12" t="s">
        <v>11908</v>
      </c>
      <c r="MVU3" s="12" t="s">
        <v>11909</v>
      </c>
      <c r="MVV3" s="12" t="s">
        <v>11910</v>
      </c>
      <c r="MVW3" s="12" t="s">
        <v>11911</v>
      </c>
      <c r="MVX3" s="12" t="s">
        <v>11912</v>
      </c>
      <c r="MVY3" s="12" t="s">
        <v>11913</v>
      </c>
      <c r="MVZ3" s="12" t="s">
        <v>11914</v>
      </c>
      <c r="MWA3" s="12" t="s">
        <v>11915</v>
      </c>
      <c r="MWB3" s="12" t="s">
        <v>11916</v>
      </c>
      <c r="MWC3" s="12" t="s">
        <v>11917</v>
      </c>
      <c r="MWD3" s="12" t="s">
        <v>11918</v>
      </c>
      <c r="MWE3" s="12" t="s">
        <v>11919</v>
      </c>
      <c r="MWF3" s="12" t="s">
        <v>11920</v>
      </c>
      <c r="MWG3" s="12" t="s">
        <v>11921</v>
      </c>
      <c r="MWH3" s="12" t="s">
        <v>11922</v>
      </c>
      <c r="MWI3" s="12" t="s">
        <v>11923</v>
      </c>
      <c r="MWJ3" s="12" t="s">
        <v>11924</v>
      </c>
      <c r="MWK3" s="12" t="s">
        <v>11925</v>
      </c>
      <c r="MWL3" s="12" t="s">
        <v>11926</v>
      </c>
      <c r="MWM3" s="12" t="s">
        <v>11927</v>
      </c>
      <c r="MWN3" s="12" t="s">
        <v>11928</v>
      </c>
      <c r="MWO3" s="12" t="s">
        <v>11929</v>
      </c>
      <c r="MWP3" s="12" t="s">
        <v>11930</v>
      </c>
      <c r="MWQ3" s="12" t="s">
        <v>11931</v>
      </c>
      <c r="MWR3" s="12" t="s">
        <v>11932</v>
      </c>
      <c r="MWS3" s="12" t="s">
        <v>11933</v>
      </c>
      <c r="MWT3" s="12" t="s">
        <v>11934</v>
      </c>
      <c r="MWU3" s="12" t="s">
        <v>11935</v>
      </c>
      <c r="MWV3" s="12" t="s">
        <v>11936</v>
      </c>
      <c r="MWW3" s="12" t="s">
        <v>11937</v>
      </c>
      <c r="MWX3" s="12" t="s">
        <v>11938</v>
      </c>
      <c r="MWY3" s="12" t="s">
        <v>11939</v>
      </c>
      <c r="MWZ3" s="12" t="s">
        <v>11940</v>
      </c>
      <c r="MXA3" s="12" t="s">
        <v>11941</v>
      </c>
      <c r="MXB3" s="12" t="s">
        <v>11942</v>
      </c>
      <c r="MXC3" s="12" t="s">
        <v>11943</v>
      </c>
      <c r="MXD3" s="12" t="s">
        <v>11944</v>
      </c>
      <c r="MXE3" s="12" t="s">
        <v>11945</v>
      </c>
      <c r="MXF3" s="12" t="s">
        <v>11946</v>
      </c>
      <c r="MXG3" s="12" t="s">
        <v>11947</v>
      </c>
      <c r="MXH3" s="12" t="s">
        <v>11948</v>
      </c>
      <c r="MXI3" s="12" t="s">
        <v>11949</v>
      </c>
      <c r="MXJ3" s="12" t="s">
        <v>11950</v>
      </c>
      <c r="MXK3" s="12" t="s">
        <v>11951</v>
      </c>
      <c r="MXL3" s="12" t="s">
        <v>11952</v>
      </c>
      <c r="MXM3" s="12" t="s">
        <v>11953</v>
      </c>
      <c r="MXN3" s="12" t="s">
        <v>11954</v>
      </c>
      <c r="MXO3" s="12" t="s">
        <v>11955</v>
      </c>
      <c r="MXP3" s="12" t="s">
        <v>11956</v>
      </c>
      <c r="MXQ3" s="12" t="s">
        <v>11957</v>
      </c>
      <c r="MXR3" s="12" t="s">
        <v>11958</v>
      </c>
      <c r="MXS3" s="12" t="s">
        <v>11959</v>
      </c>
      <c r="MXT3" s="12" t="s">
        <v>11960</v>
      </c>
      <c r="MXU3" s="12" t="s">
        <v>11961</v>
      </c>
      <c r="MXV3" s="12" t="s">
        <v>11962</v>
      </c>
      <c r="MXW3" s="12" t="s">
        <v>11963</v>
      </c>
      <c r="MXX3" s="12" t="s">
        <v>11964</v>
      </c>
      <c r="MXY3" s="12" t="s">
        <v>11965</v>
      </c>
      <c r="MXZ3" s="12" t="s">
        <v>11966</v>
      </c>
      <c r="MYA3" s="12" t="s">
        <v>11967</v>
      </c>
      <c r="MYB3" s="12" t="s">
        <v>11968</v>
      </c>
      <c r="MYC3" s="12" t="s">
        <v>11969</v>
      </c>
      <c r="MYD3" s="12" t="s">
        <v>11970</v>
      </c>
      <c r="MYE3" s="12" t="s">
        <v>11971</v>
      </c>
      <c r="MYF3" s="12" t="s">
        <v>11972</v>
      </c>
      <c r="MYG3" s="12" t="s">
        <v>11973</v>
      </c>
      <c r="MYH3" s="12" t="s">
        <v>11974</v>
      </c>
      <c r="MYI3" s="12" t="s">
        <v>11975</v>
      </c>
      <c r="MYJ3" s="12" t="s">
        <v>11976</v>
      </c>
      <c r="MYK3" s="12" t="s">
        <v>11977</v>
      </c>
      <c r="MYL3" s="12" t="s">
        <v>11978</v>
      </c>
      <c r="MYM3" s="12" t="s">
        <v>11979</v>
      </c>
      <c r="MYN3" s="12" t="s">
        <v>11980</v>
      </c>
      <c r="MYO3" s="12" t="s">
        <v>11981</v>
      </c>
      <c r="MYP3" s="12" t="s">
        <v>11982</v>
      </c>
      <c r="MYQ3" s="12" t="s">
        <v>11983</v>
      </c>
      <c r="MYR3" s="12" t="s">
        <v>11984</v>
      </c>
      <c r="MYS3" s="12" t="s">
        <v>11985</v>
      </c>
      <c r="MYT3" s="12" t="s">
        <v>11986</v>
      </c>
      <c r="MYU3" s="12" t="s">
        <v>11987</v>
      </c>
      <c r="MYV3" s="12" t="s">
        <v>11988</v>
      </c>
      <c r="MYW3" s="12" t="s">
        <v>11989</v>
      </c>
      <c r="MYX3" s="12" t="s">
        <v>11990</v>
      </c>
      <c r="MYY3" s="12" t="s">
        <v>11991</v>
      </c>
      <c r="MYZ3" s="12" t="s">
        <v>11992</v>
      </c>
      <c r="MZA3" s="12" t="s">
        <v>11993</v>
      </c>
      <c r="MZB3" s="12" t="s">
        <v>11994</v>
      </c>
      <c r="MZC3" s="12" t="s">
        <v>11995</v>
      </c>
      <c r="MZD3" s="12" t="s">
        <v>11996</v>
      </c>
      <c r="MZE3" s="12" t="s">
        <v>11997</v>
      </c>
      <c r="MZF3" s="12" t="s">
        <v>11998</v>
      </c>
      <c r="MZG3" s="12" t="s">
        <v>11999</v>
      </c>
      <c r="MZH3" s="12" t="s">
        <v>12000</v>
      </c>
      <c r="MZI3" s="12" t="s">
        <v>12001</v>
      </c>
      <c r="MZJ3" s="12" t="s">
        <v>12002</v>
      </c>
      <c r="MZK3" s="12" t="s">
        <v>12003</v>
      </c>
      <c r="MZL3" s="12" t="s">
        <v>12004</v>
      </c>
      <c r="MZM3" s="12" t="s">
        <v>12005</v>
      </c>
      <c r="MZN3" s="12" t="s">
        <v>12006</v>
      </c>
      <c r="MZO3" s="12" t="s">
        <v>12007</v>
      </c>
      <c r="MZP3" s="12" t="s">
        <v>12008</v>
      </c>
      <c r="MZQ3" s="12" t="s">
        <v>12009</v>
      </c>
      <c r="MZR3" s="12" t="s">
        <v>12010</v>
      </c>
      <c r="MZS3" s="12" t="s">
        <v>12011</v>
      </c>
      <c r="MZT3" s="12" t="s">
        <v>12012</v>
      </c>
      <c r="MZU3" s="12" t="s">
        <v>12013</v>
      </c>
      <c r="MZV3" s="12" t="s">
        <v>12014</v>
      </c>
      <c r="MZW3" s="12" t="s">
        <v>12015</v>
      </c>
      <c r="MZX3" s="12" t="s">
        <v>12016</v>
      </c>
      <c r="MZY3" s="12" t="s">
        <v>12017</v>
      </c>
      <c r="MZZ3" s="12" t="s">
        <v>12018</v>
      </c>
      <c r="NAA3" s="12" t="s">
        <v>12019</v>
      </c>
      <c r="NAB3" s="12" t="s">
        <v>12020</v>
      </c>
      <c r="NAC3" s="12" t="s">
        <v>12021</v>
      </c>
      <c r="NAD3" s="12" t="s">
        <v>12022</v>
      </c>
      <c r="NAE3" s="12" t="s">
        <v>12023</v>
      </c>
      <c r="NAF3" s="12" t="s">
        <v>12024</v>
      </c>
      <c r="NAG3" s="12" t="s">
        <v>12025</v>
      </c>
      <c r="NAH3" s="12" t="s">
        <v>12026</v>
      </c>
      <c r="NAI3" s="12" t="s">
        <v>12027</v>
      </c>
      <c r="NAJ3" s="12" t="s">
        <v>12028</v>
      </c>
      <c r="NAK3" s="12" t="s">
        <v>12029</v>
      </c>
      <c r="NAL3" s="12" t="s">
        <v>12030</v>
      </c>
      <c r="NAM3" s="12" t="s">
        <v>12031</v>
      </c>
      <c r="NAN3" s="12" t="s">
        <v>12032</v>
      </c>
      <c r="NAO3" s="12" t="s">
        <v>12033</v>
      </c>
      <c r="NAP3" s="12" t="s">
        <v>12034</v>
      </c>
      <c r="NAQ3" s="12" t="s">
        <v>12035</v>
      </c>
      <c r="NAR3" s="12" t="s">
        <v>12036</v>
      </c>
      <c r="NAS3" s="12" t="s">
        <v>12037</v>
      </c>
      <c r="NAT3" s="12" t="s">
        <v>12038</v>
      </c>
      <c r="NAU3" s="12" t="s">
        <v>12039</v>
      </c>
      <c r="NAV3" s="12" t="s">
        <v>12040</v>
      </c>
      <c r="NAW3" s="12" t="s">
        <v>12041</v>
      </c>
      <c r="NAX3" s="12" t="s">
        <v>12042</v>
      </c>
      <c r="NAY3" s="12" t="s">
        <v>12043</v>
      </c>
      <c r="NAZ3" s="12" t="s">
        <v>12044</v>
      </c>
      <c r="NBA3" s="12" t="s">
        <v>12045</v>
      </c>
      <c r="NBB3" s="12" t="s">
        <v>12046</v>
      </c>
      <c r="NBC3" s="12" t="s">
        <v>12047</v>
      </c>
      <c r="NBD3" s="12" t="s">
        <v>12048</v>
      </c>
      <c r="NBE3" s="12" t="s">
        <v>12049</v>
      </c>
      <c r="NBF3" s="12" t="s">
        <v>12050</v>
      </c>
      <c r="NBG3" s="12" t="s">
        <v>12051</v>
      </c>
      <c r="NBH3" s="12" t="s">
        <v>12052</v>
      </c>
      <c r="NBI3" s="12" t="s">
        <v>12053</v>
      </c>
      <c r="NBJ3" s="12" t="s">
        <v>12054</v>
      </c>
      <c r="NBK3" s="12" t="s">
        <v>12055</v>
      </c>
      <c r="NBL3" s="12" t="s">
        <v>12056</v>
      </c>
      <c r="NBM3" s="12" t="s">
        <v>12057</v>
      </c>
      <c r="NBN3" s="12" t="s">
        <v>12058</v>
      </c>
      <c r="NBO3" s="12" t="s">
        <v>12059</v>
      </c>
      <c r="NBP3" s="12" t="s">
        <v>12060</v>
      </c>
      <c r="NBQ3" s="12" t="s">
        <v>12061</v>
      </c>
      <c r="NBR3" s="12" t="s">
        <v>12062</v>
      </c>
      <c r="NBS3" s="12" t="s">
        <v>12063</v>
      </c>
      <c r="NBT3" s="12" t="s">
        <v>12064</v>
      </c>
      <c r="NBU3" s="12" t="s">
        <v>12065</v>
      </c>
      <c r="NBV3" s="12" t="s">
        <v>12066</v>
      </c>
      <c r="NBW3" s="12" t="s">
        <v>12067</v>
      </c>
      <c r="NBX3" s="12" t="s">
        <v>12068</v>
      </c>
      <c r="NBY3" s="12" t="s">
        <v>12069</v>
      </c>
      <c r="NBZ3" s="12" t="s">
        <v>12070</v>
      </c>
      <c r="NCA3" s="12" t="s">
        <v>12071</v>
      </c>
      <c r="NCB3" s="12" t="s">
        <v>12072</v>
      </c>
      <c r="NCC3" s="12" t="s">
        <v>12073</v>
      </c>
      <c r="NCD3" s="12" t="s">
        <v>12074</v>
      </c>
      <c r="NCE3" s="12" t="s">
        <v>12075</v>
      </c>
      <c r="NCF3" s="12" t="s">
        <v>12076</v>
      </c>
      <c r="NCG3" s="12" t="s">
        <v>12077</v>
      </c>
      <c r="NCH3" s="12" t="s">
        <v>12078</v>
      </c>
      <c r="NCI3" s="12" t="s">
        <v>12079</v>
      </c>
      <c r="NCJ3" s="12" t="s">
        <v>12080</v>
      </c>
      <c r="NCK3" s="12" t="s">
        <v>12081</v>
      </c>
      <c r="NCL3" s="12" t="s">
        <v>12082</v>
      </c>
      <c r="NCM3" s="12" t="s">
        <v>12083</v>
      </c>
      <c r="NCN3" s="12" t="s">
        <v>12084</v>
      </c>
      <c r="NCO3" s="12" t="s">
        <v>12085</v>
      </c>
      <c r="NCP3" s="12" t="s">
        <v>12086</v>
      </c>
      <c r="NCQ3" s="12" t="s">
        <v>12087</v>
      </c>
      <c r="NCR3" s="12" t="s">
        <v>12088</v>
      </c>
      <c r="NCS3" s="12" t="s">
        <v>12089</v>
      </c>
      <c r="NCT3" s="12" t="s">
        <v>12090</v>
      </c>
      <c r="NCU3" s="12" t="s">
        <v>12091</v>
      </c>
      <c r="NCV3" s="12" t="s">
        <v>12092</v>
      </c>
      <c r="NCW3" s="12" t="s">
        <v>12093</v>
      </c>
      <c r="NCX3" s="12" t="s">
        <v>12094</v>
      </c>
      <c r="NCY3" s="12" t="s">
        <v>12095</v>
      </c>
      <c r="NCZ3" s="12" t="s">
        <v>12096</v>
      </c>
      <c r="NDA3" s="12" t="s">
        <v>12097</v>
      </c>
      <c r="NDB3" s="12" t="s">
        <v>12098</v>
      </c>
      <c r="NDC3" s="12" t="s">
        <v>12099</v>
      </c>
      <c r="NDD3" s="12" t="s">
        <v>12100</v>
      </c>
      <c r="NDE3" s="12" t="s">
        <v>12101</v>
      </c>
      <c r="NDF3" s="12" t="s">
        <v>12102</v>
      </c>
      <c r="NDG3" s="12" t="s">
        <v>12103</v>
      </c>
      <c r="NDH3" s="12" t="s">
        <v>12104</v>
      </c>
      <c r="NDI3" s="12" t="s">
        <v>12105</v>
      </c>
      <c r="NDJ3" s="12" t="s">
        <v>12106</v>
      </c>
      <c r="NDK3" s="12" t="s">
        <v>12107</v>
      </c>
      <c r="NDL3" s="12" t="s">
        <v>12108</v>
      </c>
      <c r="NDM3" s="12" t="s">
        <v>12109</v>
      </c>
      <c r="NDN3" s="12" t="s">
        <v>12110</v>
      </c>
      <c r="NDO3" s="12" t="s">
        <v>12111</v>
      </c>
      <c r="NDP3" s="12" t="s">
        <v>12112</v>
      </c>
      <c r="NDQ3" s="12" t="s">
        <v>12113</v>
      </c>
      <c r="NDR3" s="12" t="s">
        <v>12114</v>
      </c>
      <c r="NDS3" s="12" t="s">
        <v>12115</v>
      </c>
      <c r="NDT3" s="12" t="s">
        <v>12116</v>
      </c>
      <c r="NDU3" s="12" t="s">
        <v>12117</v>
      </c>
      <c r="NDV3" s="12" t="s">
        <v>12118</v>
      </c>
      <c r="NDW3" s="12" t="s">
        <v>12119</v>
      </c>
      <c r="NDX3" s="12" t="s">
        <v>12120</v>
      </c>
      <c r="NDY3" s="12" t="s">
        <v>12121</v>
      </c>
      <c r="NDZ3" s="12" t="s">
        <v>12122</v>
      </c>
      <c r="NEA3" s="12" t="s">
        <v>12123</v>
      </c>
      <c r="NEB3" s="12" t="s">
        <v>12124</v>
      </c>
      <c r="NEC3" s="12" t="s">
        <v>12125</v>
      </c>
      <c r="NED3" s="12" t="s">
        <v>12126</v>
      </c>
      <c r="NEE3" s="12" t="s">
        <v>12127</v>
      </c>
      <c r="NEF3" s="12" t="s">
        <v>12128</v>
      </c>
      <c r="NEG3" s="12" t="s">
        <v>12129</v>
      </c>
      <c r="NEH3" s="12" t="s">
        <v>12130</v>
      </c>
      <c r="NEI3" s="12" t="s">
        <v>12131</v>
      </c>
      <c r="NEJ3" s="12" t="s">
        <v>12132</v>
      </c>
      <c r="NEK3" s="12" t="s">
        <v>12133</v>
      </c>
      <c r="NEL3" s="12" t="s">
        <v>12134</v>
      </c>
      <c r="NEM3" s="12" t="s">
        <v>12135</v>
      </c>
      <c r="NEN3" s="12" t="s">
        <v>12136</v>
      </c>
      <c r="NEO3" s="12" t="s">
        <v>12137</v>
      </c>
      <c r="NEP3" s="12" t="s">
        <v>12138</v>
      </c>
      <c r="NEQ3" s="12" t="s">
        <v>12139</v>
      </c>
      <c r="NER3" s="12" t="s">
        <v>12140</v>
      </c>
      <c r="NES3" s="12" t="s">
        <v>12141</v>
      </c>
      <c r="NET3" s="12" t="s">
        <v>12142</v>
      </c>
      <c r="NEU3" s="12" t="s">
        <v>12143</v>
      </c>
      <c r="NEV3" s="12" t="s">
        <v>12144</v>
      </c>
      <c r="NEW3" s="12" t="s">
        <v>12145</v>
      </c>
      <c r="NEX3" s="12" t="s">
        <v>12146</v>
      </c>
      <c r="NEY3" s="12" t="s">
        <v>12147</v>
      </c>
      <c r="NEZ3" s="12" t="s">
        <v>12148</v>
      </c>
      <c r="NFA3" s="12" t="s">
        <v>12149</v>
      </c>
      <c r="NFB3" s="12" t="s">
        <v>12150</v>
      </c>
      <c r="NFC3" s="12" t="s">
        <v>12151</v>
      </c>
      <c r="NFD3" s="12" t="s">
        <v>12152</v>
      </c>
      <c r="NFE3" s="12" t="s">
        <v>12153</v>
      </c>
      <c r="NFF3" s="12" t="s">
        <v>12154</v>
      </c>
      <c r="NFG3" s="12" t="s">
        <v>12155</v>
      </c>
      <c r="NFH3" s="12" t="s">
        <v>12156</v>
      </c>
      <c r="NFI3" s="12" t="s">
        <v>12157</v>
      </c>
      <c r="NFJ3" s="12" t="s">
        <v>12158</v>
      </c>
      <c r="NFK3" s="12" t="s">
        <v>12159</v>
      </c>
      <c r="NFL3" s="12" t="s">
        <v>12160</v>
      </c>
      <c r="NFM3" s="12" t="s">
        <v>12161</v>
      </c>
      <c r="NFN3" s="12" t="s">
        <v>12162</v>
      </c>
      <c r="NFO3" s="12" t="s">
        <v>12163</v>
      </c>
      <c r="NFP3" s="12" t="s">
        <v>12164</v>
      </c>
      <c r="NFQ3" s="12" t="s">
        <v>12165</v>
      </c>
      <c r="NFR3" s="12" t="s">
        <v>12166</v>
      </c>
      <c r="NFS3" s="12" t="s">
        <v>12167</v>
      </c>
      <c r="NFT3" s="12" t="s">
        <v>12168</v>
      </c>
      <c r="NFU3" s="12" t="s">
        <v>12169</v>
      </c>
      <c r="NFV3" s="12" t="s">
        <v>12170</v>
      </c>
      <c r="NFW3" s="12" t="s">
        <v>12171</v>
      </c>
      <c r="NFX3" s="12" t="s">
        <v>12172</v>
      </c>
      <c r="NFY3" s="12" t="s">
        <v>12173</v>
      </c>
      <c r="NFZ3" s="12" t="s">
        <v>12174</v>
      </c>
      <c r="NGA3" s="12" t="s">
        <v>12175</v>
      </c>
      <c r="NGB3" s="12" t="s">
        <v>12176</v>
      </c>
      <c r="NGC3" s="12" t="s">
        <v>12177</v>
      </c>
      <c r="NGD3" s="12" t="s">
        <v>12178</v>
      </c>
      <c r="NGE3" s="12" t="s">
        <v>12179</v>
      </c>
      <c r="NGF3" s="12" t="s">
        <v>12180</v>
      </c>
      <c r="NGG3" s="12" t="s">
        <v>12181</v>
      </c>
      <c r="NGH3" s="12" t="s">
        <v>12182</v>
      </c>
      <c r="NGI3" s="12" t="s">
        <v>12183</v>
      </c>
      <c r="NGJ3" s="12" t="s">
        <v>12184</v>
      </c>
      <c r="NGK3" s="12" t="s">
        <v>12185</v>
      </c>
      <c r="NGL3" s="12" t="s">
        <v>12186</v>
      </c>
      <c r="NGM3" s="12" t="s">
        <v>12187</v>
      </c>
      <c r="NGN3" s="12" t="s">
        <v>12188</v>
      </c>
      <c r="NGO3" s="12" t="s">
        <v>12189</v>
      </c>
      <c r="NGP3" s="12" t="s">
        <v>12190</v>
      </c>
      <c r="NGQ3" s="12" t="s">
        <v>12191</v>
      </c>
      <c r="NGR3" s="12" t="s">
        <v>12192</v>
      </c>
      <c r="NGS3" s="12" t="s">
        <v>12193</v>
      </c>
      <c r="NGT3" s="12" t="s">
        <v>12194</v>
      </c>
      <c r="NGU3" s="12" t="s">
        <v>12195</v>
      </c>
      <c r="NGV3" s="12" t="s">
        <v>12196</v>
      </c>
      <c r="NGW3" s="12" t="s">
        <v>12197</v>
      </c>
      <c r="NGX3" s="12" t="s">
        <v>12198</v>
      </c>
      <c r="NGY3" s="12" t="s">
        <v>12199</v>
      </c>
      <c r="NGZ3" s="12" t="s">
        <v>12200</v>
      </c>
      <c r="NHA3" s="12" t="s">
        <v>12201</v>
      </c>
      <c r="NHB3" s="12" t="s">
        <v>12202</v>
      </c>
      <c r="NHC3" s="12" t="s">
        <v>12203</v>
      </c>
      <c r="NHD3" s="12" t="s">
        <v>12204</v>
      </c>
      <c r="NHE3" s="12" t="s">
        <v>12205</v>
      </c>
      <c r="NHF3" s="12" t="s">
        <v>12206</v>
      </c>
      <c r="NHG3" s="12" t="s">
        <v>12207</v>
      </c>
      <c r="NHH3" s="12" t="s">
        <v>12208</v>
      </c>
      <c r="NHI3" s="12" t="s">
        <v>12209</v>
      </c>
      <c r="NHJ3" s="12" t="s">
        <v>12210</v>
      </c>
      <c r="NHK3" s="12" t="s">
        <v>12211</v>
      </c>
      <c r="NHL3" s="12" t="s">
        <v>12212</v>
      </c>
      <c r="NHM3" s="12" t="s">
        <v>12213</v>
      </c>
      <c r="NHN3" s="12" t="s">
        <v>12214</v>
      </c>
      <c r="NHO3" s="12" t="s">
        <v>12215</v>
      </c>
      <c r="NHP3" s="12" t="s">
        <v>12216</v>
      </c>
      <c r="NHQ3" s="12" t="s">
        <v>12217</v>
      </c>
      <c r="NHR3" s="12" t="s">
        <v>12218</v>
      </c>
      <c r="NHS3" s="12" t="s">
        <v>12219</v>
      </c>
      <c r="NHT3" s="12" t="s">
        <v>12220</v>
      </c>
      <c r="NHU3" s="12" t="s">
        <v>12221</v>
      </c>
      <c r="NHV3" s="12" t="s">
        <v>12222</v>
      </c>
      <c r="NHW3" s="12" t="s">
        <v>12223</v>
      </c>
      <c r="NHX3" s="12" t="s">
        <v>12224</v>
      </c>
      <c r="NHY3" s="12" t="s">
        <v>12225</v>
      </c>
      <c r="NHZ3" s="12" t="s">
        <v>12226</v>
      </c>
      <c r="NIA3" s="12" t="s">
        <v>12227</v>
      </c>
      <c r="NIB3" s="12" t="s">
        <v>12228</v>
      </c>
      <c r="NIC3" s="12" t="s">
        <v>12229</v>
      </c>
      <c r="NID3" s="12" t="s">
        <v>12230</v>
      </c>
      <c r="NIE3" s="12" t="s">
        <v>12231</v>
      </c>
      <c r="NIF3" s="12" t="s">
        <v>12232</v>
      </c>
      <c r="NIG3" s="12" t="s">
        <v>12233</v>
      </c>
      <c r="NIH3" s="12" t="s">
        <v>12234</v>
      </c>
      <c r="NII3" s="12" t="s">
        <v>12235</v>
      </c>
      <c r="NIJ3" s="12" t="s">
        <v>12236</v>
      </c>
      <c r="NIK3" s="12" t="s">
        <v>12237</v>
      </c>
      <c r="NIL3" s="12" t="s">
        <v>12238</v>
      </c>
      <c r="NIM3" s="12" t="s">
        <v>12239</v>
      </c>
      <c r="NIN3" s="12" t="s">
        <v>12240</v>
      </c>
      <c r="NIO3" s="12" t="s">
        <v>12241</v>
      </c>
      <c r="NIP3" s="12" t="s">
        <v>12242</v>
      </c>
      <c r="NIQ3" s="12" t="s">
        <v>12243</v>
      </c>
      <c r="NIR3" s="12" t="s">
        <v>12244</v>
      </c>
      <c r="NIS3" s="12" t="s">
        <v>12245</v>
      </c>
      <c r="NIT3" s="12" t="s">
        <v>12246</v>
      </c>
      <c r="NIU3" s="12" t="s">
        <v>12247</v>
      </c>
      <c r="NIV3" s="12" t="s">
        <v>12248</v>
      </c>
      <c r="NIW3" s="12" t="s">
        <v>12249</v>
      </c>
      <c r="NIX3" s="12" t="s">
        <v>12250</v>
      </c>
      <c r="NIY3" s="12" t="s">
        <v>12251</v>
      </c>
      <c r="NIZ3" s="12" t="s">
        <v>12252</v>
      </c>
      <c r="NJA3" s="12" t="s">
        <v>12253</v>
      </c>
      <c r="NJB3" s="12" t="s">
        <v>12254</v>
      </c>
      <c r="NJC3" s="12" t="s">
        <v>12255</v>
      </c>
      <c r="NJD3" s="12" t="s">
        <v>12256</v>
      </c>
      <c r="NJE3" s="12" t="s">
        <v>12257</v>
      </c>
      <c r="NJF3" s="12" t="s">
        <v>12258</v>
      </c>
      <c r="NJG3" s="12" t="s">
        <v>12259</v>
      </c>
      <c r="NJH3" s="12" t="s">
        <v>12260</v>
      </c>
      <c r="NJI3" s="12" t="s">
        <v>12261</v>
      </c>
      <c r="NJJ3" s="12" t="s">
        <v>12262</v>
      </c>
      <c r="NJK3" s="12" t="s">
        <v>12263</v>
      </c>
      <c r="NJL3" s="12" t="s">
        <v>12264</v>
      </c>
      <c r="NJM3" s="12" t="s">
        <v>12265</v>
      </c>
      <c r="NJN3" s="12" t="s">
        <v>12266</v>
      </c>
      <c r="NJO3" s="12" t="s">
        <v>12267</v>
      </c>
      <c r="NJP3" s="12" t="s">
        <v>12268</v>
      </c>
      <c r="NJQ3" s="12" t="s">
        <v>12269</v>
      </c>
      <c r="NJR3" s="12" t="s">
        <v>12270</v>
      </c>
      <c r="NJS3" s="12" t="s">
        <v>12271</v>
      </c>
      <c r="NJT3" s="12" t="s">
        <v>12272</v>
      </c>
      <c r="NJU3" s="12" t="s">
        <v>12273</v>
      </c>
      <c r="NJV3" s="12" t="s">
        <v>12274</v>
      </c>
      <c r="NJW3" s="12" t="s">
        <v>12275</v>
      </c>
      <c r="NJX3" s="12" t="s">
        <v>12276</v>
      </c>
      <c r="NJY3" s="12" t="s">
        <v>12277</v>
      </c>
      <c r="NJZ3" s="12" t="s">
        <v>12278</v>
      </c>
      <c r="NKA3" s="12" t="s">
        <v>12279</v>
      </c>
      <c r="NKB3" s="12" t="s">
        <v>12280</v>
      </c>
      <c r="NKC3" s="12" t="s">
        <v>12281</v>
      </c>
      <c r="NKD3" s="12" t="s">
        <v>12282</v>
      </c>
      <c r="NKE3" s="12" t="s">
        <v>12283</v>
      </c>
      <c r="NKF3" s="12" t="s">
        <v>12284</v>
      </c>
      <c r="NKG3" s="12" t="s">
        <v>12285</v>
      </c>
      <c r="NKH3" s="12" t="s">
        <v>12286</v>
      </c>
      <c r="NKI3" s="12" t="s">
        <v>12287</v>
      </c>
      <c r="NKJ3" s="12" t="s">
        <v>12288</v>
      </c>
      <c r="NKK3" s="12" t="s">
        <v>12289</v>
      </c>
      <c r="NKL3" s="12" t="s">
        <v>12290</v>
      </c>
      <c r="NKM3" s="12" t="s">
        <v>12291</v>
      </c>
      <c r="NKN3" s="12" t="s">
        <v>12292</v>
      </c>
      <c r="NKO3" s="12" t="s">
        <v>12293</v>
      </c>
      <c r="NKP3" s="12" t="s">
        <v>12294</v>
      </c>
      <c r="NKQ3" s="12" t="s">
        <v>12295</v>
      </c>
      <c r="NKR3" s="12" t="s">
        <v>12296</v>
      </c>
      <c r="NKS3" s="12" t="s">
        <v>12297</v>
      </c>
      <c r="NKT3" s="12" t="s">
        <v>12298</v>
      </c>
      <c r="NKU3" s="12" t="s">
        <v>12299</v>
      </c>
      <c r="NKV3" s="12" t="s">
        <v>12300</v>
      </c>
      <c r="NKW3" s="12" t="s">
        <v>12301</v>
      </c>
      <c r="NKX3" s="12" t="s">
        <v>12302</v>
      </c>
      <c r="NKY3" s="12" t="s">
        <v>12303</v>
      </c>
      <c r="NKZ3" s="12" t="s">
        <v>12304</v>
      </c>
      <c r="NLA3" s="12" t="s">
        <v>12305</v>
      </c>
      <c r="NLB3" s="12" t="s">
        <v>12306</v>
      </c>
      <c r="NLC3" s="12" t="s">
        <v>12307</v>
      </c>
      <c r="NLD3" s="12" t="s">
        <v>12308</v>
      </c>
      <c r="NLE3" s="12" t="s">
        <v>12309</v>
      </c>
      <c r="NLF3" s="12" t="s">
        <v>12310</v>
      </c>
      <c r="NLG3" s="12" t="s">
        <v>12311</v>
      </c>
      <c r="NLH3" s="12" t="s">
        <v>12312</v>
      </c>
      <c r="NLI3" s="12" t="s">
        <v>12313</v>
      </c>
      <c r="NLJ3" s="12" t="s">
        <v>12314</v>
      </c>
      <c r="NLK3" s="12" t="s">
        <v>12315</v>
      </c>
      <c r="NLL3" s="12" t="s">
        <v>12316</v>
      </c>
      <c r="NLM3" s="12" t="s">
        <v>12317</v>
      </c>
      <c r="NLN3" s="12" t="s">
        <v>12318</v>
      </c>
      <c r="NLO3" s="12" t="s">
        <v>12319</v>
      </c>
      <c r="NLP3" s="12" t="s">
        <v>12320</v>
      </c>
      <c r="NLQ3" s="12" t="s">
        <v>12321</v>
      </c>
      <c r="NLR3" s="12" t="s">
        <v>12322</v>
      </c>
      <c r="NLS3" s="12" t="s">
        <v>12323</v>
      </c>
      <c r="NLT3" s="12" t="s">
        <v>12324</v>
      </c>
      <c r="NLU3" s="12" t="s">
        <v>12325</v>
      </c>
      <c r="NLV3" s="12" t="s">
        <v>12326</v>
      </c>
      <c r="NLW3" s="12" t="s">
        <v>12327</v>
      </c>
      <c r="NLX3" s="12" t="s">
        <v>12328</v>
      </c>
      <c r="NLY3" s="12" t="s">
        <v>12329</v>
      </c>
      <c r="NLZ3" s="12" t="s">
        <v>12330</v>
      </c>
      <c r="NMA3" s="12" t="s">
        <v>12331</v>
      </c>
      <c r="NMB3" s="12" t="s">
        <v>12332</v>
      </c>
      <c r="NMC3" s="12" t="s">
        <v>12333</v>
      </c>
      <c r="NMD3" s="12" t="s">
        <v>12334</v>
      </c>
      <c r="NME3" s="12" t="s">
        <v>12335</v>
      </c>
      <c r="NMF3" s="12" t="s">
        <v>12336</v>
      </c>
      <c r="NMG3" s="12" t="s">
        <v>12337</v>
      </c>
      <c r="NMH3" s="12" t="s">
        <v>12338</v>
      </c>
      <c r="NMI3" s="12" t="s">
        <v>12339</v>
      </c>
      <c r="NMJ3" s="12" t="s">
        <v>12340</v>
      </c>
      <c r="NMK3" s="12" t="s">
        <v>12341</v>
      </c>
      <c r="NML3" s="12" t="s">
        <v>12342</v>
      </c>
      <c r="NMM3" s="12" t="s">
        <v>12343</v>
      </c>
      <c r="NMN3" s="12" t="s">
        <v>12344</v>
      </c>
      <c r="NMO3" s="12" t="s">
        <v>12345</v>
      </c>
      <c r="NMP3" s="12" t="s">
        <v>12346</v>
      </c>
      <c r="NMQ3" s="12" t="s">
        <v>12347</v>
      </c>
      <c r="NMR3" s="12" t="s">
        <v>12348</v>
      </c>
      <c r="NMS3" s="12" t="s">
        <v>12349</v>
      </c>
      <c r="NMT3" s="12" t="s">
        <v>12350</v>
      </c>
      <c r="NMU3" s="12" t="s">
        <v>12351</v>
      </c>
      <c r="NMV3" s="12" t="s">
        <v>12352</v>
      </c>
      <c r="NMW3" s="12" t="s">
        <v>12353</v>
      </c>
      <c r="NMX3" s="12" t="s">
        <v>12354</v>
      </c>
      <c r="NMY3" s="12" t="s">
        <v>12355</v>
      </c>
      <c r="NMZ3" s="12" t="s">
        <v>12356</v>
      </c>
      <c r="NNA3" s="12" t="s">
        <v>12357</v>
      </c>
      <c r="NNB3" s="12" t="s">
        <v>12358</v>
      </c>
      <c r="NNC3" s="12" t="s">
        <v>12359</v>
      </c>
      <c r="NND3" s="12" t="s">
        <v>12360</v>
      </c>
      <c r="NNE3" s="12" t="s">
        <v>12361</v>
      </c>
      <c r="NNF3" s="12" t="s">
        <v>12362</v>
      </c>
      <c r="NNG3" s="12" t="s">
        <v>12363</v>
      </c>
      <c r="NNH3" s="12" t="s">
        <v>12364</v>
      </c>
      <c r="NNI3" s="12" t="s">
        <v>12365</v>
      </c>
      <c r="NNJ3" s="12" t="s">
        <v>12366</v>
      </c>
      <c r="NNK3" s="12" t="s">
        <v>12367</v>
      </c>
      <c r="NNL3" s="12" t="s">
        <v>12368</v>
      </c>
      <c r="NNM3" s="12" t="s">
        <v>12369</v>
      </c>
      <c r="NNN3" s="12" t="s">
        <v>12370</v>
      </c>
      <c r="NNO3" s="12" t="s">
        <v>12371</v>
      </c>
      <c r="NNP3" s="12" t="s">
        <v>12372</v>
      </c>
      <c r="NNQ3" s="12" t="s">
        <v>12373</v>
      </c>
      <c r="NNR3" s="12" t="s">
        <v>12374</v>
      </c>
      <c r="NNS3" s="12" t="s">
        <v>12375</v>
      </c>
      <c r="NNT3" s="12" t="s">
        <v>12376</v>
      </c>
      <c r="NNU3" s="12" t="s">
        <v>12377</v>
      </c>
      <c r="NNV3" s="12" t="s">
        <v>12378</v>
      </c>
      <c r="NNW3" s="12" t="s">
        <v>12379</v>
      </c>
      <c r="NNX3" s="12" t="s">
        <v>12380</v>
      </c>
      <c r="NNY3" s="12" t="s">
        <v>12381</v>
      </c>
      <c r="NNZ3" s="12" t="s">
        <v>12382</v>
      </c>
      <c r="NOA3" s="12" t="s">
        <v>12383</v>
      </c>
      <c r="NOB3" s="12" t="s">
        <v>12384</v>
      </c>
      <c r="NOC3" s="12" t="s">
        <v>12385</v>
      </c>
      <c r="NOD3" s="12" t="s">
        <v>12386</v>
      </c>
      <c r="NOE3" s="12" t="s">
        <v>12387</v>
      </c>
      <c r="NOF3" s="12" t="s">
        <v>12388</v>
      </c>
      <c r="NOG3" s="12" t="s">
        <v>12389</v>
      </c>
      <c r="NOH3" s="12" t="s">
        <v>12390</v>
      </c>
      <c r="NOI3" s="12" t="s">
        <v>12391</v>
      </c>
      <c r="NOJ3" s="12" t="s">
        <v>12392</v>
      </c>
      <c r="NOK3" s="12" t="s">
        <v>12393</v>
      </c>
      <c r="NOL3" s="12" t="s">
        <v>12394</v>
      </c>
      <c r="NOM3" s="12" t="s">
        <v>12395</v>
      </c>
      <c r="NON3" s="12" t="s">
        <v>12396</v>
      </c>
      <c r="NOO3" s="12" t="s">
        <v>12397</v>
      </c>
      <c r="NOP3" s="12" t="s">
        <v>12398</v>
      </c>
      <c r="NOQ3" s="12" t="s">
        <v>12399</v>
      </c>
      <c r="NOR3" s="12" t="s">
        <v>12400</v>
      </c>
      <c r="NOS3" s="12" t="s">
        <v>12401</v>
      </c>
      <c r="NOT3" s="12" t="s">
        <v>12402</v>
      </c>
      <c r="NOU3" s="12" t="s">
        <v>12403</v>
      </c>
      <c r="NOV3" s="12" t="s">
        <v>12404</v>
      </c>
      <c r="NOW3" s="12" t="s">
        <v>12405</v>
      </c>
      <c r="NOX3" s="12" t="s">
        <v>12406</v>
      </c>
      <c r="NOY3" s="12" t="s">
        <v>12407</v>
      </c>
      <c r="NOZ3" s="12" t="s">
        <v>12408</v>
      </c>
      <c r="NPA3" s="12" t="s">
        <v>12409</v>
      </c>
      <c r="NPB3" s="12" t="s">
        <v>12410</v>
      </c>
      <c r="NPC3" s="12" t="s">
        <v>12411</v>
      </c>
      <c r="NPD3" s="12" t="s">
        <v>12412</v>
      </c>
      <c r="NPE3" s="12" t="s">
        <v>12413</v>
      </c>
      <c r="NPF3" s="12" t="s">
        <v>12414</v>
      </c>
      <c r="NPG3" s="12" t="s">
        <v>12415</v>
      </c>
      <c r="NPH3" s="12" t="s">
        <v>12416</v>
      </c>
      <c r="NPI3" s="12" t="s">
        <v>12417</v>
      </c>
      <c r="NPJ3" s="12" t="s">
        <v>12418</v>
      </c>
      <c r="NPK3" s="12" t="s">
        <v>12419</v>
      </c>
      <c r="NPL3" s="12" t="s">
        <v>12420</v>
      </c>
      <c r="NPM3" s="12" t="s">
        <v>12421</v>
      </c>
      <c r="NPN3" s="12" t="s">
        <v>12422</v>
      </c>
      <c r="NPO3" s="12" t="s">
        <v>12423</v>
      </c>
      <c r="NPP3" s="12" t="s">
        <v>12424</v>
      </c>
      <c r="NPQ3" s="12" t="s">
        <v>12425</v>
      </c>
      <c r="NPR3" s="12" t="s">
        <v>12426</v>
      </c>
      <c r="NPS3" s="12" t="s">
        <v>12427</v>
      </c>
      <c r="NPT3" s="12" t="s">
        <v>12428</v>
      </c>
      <c r="NPU3" s="12" t="s">
        <v>12429</v>
      </c>
      <c r="NPV3" s="12" t="s">
        <v>12430</v>
      </c>
      <c r="NPW3" s="12" t="s">
        <v>12431</v>
      </c>
      <c r="NPX3" s="12" t="s">
        <v>12432</v>
      </c>
      <c r="NPY3" s="12" t="s">
        <v>12433</v>
      </c>
      <c r="NPZ3" s="12" t="s">
        <v>12434</v>
      </c>
      <c r="NQA3" s="12" t="s">
        <v>12435</v>
      </c>
      <c r="NQB3" s="12" t="s">
        <v>12436</v>
      </c>
      <c r="NQC3" s="12" t="s">
        <v>12437</v>
      </c>
      <c r="NQD3" s="12" t="s">
        <v>12438</v>
      </c>
      <c r="NQE3" s="12" t="s">
        <v>12439</v>
      </c>
      <c r="NQF3" s="12" t="s">
        <v>12440</v>
      </c>
      <c r="NQG3" s="12" t="s">
        <v>12441</v>
      </c>
      <c r="NQH3" s="12" t="s">
        <v>12442</v>
      </c>
      <c r="NQI3" s="12" t="s">
        <v>12443</v>
      </c>
      <c r="NQJ3" s="12" t="s">
        <v>12444</v>
      </c>
      <c r="NQK3" s="12" t="s">
        <v>12445</v>
      </c>
      <c r="NQL3" s="12" t="s">
        <v>12446</v>
      </c>
      <c r="NQM3" s="12" t="s">
        <v>12447</v>
      </c>
      <c r="NQN3" s="12" t="s">
        <v>12448</v>
      </c>
      <c r="NQO3" s="12" t="s">
        <v>12449</v>
      </c>
      <c r="NQP3" s="12" t="s">
        <v>12450</v>
      </c>
      <c r="NQQ3" s="12" t="s">
        <v>12451</v>
      </c>
      <c r="NQR3" s="12" t="s">
        <v>12452</v>
      </c>
      <c r="NQS3" s="12" t="s">
        <v>12453</v>
      </c>
      <c r="NQT3" s="12" t="s">
        <v>12454</v>
      </c>
      <c r="NQU3" s="12" t="s">
        <v>12455</v>
      </c>
      <c r="NQV3" s="12" t="s">
        <v>12456</v>
      </c>
      <c r="NQW3" s="12" t="s">
        <v>12457</v>
      </c>
      <c r="NQX3" s="12" t="s">
        <v>12458</v>
      </c>
      <c r="NQY3" s="12" t="s">
        <v>12459</v>
      </c>
      <c r="NQZ3" s="12" t="s">
        <v>12460</v>
      </c>
      <c r="NRA3" s="12" t="s">
        <v>12461</v>
      </c>
      <c r="NRB3" s="12" t="s">
        <v>12462</v>
      </c>
      <c r="NRC3" s="12" t="s">
        <v>12463</v>
      </c>
      <c r="NRD3" s="12" t="s">
        <v>12464</v>
      </c>
      <c r="NRE3" s="12" t="s">
        <v>12465</v>
      </c>
      <c r="NRF3" s="12" t="s">
        <v>12466</v>
      </c>
      <c r="NRG3" s="12" t="s">
        <v>12467</v>
      </c>
      <c r="NRH3" s="12" t="s">
        <v>12468</v>
      </c>
      <c r="NRI3" s="12" t="s">
        <v>12469</v>
      </c>
      <c r="NRJ3" s="12" t="s">
        <v>12470</v>
      </c>
      <c r="NRK3" s="12" t="s">
        <v>12471</v>
      </c>
      <c r="NRL3" s="12" t="s">
        <v>12472</v>
      </c>
      <c r="NRM3" s="12" t="s">
        <v>12473</v>
      </c>
      <c r="NRN3" s="12" t="s">
        <v>12474</v>
      </c>
      <c r="NRO3" s="12" t="s">
        <v>12475</v>
      </c>
      <c r="NRP3" s="12" t="s">
        <v>12476</v>
      </c>
      <c r="NRQ3" s="12" t="s">
        <v>12477</v>
      </c>
      <c r="NRR3" s="12" t="s">
        <v>12478</v>
      </c>
      <c r="NRS3" s="12" t="s">
        <v>12479</v>
      </c>
      <c r="NRT3" s="12" t="s">
        <v>12480</v>
      </c>
      <c r="NRU3" s="12" t="s">
        <v>12481</v>
      </c>
      <c r="NRV3" s="12" t="s">
        <v>12482</v>
      </c>
      <c r="NRW3" s="12" t="s">
        <v>12483</v>
      </c>
      <c r="NRX3" s="12" t="s">
        <v>12484</v>
      </c>
      <c r="NRY3" s="12" t="s">
        <v>12485</v>
      </c>
      <c r="NRZ3" s="12" t="s">
        <v>12486</v>
      </c>
      <c r="NSA3" s="12" t="s">
        <v>12487</v>
      </c>
      <c r="NSB3" s="12" t="s">
        <v>12488</v>
      </c>
      <c r="NSC3" s="12" t="s">
        <v>12489</v>
      </c>
      <c r="NSD3" s="12" t="s">
        <v>12490</v>
      </c>
      <c r="NSE3" s="12" t="s">
        <v>12491</v>
      </c>
      <c r="NSF3" s="12" t="s">
        <v>12492</v>
      </c>
      <c r="NSG3" s="12" t="s">
        <v>12493</v>
      </c>
      <c r="NSH3" s="12" t="s">
        <v>12494</v>
      </c>
      <c r="NSI3" s="12" t="s">
        <v>12495</v>
      </c>
      <c r="NSJ3" s="12" t="s">
        <v>12496</v>
      </c>
      <c r="NSK3" s="12" t="s">
        <v>12497</v>
      </c>
      <c r="NSL3" s="12" t="s">
        <v>12498</v>
      </c>
      <c r="NSM3" s="12" t="s">
        <v>12499</v>
      </c>
      <c r="NSN3" s="12" t="s">
        <v>12500</v>
      </c>
      <c r="NSO3" s="12" t="s">
        <v>12501</v>
      </c>
      <c r="NSP3" s="12" t="s">
        <v>12502</v>
      </c>
      <c r="NSQ3" s="12" t="s">
        <v>12503</v>
      </c>
      <c r="NSR3" s="12" t="s">
        <v>12504</v>
      </c>
      <c r="NSS3" s="12" t="s">
        <v>12505</v>
      </c>
      <c r="NST3" s="12" t="s">
        <v>12506</v>
      </c>
      <c r="NSU3" s="12" t="s">
        <v>12507</v>
      </c>
      <c r="NSV3" s="12" t="s">
        <v>12508</v>
      </c>
      <c r="NSW3" s="12" t="s">
        <v>12509</v>
      </c>
      <c r="NSX3" s="12" t="s">
        <v>12510</v>
      </c>
      <c r="NSY3" s="12" t="s">
        <v>12511</v>
      </c>
      <c r="NSZ3" s="12" t="s">
        <v>12512</v>
      </c>
      <c r="NTA3" s="12" t="s">
        <v>12513</v>
      </c>
      <c r="NTB3" s="12" t="s">
        <v>12514</v>
      </c>
      <c r="NTC3" s="12" t="s">
        <v>12515</v>
      </c>
      <c r="NTD3" s="12" t="s">
        <v>12516</v>
      </c>
      <c r="NTE3" s="12" t="s">
        <v>12517</v>
      </c>
      <c r="NTF3" s="12" t="s">
        <v>12518</v>
      </c>
      <c r="NTG3" s="12" t="s">
        <v>12519</v>
      </c>
      <c r="NTH3" s="12" t="s">
        <v>12520</v>
      </c>
      <c r="NTI3" s="12" t="s">
        <v>12521</v>
      </c>
      <c r="NTJ3" s="12" t="s">
        <v>12522</v>
      </c>
      <c r="NTK3" s="12" t="s">
        <v>12523</v>
      </c>
      <c r="NTL3" s="12" t="s">
        <v>12524</v>
      </c>
      <c r="NTM3" s="12" t="s">
        <v>12525</v>
      </c>
      <c r="NTN3" s="12" t="s">
        <v>12526</v>
      </c>
      <c r="NTO3" s="12" t="s">
        <v>12527</v>
      </c>
      <c r="NTP3" s="12" t="s">
        <v>12528</v>
      </c>
      <c r="NTQ3" s="12" t="s">
        <v>12529</v>
      </c>
      <c r="NTR3" s="12" t="s">
        <v>12530</v>
      </c>
      <c r="NTS3" s="12" t="s">
        <v>12531</v>
      </c>
      <c r="NTT3" s="12" t="s">
        <v>12532</v>
      </c>
      <c r="NTU3" s="12" t="s">
        <v>12533</v>
      </c>
      <c r="NTV3" s="12" t="s">
        <v>12534</v>
      </c>
      <c r="NTW3" s="12" t="s">
        <v>12535</v>
      </c>
      <c r="NTX3" s="12" t="s">
        <v>12536</v>
      </c>
      <c r="NTY3" s="12" t="s">
        <v>12537</v>
      </c>
      <c r="NTZ3" s="12" t="s">
        <v>12538</v>
      </c>
      <c r="NUA3" s="12" t="s">
        <v>12539</v>
      </c>
      <c r="NUB3" s="12" t="s">
        <v>12540</v>
      </c>
      <c r="NUC3" s="12" t="s">
        <v>12541</v>
      </c>
      <c r="NUD3" s="12" t="s">
        <v>12542</v>
      </c>
      <c r="NUE3" s="12" t="s">
        <v>12543</v>
      </c>
      <c r="NUF3" s="12" t="s">
        <v>12544</v>
      </c>
      <c r="NUG3" s="12" t="s">
        <v>12545</v>
      </c>
      <c r="NUH3" s="12" t="s">
        <v>12546</v>
      </c>
      <c r="NUI3" s="12" t="s">
        <v>12547</v>
      </c>
      <c r="NUJ3" s="12" t="s">
        <v>12548</v>
      </c>
      <c r="NUK3" s="12" t="s">
        <v>12549</v>
      </c>
      <c r="NUL3" s="12" t="s">
        <v>12550</v>
      </c>
      <c r="NUM3" s="12" t="s">
        <v>12551</v>
      </c>
      <c r="NUN3" s="12" t="s">
        <v>12552</v>
      </c>
      <c r="NUO3" s="12" t="s">
        <v>12553</v>
      </c>
      <c r="NUP3" s="12" t="s">
        <v>12554</v>
      </c>
      <c r="NUQ3" s="12" t="s">
        <v>12555</v>
      </c>
      <c r="NUR3" s="12" t="s">
        <v>12556</v>
      </c>
      <c r="NUS3" s="12" t="s">
        <v>12557</v>
      </c>
      <c r="NUT3" s="12" t="s">
        <v>12558</v>
      </c>
      <c r="NUU3" s="12" t="s">
        <v>12559</v>
      </c>
      <c r="NUV3" s="12" t="s">
        <v>12560</v>
      </c>
      <c r="NUW3" s="12" t="s">
        <v>12561</v>
      </c>
      <c r="NUX3" s="12" t="s">
        <v>12562</v>
      </c>
      <c r="NUY3" s="12" t="s">
        <v>12563</v>
      </c>
      <c r="NUZ3" s="12" t="s">
        <v>12564</v>
      </c>
      <c r="NVA3" s="12" t="s">
        <v>12565</v>
      </c>
      <c r="NVB3" s="12" t="s">
        <v>12566</v>
      </c>
      <c r="NVC3" s="12" t="s">
        <v>12567</v>
      </c>
      <c r="NVD3" s="12" t="s">
        <v>12568</v>
      </c>
      <c r="NVE3" s="12" t="s">
        <v>12569</v>
      </c>
      <c r="NVF3" s="12" t="s">
        <v>12570</v>
      </c>
      <c r="NVG3" s="12" t="s">
        <v>12571</v>
      </c>
      <c r="NVH3" s="12" t="s">
        <v>12572</v>
      </c>
      <c r="NVI3" s="12" t="s">
        <v>12573</v>
      </c>
      <c r="NVJ3" s="12" t="s">
        <v>12574</v>
      </c>
      <c r="NVK3" s="12" t="s">
        <v>12575</v>
      </c>
      <c r="NVL3" s="12" t="s">
        <v>12576</v>
      </c>
      <c r="NVM3" s="12" t="s">
        <v>12577</v>
      </c>
      <c r="NVN3" s="12" t="s">
        <v>12578</v>
      </c>
      <c r="NVO3" s="12" t="s">
        <v>12579</v>
      </c>
      <c r="NVP3" s="12" t="s">
        <v>12580</v>
      </c>
      <c r="NVQ3" s="12" t="s">
        <v>12581</v>
      </c>
      <c r="NVR3" s="12" t="s">
        <v>12582</v>
      </c>
      <c r="NVS3" s="12" t="s">
        <v>12583</v>
      </c>
      <c r="NVT3" s="12" t="s">
        <v>12584</v>
      </c>
      <c r="NVU3" s="12" t="s">
        <v>12585</v>
      </c>
      <c r="NVV3" s="12" t="s">
        <v>12586</v>
      </c>
      <c r="NVW3" s="12" t="s">
        <v>12587</v>
      </c>
      <c r="NVX3" s="12" t="s">
        <v>12588</v>
      </c>
      <c r="NVY3" s="12" t="s">
        <v>12589</v>
      </c>
      <c r="NVZ3" s="12" t="s">
        <v>12590</v>
      </c>
      <c r="NWA3" s="12" t="s">
        <v>12591</v>
      </c>
      <c r="NWB3" s="12" t="s">
        <v>12592</v>
      </c>
      <c r="NWC3" s="12" t="s">
        <v>12593</v>
      </c>
      <c r="NWD3" s="12" t="s">
        <v>12594</v>
      </c>
      <c r="NWE3" s="12" t="s">
        <v>12595</v>
      </c>
      <c r="NWF3" s="12" t="s">
        <v>12596</v>
      </c>
      <c r="NWG3" s="12" t="s">
        <v>12597</v>
      </c>
      <c r="NWH3" s="12" t="s">
        <v>12598</v>
      </c>
      <c r="NWI3" s="12" t="s">
        <v>12599</v>
      </c>
      <c r="NWJ3" s="12" t="s">
        <v>12600</v>
      </c>
      <c r="NWK3" s="12" t="s">
        <v>12601</v>
      </c>
      <c r="NWL3" s="12" t="s">
        <v>12602</v>
      </c>
      <c r="NWM3" s="12" t="s">
        <v>12603</v>
      </c>
      <c r="NWN3" s="12" t="s">
        <v>12604</v>
      </c>
      <c r="NWO3" s="12" t="s">
        <v>12605</v>
      </c>
      <c r="NWP3" s="12" t="s">
        <v>12606</v>
      </c>
      <c r="NWQ3" s="12" t="s">
        <v>12607</v>
      </c>
      <c r="NWR3" s="12" t="s">
        <v>12608</v>
      </c>
      <c r="NWS3" s="12" t="s">
        <v>12609</v>
      </c>
      <c r="NWT3" s="12" t="s">
        <v>12610</v>
      </c>
      <c r="NWU3" s="12" t="s">
        <v>12611</v>
      </c>
      <c r="NWV3" s="12" t="s">
        <v>12612</v>
      </c>
      <c r="NWW3" s="12" t="s">
        <v>12613</v>
      </c>
      <c r="NWX3" s="12" t="s">
        <v>12614</v>
      </c>
      <c r="NWY3" s="12" t="s">
        <v>12615</v>
      </c>
      <c r="NWZ3" s="12" t="s">
        <v>12616</v>
      </c>
      <c r="NXA3" s="12" t="s">
        <v>12617</v>
      </c>
      <c r="NXB3" s="12" t="s">
        <v>12618</v>
      </c>
      <c r="NXC3" s="12" t="s">
        <v>12619</v>
      </c>
      <c r="NXD3" s="12" t="s">
        <v>12620</v>
      </c>
      <c r="NXE3" s="12" t="s">
        <v>12621</v>
      </c>
      <c r="NXF3" s="12" t="s">
        <v>12622</v>
      </c>
      <c r="NXG3" s="12" t="s">
        <v>12623</v>
      </c>
      <c r="NXH3" s="12" t="s">
        <v>12624</v>
      </c>
      <c r="NXI3" s="12" t="s">
        <v>12625</v>
      </c>
      <c r="NXJ3" s="12" t="s">
        <v>12626</v>
      </c>
      <c r="NXK3" s="12" t="s">
        <v>12627</v>
      </c>
      <c r="NXL3" s="12" t="s">
        <v>12628</v>
      </c>
      <c r="NXM3" s="12" t="s">
        <v>12629</v>
      </c>
      <c r="NXN3" s="12" t="s">
        <v>12630</v>
      </c>
      <c r="NXO3" s="12" t="s">
        <v>12631</v>
      </c>
      <c r="NXP3" s="12" t="s">
        <v>12632</v>
      </c>
      <c r="NXQ3" s="12" t="s">
        <v>12633</v>
      </c>
      <c r="NXR3" s="12" t="s">
        <v>12634</v>
      </c>
      <c r="NXS3" s="12" t="s">
        <v>12635</v>
      </c>
      <c r="NXT3" s="12" t="s">
        <v>12636</v>
      </c>
      <c r="NXU3" s="12" t="s">
        <v>12637</v>
      </c>
      <c r="NXV3" s="12" t="s">
        <v>12638</v>
      </c>
      <c r="NXW3" s="12" t="s">
        <v>12639</v>
      </c>
      <c r="NXX3" s="12" t="s">
        <v>12640</v>
      </c>
      <c r="NXY3" s="12" t="s">
        <v>12641</v>
      </c>
      <c r="NXZ3" s="12" t="s">
        <v>12642</v>
      </c>
      <c r="NYA3" s="12" t="s">
        <v>12643</v>
      </c>
      <c r="NYB3" s="12" t="s">
        <v>12644</v>
      </c>
      <c r="NYC3" s="12" t="s">
        <v>12645</v>
      </c>
      <c r="NYD3" s="12" t="s">
        <v>12646</v>
      </c>
      <c r="NYE3" s="12" t="s">
        <v>12647</v>
      </c>
      <c r="NYF3" s="12" t="s">
        <v>12648</v>
      </c>
      <c r="NYG3" s="12" t="s">
        <v>12649</v>
      </c>
      <c r="NYH3" s="12" t="s">
        <v>12650</v>
      </c>
      <c r="NYI3" s="12" t="s">
        <v>12651</v>
      </c>
      <c r="NYJ3" s="12" t="s">
        <v>12652</v>
      </c>
      <c r="NYK3" s="12" t="s">
        <v>12653</v>
      </c>
      <c r="NYL3" s="12" t="s">
        <v>12654</v>
      </c>
      <c r="NYM3" s="12" t="s">
        <v>12655</v>
      </c>
      <c r="NYN3" s="12" t="s">
        <v>12656</v>
      </c>
      <c r="NYO3" s="12" t="s">
        <v>12657</v>
      </c>
      <c r="NYP3" s="12" t="s">
        <v>12658</v>
      </c>
      <c r="NYQ3" s="12" t="s">
        <v>12659</v>
      </c>
      <c r="NYR3" s="12" t="s">
        <v>12660</v>
      </c>
      <c r="NYS3" s="12" t="s">
        <v>12661</v>
      </c>
      <c r="NYT3" s="12" t="s">
        <v>12662</v>
      </c>
      <c r="NYU3" s="12" t="s">
        <v>12663</v>
      </c>
      <c r="NYV3" s="12" t="s">
        <v>12664</v>
      </c>
      <c r="NYW3" s="12" t="s">
        <v>12665</v>
      </c>
      <c r="NYX3" s="12" t="s">
        <v>12666</v>
      </c>
      <c r="NYY3" s="12" t="s">
        <v>12667</v>
      </c>
      <c r="NYZ3" s="12" t="s">
        <v>12668</v>
      </c>
      <c r="NZA3" s="12" t="s">
        <v>12669</v>
      </c>
      <c r="NZB3" s="12" t="s">
        <v>12670</v>
      </c>
      <c r="NZC3" s="12" t="s">
        <v>12671</v>
      </c>
      <c r="NZD3" s="12" t="s">
        <v>12672</v>
      </c>
      <c r="NZE3" s="12" t="s">
        <v>12673</v>
      </c>
      <c r="NZF3" s="12" t="s">
        <v>12674</v>
      </c>
      <c r="NZG3" s="12" t="s">
        <v>12675</v>
      </c>
      <c r="NZH3" s="12" t="s">
        <v>12676</v>
      </c>
      <c r="NZI3" s="12" t="s">
        <v>12677</v>
      </c>
      <c r="NZJ3" s="12" t="s">
        <v>12678</v>
      </c>
      <c r="NZK3" s="12" t="s">
        <v>12679</v>
      </c>
      <c r="NZL3" s="12" t="s">
        <v>12680</v>
      </c>
      <c r="NZM3" s="12" t="s">
        <v>12681</v>
      </c>
      <c r="NZN3" s="12" t="s">
        <v>12682</v>
      </c>
      <c r="NZO3" s="12" t="s">
        <v>12683</v>
      </c>
      <c r="NZP3" s="12" t="s">
        <v>12684</v>
      </c>
      <c r="NZQ3" s="12" t="s">
        <v>12685</v>
      </c>
      <c r="NZR3" s="12" t="s">
        <v>12686</v>
      </c>
      <c r="NZS3" s="12" t="s">
        <v>12687</v>
      </c>
      <c r="NZT3" s="12" t="s">
        <v>12688</v>
      </c>
      <c r="NZU3" s="12" t="s">
        <v>12689</v>
      </c>
      <c r="NZV3" s="12" t="s">
        <v>12690</v>
      </c>
      <c r="NZW3" s="12" t="s">
        <v>12691</v>
      </c>
      <c r="NZX3" s="12" t="s">
        <v>12692</v>
      </c>
      <c r="NZY3" s="12" t="s">
        <v>12693</v>
      </c>
      <c r="NZZ3" s="12" t="s">
        <v>12694</v>
      </c>
      <c r="OAA3" s="12" t="s">
        <v>12695</v>
      </c>
      <c r="OAB3" s="12" t="s">
        <v>12696</v>
      </c>
      <c r="OAC3" s="12" t="s">
        <v>12697</v>
      </c>
      <c r="OAD3" s="12" t="s">
        <v>12698</v>
      </c>
      <c r="OAE3" s="12" t="s">
        <v>12699</v>
      </c>
      <c r="OAF3" s="12" t="s">
        <v>12700</v>
      </c>
      <c r="OAG3" s="12" t="s">
        <v>12701</v>
      </c>
      <c r="OAH3" s="12" t="s">
        <v>12702</v>
      </c>
      <c r="OAI3" s="12" t="s">
        <v>12703</v>
      </c>
      <c r="OAJ3" s="12" t="s">
        <v>12704</v>
      </c>
      <c r="OAK3" s="12" t="s">
        <v>12705</v>
      </c>
      <c r="OAL3" s="12" t="s">
        <v>12706</v>
      </c>
      <c r="OAM3" s="12" t="s">
        <v>12707</v>
      </c>
      <c r="OAN3" s="12" t="s">
        <v>12708</v>
      </c>
      <c r="OAO3" s="12" t="s">
        <v>12709</v>
      </c>
      <c r="OAP3" s="12" t="s">
        <v>12710</v>
      </c>
      <c r="OAQ3" s="12" t="s">
        <v>12711</v>
      </c>
      <c r="OAR3" s="12" t="s">
        <v>12712</v>
      </c>
      <c r="OAS3" s="12" t="s">
        <v>12713</v>
      </c>
      <c r="OAT3" s="12" t="s">
        <v>12714</v>
      </c>
      <c r="OAU3" s="12" t="s">
        <v>12715</v>
      </c>
      <c r="OAV3" s="12" t="s">
        <v>12716</v>
      </c>
      <c r="OAW3" s="12" t="s">
        <v>12717</v>
      </c>
      <c r="OAX3" s="12" t="s">
        <v>12718</v>
      </c>
      <c r="OAY3" s="12" t="s">
        <v>12719</v>
      </c>
      <c r="OAZ3" s="12" t="s">
        <v>12720</v>
      </c>
      <c r="OBA3" s="12" t="s">
        <v>12721</v>
      </c>
      <c r="OBB3" s="12" t="s">
        <v>12722</v>
      </c>
      <c r="OBC3" s="12" t="s">
        <v>12723</v>
      </c>
      <c r="OBD3" s="12" t="s">
        <v>12724</v>
      </c>
      <c r="OBE3" s="12" t="s">
        <v>12725</v>
      </c>
      <c r="OBF3" s="12" t="s">
        <v>12726</v>
      </c>
      <c r="OBG3" s="12" t="s">
        <v>12727</v>
      </c>
      <c r="OBH3" s="12" t="s">
        <v>12728</v>
      </c>
      <c r="OBI3" s="12" t="s">
        <v>12729</v>
      </c>
      <c r="OBJ3" s="12" t="s">
        <v>12730</v>
      </c>
      <c r="OBK3" s="12" t="s">
        <v>12731</v>
      </c>
      <c r="OBL3" s="12" t="s">
        <v>12732</v>
      </c>
      <c r="OBM3" s="12" t="s">
        <v>12733</v>
      </c>
      <c r="OBN3" s="12" t="s">
        <v>12734</v>
      </c>
      <c r="OBO3" s="12" t="s">
        <v>12735</v>
      </c>
      <c r="OBP3" s="12" t="s">
        <v>12736</v>
      </c>
      <c r="OBQ3" s="12" t="s">
        <v>12737</v>
      </c>
      <c r="OBR3" s="12" t="s">
        <v>12738</v>
      </c>
      <c r="OBS3" s="12" t="s">
        <v>12739</v>
      </c>
      <c r="OBT3" s="12" t="s">
        <v>12740</v>
      </c>
      <c r="OBU3" s="12" t="s">
        <v>12741</v>
      </c>
      <c r="OBV3" s="12" t="s">
        <v>12742</v>
      </c>
      <c r="OBW3" s="12" t="s">
        <v>12743</v>
      </c>
      <c r="OBX3" s="12" t="s">
        <v>12744</v>
      </c>
      <c r="OBY3" s="12" t="s">
        <v>12745</v>
      </c>
      <c r="OBZ3" s="12" t="s">
        <v>12746</v>
      </c>
      <c r="OCA3" s="12" t="s">
        <v>12747</v>
      </c>
      <c r="OCB3" s="12" t="s">
        <v>12748</v>
      </c>
      <c r="OCC3" s="12" t="s">
        <v>12749</v>
      </c>
      <c r="OCD3" s="12" t="s">
        <v>12750</v>
      </c>
      <c r="OCE3" s="12" t="s">
        <v>12751</v>
      </c>
      <c r="OCF3" s="12" t="s">
        <v>12752</v>
      </c>
      <c r="OCG3" s="12" t="s">
        <v>12753</v>
      </c>
      <c r="OCH3" s="12" t="s">
        <v>12754</v>
      </c>
      <c r="OCI3" s="12" t="s">
        <v>12755</v>
      </c>
      <c r="OCJ3" s="12" t="s">
        <v>12756</v>
      </c>
      <c r="OCK3" s="12" t="s">
        <v>12757</v>
      </c>
      <c r="OCL3" s="12" t="s">
        <v>12758</v>
      </c>
      <c r="OCM3" s="12" t="s">
        <v>12759</v>
      </c>
      <c r="OCN3" s="12" t="s">
        <v>12760</v>
      </c>
      <c r="OCO3" s="12" t="s">
        <v>12761</v>
      </c>
      <c r="OCP3" s="12" t="s">
        <v>12762</v>
      </c>
      <c r="OCQ3" s="12" t="s">
        <v>12763</v>
      </c>
      <c r="OCR3" s="12" t="s">
        <v>12764</v>
      </c>
      <c r="OCS3" s="12" t="s">
        <v>12765</v>
      </c>
      <c r="OCT3" s="12" t="s">
        <v>12766</v>
      </c>
      <c r="OCU3" s="12" t="s">
        <v>12767</v>
      </c>
      <c r="OCV3" s="12" t="s">
        <v>12768</v>
      </c>
      <c r="OCW3" s="12" t="s">
        <v>12769</v>
      </c>
      <c r="OCX3" s="12" t="s">
        <v>12770</v>
      </c>
      <c r="OCY3" s="12" t="s">
        <v>12771</v>
      </c>
      <c r="OCZ3" s="12" t="s">
        <v>12772</v>
      </c>
      <c r="ODA3" s="12" t="s">
        <v>12773</v>
      </c>
      <c r="ODB3" s="12" t="s">
        <v>12774</v>
      </c>
      <c r="ODC3" s="12" t="s">
        <v>12775</v>
      </c>
      <c r="ODD3" s="12" t="s">
        <v>12776</v>
      </c>
      <c r="ODE3" s="12" t="s">
        <v>12777</v>
      </c>
      <c r="ODF3" s="12" t="s">
        <v>12778</v>
      </c>
      <c r="ODG3" s="12" t="s">
        <v>12779</v>
      </c>
      <c r="ODH3" s="12" t="s">
        <v>12780</v>
      </c>
      <c r="ODI3" s="12" t="s">
        <v>12781</v>
      </c>
      <c r="ODJ3" s="12" t="s">
        <v>12782</v>
      </c>
      <c r="ODK3" s="12" t="s">
        <v>12783</v>
      </c>
      <c r="ODL3" s="12" t="s">
        <v>12784</v>
      </c>
      <c r="ODM3" s="12" t="s">
        <v>12785</v>
      </c>
      <c r="ODN3" s="12" t="s">
        <v>12786</v>
      </c>
      <c r="ODO3" s="12" t="s">
        <v>12787</v>
      </c>
      <c r="ODP3" s="12" t="s">
        <v>12788</v>
      </c>
      <c r="ODQ3" s="12" t="s">
        <v>12789</v>
      </c>
      <c r="ODR3" s="12" t="s">
        <v>12790</v>
      </c>
      <c r="ODS3" s="12" t="s">
        <v>12791</v>
      </c>
      <c r="ODT3" s="12" t="s">
        <v>12792</v>
      </c>
      <c r="ODU3" s="12" t="s">
        <v>12793</v>
      </c>
      <c r="ODV3" s="12" t="s">
        <v>12794</v>
      </c>
      <c r="ODW3" s="12" t="s">
        <v>12795</v>
      </c>
      <c r="ODX3" s="12" t="s">
        <v>12796</v>
      </c>
      <c r="ODY3" s="12" t="s">
        <v>12797</v>
      </c>
      <c r="ODZ3" s="12" t="s">
        <v>12798</v>
      </c>
      <c r="OEA3" s="12" t="s">
        <v>12799</v>
      </c>
      <c r="OEB3" s="12" t="s">
        <v>12800</v>
      </c>
      <c r="OEC3" s="12" t="s">
        <v>12801</v>
      </c>
      <c r="OED3" s="12" t="s">
        <v>12802</v>
      </c>
      <c r="OEE3" s="12" t="s">
        <v>12803</v>
      </c>
      <c r="OEF3" s="12" t="s">
        <v>12804</v>
      </c>
      <c r="OEG3" s="12" t="s">
        <v>12805</v>
      </c>
      <c r="OEH3" s="12" t="s">
        <v>12806</v>
      </c>
      <c r="OEI3" s="12" t="s">
        <v>12807</v>
      </c>
      <c r="OEJ3" s="12" t="s">
        <v>12808</v>
      </c>
      <c r="OEK3" s="12" t="s">
        <v>12809</v>
      </c>
      <c r="OEL3" s="12" t="s">
        <v>12810</v>
      </c>
      <c r="OEM3" s="12" t="s">
        <v>12811</v>
      </c>
      <c r="OEN3" s="12" t="s">
        <v>12812</v>
      </c>
      <c r="OEO3" s="12" t="s">
        <v>12813</v>
      </c>
      <c r="OEP3" s="12" t="s">
        <v>12814</v>
      </c>
      <c r="OEQ3" s="12" t="s">
        <v>12815</v>
      </c>
      <c r="OER3" s="12" t="s">
        <v>12816</v>
      </c>
      <c r="OES3" s="12" t="s">
        <v>12817</v>
      </c>
      <c r="OET3" s="12" t="s">
        <v>12818</v>
      </c>
      <c r="OEU3" s="12" t="s">
        <v>12819</v>
      </c>
      <c r="OEV3" s="12" t="s">
        <v>12820</v>
      </c>
      <c r="OEW3" s="12" t="s">
        <v>12821</v>
      </c>
      <c r="OEX3" s="12" t="s">
        <v>12822</v>
      </c>
      <c r="OEY3" s="12" t="s">
        <v>12823</v>
      </c>
      <c r="OEZ3" s="12" t="s">
        <v>12824</v>
      </c>
      <c r="OFA3" s="12" t="s">
        <v>12825</v>
      </c>
      <c r="OFB3" s="12" t="s">
        <v>12826</v>
      </c>
      <c r="OFC3" s="12" t="s">
        <v>12827</v>
      </c>
      <c r="OFD3" s="12" t="s">
        <v>12828</v>
      </c>
      <c r="OFE3" s="12" t="s">
        <v>12829</v>
      </c>
      <c r="OFF3" s="12" t="s">
        <v>12830</v>
      </c>
      <c r="OFG3" s="12" t="s">
        <v>12831</v>
      </c>
      <c r="OFH3" s="12" t="s">
        <v>12832</v>
      </c>
      <c r="OFI3" s="12" t="s">
        <v>12833</v>
      </c>
      <c r="OFJ3" s="12" t="s">
        <v>12834</v>
      </c>
      <c r="OFK3" s="12" t="s">
        <v>12835</v>
      </c>
      <c r="OFL3" s="12" t="s">
        <v>12836</v>
      </c>
      <c r="OFM3" s="12" t="s">
        <v>12837</v>
      </c>
      <c r="OFN3" s="12" t="s">
        <v>12838</v>
      </c>
      <c r="OFO3" s="12" t="s">
        <v>12839</v>
      </c>
      <c r="OFP3" s="12" t="s">
        <v>12840</v>
      </c>
      <c r="OFQ3" s="12" t="s">
        <v>12841</v>
      </c>
      <c r="OFR3" s="12" t="s">
        <v>12842</v>
      </c>
      <c r="OFS3" s="12" t="s">
        <v>12843</v>
      </c>
      <c r="OFT3" s="12" t="s">
        <v>12844</v>
      </c>
      <c r="OFU3" s="12" t="s">
        <v>12845</v>
      </c>
      <c r="OFV3" s="12" t="s">
        <v>12846</v>
      </c>
      <c r="OFW3" s="12" t="s">
        <v>12847</v>
      </c>
      <c r="OFX3" s="12" t="s">
        <v>12848</v>
      </c>
      <c r="OFY3" s="12" t="s">
        <v>12849</v>
      </c>
      <c r="OFZ3" s="12" t="s">
        <v>12850</v>
      </c>
      <c r="OGA3" s="12" t="s">
        <v>12851</v>
      </c>
      <c r="OGB3" s="12" t="s">
        <v>12852</v>
      </c>
      <c r="OGC3" s="12" t="s">
        <v>12853</v>
      </c>
      <c r="OGD3" s="12" t="s">
        <v>12854</v>
      </c>
      <c r="OGE3" s="12" t="s">
        <v>12855</v>
      </c>
      <c r="OGF3" s="12" t="s">
        <v>12856</v>
      </c>
      <c r="OGG3" s="12" t="s">
        <v>12857</v>
      </c>
      <c r="OGH3" s="12" t="s">
        <v>12858</v>
      </c>
      <c r="OGI3" s="12" t="s">
        <v>12859</v>
      </c>
      <c r="OGJ3" s="12" t="s">
        <v>12860</v>
      </c>
      <c r="OGK3" s="12" t="s">
        <v>12861</v>
      </c>
      <c r="OGL3" s="12" t="s">
        <v>12862</v>
      </c>
      <c r="OGM3" s="12" t="s">
        <v>12863</v>
      </c>
      <c r="OGN3" s="12" t="s">
        <v>12864</v>
      </c>
      <c r="OGO3" s="12" t="s">
        <v>12865</v>
      </c>
      <c r="OGP3" s="12" t="s">
        <v>12866</v>
      </c>
      <c r="OGQ3" s="12" t="s">
        <v>12867</v>
      </c>
      <c r="OGR3" s="12" t="s">
        <v>12868</v>
      </c>
      <c r="OGS3" s="12" t="s">
        <v>12869</v>
      </c>
      <c r="OGT3" s="12" t="s">
        <v>12870</v>
      </c>
      <c r="OGU3" s="12" t="s">
        <v>12871</v>
      </c>
      <c r="OGV3" s="12" t="s">
        <v>12872</v>
      </c>
      <c r="OGW3" s="12" t="s">
        <v>12873</v>
      </c>
      <c r="OGX3" s="12" t="s">
        <v>12874</v>
      </c>
      <c r="OGY3" s="12" t="s">
        <v>12875</v>
      </c>
      <c r="OGZ3" s="12" t="s">
        <v>12876</v>
      </c>
      <c r="OHA3" s="12" t="s">
        <v>12877</v>
      </c>
      <c r="OHB3" s="12" t="s">
        <v>12878</v>
      </c>
      <c r="OHC3" s="12" t="s">
        <v>12879</v>
      </c>
      <c r="OHD3" s="12" t="s">
        <v>12880</v>
      </c>
      <c r="OHE3" s="12" t="s">
        <v>12881</v>
      </c>
      <c r="OHF3" s="12" t="s">
        <v>12882</v>
      </c>
      <c r="OHG3" s="12" t="s">
        <v>12883</v>
      </c>
      <c r="OHH3" s="12" t="s">
        <v>12884</v>
      </c>
      <c r="OHI3" s="12" t="s">
        <v>12885</v>
      </c>
      <c r="OHJ3" s="12" t="s">
        <v>12886</v>
      </c>
      <c r="OHK3" s="12" t="s">
        <v>12887</v>
      </c>
      <c r="OHL3" s="12" t="s">
        <v>12888</v>
      </c>
      <c r="OHM3" s="12" t="s">
        <v>12889</v>
      </c>
      <c r="OHN3" s="12" t="s">
        <v>12890</v>
      </c>
      <c r="OHO3" s="12" t="s">
        <v>12891</v>
      </c>
      <c r="OHP3" s="12" t="s">
        <v>12892</v>
      </c>
      <c r="OHQ3" s="12" t="s">
        <v>12893</v>
      </c>
      <c r="OHR3" s="12" t="s">
        <v>12894</v>
      </c>
      <c r="OHS3" s="12" t="s">
        <v>12895</v>
      </c>
      <c r="OHT3" s="12" t="s">
        <v>12896</v>
      </c>
      <c r="OHU3" s="12" t="s">
        <v>12897</v>
      </c>
      <c r="OHV3" s="12" t="s">
        <v>12898</v>
      </c>
      <c r="OHW3" s="12" t="s">
        <v>12899</v>
      </c>
      <c r="OHX3" s="12" t="s">
        <v>12900</v>
      </c>
      <c r="OHY3" s="12" t="s">
        <v>12901</v>
      </c>
      <c r="OHZ3" s="12" t="s">
        <v>12902</v>
      </c>
      <c r="OIA3" s="12" t="s">
        <v>12903</v>
      </c>
      <c r="OIB3" s="12" t="s">
        <v>12904</v>
      </c>
      <c r="OIC3" s="12" t="s">
        <v>12905</v>
      </c>
      <c r="OID3" s="12" t="s">
        <v>12906</v>
      </c>
      <c r="OIE3" s="12" t="s">
        <v>12907</v>
      </c>
      <c r="OIF3" s="12" t="s">
        <v>12908</v>
      </c>
      <c r="OIG3" s="12" t="s">
        <v>12909</v>
      </c>
      <c r="OIH3" s="12" t="s">
        <v>12910</v>
      </c>
      <c r="OII3" s="12" t="s">
        <v>12911</v>
      </c>
      <c r="OIJ3" s="12" t="s">
        <v>12912</v>
      </c>
      <c r="OIK3" s="12" t="s">
        <v>12913</v>
      </c>
      <c r="OIL3" s="12" t="s">
        <v>12914</v>
      </c>
      <c r="OIM3" s="12" t="s">
        <v>12915</v>
      </c>
      <c r="OIN3" s="12" t="s">
        <v>12916</v>
      </c>
      <c r="OIO3" s="12" t="s">
        <v>12917</v>
      </c>
      <c r="OIP3" s="12" t="s">
        <v>12918</v>
      </c>
      <c r="OIQ3" s="12" t="s">
        <v>12919</v>
      </c>
      <c r="OIR3" s="12" t="s">
        <v>12920</v>
      </c>
      <c r="OIS3" s="12" t="s">
        <v>12921</v>
      </c>
      <c r="OIT3" s="12" t="s">
        <v>12922</v>
      </c>
      <c r="OIU3" s="12" t="s">
        <v>12923</v>
      </c>
      <c r="OIV3" s="12" t="s">
        <v>12924</v>
      </c>
      <c r="OIW3" s="12" t="s">
        <v>12925</v>
      </c>
      <c r="OIX3" s="12" t="s">
        <v>12926</v>
      </c>
      <c r="OIY3" s="12" t="s">
        <v>12927</v>
      </c>
      <c r="OIZ3" s="12" t="s">
        <v>12928</v>
      </c>
      <c r="OJA3" s="12" t="s">
        <v>12929</v>
      </c>
      <c r="OJB3" s="12" t="s">
        <v>12930</v>
      </c>
      <c r="OJC3" s="12" t="s">
        <v>12931</v>
      </c>
      <c r="OJD3" s="12" t="s">
        <v>12932</v>
      </c>
      <c r="OJE3" s="12" t="s">
        <v>12933</v>
      </c>
      <c r="OJF3" s="12" t="s">
        <v>12934</v>
      </c>
      <c r="OJG3" s="12" t="s">
        <v>12935</v>
      </c>
      <c r="OJH3" s="12" t="s">
        <v>12936</v>
      </c>
      <c r="OJI3" s="12" t="s">
        <v>12937</v>
      </c>
      <c r="OJJ3" s="12" t="s">
        <v>12938</v>
      </c>
      <c r="OJK3" s="12" t="s">
        <v>12939</v>
      </c>
      <c r="OJL3" s="12" t="s">
        <v>12940</v>
      </c>
      <c r="OJM3" s="12" t="s">
        <v>12941</v>
      </c>
      <c r="OJN3" s="12" t="s">
        <v>12942</v>
      </c>
      <c r="OJO3" s="12" t="s">
        <v>12943</v>
      </c>
      <c r="OJP3" s="12" t="s">
        <v>12944</v>
      </c>
      <c r="OJQ3" s="12" t="s">
        <v>12945</v>
      </c>
      <c r="OJR3" s="12" t="s">
        <v>12946</v>
      </c>
      <c r="OJS3" s="12" t="s">
        <v>12947</v>
      </c>
      <c r="OJT3" s="12" t="s">
        <v>12948</v>
      </c>
      <c r="OJU3" s="12" t="s">
        <v>12949</v>
      </c>
      <c r="OJV3" s="12" t="s">
        <v>12950</v>
      </c>
      <c r="OJW3" s="12" t="s">
        <v>12951</v>
      </c>
      <c r="OJX3" s="12" t="s">
        <v>12952</v>
      </c>
      <c r="OJY3" s="12" t="s">
        <v>12953</v>
      </c>
      <c r="OJZ3" s="12" t="s">
        <v>12954</v>
      </c>
      <c r="OKA3" s="12" t="s">
        <v>12955</v>
      </c>
      <c r="OKB3" s="12" t="s">
        <v>12956</v>
      </c>
      <c r="OKC3" s="12" t="s">
        <v>12957</v>
      </c>
      <c r="OKD3" s="12" t="s">
        <v>12958</v>
      </c>
      <c r="OKE3" s="12" t="s">
        <v>12959</v>
      </c>
      <c r="OKF3" s="12" t="s">
        <v>12960</v>
      </c>
      <c r="OKG3" s="12" t="s">
        <v>12961</v>
      </c>
      <c r="OKH3" s="12" t="s">
        <v>12962</v>
      </c>
      <c r="OKI3" s="12" t="s">
        <v>12963</v>
      </c>
      <c r="OKJ3" s="12" t="s">
        <v>12964</v>
      </c>
      <c r="OKK3" s="12" t="s">
        <v>12965</v>
      </c>
      <c r="OKL3" s="12" t="s">
        <v>12966</v>
      </c>
      <c r="OKM3" s="12" t="s">
        <v>12967</v>
      </c>
      <c r="OKN3" s="12" t="s">
        <v>12968</v>
      </c>
      <c r="OKO3" s="12" t="s">
        <v>12969</v>
      </c>
      <c r="OKP3" s="12" t="s">
        <v>12970</v>
      </c>
      <c r="OKQ3" s="12" t="s">
        <v>12971</v>
      </c>
      <c r="OKR3" s="12" t="s">
        <v>12972</v>
      </c>
      <c r="OKS3" s="12" t="s">
        <v>12973</v>
      </c>
      <c r="OKT3" s="12" t="s">
        <v>12974</v>
      </c>
      <c r="OKU3" s="12" t="s">
        <v>12975</v>
      </c>
      <c r="OKV3" s="12" t="s">
        <v>12976</v>
      </c>
      <c r="OKW3" s="12" t="s">
        <v>12977</v>
      </c>
      <c r="OKX3" s="12" t="s">
        <v>12978</v>
      </c>
      <c r="OKY3" s="12" t="s">
        <v>12979</v>
      </c>
      <c r="OKZ3" s="12" t="s">
        <v>12980</v>
      </c>
      <c r="OLA3" s="12" t="s">
        <v>12981</v>
      </c>
      <c r="OLB3" s="12" t="s">
        <v>12982</v>
      </c>
      <c r="OLC3" s="12" t="s">
        <v>12983</v>
      </c>
      <c r="OLD3" s="12" t="s">
        <v>12984</v>
      </c>
      <c r="OLE3" s="12" t="s">
        <v>12985</v>
      </c>
      <c r="OLF3" s="12" t="s">
        <v>12986</v>
      </c>
      <c r="OLG3" s="12" t="s">
        <v>12987</v>
      </c>
      <c r="OLH3" s="12" t="s">
        <v>12988</v>
      </c>
      <c r="OLI3" s="12" t="s">
        <v>12989</v>
      </c>
      <c r="OLJ3" s="12" t="s">
        <v>12990</v>
      </c>
      <c r="OLK3" s="12" t="s">
        <v>12991</v>
      </c>
      <c r="OLL3" s="12" t="s">
        <v>12992</v>
      </c>
      <c r="OLM3" s="12" t="s">
        <v>12993</v>
      </c>
      <c r="OLN3" s="12" t="s">
        <v>12994</v>
      </c>
      <c r="OLO3" s="12" t="s">
        <v>12995</v>
      </c>
      <c r="OLP3" s="12" t="s">
        <v>12996</v>
      </c>
      <c r="OLQ3" s="12" t="s">
        <v>12997</v>
      </c>
      <c r="OLR3" s="12" t="s">
        <v>12998</v>
      </c>
      <c r="OLS3" s="12" t="s">
        <v>12999</v>
      </c>
      <c r="OLT3" s="12" t="s">
        <v>13000</v>
      </c>
      <c r="OLU3" s="12" t="s">
        <v>13001</v>
      </c>
      <c r="OLV3" s="12" t="s">
        <v>13002</v>
      </c>
      <c r="OLW3" s="12" t="s">
        <v>13003</v>
      </c>
      <c r="OLX3" s="12" t="s">
        <v>13004</v>
      </c>
      <c r="OLY3" s="12" t="s">
        <v>13005</v>
      </c>
      <c r="OLZ3" s="12" t="s">
        <v>13006</v>
      </c>
      <c r="OMA3" s="12" t="s">
        <v>13007</v>
      </c>
      <c r="OMB3" s="12" t="s">
        <v>13008</v>
      </c>
      <c r="OMC3" s="12" t="s">
        <v>13009</v>
      </c>
      <c r="OMD3" s="12" t="s">
        <v>13010</v>
      </c>
      <c r="OME3" s="12" t="s">
        <v>13011</v>
      </c>
      <c r="OMF3" s="12" t="s">
        <v>13012</v>
      </c>
      <c r="OMG3" s="12" t="s">
        <v>13013</v>
      </c>
      <c r="OMH3" s="12" t="s">
        <v>13014</v>
      </c>
      <c r="OMI3" s="12" t="s">
        <v>13015</v>
      </c>
      <c r="OMJ3" s="12" t="s">
        <v>13016</v>
      </c>
      <c r="OMK3" s="12" t="s">
        <v>13017</v>
      </c>
      <c r="OML3" s="12" t="s">
        <v>13018</v>
      </c>
      <c r="OMM3" s="12" t="s">
        <v>13019</v>
      </c>
      <c r="OMN3" s="12" t="s">
        <v>13020</v>
      </c>
      <c r="OMO3" s="12" t="s">
        <v>13021</v>
      </c>
      <c r="OMP3" s="12" t="s">
        <v>13022</v>
      </c>
      <c r="OMQ3" s="12" t="s">
        <v>13023</v>
      </c>
      <c r="OMR3" s="12" t="s">
        <v>13024</v>
      </c>
      <c r="OMS3" s="12" t="s">
        <v>13025</v>
      </c>
      <c r="OMT3" s="12" t="s">
        <v>13026</v>
      </c>
      <c r="OMU3" s="12" t="s">
        <v>13027</v>
      </c>
      <c r="OMV3" s="12" t="s">
        <v>13028</v>
      </c>
      <c r="OMW3" s="12" t="s">
        <v>13029</v>
      </c>
      <c r="OMX3" s="12" t="s">
        <v>13030</v>
      </c>
      <c r="OMY3" s="12" t="s">
        <v>13031</v>
      </c>
      <c r="OMZ3" s="12" t="s">
        <v>13032</v>
      </c>
      <c r="ONA3" s="12" t="s">
        <v>13033</v>
      </c>
      <c r="ONB3" s="12" t="s">
        <v>13034</v>
      </c>
      <c r="ONC3" s="12" t="s">
        <v>13035</v>
      </c>
      <c r="OND3" s="12" t="s">
        <v>13036</v>
      </c>
      <c r="ONE3" s="12" t="s">
        <v>13037</v>
      </c>
      <c r="ONF3" s="12" t="s">
        <v>13038</v>
      </c>
      <c r="ONG3" s="12" t="s">
        <v>13039</v>
      </c>
      <c r="ONH3" s="12" t="s">
        <v>13040</v>
      </c>
      <c r="ONI3" s="12" t="s">
        <v>13041</v>
      </c>
      <c r="ONJ3" s="12" t="s">
        <v>13042</v>
      </c>
      <c r="ONK3" s="12" t="s">
        <v>13043</v>
      </c>
      <c r="ONL3" s="12" t="s">
        <v>13044</v>
      </c>
      <c r="ONM3" s="12" t="s">
        <v>13045</v>
      </c>
      <c r="ONN3" s="12" t="s">
        <v>13046</v>
      </c>
      <c r="ONO3" s="12" t="s">
        <v>13047</v>
      </c>
      <c r="ONP3" s="12" t="s">
        <v>13048</v>
      </c>
      <c r="ONQ3" s="12" t="s">
        <v>13049</v>
      </c>
      <c r="ONR3" s="12" t="s">
        <v>13050</v>
      </c>
      <c r="ONS3" s="12" t="s">
        <v>13051</v>
      </c>
      <c r="ONT3" s="12" t="s">
        <v>13052</v>
      </c>
      <c r="ONU3" s="12" t="s">
        <v>13053</v>
      </c>
      <c r="ONV3" s="12" t="s">
        <v>13054</v>
      </c>
      <c r="ONW3" s="12" t="s">
        <v>13055</v>
      </c>
      <c r="ONX3" s="12" t="s">
        <v>13056</v>
      </c>
      <c r="ONY3" s="12" t="s">
        <v>13057</v>
      </c>
      <c r="ONZ3" s="12" t="s">
        <v>13058</v>
      </c>
      <c r="OOA3" s="12" t="s">
        <v>13059</v>
      </c>
      <c r="OOB3" s="12" t="s">
        <v>13060</v>
      </c>
      <c r="OOC3" s="12" t="s">
        <v>13061</v>
      </c>
      <c r="OOD3" s="12" t="s">
        <v>13062</v>
      </c>
      <c r="OOE3" s="12" t="s">
        <v>13063</v>
      </c>
      <c r="OOF3" s="12" t="s">
        <v>13064</v>
      </c>
      <c r="OOG3" s="12" t="s">
        <v>13065</v>
      </c>
      <c r="OOH3" s="12" t="s">
        <v>13066</v>
      </c>
      <c r="OOI3" s="12" t="s">
        <v>13067</v>
      </c>
      <c r="OOJ3" s="12" t="s">
        <v>13068</v>
      </c>
      <c r="OOK3" s="12" t="s">
        <v>13069</v>
      </c>
      <c r="OOL3" s="12" t="s">
        <v>13070</v>
      </c>
      <c r="OOM3" s="12" t="s">
        <v>13071</v>
      </c>
      <c r="OON3" s="12" t="s">
        <v>13072</v>
      </c>
      <c r="OOO3" s="12" t="s">
        <v>13073</v>
      </c>
      <c r="OOP3" s="12" t="s">
        <v>13074</v>
      </c>
      <c r="OOQ3" s="12" t="s">
        <v>13075</v>
      </c>
      <c r="OOR3" s="12" t="s">
        <v>13076</v>
      </c>
      <c r="OOS3" s="12" t="s">
        <v>13077</v>
      </c>
      <c r="OOT3" s="12" t="s">
        <v>13078</v>
      </c>
      <c r="OOU3" s="12" t="s">
        <v>13079</v>
      </c>
      <c r="OOV3" s="12" t="s">
        <v>13080</v>
      </c>
      <c r="OOW3" s="12" t="s">
        <v>13081</v>
      </c>
      <c r="OOX3" s="12" t="s">
        <v>13082</v>
      </c>
      <c r="OOY3" s="12" t="s">
        <v>13083</v>
      </c>
      <c r="OOZ3" s="12" t="s">
        <v>13084</v>
      </c>
      <c r="OPA3" s="12" t="s">
        <v>13085</v>
      </c>
      <c r="OPB3" s="12" t="s">
        <v>13086</v>
      </c>
      <c r="OPC3" s="12" t="s">
        <v>13087</v>
      </c>
      <c r="OPD3" s="12" t="s">
        <v>13088</v>
      </c>
      <c r="OPE3" s="12" t="s">
        <v>13089</v>
      </c>
      <c r="OPF3" s="12" t="s">
        <v>13090</v>
      </c>
      <c r="OPG3" s="12" t="s">
        <v>13091</v>
      </c>
      <c r="OPH3" s="12" t="s">
        <v>13092</v>
      </c>
      <c r="OPI3" s="12" t="s">
        <v>13093</v>
      </c>
      <c r="OPJ3" s="12" t="s">
        <v>13094</v>
      </c>
      <c r="OPK3" s="12" t="s">
        <v>13095</v>
      </c>
      <c r="OPL3" s="12" t="s">
        <v>13096</v>
      </c>
      <c r="OPM3" s="12" t="s">
        <v>13097</v>
      </c>
      <c r="OPN3" s="12" t="s">
        <v>13098</v>
      </c>
      <c r="OPO3" s="12" t="s">
        <v>13099</v>
      </c>
      <c r="OPP3" s="12" t="s">
        <v>13100</v>
      </c>
      <c r="OPQ3" s="12" t="s">
        <v>13101</v>
      </c>
      <c r="OPR3" s="12" t="s">
        <v>13102</v>
      </c>
      <c r="OPS3" s="12" t="s">
        <v>13103</v>
      </c>
      <c r="OPT3" s="12" t="s">
        <v>13104</v>
      </c>
      <c r="OPU3" s="12" t="s">
        <v>13105</v>
      </c>
      <c r="OPV3" s="12" t="s">
        <v>13106</v>
      </c>
      <c r="OPW3" s="12" t="s">
        <v>13107</v>
      </c>
      <c r="OPX3" s="12" t="s">
        <v>13108</v>
      </c>
      <c r="OPY3" s="12" t="s">
        <v>13109</v>
      </c>
      <c r="OPZ3" s="12" t="s">
        <v>13110</v>
      </c>
      <c r="OQA3" s="12" t="s">
        <v>13111</v>
      </c>
      <c r="OQB3" s="12" t="s">
        <v>13112</v>
      </c>
      <c r="OQC3" s="12" t="s">
        <v>13113</v>
      </c>
      <c r="OQD3" s="12" t="s">
        <v>13114</v>
      </c>
      <c r="OQE3" s="12" t="s">
        <v>13115</v>
      </c>
      <c r="OQF3" s="12" t="s">
        <v>13116</v>
      </c>
      <c r="OQG3" s="12" t="s">
        <v>13117</v>
      </c>
      <c r="OQH3" s="12" t="s">
        <v>13118</v>
      </c>
      <c r="OQI3" s="12" t="s">
        <v>13119</v>
      </c>
      <c r="OQJ3" s="12" t="s">
        <v>13120</v>
      </c>
      <c r="OQK3" s="12" t="s">
        <v>13121</v>
      </c>
      <c r="OQL3" s="12" t="s">
        <v>13122</v>
      </c>
      <c r="OQM3" s="12" t="s">
        <v>13123</v>
      </c>
      <c r="OQN3" s="12" t="s">
        <v>13124</v>
      </c>
      <c r="OQO3" s="12" t="s">
        <v>13125</v>
      </c>
      <c r="OQP3" s="12" t="s">
        <v>13126</v>
      </c>
      <c r="OQQ3" s="12" t="s">
        <v>13127</v>
      </c>
      <c r="OQR3" s="12" t="s">
        <v>13128</v>
      </c>
      <c r="OQS3" s="12" t="s">
        <v>13129</v>
      </c>
      <c r="OQT3" s="12" t="s">
        <v>13130</v>
      </c>
      <c r="OQU3" s="12" t="s">
        <v>13131</v>
      </c>
      <c r="OQV3" s="12" t="s">
        <v>13132</v>
      </c>
      <c r="OQW3" s="12" t="s">
        <v>13133</v>
      </c>
      <c r="OQX3" s="12" t="s">
        <v>13134</v>
      </c>
      <c r="OQY3" s="12" t="s">
        <v>13135</v>
      </c>
      <c r="OQZ3" s="12" t="s">
        <v>13136</v>
      </c>
      <c r="ORA3" s="12" t="s">
        <v>13137</v>
      </c>
      <c r="ORB3" s="12" t="s">
        <v>13138</v>
      </c>
      <c r="ORC3" s="12" t="s">
        <v>13139</v>
      </c>
      <c r="ORD3" s="12" t="s">
        <v>13140</v>
      </c>
      <c r="ORE3" s="12" t="s">
        <v>13141</v>
      </c>
      <c r="ORF3" s="12" t="s">
        <v>13142</v>
      </c>
      <c r="ORG3" s="12" t="s">
        <v>13143</v>
      </c>
      <c r="ORH3" s="12" t="s">
        <v>13144</v>
      </c>
      <c r="ORI3" s="12" t="s">
        <v>13145</v>
      </c>
      <c r="ORJ3" s="12" t="s">
        <v>13146</v>
      </c>
      <c r="ORK3" s="12" t="s">
        <v>13147</v>
      </c>
      <c r="ORL3" s="12" t="s">
        <v>13148</v>
      </c>
      <c r="ORM3" s="12" t="s">
        <v>13149</v>
      </c>
      <c r="ORN3" s="12" t="s">
        <v>13150</v>
      </c>
      <c r="ORO3" s="12" t="s">
        <v>13151</v>
      </c>
      <c r="ORP3" s="12" t="s">
        <v>13152</v>
      </c>
      <c r="ORQ3" s="12" t="s">
        <v>13153</v>
      </c>
      <c r="ORR3" s="12" t="s">
        <v>13154</v>
      </c>
      <c r="ORS3" s="12" t="s">
        <v>13155</v>
      </c>
      <c r="ORT3" s="12" t="s">
        <v>13156</v>
      </c>
      <c r="ORU3" s="12" t="s">
        <v>13157</v>
      </c>
      <c r="ORV3" s="12" t="s">
        <v>13158</v>
      </c>
      <c r="ORW3" s="12" t="s">
        <v>13159</v>
      </c>
      <c r="ORX3" s="12" t="s">
        <v>13160</v>
      </c>
      <c r="ORY3" s="12" t="s">
        <v>13161</v>
      </c>
      <c r="ORZ3" s="12" t="s">
        <v>13162</v>
      </c>
      <c r="OSA3" s="12" t="s">
        <v>13163</v>
      </c>
      <c r="OSB3" s="12" t="s">
        <v>13164</v>
      </c>
      <c r="OSC3" s="12" t="s">
        <v>13165</v>
      </c>
      <c r="OSD3" s="12" t="s">
        <v>13166</v>
      </c>
      <c r="OSE3" s="12" t="s">
        <v>13167</v>
      </c>
      <c r="OSF3" s="12" t="s">
        <v>13168</v>
      </c>
      <c r="OSG3" s="12" t="s">
        <v>13169</v>
      </c>
      <c r="OSH3" s="12" t="s">
        <v>13170</v>
      </c>
      <c r="OSI3" s="12" t="s">
        <v>13171</v>
      </c>
      <c r="OSJ3" s="12" t="s">
        <v>13172</v>
      </c>
      <c r="OSK3" s="12" t="s">
        <v>13173</v>
      </c>
      <c r="OSL3" s="12" t="s">
        <v>13174</v>
      </c>
      <c r="OSM3" s="12" t="s">
        <v>13175</v>
      </c>
      <c r="OSN3" s="12" t="s">
        <v>13176</v>
      </c>
      <c r="OSO3" s="12" t="s">
        <v>13177</v>
      </c>
      <c r="OSP3" s="12" t="s">
        <v>13178</v>
      </c>
      <c r="OSQ3" s="12" t="s">
        <v>13179</v>
      </c>
      <c r="OSR3" s="12" t="s">
        <v>13180</v>
      </c>
      <c r="OSS3" s="12" t="s">
        <v>13181</v>
      </c>
      <c r="OST3" s="12" t="s">
        <v>13182</v>
      </c>
      <c r="OSU3" s="12" t="s">
        <v>13183</v>
      </c>
      <c r="OSV3" s="12" t="s">
        <v>13184</v>
      </c>
      <c r="OSW3" s="12" t="s">
        <v>13185</v>
      </c>
      <c r="OSX3" s="12" t="s">
        <v>13186</v>
      </c>
      <c r="OSY3" s="12" t="s">
        <v>13187</v>
      </c>
      <c r="OSZ3" s="12" t="s">
        <v>13188</v>
      </c>
      <c r="OTA3" s="12" t="s">
        <v>13189</v>
      </c>
      <c r="OTB3" s="12" t="s">
        <v>13190</v>
      </c>
      <c r="OTC3" s="12" t="s">
        <v>13191</v>
      </c>
      <c r="OTD3" s="12" t="s">
        <v>13192</v>
      </c>
      <c r="OTE3" s="12" t="s">
        <v>13193</v>
      </c>
      <c r="OTF3" s="12" t="s">
        <v>13194</v>
      </c>
      <c r="OTG3" s="12" t="s">
        <v>13195</v>
      </c>
      <c r="OTH3" s="12" t="s">
        <v>13196</v>
      </c>
      <c r="OTI3" s="12" t="s">
        <v>13197</v>
      </c>
      <c r="OTJ3" s="12" t="s">
        <v>13198</v>
      </c>
      <c r="OTK3" s="12" t="s">
        <v>13199</v>
      </c>
      <c r="OTL3" s="12" t="s">
        <v>13200</v>
      </c>
      <c r="OTM3" s="12" t="s">
        <v>13201</v>
      </c>
      <c r="OTN3" s="12" t="s">
        <v>13202</v>
      </c>
      <c r="OTO3" s="12" t="s">
        <v>13203</v>
      </c>
      <c r="OTP3" s="12" t="s">
        <v>13204</v>
      </c>
      <c r="OTQ3" s="12" t="s">
        <v>13205</v>
      </c>
      <c r="OTR3" s="12" t="s">
        <v>13206</v>
      </c>
      <c r="OTS3" s="12" t="s">
        <v>13207</v>
      </c>
      <c r="OTT3" s="12" t="s">
        <v>13208</v>
      </c>
      <c r="OTU3" s="12" t="s">
        <v>13209</v>
      </c>
      <c r="OTV3" s="12" t="s">
        <v>13210</v>
      </c>
      <c r="OTW3" s="12" t="s">
        <v>13211</v>
      </c>
      <c r="OTX3" s="12" t="s">
        <v>13212</v>
      </c>
      <c r="OTY3" s="12" t="s">
        <v>13213</v>
      </c>
      <c r="OTZ3" s="12" t="s">
        <v>13214</v>
      </c>
      <c r="OUA3" s="12" t="s">
        <v>13215</v>
      </c>
      <c r="OUB3" s="12" t="s">
        <v>13216</v>
      </c>
      <c r="OUC3" s="12" t="s">
        <v>13217</v>
      </c>
      <c r="OUD3" s="12" t="s">
        <v>13218</v>
      </c>
      <c r="OUE3" s="12" t="s">
        <v>13219</v>
      </c>
      <c r="OUF3" s="12" t="s">
        <v>13220</v>
      </c>
      <c r="OUG3" s="12" t="s">
        <v>13221</v>
      </c>
      <c r="OUH3" s="12" t="s">
        <v>13222</v>
      </c>
      <c r="OUI3" s="12" t="s">
        <v>13223</v>
      </c>
      <c r="OUJ3" s="12" t="s">
        <v>13224</v>
      </c>
      <c r="OUK3" s="12" t="s">
        <v>13225</v>
      </c>
      <c r="OUL3" s="12" t="s">
        <v>13226</v>
      </c>
      <c r="OUM3" s="12" t="s">
        <v>13227</v>
      </c>
      <c r="OUN3" s="12" t="s">
        <v>13228</v>
      </c>
      <c r="OUO3" s="12" t="s">
        <v>13229</v>
      </c>
      <c r="OUP3" s="12" t="s">
        <v>13230</v>
      </c>
      <c r="OUQ3" s="12" t="s">
        <v>13231</v>
      </c>
      <c r="OUR3" s="12" t="s">
        <v>13232</v>
      </c>
      <c r="OUS3" s="12" t="s">
        <v>13233</v>
      </c>
      <c r="OUT3" s="12" t="s">
        <v>13234</v>
      </c>
      <c r="OUU3" s="12" t="s">
        <v>13235</v>
      </c>
      <c r="OUV3" s="12" t="s">
        <v>13236</v>
      </c>
      <c r="OUW3" s="12" t="s">
        <v>13237</v>
      </c>
      <c r="OUX3" s="12" t="s">
        <v>13238</v>
      </c>
      <c r="OUY3" s="12" t="s">
        <v>13239</v>
      </c>
      <c r="OUZ3" s="12" t="s">
        <v>13240</v>
      </c>
      <c r="OVA3" s="12" t="s">
        <v>13241</v>
      </c>
      <c r="OVB3" s="12" t="s">
        <v>13242</v>
      </c>
      <c r="OVC3" s="12" t="s">
        <v>13243</v>
      </c>
      <c r="OVD3" s="12" t="s">
        <v>13244</v>
      </c>
      <c r="OVE3" s="12" t="s">
        <v>13245</v>
      </c>
      <c r="OVF3" s="12" t="s">
        <v>13246</v>
      </c>
      <c r="OVG3" s="12" t="s">
        <v>13247</v>
      </c>
      <c r="OVH3" s="12" t="s">
        <v>13248</v>
      </c>
      <c r="OVI3" s="12" t="s">
        <v>13249</v>
      </c>
      <c r="OVJ3" s="12" t="s">
        <v>13250</v>
      </c>
      <c r="OVK3" s="12" t="s">
        <v>13251</v>
      </c>
      <c r="OVL3" s="12" t="s">
        <v>13252</v>
      </c>
      <c r="OVM3" s="12" t="s">
        <v>13253</v>
      </c>
      <c r="OVN3" s="12" t="s">
        <v>13254</v>
      </c>
      <c r="OVO3" s="12" t="s">
        <v>13255</v>
      </c>
      <c r="OVP3" s="12" t="s">
        <v>13256</v>
      </c>
      <c r="OVQ3" s="12" t="s">
        <v>13257</v>
      </c>
      <c r="OVR3" s="12" t="s">
        <v>13258</v>
      </c>
      <c r="OVS3" s="12" t="s">
        <v>13259</v>
      </c>
      <c r="OVT3" s="12" t="s">
        <v>13260</v>
      </c>
      <c r="OVU3" s="12" t="s">
        <v>13261</v>
      </c>
      <c r="OVV3" s="12" t="s">
        <v>13262</v>
      </c>
      <c r="OVW3" s="12" t="s">
        <v>13263</v>
      </c>
      <c r="OVX3" s="12" t="s">
        <v>13264</v>
      </c>
      <c r="OVY3" s="12" t="s">
        <v>13265</v>
      </c>
      <c r="OVZ3" s="12" t="s">
        <v>13266</v>
      </c>
      <c r="OWA3" s="12" t="s">
        <v>13267</v>
      </c>
      <c r="OWB3" s="12" t="s">
        <v>13268</v>
      </c>
      <c r="OWC3" s="12" t="s">
        <v>13269</v>
      </c>
      <c r="OWD3" s="12" t="s">
        <v>13270</v>
      </c>
      <c r="OWE3" s="12" t="s">
        <v>13271</v>
      </c>
      <c r="OWF3" s="12" t="s">
        <v>13272</v>
      </c>
      <c r="OWG3" s="12" t="s">
        <v>13273</v>
      </c>
      <c r="OWH3" s="12" t="s">
        <v>13274</v>
      </c>
      <c r="OWI3" s="12" t="s">
        <v>13275</v>
      </c>
      <c r="OWJ3" s="12" t="s">
        <v>13276</v>
      </c>
      <c r="OWK3" s="12" t="s">
        <v>13277</v>
      </c>
      <c r="OWL3" s="12" t="s">
        <v>13278</v>
      </c>
      <c r="OWM3" s="12" t="s">
        <v>13279</v>
      </c>
      <c r="OWN3" s="12" t="s">
        <v>13280</v>
      </c>
      <c r="OWO3" s="12" t="s">
        <v>13281</v>
      </c>
      <c r="OWP3" s="12" t="s">
        <v>13282</v>
      </c>
      <c r="OWQ3" s="12" t="s">
        <v>13283</v>
      </c>
      <c r="OWR3" s="12" t="s">
        <v>13284</v>
      </c>
      <c r="OWS3" s="12" t="s">
        <v>13285</v>
      </c>
      <c r="OWT3" s="12" t="s">
        <v>13286</v>
      </c>
      <c r="OWU3" s="12" t="s">
        <v>13287</v>
      </c>
      <c r="OWV3" s="12" t="s">
        <v>13288</v>
      </c>
      <c r="OWW3" s="12" t="s">
        <v>13289</v>
      </c>
      <c r="OWX3" s="12" t="s">
        <v>13290</v>
      </c>
      <c r="OWY3" s="12" t="s">
        <v>13291</v>
      </c>
      <c r="OWZ3" s="12" t="s">
        <v>13292</v>
      </c>
      <c r="OXA3" s="12" t="s">
        <v>13293</v>
      </c>
      <c r="OXB3" s="12" t="s">
        <v>13294</v>
      </c>
      <c r="OXC3" s="12" t="s">
        <v>13295</v>
      </c>
      <c r="OXD3" s="12" t="s">
        <v>13296</v>
      </c>
      <c r="OXE3" s="12" t="s">
        <v>13297</v>
      </c>
      <c r="OXF3" s="12" t="s">
        <v>13298</v>
      </c>
      <c r="OXG3" s="12" t="s">
        <v>13299</v>
      </c>
      <c r="OXH3" s="12" t="s">
        <v>13300</v>
      </c>
      <c r="OXI3" s="12" t="s">
        <v>13301</v>
      </c>
      <c r="OXJ3" s="12" t="s">
        <v>13302</v>
      </c>
      <c r="OXK3" s="12" t="s">
        <v>13303</v>
      </c>
      <c r="OXL3" s="12" t="s">
        <v>13304</v>
      </c>
      <c r="OXM3" s="12" t="s">
        <v>13305</v>
      </c>
      <c r="OXN3" s="12" t="s">
        <v>13306</v>
      </c>
      <c r="OXO3" s="12" t="s">
        <v>13307</v>
      </c>
      <c r="OXP3" s="12" t="s">
        <v>13308</v>
      </c>
      <c r="OXQ3" s="12" t="s">
        <v>13309</v>
      </c>
      <c r="OXR3" s="12" t="s">
        <v>13310</v>
      </c>
      <c r="OXS3" s="12" t="s">
        <v>13311</v>
      </c>
      <c r="OXT3" s="12" t="s">
        <v>13312</v>
      </c>
      <c r="OXU3" s="12" t="s">
        <v>13313</v>
      </c>
      <c r="OXV3" s="12" t="s">
        <v>13314</v>
      </c>
      <c r="OXW3" s="12" t="s">
        <v>13315</v>
      </c>
      <c r="OXX3" s="12" t="s">
        <v>13316</v>
      </c>
      <c r="OXY3" s="12" t="s">
        <v>13317</v>
      </c>
      <c r="OXZ3" s="12" t="s">
        <v>13318</v>
      </c>
      <c r="OYA3" s="12" t="s">
        <v>13319</v>
      </c>
      <c r="OYB3" s="12" t="s">
        <v>13320</v>
      </c>
      <c r="OYC3" s="12" t="s">
        <v>13321</v>
      </c>
      <c r="OYD3" s="12" t="s">
        <v>13322</v>
      </c>
      <c r="OYE3" s="12" t="s">
        <v>13323</v>
      </c>
      <c r="OYF3" s="12" t="s">
        <v>13324</v>
      </c>
      <c r="OYG3" s="12" t="s">
        <v>13325</v>
      </c>
      <c r="OYH3" s="12" t="s">
        <v>13326</v>
      </c>
      <c r="OYI3" s="12" t="s">
        <v>13327</v>
      </c>
      <c r="OYJ3" s="12" t="s">
        <v>13328</v>
      </c>
      <c r="OYK3" s="12" t="s">
        <v>13329</v>
      </c>
      <c r="OYL3" s="12" t="s">
        <v>13330</v>
      </c>
      <c r="OYM3" s="12" t="s">
        <v>13331</v>
      </c>
      <c r="OYN3" s="12" t="s">
        <v>13332</v>
      </c>
      <c r="OYO3" s="12" t="s">
        <v>13333</v>
      </c>
      <c r="OYP3" s="12" t="s">
        <v>13334</v>
      </c>
      <c r="OYQ3" s="12" t="s">
        <v>13335</v>
      </c>
      <c r="OYR3" s="12" t="s">
        <v>13336</v>
      </c>
      <c r="OYS3" s="12" t="s">
        <v>13337</v>
      </c>
      <c r="OYT3" s="12" t="s">
        <v>13338</v>
      </c>
      <c r="OYU3" s="12" t="s">
        <v>13339</v>
      </c>
      <c r="OYV3" s="12" t="s">
        <v>13340</v>
      </c>
      <c r="OYW3" s="12" t="s">
        <v>13341</v>
      </c>
      <c r="OYX3" s="12" t="s">
        <v>13342</v>
      </c>
      <c r="OYY3" s="12" t="s">
        <v>13343</v>
      </c>
      <c r="OYZ3" s="12" t="s">
        <v>13344</v>
      </c>
      <c r="OZA3" s="12" t="s">
        <v>13345</v>
      </c>
      <c r="OZB3" s="12" t="s">
        <v>13346</v>
      </c>
      <c r="OZC3" s="12" t="s">
        <v>13347</v>
      </c>
      <c r="OZD3" s="12" t="s">
        <v>13348</v>
      </c>
      <c r="OZE3" s="12" t="s">
        <v>13349</v>
      </c>
      <c r="OZF3" s="12" t="s">
        <v>13350</v>
      </c>
      <c r="OZG3" s="12" t="s">
        <v>13351</v>
      </c>
      <c r="OZH3" s="12" t="s">
        <v>13352</v>
      </c>
      <c r="OZI3" s="12" t="s">
        <v>13353</v>
      </c>
      <c r="OZJ3" s="12" t="s">
        <v>13354</v>
      </c>
      <c r="OZK3" s="12" t="s">
        <v>13355</v>
      </c>
      <c r="OZL3" s="12" t="s">
        <v>13356</v>
      </c>
      <c r="OZM3" s="12" t="s">
        <v>13357</v>
      </c>
      <c r="OZN3" s="12" t="s">
        <v>13358</v>
      </c>
      <c r="OZO3" s="12" t="s">
        <v>13359</v>
      </c>
      <c r="OZP3" s="12" t="s">
        <v>13360</v>
      </c>
      <c r="OZQ3" s="12" t="s">
        <v>13361</v>
      </c>
      <c r="OZR3" s="12" t="s">
        <v>13362</v>
      </c>
      <c r="OZS3" s="12" t="s">
        <v>13363</v>
      </c>
      <c r="OZT3" s="12" t="s">
        <v>13364</v>
      </c>
      <c r="OZU3" s="12" t="s">
        <v>13365</v>
      </c>
      <c r="OZV3" s="12" t="s">
        <v>13366</v>
      </c>
      <c r="OZW3" s="12" t="s">
        <v>13367</v>
      </c>
      <c r="OZX3" s="12" t="s">
        <v>13368</v>
      </c>
      <c r="OZY3" s="12" t="s">
        <v>13369</v>
      </c>
      <c r="OZZ3" s="12" t="s">
        <v>13370</v>
      </c>
      <c r="PAA3" s="12" t="s">
        <v>13371</v>
      </c>
      <c r="PAB3" s="12" t="s">
        <v>13372</v>
      </c>
      <c r="PAC3" s="12" t="s">
        <v>13373</v>
      </c>
      <c r="PAD3" s="12" t="s">
        <v>13374</v>
      </c>
      <c r="PAE3" s="12" t="s">
        <v>13375</v>
      </c>
      <c r="PAF3" s="12" t="s">
        <v>13376</v>
      </c>
      <c r="PAG3" s="12" t="s">
        <v>13377</v>
      </c>
      <c r="PAH3" s="12" t="s">
        <v>13378</v>
      </c>
      <c r="PAI3" s="12" t="s">
        <v>13379</v>
      </c>
      <c r="PAJ3" s="12" t="s">
        <v>13380</v>
      </c>
      <c r="PAK3" s="12" t="s">
        <v>13381</v>
      </c>
      <c r="PAL3" s="12" t="s">
        <v>13382</v>
      </c>
      <c r="PAM3" s="12" t="s">
        <v>13383</v>
      </c>
      <c r="PAN3" s="12" t="s">
        <v>13384</v>
      </c>
      <c r="PAO3" s="12" t="s">
        <v>13385</v>
      </c>
      <c r="PAP3" s="12" t="s">
        <v>13386</v>
      </c>
      <c r="PAQ3" s="12" t="s">
        <v>13387</v>
      </c>
      <c r="PAR3" s="12" t="s">
        <v>13388</v>
      </c>
      <c r="PAS3" s="12" t="s">
        <v>13389</v>
      </c>
      <c r="PAT3" s="12" t="s">
        <v>13390</v>
      </c>
      <c r="PAU3" s="12" t="s">
        <v>13391</v>
      </c>
      <c r="PAV3" s="12" t="s">
        <v>13392</v>
      </c>
      <c r="PAW3" s="12" t="s">
        <v>13393</v>
      </c>
      <c r="PAX3" s="12" t="s">
        <v>13394</v>
      </c>
      <c r="PAY3" s="12" t="s">
        <v>13395</v>
      </c>
      <c r="PAZ3" s="12" t="s">
        <v>13396</v>
      </c>
      <c r="PBA3" s="12" t="s">
        <v>13397</v>
      </c>
      <c r="PBB3" s="12" t="s">
        <v>13398</v>
      </c>
      <c r="PBC3" s="12" t="s">
        <v>13399</v>
      </c>
      <c r="PBD3" s="12" t="s">
        <v>13400</v>
      </c>
      <c r="PBE3" s="12" t="s">
        <v>13401</v>
      </c>
      <c r="PBF3" s="12" t="s">
        <v>13402</v>
      </c>
      <c r="PBG3" s="12" t="s">
        <v>13403</v>
      </c>
      <c r="PBH3" s="12" t="s">
        <v>13404</v>
      </c>
      <c r="PBI3" s="12" t="s">
        <v>13405</v>
      </c>
      <c r="PBJ3" s="12" t="s">
        <v>13406</v>
      </c>
      <c r="PBK3" s="12" t="s">
        <v>13407</v>
      </c>
      <c r="PBL3" s="12" t="s">
        <v>13408</v>
      </c>
      <c r="PBM3" s="12" t="s">
        <v>13409</v>
      </c>
      <c r="PBN3" s="12" t="s">
        <v>13410</v>
      </c>
      <c r="PBO3" s="12" t="s">
        <v>13411</v>
      </c>
      <c r="PBP3" s="12" t="s">
        <v>13412</v>
      </c>
      <c r="PBQ3" s="12" t="s">
        <v>13413</v>
      </c>
      <c r="PBR3" s="12" t="s">
        <v>13414</v>
      </c>
      <c r="PBS3" s="12" t="s">
        <v>13415</v>
      </c>
      <c r="PBT3" s="12" t="s">
        <v>13416</v>
      </c>
      <c r="PBU3" s="12" t="s">
        <v>13417</v>
      </c>
      <c r="PBV3" s="12" t="s">
        <v>13418</v>
      </c>
      <c r="PBW3" s="12" t="s">
        <v>13419</v>
      </c>
      <c r="PBX3" s="12" t="s">
        <v>13420</v>
      </c>
      <c r="PBY3" s="12" t="s">
        <v>13421</v>
      </c>
      <c r="PBZ3" s="12" t="s">
        <v>13422</v>
      </c>
      <c r="PCA3" s="12" t="s">
        <v>13423</v>
      </c>
      <c r="PCB3" s="12" t="s">
        <v>13424</v>
      </c>
      <c r="PCC3" s="12" t="s">
        <v>13425</v>
      </c>
      <c r="PCD3" s="12" t="s">
        <v>13426</v>
      </c>
      <c r="PCE3" s="12" t="s">
        <v>13427</v>
      </c>
      <c r="PCF3" s="12" t="s">
        <v>13428</v>
      </c>
      <c r="PCG3" s="12" t="s">
        <v>13429</v>
      </c>
      <c r="PCH3" s="12" t="s">
        <v>13430</v>
      </c>
      <c r="PCI3" s="12" t="s">
        <v>13431</v>
      </c>
      <c r="PCJ3" s="12" t="s">
        <v>13432</v>
      </c>
      <c r="PCK3" s="12" t="s">
        <v>13433</v>
      </c>
      <c r="PCL3" s="12" t="s">
        <v>13434</v>
      </c>
      <c r="PCM3" s="12" t="s">
        <v>13435</v>
      </c>
      <c r="PCN3" s="12" t="s">
        <v>13436</v>
      </c>
      <c r="PCO3" s="12" t="s">
        <v>13437</v>
      </c>
      <c r="PCP3" s="12" t="s">
        <v>13438</v>
      </c>
      <c r="PCQ3" s="12" t="s">
        <v>13439</v>
      </c>
      <c r="PCR3" s="12" t="s">
        <v>13440</v>
      </c>
      <c r="PCS3" s="12" t="s">
        <v>13441</v>
      </c>
      <c r="PCT3" s="12" t="s">
        <v>13442</v>
      </c>
      <c r="PCU3" s="12" t="s">
        <v>13443</v>
      </c>
      <c r="PCV3" s="12" t="s">
        <v>13444</v>
      </c>
      <c r="PCW3" s="12" t="s">
        <v>13445</v>
      </c>
      <c r="PCX3" s="12" t="s">
        <v>13446</v>
      </c>
      <c r="PCY3" s="12" t="s">
        <v>13447</v>
      </c>
      <c r="PCZ3" s="12" t="s">
        <v>13448</v>
      </c>
      <c r="PDA3" s="12" t="s">
        <v>13449</v>
      </c>
      <c r="PDB3" s="12" t="s">
        <v>13450</v>
      </c>
      <c r="PDC3" s="12" t="s">
        <v>13451</v>
      </c>
      <c r="PDD3" s="12" t="s">
        <v>13452</v>
      </c>
      <c r="PDE3" s="12" t="s">
        <v>13453</v>
      </c>
      <c r="PDF3" s="12" t="s">
        <v>13454</v>
      </c>
      <c r="PDG3" s="12" t="s">
        <v>13455</v>
      </c>
      <c r="PDH3" s="12" t="s">
        <v>13456</v>
      </c>
      <c r="PDI3" s="12" t="s">
        <v>13457</v>
      </c>
      <c r="PDJ3" s="12" t="s">
        <v>13458</v>
      </c>
      <c r="PDK3" s="12" t="s">
        <v>13459</v>
      </c>
      <c r="PDL3" s="12" t="s">
        <v>13460</v>
      </c>
      <c r="PDM3" s="12" t="s">
        <v>13461</v>
      </c>
      <c r="PDN3" s="12" t="s">
        <v>13462</v>
      </c>
      <c r="PDO3" s="12" t="s">
        <v>13463</v>
      </c>
      <c r="PDP3" s="12" t="s">
        <v>13464</v>
      </c>
      <c r="PDQ3" s="12" t="s">
        <v>13465</v>
      </c>
      <c r="PDR3" s="12" t="s">
        <v>13466</v>
      </c>
      <c r="PDS3" s="12" t="s">
        <v>13467</v>
      </c>
      <c r="PDT3" s="12" t="s">
        <v>13468</v>
      </c>
      <c r="PDU3" s="12" t="s">
        <v>13469</v>
      </c>
      <c r="PDV3" s="12" t="s">
        <v>13470</v>
      </c>
      <c r="PDW3" s="12" t="s">
        <v>13471</v>
      </c>
      <c r="PDX3" s="12" t="s">
        <v>13472</v>
      </c>
      <c r="PDY3" s="12" t="s">
        <v>13473</v>
      </c>
      <c r="PDZ3" s="12" t="s">
        <v>13474</v>
      </c>
      <c r="PEA3" s="12" t="s">
        <v>13475</v>
      </c>
      <c r="PEB3" s="12" t="s">
        <v>13476</v>
      </c>
      <c r="PEC3" s="12" t="s">
        <v>13477</v>
      </c>
      <c r="PED3" s="12" t="s">
        <v>13478</v>
      </c>
      <c r="PEE3" s="12" t="s">
        <v>13479</v>
      </c>
      <c r="PEF3" s="12" t="s">
        <v>13480</v>
      </c>
      <c r="PEG3" s="12" t="s">
        <v>13481</v>
      </c>
      <c r="PEH3" s="12" t="s">
        <v>13482</v>
      </c>
      <c r="PEI3" s="12" t="s">
        <v>13483</v>
      </c>
      <c r="PEJ3" s="12" t="s">
        <v>13484</v>
      </c>
      <c r="PEK3" s="12" t="s">
        <v>13485</v>
      </c>
      <c r="PEL3" s="12" t="s">
        <v>13486</v>
      </c>
      <c r="PEM3" s="12" t="s">
        <v>13487</v>
      </c>
      <c r="PEN3" s="12" t="s">
        <v>13488</v>
      </c>
      <c r="PEO3" s="12" t="s">
        <v>13489</v>
      </c>
      <c r="PEP3" s="12" t="s">
        <v>13490</v>
      </c>
      <c r="PEQ3" s="12" t="s">
        <v>13491</v>
      </c>
      <c r="PER3" s="12" t="s">
        <v>13492</v>
      </c>
      <c r="PES3" s="12" t="s">
        <v>13493</v>
      </c>
      <c r="PET3" s="12" t="s">
        <v>13494</v>
      </c>
      <c r="PEU3" s="12" t="s">
        <v>13495</v>
      </c>
      <c r="PEV3" s="12" t="s">
        <v>13496</v>
      </c>
      <c r="PEW3" s="12" t="s">
        <v>13497</v>
      </c>
      <c r="PEX3" s="12" t="s">
        <v>13498</v>
      </c>
      <c r="PEY3" s="12" t="s">
        <v>13499</v>
      </c>
      <c r="PEZ3" s="12" t="s">
        <v>13500</v>
      </c>
      <c r="PFA3" s="12" t="s">
        <v>13501</v>
      </c>
      <c r="PFB3" s="12" t="s">
        <v>13502</v>
      </c>
      <c r="PFC3" s="12" t="s">
        <v>13503</v>
      </c>
      <c r="PFD3" s="12" t="s">
        <v>13504</v>
      </c>
      <c r="PFE3" s="12" t="s">
        <v>13505</v>
      </c>
      <c r="PFF3" s="12" t="s">
        <v>13506</v>
      </c>
      <c r="PFG3" s="12" t="s">
        <v>13507</v>
      </c>
      <c r="PFH3" s="12" t="s">
        <v>13508</v>
      </c>
      <c r="PFI3" s="12" t="s">
        <v>13509</v>
      </c>
      <c r="PFJ3" s="12" t="s">
        <v>13510</v>
      </c>
      <c r="PFK3" s="12" t="s">
        <v>13511</v>
      </c>
      <c r="PFL3" s="12" t="s">
        <v>13512</v>
      </c>
      <c r="PFM3" s="12" t="s">
        <v>13513</v>
      </c>
      <c r="PFN3" s="12" t="s">
        <v>13514</v>
      </c>
      <c r="PFO3" s="12" t="s">
        <v>13515</v>
      </c>
      <c r="PFP3" s="12" t="s">
        <v>13516</v>
      </c>
      <c r="PFQ3" s="12" t="s">
        <v>13517</v>
      </c>
      <c r="PFR3" s="12" t="s">
        <v>13518</v>
      </c>
      <c r="PFS3" s="12" t="s">
        <v>13519</v>
      </c>
      <c r="PFT3" s="12" t="s">
        <v>13520</v>
      </c>
      <c r="PFU3" s="12" t="s">
        <v>13521</v>
      </c>
      <c r="PFV3" s="12" t="s">
        <v>13522</v>
      </c>
      <c r="PFW3" s="12" t="s">
        <v>13523</v>
      </c>
      <c r="PFX3" s="12" t="s">
        <v>13524</v>
      </c>
      <c r="PFY3" s="12" t="s">
        <v>13525</v>
      </c>
      <c r="PFZ3" s="12" t="s">
        <v>13526</v>
      </c>
      <c r="PGA3" s="12" t="s">
        <v>13527</v>
      </c>
      <c r="PGB3" s="12" t="s">
        <v>13528</v>
      </c>
      <c r="PGC3" s="12" t="s">
        <v>13529</v>
      </c>
      <c r="PGD3" s="12" t="s">
        <v>13530</v>
      </c>
      <c r="PGE3" s="12" t="s">
        <v>13531</v>
      </c>
      <c r="PGF3" s="12" t="s">
        <v>13532</v>
      </c>
      <c r="PGG3" s="12" t="s">
        <v>13533</v>
      </c>
      <c r="PGH3" s="12" t="s">
        <v>13534</v>
      </c>
      <c r="PGI3" s="12" t="s">
        <v>13535</v>
      </c>
      <c r="PGJ3" s="12" t="s">
        <v>13536</v>
      </c>
      <c r="PGK3" s="12" t="s">
        <v>13537</v>
      </c>
      <c r="PGL3" s="12" t="s">
        <v>13538</v>
      </c>
      <c r="PGM3" s="12" t="s">
        <v>13539</v>
      </c>
      <c r="PGN3" s="12" t="s">
        <v>13540</v>
      </c>
      <c r="PGO3" s="12" t="s">
        <v>13541</v>
      </c>
      <c r="PGP3" s="12" t="s">
        <v>13542</v>
      </c>
      <c r="PGQ3" s="12" t="s">
        <v>13543</v>
      </c>
      <c r="PGR3" s="12" t="s">
        <v>13544</v>
      </c>
      <c r="PGS3" s="12" t="s">
        <v>13545</v>
      </c>
      <c r="PGT3" s="12" t="s">
        <v>13546</v>
      </c>
      <c r="PGU3" s="12" t="s">
        <v>13547</v>
      </c>
      <c r="PGV3" s="12" t="s">
        <v>13548</v>
      </c>
      <c r="PGW3" s="12" t="s">
        <v>13549</v>
      </c>
      <c r="PGX3" s="12" t="s">
        <v>13550</v>
      </c>
      <c r="PGY3" s="12" t="s">
        <v>13551</v>
      </c>
      <c r="PGZ3" s="12" t="s">
        <v>13552</v>
      </c>
      <c r="PHA3" s="12" t="s">
        <v>13553</v>
      </c>
      <c r="PHB3" s="12" t="s">
        <v>13554</v>
      </c>
      <c r="PHC3" s="12" t="s">
        <v>13555</v>
      </c>
      <c r="PHD3" s="12" t="s">
        <v>13556</v>
      </c>
      <c r="PHE3" s="12" t="s">
        <v>13557</v>
      </c>
      <c r="PHF3" s="12" t="s">
        <v>13558</v>
      </c>
      <c r="PHG3" s="12" t="s">
        <v>13559</v>
      </c>
      <c r="PHH3" s="12" t="s">
        <v>13560</v>
      </c>
      <c r="PHI3" s="12" t="s">
        <v>13561</v>
      </c>
      <c r="PHJ3" s="12" t="s">
        <v>13562</v>
      </c>
      <c r="PHK3" s="12" t="s">
        <v>13563</v>
      </c>
      <c r="PHL3" s="12" t="s">
        <v>13564</v>
      </c>
      <c r="PHM3" s="12" t="s">
        <v>13565</v>
      </c>
      <c r="PHN3" s="12" t="s">
        <v>13566</v>
      </c>
      <c r="PHO3" s="12" t="s">
        <v>13567</v>
      </c>
      <c r="PHP3" s="12" t="s">
        <v>13568</v>
      </c>
      <c r="PHQ3" s="12" t="s">
        <v>13569</v>
      </c>
      <c r="PHR3" s="12" t="s">
        <v>13570</v>
      </c>
      <c r="PHS3" s="12" t="s">
        <v>13571</v>
      </c>
      <c r="PHT3" s="12" t="s">
        <v>13572</v>
      </c>
      <c r="PHU3" s="12" t="s">
        <v>13573</v>
      </c>
      <c r="PHV3" s="12" t="s">
        <v>13574</v>
      </c>
      <c r="PHW3" s="12" t="s">
        <v>13575</v>
      </c>
      <c r="PHX3" s="12" t="s">
        <v>13576</v>
      </c>
      <c r="PHY3" s="12" t="s">
        <v>13577</v>
      </c>
      <c r="PHZ3" s="12" t="s">
        <v>13578</v>
      </c>
      <c r="PIA3" s="12" t="s">
        <v>13579</v>
      </c>
      <c r="PIB3" s="12" t="s">
        <v>13580</v>
      </c>
      <c r="PIC3" s="12" t="s">
        <v>13581</v>
      </c>
      <c r="PID3" s="12" t="s">
        <v>13582</v>
      </c>
      <c r="PIE3" s="12" t="s">
        <v>13583</v>
      </c>
      <c r="PIF3" s="12" t="s">
        <v>13584</v>
      </c>
      <c r="PIG3" s="12" t="s">
        <v>13585</v>
      </c>
      <c r="PIH3" s="12" t="s">
        <v>13586</v>
      </c>
      <c r="PII3" s="12" t="s">
        <v>13587</v>
      </c>
      <c r="PIJ3" s="12" t="s">
        <v>13588</v>
      </c>
      <c r="PIK3" s="12" t="s">
        <v>13589</v>
      </c>
      <c r="PIL3" s="12" t="s">
        <v>13590</v>
      </c>
      <c r="PIM3" s="12" t="s">
        <v>13591</v>
      </c>
      <c r="PIN3" s="12" t="s">
        <v>13592</v>
      </c>
      <c r="PIO3" s="12" t="s">
        <v>13593</v>
      </c>
      <c r="PIP3" s="12" t="s">
        <v>13594</v>
      </c>
      <c r="PIQ3" s="12" t="s">
        <v>13595</v>
      </c>
      <c r="PIR3" s="12" t="s">
        <v>13596</v>
      </c>
      <c r="PIS3" s="12" t="s">
        <v>13597</v>
      </c>
      <c r="PIT3" s="12" t="s">
        <v>13598</v>
      </c>
      <c r="PIU3" s="12" t="s">
        <v>13599</v>
      </c>
      <c r="PIV3" s="12" t="s">
        <v>13600</v>
      </c>
      <c r="PIW3" s="12" t="s">
        <v>13601</v>
      </c>
      <c r="PIX3" s="12" t="s">
        <v>13602</v>
      </c>
      <c r="PIY3" s="12" t="s">
        <v>13603</v>
      </c>
      <c r="PIZ3" s="12" t="s">
        <v>13604</v>
      </c>
      <c r="PJA3" s="12" t="s">
        <v>13605</v>
      </c>
      <c r="PJB3" s="12" t="s">
        <v>13606</v>
      </c>
      <c r="PJC3" s="12" t="s">
        <v>13607</v>
      </c>
      <c r="PJD3" s="12" t="s">
        <v>13608</v>
      </c>
      <c r="PJE3" s="12" t="s">
        <v>13609</v>
      </c>
      <c r="PJF3" s="12" t="s">
        <v>13610</v>
      </c>
      <c r="PJG3" s="12" t="s">
        <v>13611</v>
      </c>
      <c r="PJH3" s="12" t="s">
        <v>13612</v>
      </c>
      <c r="PJI3" s="12" t="s">
        <v>13613</v>
      </c>
      <c r="PJJ3" s="12" t="s">
        <v>13614</v>
      </c>
      <c r="PJK3" s="12" t="s">
        <v>13615</v>
      </c>
      <c r="PJL3" s="12" t="s">
        <v>13616</v>
      </c>
      <c r="PJM3" s="12" t="s">
        <v>13617</v>
      </c>
      <c r="PJN3" s="12" t="s">
        <v>13618</v>
      </c>
      <c r="PJO3" s="12" t="s">
        <v>13619</v>
      </c>
      <c r="PJP3" s="12" t="s">
        <v>13620</v>
      </c>
      <c r="PJQ3" s="12" t="s">
        <v>13621</v>
      </c>
      <c r="PJR3" s="12" t="s">
        <v>13622</v>
      </c>
      <c r="PJS3" s="12" t="s">
        <v>13623</v>
      </c>
      <c r="PJT3" s="12" t="s">
        <v>13624</v>
      </c>
      <c r="PJU3" s="12" t="s">
        <v>13625</v>
      </c>
      <c r="PJV3" s="12" t="s">
        <v>13626</v>
      </c>
      <c r="PJW3" s="12" t="s">
        <v>13627</v>
      </c>
      <c r="PJX3" s="12" t="s">
        <v>13628</v>
      </c>
      <c r="PJY3" s="12" t="s">
        <v>13629</v>
      </c>
      <c r="PJZ3" s="12" t="s">
        <v>13630</v>
      </c>
      <c r="PKA3" s="12" t="s">
        <v>13631</v>
      </c>
      <c r="PKB3" s="12" t="s">
        <v>13632</v>
      </c>
      <c r="PKC3" s="12" t="s">
        <v>13633</v>
      </c>
      <c r="PKD3" s="12" t="s">
        <v>13634</v>
      </c>
      <c r="PKE3" s="12" t="s">
        <v>13635</v>
      </c>
      <c r="PKF3" s="12" t="s">
        <v>13636</v>
      </c>
      <c r="PKG3" s="12" t="s">
        <v>13637</v>
      </c>
      <c r="PKH3" s="12" t="s">
        <v>13638</v>
      </c>
      <c r="PKI3" s="12" t="s">
        <v>13639</v>
      </c>
      <c r="PKJ3" s="12" t="s">
        <v>13640</v>
      </c>
      <c r="PKK3" s="12" t="s">
        <v>13641</v>
      </c>
      <c r="PKL3" s="12" t="s">
        <v>13642</v>
      </c>
      <c r="PKM3" s="12" t="s">
        <v>13643</v>
      </c>
      <c r="PKN3" s="12" t="s">
        <v>13644</v>
      </c>
      <c r="PKO3" s="12" t="s">
        <v>13645</v>
      </c>
      <c r="PKP3" s="12" t="s">
        <v>13646</v>
      </c>
      <c r="PKQ3" s="12" t="s">
        <v>13647</v>
      </c>
      <c r="PKR3" s="12" t="s">
        <v>13648</v>
      </c>
      <c r="PKS3" s="12" t="s">
        <v>13649</v>
      </c>
      <c r="PKT3" s="12" t="s">
        <v>13650</v>
      </c>
      <c r="PKU3" s="12" t="s">
        <v>13651</v>
      </c>
      <c r="PKV3" s="12" t="s">
        <v>13652</v>
      </c>
      <c r="PKW3" s="12" t="s">
        <v>13653</v>
      </c>
      <c r="PKX3" s="12" t="s">
        <v>13654</v>
      </c>
      <c r="PKY3" s="12" t="s">
        <v>13655</v>
      </c>
      <c r="PKZ3" s="12" t="s">
        <v>13656</v>
      </c>
      <c r="PLA3" s="12" t="s">
        <v>13657</v>
      </c>
      <c r="PLB3" s="12" t="s">
        <v>13658</v>
      </c>
      <c r="PLC3" s="12" t="s">
        <v>13659</v>
      </c>
      <c r="PLD3" s="12" t="s">
        <v>13660</v>
      </c>
      <c r="PLE3" s="12" t="s">
        <v>13661</v>
      </c>
      <c r="PLF3" s="12" t="s">
        <v>13662</v>
      </c>
      <c r="PLG3" s="12" t="s">
        <v>13663</v>
      </c>
      <c r="PLH3" s="12" t="s">
        <v>13664</v>
      </c>
      <c r="PLI3" s="12" t="s">
        <v>13665</v>
      </c>
      <c r="PLJ3" s="12" t="s">
        <v>13666</v>
      </c>
      <c r="PLK3" s="12" t="s">
        <v>13667</v>
      </c>
      <c r="PLL3" s="12" t="s">
        <v>13668</v>
      </c>
      <c r="PLM3" s="12" t="s">
        <v>13669</v>
      </c>
      <c r="PLN3" s="12" t="s">
        <v>13670</v>
      </c>
      <c r="PLO3" s="12" t="s">
        <v>13671</v>
      </c>
      <c r="PLP3" s="12" t="s">
        <v>13672</v>
      </c>
      <c r="PLQ3" s="12" t="s">
        <v>13673</v>
      </c>
      <c r="PLR3" s="12" t="s">
        <v>13674</v>
      </c>
      <c r="PLS3" s="12" t="s">
        <v>13675</v>
      </c>
      <c r="PLT3" s="12" t="s">
        <v>13676</v>
      </c>
      <c r="PLU3" s="12" t="s">
        <v>13677</v>
      </c>
      <c r="PLV3" s="12" t="s">
        <v>13678</v>
      </c>
      <c r="PLW3" s="12" t="s">
        <v>13679</v>
      </c>
      <c r="PLX3" s="12" t="s">
        <v>13680</v>
      </c>
      <c r="PLY3" s="12" t="s">
        <v>13681</v>
      </c>
      <c r="PLZ3" s="12" t="s">
        <v>13682</v>
      </c>
      <c r="PMA3" s="12" t="s">
        <v>13683</v>
      </c>
      <c r="PMB3" s="12" t="s">
        <v>13684</v>
      </c>
      <c r="PMC3" s="12" t="s">
        <v>13685</v>
      </c>
      <c r="PMD3" s="12" t="s">
        <v>13686</v>
      </c>
      <c r="PME3" s="12" t="s">
        <v>13687</v>
      </c>
      <c r="PMF3" s="12" t="s">
        <v>13688</v>
      </c>
      <c r="PMG3" s="12" t="s">
        <v>13689</v>
      </c>
      <c r="PMH3" s="12" t="s">
        <v>13690</v>
      </c>
      <c r="PMI3" s="12" t="s">
        <v>13691</v>
      </c>
      <c r="PMJ3" s="12" t="s">
        <v>13692</v>
      </c>
      <c r="PMK3" s="12" t="s">
        <v>13693</v>
      </c>
      <c r="PML3" s="12" t="s">
        <v>13694</v>
      </c>
      <c r="PMM3" s="12" t="s">
        <v>13695</v>
      </c>
      <c r="PMN3" s="12" t="s">
        <v>13696</v>
      </c>
      <c r="PMO3" s="12" t="s">
        <v>13697</v>
      </c>
      <c r="PMP3" s="12" t="s">
        <v>13698</v>
      </c>
      <c r="PMQ3" s="12" t="s">
        <v>13699</v>
      </c>
      <c r="PMR3" s="12" t="s">
        <v>13700</v>
      </c>
      <c r="PMS3" s="12" t="s">
        <v>13701</v>
      </c>
      <c r="PMT3" s="12" t="s">
        <v>13702</v>
      </c>
      <c r="PMU3" s="12" t="s">
        <v>13703</v>
      </c>
      <c r="PMV3" s="12" t="s">
        <v>13704</v>
      </c>
      <c r="PMW3" s="12" t="s">
        <v>13705</v>
      </c>
      <c r="PMX3" s="12" t="s">
        <v>13706</v>
      </c>
      <c r="PMY3" s="12" t="s">
        <v>13707</v>
      </c>
      <c r="PMZ3" s="12" t="s">
        <v>13708</v>
      </c>
      <c r="PNA3" s="12" t="s">
        <v>13709</v>
      </c>
      <c r="PNB3" s="12" t="s">
        <v>13710</v>
      </c>
      <c r="PNC3" s="12" t="s">
        <v>13711</v>
      </c>
      <c r="PND3" s="12" t="s">
        <v>13712</v>
      </c>
      <c r="PNE3" s="12" t="s">
        <v>13713</v>
      </c>
      <c r="PNF3" s="12" t="s">
        <v>13714</v>
      </c>
      <c r="PNG3" s="12" t="s">
        <v>13715</v>
      </c>
      <c r="PNH3" s="12" t="s">
        <v>13716</v>
      </c>
      <c r="PNI3" s="12" t="s">
        <v>13717</v>
      </c>
      <c r="PNJ3" s="12" t="s">
        <v>13718</v>
      </c>
      <c r="PNK3" s="12" t="s">
        <v>13719</v>
      </c>
      <c r="PNL3" s="12" t="s">
        <v>13720</v>
      </c>
      <c r="PNM3" s="12" t="s">
        <v>13721</v>
      </c>
      <c r="PNN3" s="12" t="s">
        <v>13722</v>
      </c>
      <c r="PNO3" s="12" t="s">
        <v>13723</v>
      </c>
      <c r="PNP3" s="12" t="s">
        <v>13724</v>
      </c>
      <c r="PNQ3" s="12" t="s">
        <v>13725</v>
      </c>
      <c r="PNR3" s="12" t="s">
        <v>13726</v>
      </c>
      <c r="PNS3" s="12" t="s">
        <v>13727</v>
      </c>
      <c r="PNT3" s="12" t="s">
        <v>13728</v>
      </c>
      <c r="PNU3" s="12" t="s">
        <v>13729</v>
      </c>
      <c r="PNV3" s="12" t="s">
        <v>13730</v>
      </c>
      <c r="PNW3" s="12" t="s">
        <v>13731</v>
      </c>
      <c r="PNX3" s="12" t="s">
        <v>13732</v>
      </c>
      <c r="PNY3" s="12" t="s">
        <v>13733</v>
      </c>
      <c r="PNZ3" s="12" t="s">
        <v>13734</v>
      </c>
      <c r="POA3" s="12" t="s">
        <v>13735</v>
      </c>
      <c r="POB3" s="12" t="s">
        <v>13736</v>
      </c>
      <c r="POC3" s="12" t="s">
        <v>13737</v>
      </c>
      <c r="POD3" s="12" t="s">
        <v>13738</v>
      </c>
      <c r="POE3" s="12" t="s">
        <v>13739</v>
      </c>
      <c r="POF3" s="12" t="s">
        <v>13740</v>
      </c>
      <c r="POG3" s="12" t="s">
        <v>13741</v>
      </c>
      <c r="POH3" s="12" t="s">
        <v>13742</v>
      </c>
      <c r="POI3" s="12" t="s">
        <v>13743</v>
      </c>
      <c r="POJ3" s="12" t="s">
        <v>13744</v>
      </c>
      <c r="POK3" s="12" t="s">
        <v>13745</v>
      </c>
      <c r="POL3" s="12" t="s">
        <v>13746</v>
      </c>
      <c r="POM3" s="12" t="s">
        <v>13747</v>
      </c>
      <c r="PON3" s="12" t="s">
        <v>13748</v>
      </c>
      <c r="POO3" s="12" t="s">
        <v>13749</v>
      </c>
      <c r="POP3" s="12" t="s">
        <v>13750</v>
      </c>
      <c r="POQ3" s="12" t="s">
        <v>13751</v>
      </c>
      <c r="POR3" s="12" t="s">
        <v>13752</v>
      </c>
      <c r="POS3" s="12" t="s">
        <v>13753</v>
      </c>
      <c r="POT3" s="12" t="s">
        <v>13754</v>
      </c>
      <c r="POU3" s="12" t="s">
        <v>13755</v>
      </c>
      <c r="POV3" s="12" t="s">
        <v>13756</v>
      </c>
      <c r="POW3" s="12" t="s">
        <v>13757</v>
      </c>
      <c r="POX3" s="12" t="s">
        <v>13758</v>
      </c>
      <c r="POY3" s="12" t="s">
        <v>13759</v>
      </c>
      <c r="POZ3" s="12" t="s">
        <v>13760</v>
      </c>
      <c r="PPA3" s="12" t="s">
        <v>13761</v>
      </c>
      <c r="PPB3" s="12" t="s">
        <v>13762</v>
      </c>
      <c r="PPC3" s="12" t="s">
        <v>13763</v>
      </c>
      <c r="PPD3" s="12" t="s">
        <v>13764</v>
      </c>
      <c r="PPE3" s="12" t="s">
        <v>13765</v>
      </c>
      <c r="PPF3" s="12" t="s">
        <v>13766</v>
      </c>
      <c r="PPG3" s="12" t="s">
        <v>13767</v>
      </c>
      <c r="PPH3" s="12" t="s">
        <v>13768</v>
      </c>
      <c r="PPI3" s="12" t="s">
        <v>13769</v>
      </c>
      <c r="PPJ3" s="12" t="s">
        <v>13770</v>
      </c>
      <c r="PPK3" s="12" t="s">
        <v>13771</v>
      </c>
      <c r="PPL3" s="12" t="s">
        <v>13772</v>
      </c>
      <c r="PPM3" s="12" t="s">
        <v>13773</v>
      </c>
      <c r="PPN3" s="12" t="s">
        <v>13774</v>
      </c>
      <c r="PPO3" s="12" t="s">
        <v>13775</v>
      </c>
      <c r="PPP3" s="12" t="s">
        <v>13776</v>
      </c>
      <c r="PPQ3" s="12" t="s">
        <v>13777</v>
      </c>
      <c r="PPR3" s="12" t="s">
        <v>13778</v>
      </c>
      <c r="PPS3" s="12" t="s">
        <v>13779</v>
      </c>
      <c r="PPT3" s="12" t="s">
        <v>13780</v>
      </c>
      <c r="PPU3" s="12" t="s">
        <v>13781</v>
      </c>
      <c r="PPV3" s="12" t="s">
        <v>13782</v>
      </c>
      <c r="PPW3" s="12" t="s">
        <v>13783</v>
      </c>
      <c r="PPX3" s="12" t="s">
        <v>13784</v>
      </c>
      <c r="PPY3" s="12" t="s">
        <v>13785</v>
      </c>
      <c r="PPZ3" s="12" t="s">
        <v>13786</v>
      </c>
      <c r="PQA3" s="12" t="s">
        <v>13787</v>
      </c>
      <c r="PQB3" s="12" t="s">
        <v>13788</v>
      </c>
      <c r="PQC3" s="12" t="s">
        <v>13789</v>
      </c>
      <c r="PQD3" s="12" t="s">
        <v>13790</v>
      </c>
      <c r="PQE3" s="12" t="s">
        <v>13791</v>
      </c>
      <c r="PQF3" s="12" t="s">
        <v>13792</v>
      </c>
      <c r="PQG3" s="12" t="s">
        <v>13793</v>
      </c>
      <c r="PQH3" s="12" t="s">
        <v>13794</v>
      </c>
      <c r="PQI3" s="12" t="s">
        <v>13795</v>
      </c>
      <c r="PQJ3" s="12" t="s">
        <v>13796</v>
      </c>
      <c r="PQK3" s="12" t="s">
        <v>13797</v>
      </c>
      <c r="PQL3" s="12" t="s">
        <v>13798</v>
      </c>
      <c r="PQM3" s="12" t="s">
        <v>13799</v>
      </c>
      <c r="PQN3" s="12" t="s">
        <v>13800</v>
      </c>
      <c r="PQO3" s="12" t="s">
        <v>13801</v>
      </c>
      <c r="PQP3" s="12" t="s">
        <v>13802</v>
      </c>
      <c r="PQQ3" s="12" t="s">
        <v>13803</v>
      </c>
      <c r="PQR3" s="12" t="s">
        <v>13804</v>
      </c>
      <c r="PQS3" s="12" t="s">
        <v>13805</v>
      </c>
      <c r="PQT3" s="12" t="s">
        <v>13806</v>
      </c>
      <c r="PQU3" s="12" t="s">
        <v>13807</v>
      </c>
      <c r="PQV3" s="12" t="s">
        <v>13808</v>
      </c>
      <c r="PQW3" s="12" t="s">
        <v>13809</v>
      </c>
      <c r="PQX3" s="12" t="s">
        <v>13810</v>
      </c>
      <c r="PQY3" s="12" t="s">
        <v>13811</v>
      </c>
      <c r="PQZ3" s="12" t="s">
        <v>13812</v>
      </c>
      <c r="PRA3" s="12" t="s">
        <v>13813</v>
      </c>
      <c r="PRB3" s="12" t="s">
        <v>13814</v>
      </c>
      <c r="PRC3" s="12" t="s">
        <v>13815</v>
      </c>
      <c r="PRD3" s="12" t="s">
        <v>13816</v>
      </c>
      <c r="PRE3" s="12" t="s">
        <v>13817</v>
      </c>
      <c r="PRF3" s="12" t="s">
        <v>13818</v>
      </c>
      <c r="PRG3" s="12" t="s">
        <v>13819</v>
      </c>
      <c r="PRH3" s="12" t="s">
        <v>13820</v>
      </c>
      <c r="PRI3" s="12" t="s">
        <v>13821</v>
      </c>
      <c r="PRJ3" s="12" t="s">
        <v>13822</v>
      </c>
      <c r="PRK3" s="12" t="s">
        <v>13823</v>
      </c>
      <c r="PRL3" s="12" t="s">
        <v>13824</v>
      </c>
      <c r="PRM3" s="12" t="s">
        <v>13825</v>
      </c>
      <c r="PRN3" s="12" t="s">
        <v>13826</v>
      </c>
      <c r="PRO3" s="12" t="s">
        <v>13827</v>
      </c>
      <c r="PRP3" s="12" t="s">
        <v>13828</v>
      </c>
      <c r="PRQ3" s="12" t="s">
        <v>13829</v>
      </c>
      <c r="PRR3" s="12" t="s">
        <v>13830</v>
      </c>
      <c r="PRS3" s="12" t="s">
        <v>13831</v>
      </c>
      <c r="PRT3" s="12" t="s">
        <v>13832</v>
      </c>
      <c r="PRU3" s="12" t="s">
        <v>13833</v>
      </c>
      <c r="PRV3" s="12" t="s">
        <v>13834</v>
      </c>
      <c r="PRW3" s="12" t="s">
        <v>13835</v>
      </c>
      <c r="PRX3" s="12" t="s">
        <v>13836</v>
      </c>
      <c r="PRY3" s="12" t="s">
        <v>13837</v>
      </c>
      <c r="PRZ3" s="12" t="s">
        <v>13838</v>
      </c>
      <c r="PSA3" s="12" t="s">
        <v>13839</v>
      </c>
      <c r="PSB3" s="12" t="s">
        <v>13840</v>
      </c>
      <c r="PSC3" s="12" t="s">
        <v>13841</v>
      </c>
      <c r="PSD3" s="12" t="s">
        <v>13842</v>
      </c>
      <c r="PSE3" s="12" t="s">
        <v>13843</v>
      </c>
      <c r="PSF3" s="12" t="s">
        <v>13844</v>
      </c>
      <c r="PSG3" s="12" t="s">
        <v>13845</v>
      </c>
      <c r="PSH3" s="12" t="s">
        <v>13846</v>
      </c>
      <c r="PSI3" s="12" t="s">
        <v>13847</v>
      </c>
      <c r="PSJ3" s="12" t="s">
        <v>13848</v>
      </c>
      <c r="PSK3" s="12" t="s">
        <v>13849</v>
      </c>
      <c r="PSL3" s="12" t="s">
        <v>13850</v>
      </c>
      <c r="PSM3" s="12" t="s">
        <v>13851</v>
      </c>
      <c r="PSN3" s="12" t="s">
        <v>13852</v>
      </c>
      <c r="PSO3" s="12" t="s">
        <v>13853</v>
      </c>
      <c r="PSP3" s="12" t="s">
        <v>13854</v>
      </c>
      <c r="PSQ3" s="12" t="s">
        <v>13855</v>
      </c>
      <c r="PSR3" s="12" t="s">
        <v>13856</v>
      </c>
      <c r="PSS3" s="12" t="s">
        <v>13857</v>
      </c>
      <c r="PST3" s="12" t="s">
        <v>13858</v>
      </c>
      <c r="PSU3" s="12" t="s">
        <v>13859</v>
      </c>
      <c r="PSV3" s="12" t="s">
        <v>13860</v>
      </c>
      <c r="PSW3" s="12" t="s">
        <v>13861</v>
      </c>
      <c r="PSX3" s="12" t="s">
        <v>13862</v>
      </c>
      <c r="PSY3" s="12" t="s">
        <v>13863</v>
      </c>
      <c r="PSZ3" s="12" t="s">
        <v>13864</v>
      </c>
      <c r="PTA3" s="12" t="s">
        <v>13865</v>
      </c>
      <c r="PTB3" s="12" t="s">
        <v>13866</v>
      </c>
      <c r="PTC3" s="12" t="s">
        <v>13867</v>
      </c>
      <c r="PTD3" s="12" t="s">
        <v>13868</v>
      </c>
      <c r="PTE3" s="12" t="s">
        <v>13869</v>
      </c>
      <c r="PTF3" s="12" t="s">
        <v>13870</v>
      </c>
      <c r="PTG3" s="12" t="s">
        <v>13871</v>
      </c>
      <c r="PTH3" s="12" t="s">
        <v>13872</v>
      </c>
      <c r="PTI3" s="12" t="s">
        <v>13873</v>
      </c>
      <c r="PTJ3" s="12" t="s">
        <v>13874</v>
      </c>
      <c r="PTK3" s="12" t="s">
        <v>13875</v>
      </c>
      <c r="PTL3" s="12" t="s">
        <v>13876</v>
      </c>
      <c r="PTM3" s="12" t="s">
        <v>13877</v>
      </c>
      <c r="PTN3" s="12" t="s">
        <v>13878</v>
      </c>
      <c r="PTO3" s="12" t="s">
        <v>13879</v>
      </c>
      <c r="PTP3" s="12" t="s">
        <v>13880</v>
      </c>
      <c r="PTQ3" s="12" t="s">
        <v>13881</v>
      </c>
      <c r="PTR3" s="12" t="s">
        <v>13882</v>
      </c>
      <c r="PTS3" s="12" t="s">
        <v>13883</v>
      </c>
      <c r="PTT3" s="12" t="s">
        <v>13884</v>
      </c>
      <c r="PTU3" s="12" t="s">
        <v>13885</v>
      </c>
      <c r="PTV3" s="12" t="s">
        <v>13886</v>
      </c>
      <c r="PTW3" s="12" t="s">
        <v>13887</v>
      </c>
      <c r="PTX3" s="12" t="s">
        <v>13888</v>
      </c>
      <c r="PTY3" s="12" t="s">
        <v>13889</v>
      </c>
      <c r="PTZ3" s="12" t="s">
        <v>13890</v>
      </c>
      <c r="PUA3" s="12" t="s">
        <v>13891</v>
      </c>
      <c r="PUB3" s="12" t="s">
        <v>13892</v>
      </c>
      <c r="PUC3" s="12" t="s">
        <v>13893</v>
      </c>
      <c r="PUD3" s="12" t="s">
        <v>13894</v>
      </c>
      <c r="PUE3" s="12" t="s">
        <v>13895</v>
      </c>
      <c r="PUF3" s="12" t="s">
        <v>13896</v>
      </c>
      <c r="PUG3" s="12" t="s">
        <v>13897</v>
      </c>
      <c r="PUH3" s="12" t="s">
        <v>13898</v>
      </c>
      <c r="PUI3" s="12" t="s">
        <v>13899</v>
      </c>
      <c r="PUJ3" s="12" t="s">
        <v>13900</v>
      </c>
      <c r="PUK3" s="12" t="s">
        <v>13901</v>
      </c>
      <c r="PUL3" s="12" t="s">
        <v>13902</v>
      </c>
      <c r="PUM3" s="12" t="s">
        <v>13903</v>
      </c>
      <c r="PUN3" s="12" t="s">
        <v>13904</v>
      </c>
      <c r="PUO3" s="12" t="s">
        <v>13905</v>
      </c>
      <c r="PUP3" s="12" t="s">
        <v>13906</v>
      </c>
      <c r="PUQ3" s="12" t="s">
        <v>13907</v>
      </c>
      <c r="PUR3" s="12" t="s">
        <v>13908</v>
      </c>
      <c r="PUS3" s="12" t="s">
        <v>13909</v>
      </c>
      <c r="PUT3" s="12" t="s">
        <v>13910</v>
      </c>
      <c r="PUU3" s="12" t="s">
        <v>13911</v>
      </c>
      <c r="PUV3" s="12" t="s">
        <v>13912</v>
      </c>
      <c r="PUW3" s="12" t="s">
        <v>13913</v>
      </c>
      <c r="PUX3" s="12" t="s">
        <v>13914</v>
      </c>
      <c r="PUY3" s="12" t="s">
        <v>13915</v>
      </c>
      <c r="PUZ3" s="12" t="s">
        <v>13916</v>
      </c>
      <c r="PVA3" s="12" t="s">
        <v>13917</v>
      </c>
      <c r="PVB3" s="12" t="s">
        <v>13918</v>
      </c>
      <c r="PVC3" s="12" t="s">
        <v>13919</v>
      </c>
      <c r="PVD3" s="12" t="s">
        <v>13920</v>
      </c>
      <c r="PVE3" s="12" t="s">
        <v>13921</v>
      </c>
      <c r="PVF3" s="12" t="s">
        <v>13922</v>
      </c>
      <c r="PVG3" s="12" t="s">
        <v>13923</v>
      </c>
      <c r="PVH3" s="12" t="s">
        <v>13924</v>
      </c>
      <c r="PVI3" s="12" t="s">
        <v>13925</v>
      </c>
      <c r="PVJ3" s="12" t="s">
        <v>13926</v>
      </c>
      <c r="PVK3" s="12" t="s">
        <v>13927</v>
      </c>
      <c r="PVL3" s="12" t="s">
        <v>13928</v>
      </c>
      <c r="PVM3" s="12" t="s">
        <v>13929</v>
      </c>
      <c r="PVN3" s="12" t="s">
        <v>13930</v>
      </c>
      <c r="PVO3" s="12" t="s">
        <v>13931</v>
      </c>
      <c r="PVP3" s="12" t="s">
        <v>13932</v>
      </c>
      <c r="PVQ3" s="12" t="s">
        <v>13933</v>
      </c>
      <c r="PVR3" s="12" t="s">
        <v>13934</v>
      </c>
      <c r="PVS3" s="12" t="s">
        <v>13935</v>
      </c>
      <c r="PVT3" s="12" t="s">
        <v>13936</v>
      </c>
      <c r="PVU3" s="12" t="s">
        <v>13937</v>
      </c>
      <c r="PVV3" s="12" t="s">
        <v>13938</v>
      </c>
      <c r="PVW3" s="12" t="s">
        <v>13939</v>
      </c>
      <c r="PVX3" s="12" t="s">
        <v>13940</v>
      </c>
      <c r="PVY3" s="12" t="s">
        <v>13941</v>
      </c>
      <c r="PVZ3" s="12" t="s">
        <v>13942</v>
      </c>
      <c r="PWA3" s="12" t="s">
        <v>13943</v>
      </c>
      <c r="PWB3" s="12" t="s">
        <v>13944</v>
      </c>
      <c r="PWC3" s="12" t="s">
        <v>13945</v>
      </c>
      <c r="PWD3" s="12" t="s">
        <v>13946</v>
      </c>
      <c r="PWE3" s="12" t="s">
        <v>13947</v>
      </c>
      <c r="PWF3" s="12" t="s">
        <v>13948</v>
      </c>
      <c r="PWG3" s="12" t="s">
        <v>13949</v>
      </c>
      <c r="PWH3" s="12" t="s">
        <v>13950</v>
      </c>
      <c r="PWI3" s="12" t="s">
        <v>13951</v>
      </c>
      <c r="PWJ3" s="12" t="s">
        <v>13952</v>
      </c>
      <c r="PWK3" s="12" t="s">
        <v>13953</v>
      </c>
      <c r="PWL3" s="12" t="s">
        <v>13954</v>
      </c>
      <c r="PWM3" s="12" t="s">
        <v>13955</v>
      </c>
      <c r="PWN3" s="12" t="s">
        <v>13956</v>
      </c>
      <c r="PWO3" s="12" t="s">
        <v>13957</v>
      </c>
      <c r="PWP3" s="12" t="s">
        <v>13958</v>
      </c>
      <c r="PWQ3" s="12" t="s">
        <v>13959</v>
      </c>
      <c r="PWR3" s="12" t="s">
        <v>13960</v>
      </c>
      <c r="PWS3" s="12" t="s">
        <v>13961</v>
      </c>
      <c r="PWT3" s="12" t="s">
        <v>13962</v>
      </c>
      <c r="PWU3" s="12" t="s">
        <v>13963</v>
      </c>
      <c r="PWV3" s="12" t="s">
        <v>13964</v>
      </c>
      <c r="PWW3" s="12" t="s">
        <v>13965</v>
      </c>
      <c r="PWX3" s="12" t="s">
        <v>13966</v>
      </c>
      <c r="PWY3" s="12" t="s">
        <v>13967</v>
      </c>
      <c r="PWZ3" s="12" t="s">
        <v>13968</v>
      </c>
      <c r="PXA3" s="12" t="s">
        <v>13969</v>
      </c>
      <c r="PXB3" s="12" t="s">
        <v>13970</v>
      </c>
      <c r="PXC3" s="12" t="s">
        <v>13971</v>
      </c>
      <c r="PXD3" s="12" t="s">
        <v>13972</v>
      </c>
      <c r="PXE3" s="12" t="s">
        <v>13973</v>
      </c>
      <c r="PXF3" s="12" t="s">
        <v>13974</v>
      </c>
      <c r="PXG3" s="12" t="s">
        <v>13975</v>
      </c>
      <c r="PXH3" s="12" t="s">
        <v>13976</v>
      </c>
      <c r="PXI3" s="12" t="s">
        <v>13977</v>
      </c>
      <c r="PXJ3" s="12" t="s">
        <v>13978</v>
      </c>
      <c r="PXK3" s="12" t="s">
        <v>13979</v>
      </c>
      <c r="PXL3" s="12" t="s">
        <v>13980</v>
      </c>
      <c r="PXM3" s="12" t="s">
        <v>13981</v>
      </c>
      <c r="PXN3" s="12" t="s">
        <v>13982</v>
      </c>
      <c r="PXO3" s="12" t="s">
        <v>13983</v>
      </c>
      <c r="PXP3" s="12" t="s">
        <v>13984</v>
      </c>
      <c r="PXQ3" s="12" t="s">
        <v>13985</v>
      </c>
      <c r="PXR3" s="12" t="s">
        <v>13986</v>
      </c>
      <c r="PXS3" s="12" t="s">
        <v>13987</v>
      </c>
      <c r="PXT3" s="12" t="s">
        <v>13988</v>
      </c>
      <c r="PXU3" s="12" t="s">
        <v>13989</v>
      </c>
      <c r="PXV3" s="12" t="s">
        <v>13990</v>
      </c>
      <c r="PXW3" s="12" t="s">
        <v>13991</v>
      </c>
      <c r="PXX3" s="12" t="s">
        <v>13992</v>
      </c>
      <c r="PXY3" s="12" t="s">
        <v>13993</v>
      </c>
      <c r="PXZ3" s="12" t="s">
        <v>13994</v>
      </c>
      <c r="PYA3" s="12" t="s">
        <v>13995</v>
      </c>
      <c r="PYB3" s="12" t="s">
        <v>13996</v>
      </c>
      <c r="PYC3" s="12" t="s">
        <v>13997</v>
      </c>
      <c r="PYD3" s="12" t="s">
        <v>13998</v>
      </c>
      <c r="PYE3" s="12" t="s">
        <v>13999</v>
      </c>
      <c r="PYF3" s="12" t="s">
        <v>14000</v>
      </c>
      <c r="PYG3" s="12" t="s">
        <v>14001</v>
      </c>
      <c r="PYH3" s="12" t="s">
        <v>14002</v>
      </c>
      <c r="PYI3" s="12" t="s">
        <v>14003</v>
      </c>
      <c r="PYJ3" s="12" t="s">
        <v>14004</v>
      </c>
      <c r="PYK3" s="12" t="s">
        <v>14005</v>
      </c>
      <c r="PYL3" s="12" t="s">
        <v>14006</v>
      </c>
      <c r="PYM3" s="12" t="s">
        <v>14007</v>
      </c>
      <c r="PYN3" s="12" t="s">
        <v>14008</v>
      </c>
      <c r="PYO3" s="12" t="s">
        <v>14009</v>
      </c>
      <c r="PYP3" s="12" t="s">
        <v>14010</v>
      </c>
      <c r="PYQ3" s="12" t="s">
        <v>14011</v>
      </c>
      <c r="PYR3" s="12" t="s">
        <v>14012</v>
      </c>
      <c r="PYS3" s="12" t="s">
        <v>14013</v>
      </c>
      <c r="PYT3" s="12" t="s">
        <v>14014</v>
      </c>
      <c r="PYU3" s="12" t="s">
        <v>14015</v>
      </c>
      <c r="PYV3" s="12" t="s">
        <v>14016</v>
      </c>
      <c r="PYW3" s="12" t="s">
        <v>14017</v>
      </c>
      <c r="PYX3" s="12" t="s">
        <v>14018</v>
      </c>
      <c r="PYY3" s="12" t="s">
        <v>14019</v>
      </c>
      <c r="PYZ3" s="12" t="s">
        <v>14020</v>
      </c>
      <c r="PZA3" s="12" t="s">
        <v>14021</v>
      </c>
      <c r="PZB3" s="12" t="s">
        <v>14022</v>
      </c>
      <c r="PZC3" s="12" t="s">
        <v>14023</v>
      </c>
      <c r="PZD3" s="12" t="s">
        <v>14024</v>
      </c>
      <c r="PZE3" s="12" t="s">
        <v>14025</v>
      </c>
      <c r="PZF3" s="12" t="s">
        <v>14026</v>
      </c>
      <c r="PZG3" s="12" t="s">
        <v>14027</v>
      </c>
      <c r="PZH3" s="12" t="s">
        <v>14028</v>
      </c>
      <c r="PZI3" s="12" t="s">
        <v>14029</v>
      </c>
      <c r="PZJ3" s="12" t="s">
        <v>14030</v>
      </c>
      <c r="PZK3" s="12" t="s">
        <v>14031</v>
      </c>
      <c r="PZL3" s="12" t="s">
        <v>14032</v>
      </c>
      <c r="PZM3" s="12" t="s">
        <v>14033</v>
      </c>
      <c r="PZN3" s="12" t="s">
        <v>14034</v>
      </c>
      <c r="PZO3" s="12" t="s">
        <v>14035</v>
      </c>
      <c r="PZP3" s="12" t="s">
        <v>14036</v>
      </c>
      <c r="PZQ3" s="12" t="s">
        <v>14037</v>
      </c>
      <c r="PZR3" s="12" t="s">
        <v>14038</v>
      </c>
      <c r="PZS3" s="12" t="s">
        <v>14039</v>
      </c>
      <c r="PZT3" s="12" t="s">
        <v>14040</v>
      </c>
      <c r="PZU3" s="12" t="s">
        <v>14041</v>
      </c>
      <c r="PZV3" s="12" t="s">
        <v>14042</v>
      </c>
      <c r="PZW3" s="12" t="s">
        <v>14043</v>
      </c>
      <c r="PZX3" s="12" t="s">
        <v>14044</v>
      </c>
      <c r="PZY3" s="12" t="s">
        <v>14045</v>
      </c>
      <c r="PZZ3" s="12" t="s">
        <v>14046</v>
      </c>
      <c r="QAA3" s="12" t="s">
        <v>14047</v>
      </c>
      <c r="QAB3" s="12" t="s">
        <v>14048</v>
      </c>
      <c r="QAC3" s="12" t="s">
        <v>14049</v>
      </c>
      <c r="QAD3" s="12" t="s">
        <v>14050</v>
      </c>
      <c r="QAE3" s="12" t="s">
        <v>14051</v>
      </c>
      <c r="QAF3" s="12" t="s">
        <v>14052</v>
      </c>
      <c r="QAG3" s="12" t="s">
        <v>14053</v>
      </c>
      <c r="QAH3" s="12" t="s">
        <v>14054</v>
      </c>
      <c r="QAI3" s="12" t="s">
        <v>14055</v>
      </c>
      <c r="QAJ3" s="12" t="s">
        <v>14056</v>
      </c>
      <c r="QAK3" s="12" t="s">
        <v>14057</v>
      </c>
      <c r="QAL3" s="12" t="s">
        <v>14058</v>
      </c>
      <c r="QAM3" s="12" t="s">
        <v>14059</v>
      </c>
      <c r="QAN3" s="12" t="s">
        <v>14060</v>
      </c>
      <c r="QAO3" s="12" t="s">
        <v>14061</v>
      </c>
      <c r="QAP3" s="12" t="s">
        <v>14062</v>
      </c>
      <c r="QAQ3" s="12" t="s">
        <v>14063</v>
      </c>
      <c r="QAR3" s="12" t="s">
        <v>14064</v>
      </c>
      <c r="QAS3" s="12" t="s">
        <v>14065</v>
      </c>
      <c r="QAT3" s="12" t="s">
        <v>14066</v>
      </c>
      <c r="QAU3" s="12" t="s">
        <v>14067</v>
      </c>
      <c r="QAV3" s="12" t="s">
        <v>14068</v>
      </c>
      <c r="QAW3" s="12" t="s">
        <v>14069</v>
      </c>
      <c r="QAX3" s="12" t="s">
        <v>14070</v>
      </c>
      <c r="QAY3" s="12" t="s">
        <v>14071</v>
      </c>
      <c r="QAZ3" s="12" t="s">
        <v>14072</v>
      </c>
      <c r="QBA3" s="12" t="s">
        <v>14073</v>
      </c>
      <c r="QBB3" s="12" t="s">
        <v>14074</v>
      </c>
      <c r="QBC3" s="12" t="s">
        <v>14075</v>
      </c>
      <c r="QBD3" s="12" t="s">
        <v>14076</v>
      </c>
      <c r="QBE3" s="12" t="s">
        <v>14077</v>
      </c>
      <c r="QBF3" s="12" t="s">
        <v>14078</v>
      </c>
      <c r="QBG3" s="12" t="s">
        <v>14079</v>
      </c>
      <c r="QBH3" s="12" t="s">
        <v>14080</v>
      </c>
      <c r="QBI3" s="12" t="s">
        <v>14081</v>
      </c>
      <c r="QBJ3" s="12" t="s">
        <v>14082</v>
      </c>
      <c r="QBK3" s="12" t="s">
        <v>14083</v>
      </c>
      <c r="QBL3" s="12" t="s">
        <v>14084</v>
      </c>
      <c r="QBM3" s="12" t="s">
        <v>14085</v>
      </c>
      <c r="QBN3" s="12" t="s">
        <v>14086</v>
      </c>
      <c r="QBO3" s="12" t="s">
        <v>14087</v>
      </c>
      <c r="QBP3" s="12" t="s">
        <v>14088</v>
      </c>
      <c r="QBQ3" s="12" t="s">
        <v>14089</v>
      </c>
      <c r="QBR3" s="12" t="s">
        <v>14090</v>
      </c>
      <c r="QBS3" s="12" t="s">
        <v>14091</v>
      </c>
      <c r="QBT3" s="12" t="s">
        <v>14092</v>
      </c>
      <c r="QBU3" s="12" t="s">
        <v>14093</v>
      </c>
      <c r="QBV3" s="12" t="s">
        <v>14094</v>
      </c>
      <c r="QBW3" s="12" t="s">
        <v>14095</v>
      </c>
      <c r="QBX3" s="12" t="s">
        <v>14096</v>
      </c>
      <c r="QBY3" s="12" t="s">
        <v>14097</v>
      </c>
      <c r="QBZ3" s="12" t="s">
        <v>14098</v>
      </c>
      <c r="QCA3" s="12" t="s">
        <v>14099</v>
      </c>
      <c r="QCB3" s="12" t="s">
        <v>14100</v>
      </c>
      <c r="QCC3" s="12" t="s">
        <v>14101</v>
      </c>
      <c r="QCD3" s="12" t="s">
        <v>14102</v>
      </c>
      <c r="QCE3" s="12" t="s">
        <v>14103</v>
      </c>
      <c r="QCF3" s="12" t="s">
        <v>14104</v>
      </c>
      <c r="QCG3" s="12" t="s">
        <v>14105</v>
      </c>
      <c r="QCH3" s="12" t="s">
        <v>14106</v>
      </c>
      <c r="QCI3" s="12" t="s">
        <v>14107</v>
      </c>
      <c r="QCJ3" s="12" t="s">
        <v>14108</v>
      </c>
      <c r="QCK3" s="12" t="s">
        <v>14109</v>
      </c>
      <c r="QCL3" s="12" t="s">
        <v>14110</v>
      </c>
      <c r="QCM3" s="12" t="s">
        <v>14111</v>
      </c>
      <c r="QCN3" s="12" t="s">
        <v>14112</v>
      </c>
      <c r="QCO3" s="12" t="s">
        <v>14113</v>
      </c>
      <c r="QCP3" s="12" t="s">
        <v>14114</v>
      </c>
      <c r="QCQ3" s="12" t="s">
        <v>14115</v>
      </c>
      <c r="QCR3" s="12" t="s">
        <v>14116</v>
      </c>
      <c r="QCS3" s="12" t="s">
        <v>14117</v>
      </c>
      <c r="QCT3" s="12" t="s">
        <v>14118</v>
      </c>
      <c r="QCU3" s="12" t="s">
        <v>14119</v>
      </c>
      <c r="QCV3" s="12" t="s">
        <v>14120</v>
      </c>
      <c r="QCW3" s="12" t="s">
        <v>14121</v>
      </c>
      <c r="QCX3" s="12" t="s">
        <v>14122</v>
      </c>
      <c r="QCY3" s="12" t="s">
        <v>14123</v>
      </c>
      <c r="QCZ3" s="12" t="s">
        <v>14124</v>
      </c>
      <c r="QDA3" s="12" t="s">
        <v>14125</v>
      </c>
      <c r="QDB3" s="12" t="s">
        <v>14126</v>
      </c>
      <c r="QDC3" s="12" t="s">
        <v>14127</v>
      </c>
      <c r="QDD3" s="12" t="s">
        <v>14128</v>
      </c>
      <c r="QDE3" s="12" t="s">
        <v>14129</v>
      </c>
      <c r="QDF3" s="12" t="s">
        <v>14130</v>
      </c>
      <c r="QDG3" s="12" t="s">
        <v>14131</v>
      </c>
      <c r="QDH3" s="12" t="s">
        <v>14132</v>
      </c>
      <c r="QDI3" s="12" t="s">
        <v>14133</v>
      </c>
      <c r="QDJ3" s="12" t="s">
        <v>14134</v>
      </c>
      <c r="QDK3" s="12" t="s">
        <v>14135</v>
      </c>
      <c r="QDL3" s="12" t="s">
        <v>14136</v>
      </c>
      <c r="QDM3" s="12" t="s">
        <v>14137</v>
      </c>
      <c r="QDN3" s="12" t="s">
        <v>14138</v>
      </c>
      <c r="QDO3" s="12" t="s">
        <v>14139</v>
      </c>
      <c r="QDP3" s="12" t="s">
        <v>14140</v>
      </c>
      <c r="QDQ3" s="12" t="s">
        <v>14141</v>
      </c>
      <c r="QDR3" s="12" t="s">
        <v>14142</v>
      </c>
      <c r="QDS3" s="12" t="s">
        <v>14143</v>
      </c>
      <c r="QDT3" s="12" t="s">
        <v>14144</v>
      </c>
      <c r="QDU3" s="12" t="s">
        <v>14145</v>
      </c>
      <c r="QDV3" s="12" t="s">
        <v>14146</v>
      </c>
      <c r="QDW3" s="12" t="s">
        <v>14147</v>
      </c>
      <c r="QDX3" s="12" t="s">
        <v>14148</v>
      </c>
      <c r="QDY3" s="12" t="s">
        <v>14149</v>
      </c>
      <c r="QDZ3" s="12" t="s">
        <v>14150</v>
      </c>
      <c r="QEA3" s="12" t="s">
        <v>14151</v>
      </c>
      <c r="QEB3" s="12" t="s">
        <v>14152</v>
      </c>
      <c r="QEC3" s="12" t="s">
        <v>14153</v>
      </c>
      <c r="QED3" s="12" t="s">
        <v>14154</v>
      </c>
      <c r="QEE3" s="12" t="s">
        <v>14155</v>
      </c>
      <c r="QEF3" s="12" t="s">
        <v>14156</v>
      </c>
      <c r="QEG3" s="12" t="s">
        <v>14157</v>
      </c>
      <c r="QEH3" s="12" t="s">
        <v>14158</v>
      </c>
      <c r="QEI3" s="12" t="s">
        <v>14159</v>
      </c>
      <c r="QEJ3" s="12" t="s">
        <v>14160</v>
      </c>
      <c r="QEK3" s="12" t="s">
        <v>14161</v>
      </c>
      <c r="QEL3" s="12" t="s">
        <v>14162</v>
      </c>
      <c r="QEM3" s="12" t="s">
        <v>14163</v>
      </c>
      <c r="QEN3" s="12" t="s">
        <v>14164</v>
      </c>
      <c r="QEO3" s="12" t="s">
        <v>14165</v>
      </c>
      <c r="QEP3" s="12" t="s">
        <v>14166</v>
      </c>
      <c r="QEQ3" s="12" t="s">
        <v>14167</v>
      </c>
      <c r="QER3" s="12" t="s">
        <v>14168</v>
      </c>
      <c r="QES3" s="12" t="s">
        <v>14169</v>
      </c>
      <c r="QET3" s="12" t="s">
        <v>14170</v>
      </c>
      <c r="QEU3" s="12" t="s">
        <v>14171</v>
      </c>
      <c r="QEV3" s="12" t="s">
        <v>14172</v>
      </c>
      <c r="QEW3" s="12" t="s">
        <v>14173</v>
      </c>
      <c r="QEX3" s="12" t="s">
        <v>14174</v>
      </c>
      <c r="QEY3" s="12" t="s">
        <v>14175</v>
      </c>
      <c r="QEZ3" s="12" t="s">
        <v>14176</v>
      </c>
      <c r="QFA3" s="12" t="s">
        <v>14177</v>
      </c>
      <c r="QFB3" s="12" t="s">
        <v>14178</v>
      </c>
      <c r="QFC3" s="12" t="s">
        <v>14179</v>
      </c>
      <c r="QFD3" s="12" t="s">
        <v>14180</v>
      </c>
      <c r="QFE3" s="12" t="s">
        <v>14181</v>
      </c>
      <c r="QFF3" s="12" t="s">
        <v>14182</v>
      </c>
      <c r="QFG3" s="12" t="s">
        <v>14183</v>
      </c>
      <c r="QFH3" s="12" t="s">
        <v>14184</v>
      </c>
      <c r="QFI3" s="12" t="s">
        <v>14185</v>
      </c>
      <c r="QFJ3" s="12" t="s">
        <v>14186</v>
      </c>
      <c r="QFK3" s="12" t="s">
        <v>14187</v>
      </c>
      <c r="QFL3" s="12" t="s">
        <v>14188</v>
      </c>
      <c r="QFM3" s="12" t="s">
        <v>14189</v>
      </c>
      <c r="QFN3" s="12" t="s">
        <v>14190</v>
      </c>
      <c r="QFO3" s="12" t="s">
        <v>14191</v>
      </c>
      <c r="QFP3" s="12" t="s">
        <v>14192</v>
      </c>
      <c r="QFQ3" s="12" t="s">
        <v>14193</v>
      </c>
      <c r="QFR3" s="12" t="s">
        <v>14194</v>
      </c>
      <c r="QFS3" s="12" t="s">
        <v>14195</v>
      </c>
      <c r="QFT3" s="12" t="s">
        <v>14196</v>
      </c>
      <c r="QFU3" s="12" t="s">
        <v>14197</v>
      </c>
      <c r="QFV3" s="12" t="s">
        <v>14198</v>
      </c>
      <c r="QFW3" s="12" t="s">
        <v>14199</v>
      </c>
      <c r="QFX3" s="12" t="s">
        <v>14200</v>
      </c>
      <c r="QFY3" s="12" t="s">
        <v>14201</v>
      </c>
      <c r="QFZ3" s="12" t="s">
        <v>14202</v>
      </c>
      <c r="QGA3" s="12" t="s">
        <v>14203</v>
      </c>
      <c r="QGB3" s="12" t="s">
        <v>14204</v>
      </c>
      <c r="QGC3" s="12" t="s">
        <v>14205</v>
      </c>
      <c r="QGD3" s="12" t="s">
        <v>14206</v>
      </c>
      <c r="QGE3" s="12" t="s">
        <v>14207</v>
      </c>
      <c r="QGF3" s="12" t="s">
        <v>14208</v>
      </c>
      <c r="QGG3" s="12" t="s">
        <v>14209</v>
      </c>
      <c r="QGH3" s="12" t="s">
        <v>14210</v>
      </c>
      <c r="QGI3" s="12" t="s">
        <v>14211</v>
      </c>
      <c r="QGJ3" s="12" t="s">
        <v>14212</v>
      </c>
      <c r="QGK3" s="12" t="s">
        <v>14213</v>
      </c>
      <c r="QGL3" s="12" t="s">
        <v>14214</v>
      </c>
      <c r="QGM3" s="12" t="s">
        <v>14215</v>
      </c>
      <c r="QGN3" s="12" t="s">
        <v>14216</v>
      </c>
      <c r="QGO3" s="12" t="s">
        <v>14217</v>
      </c>
      <c r="QGP3" s="12" t="s">
        <v>14218</v>
      </c>
      <c r="QGQ3" s="12" t="s">
        <v>14219</v>
      </c>
      <c r="QGR3" s="12" t="s">
        <v>14220</v>
      </c>
      <c r="QGS3" s="12" t="s">
        <v>14221</v>
      </c>
      <c r="QGT3" s="12" t="s">
        <v>14222</v>
      </c>
      <c r="QGU3" s="12" t="s">
        <v>14223</v>
      </c>
      <c r="QGV3" s="12" t="s">
        <v>14224</v>
      </c>
      <c r="QGW3" s="12" t="s">
        <v>14225</v>
      </c>
      <c r="QGX3" s="12" t="s">
        <v>14226</v>
      </c>
      <c r="QGY3" s="12" t="s">
        <v>14227</v>
      </c>
      <c r="QGZ3" s="12" t="s">
        <v>14228</v>
      </c>
      <c r="QHA3" s="12" t="s">
        <v>14229</v>
      </c>
      <c r="QHB3" s="12" t="s">
        <v>14230</v>
      </c>
      <c r="QHC3" s="12" t="s">
        <v>14231</v>
      </c>
      <c r="QHD3" s="12" t="s">
        <v>14232</v>
      </c>
      <c r="QHE3" s="12" t="s">
        <v>14233</v>
      </c>
      <c r="QHF3" s="12" t="s">
        <v>14234</v>
      </c>
      <c r="QHG3" s="12" t="s">
        <v>14235</v>
      </c>
      <c r="QHH3" s="12" t="s">
        <v>14236</v>
      </c>
      <c r="QHI3" s="12" t="s">
        <v>14237</v>
      </c>
      <c r="QHJ3" s="12" t="s">
        <v>14238</v>
      </c>
      <c r="QHK3" s="12" t="s">
        <v>14239</v>
      </c>
      <c r="QHL3" s="12" t="s">
        <v>14240</v>
      </c>
      <c r="QHM3" s="12" t="s">
        <v>14241</v>
      </c>
      <c r="QHN3" s="12" t="s">
        <v>14242</v>
      </c>
      <c r="QHO3" s="12" t="s">
        <v>14243</v>
      </c>
      <c r="QHP3" s="12" t="s">
        <v>14244</v>
      </c>
      <c r="QHQ3" s="12" t="s">
        <v>14245</v>
      </c>
      <c r="QHR3" s="12" t="s">
        <v>14246</v>
      </c>
      <c r="QHS3" s="12" t="s">
        <v>14247</v>
      </c>
      <c r="QHT3" s="12" t="s">
        <v>14248</v>
      </c>
      <c r="QHU3" s="12" t="s">
        <v>14249</v>
      </c>
      <c r="QHV3" s="12" t="s">
        <v>14250</v>
      </c>
      <c r="QHW3" s="12" t="s">
        <v>14251</v>
      </c>
      <c r="QHX3" s="12" t="s">
        <v>14252</v>
      </c>
      <c r="QHY3" s="12" t="s">
        <v>14253</v>
      </c>
      <c r="QHZ3" s="12" t="s">
        <v>14254</v>
      </c>
      <c r="QIA3" s="12" t="s">
        <v>14255</v>
      </c>
      <c r="QIB3" s="12" t="s">
        <v>14256</v>
      </c>
      <c r="QIC3" s="12" t="s">
        <v>14257</v>
      </c>
      <c r="QID3" s="12" t="s">
        <v>14258</v>
      </c>
      <c r="QIE3" s="12" t="s">
        <v>14259</v>
      </c>
      <c r="QIF3" s="12" t="s">
        <v>14260</v>
      </c>
      <c r="QIG3" s="12" t="s">
        <v>14261</v>
      </c>
      <c r="QIH3" s="12" t="s">
        <v>14262</v>
      </c>
      <c r="QII3" s="12" t="s">
        <v>14263</v>
      </c>
      <c r="QIJ3" s="12" t="s">
        <v>14264</v>
      </c>
      <c r="QIK3" s="12" t="s">
        <v>14265</v>
      </c>
      <c r="QIL3" s="12" t="s">
        <v>14266</v>
      </c>
      <c r="QIM3" s="12" t="s">
        <v>14267</v>
      </c>
      <c r="QIN3" s="12" t="s">
        <v>14268</v>
      </c>
      <c r="QIO3" s="12" t="s">
        <v>14269</v>
      </c>
      <c r="QIP3" s="12" t="s">
        <v>14270</v>
      </c>
      <c r="QIQ3" s="12" t="s">
        <v>14271</v>
      </c>
      <c r="QIR3" s="12" t="s">
        <v>14272</v>
      </c>
      <c r="QIS3" s="12" t="s">
        <v>14273</v>
      </c>
      <c r="QIT3" s="12" t="s">
        <v>14274</v>
      </c>
      <c r="QIU3" s="12" t="s">
        <v>14275</v>
      </c>
      <c r="QIV3" s="12" t="s">
        <v>14276</v>
      </c>
      <c r="QIW3" s="12" t="s">
        <v>14277</v>
      </c>
      <c r="QIX3" s="12" t="s">
        <v>14278</v>
      </c>
      <c r="QIY3" s="12" t="s">
        <v>14279</v>
      </c>
      <c r="QIZ3" s="12" t="s">
        <v>14280</v>
      </c>
      <c r="QJA3" s="12" t="s">
        <v>14281</v>
      </c>
      <c r="QJB3" s="12" t="s">
        <v>14282</v>
      </c>
      <c r="QJC3" s="12" t="s">
        <v>14283</v>
      </c>
      <c r="QJD3" s="12" t="s">
        <v>14284</v>
      </c>
      <c r="QJE3" s="12" t="s">
        <v>14285</v>
      </c>
      <c r="QJF3" s="12" t="s">
        <v>14286</v>
      </c>
      <c r="QJG3" s="12" t="s">
        <v>14287</v>
      </c>
      <c r="QJH3" s="12" t="s">
        <v>14288</v>
      </c>
      <c r="QJI3" s="12" t="s">
        <v>14289</v>
      </c>
      <c r="QJJ3" s="12" t="s">
        <v>14290</v>
      </c>
      <c r="QJK3" s="12" t="s">
        <v>14291</v>
      </c>
      <c r="QJL3" s="12" t="s">
        <v>14292</v>
      </c>
      <c r="QJM3" s="12" t="s">
        <v>14293</v>
      </c>
      <c r="QJN3" s="12" t="s">
        <v>14294</v>
      </c>
      <c r="QJO3" s="12" t="s">
        <v>14295</v>
      </c>
      <c r="QJP3" s="12" t="s">
        <v>14296</v>
      </c>
      <c r="QJQ3" s="12" t="s">
        <v>14297</v>
      </c>
      <c r="QJR3" s="12" t="s">
        <v>14298</v>
      </c>
      <c r="QJS3" s="12" t="s">
        <v>14299</v>
      </c>
      <c r="QJT3" s="12" t="s">
        <v>14300</v>
      </c>
      <c r="QJU3" s="12" t="s">
        <v>14301</v>
      </c>
      <c r="QJV3" s="12" t="s">
        <v>14302</v>
      </c>
      <c r="QJW3" s="12" t="s">
        <v>14303</v>
      </c>
      <c r="QJX3" s="12" t="s">
        <v>14304</v>
      </c>
      <c r="QJY3" s="12" t="s">
        <v>14305</v>
      </c>
      <c r="QJZ3" s="12" t="s">
        <v>14306</v>
      </c>
      <c r="QKA3" s="12" t="s">
        <v>14307</v>
      </c>
      <c r="QKB3" s="12" t="s">
        <v>14308</v>
      </c>
      <c r="QKC3" s="12" t="s">
        <v>14309</v>
      </c>
      <c r="QKD3" s="12" t="s">
        <v>14310</v>
      </c>
      <c r="QKE3" s="12" t="s">
        <v>14311</v>
      </c>
      <c r="QKF3" s="12" t="s">
        <v>14312</v>
      </c>
      <c r="QKG3" s="12" t="s">
        <v>14313</v>
      </c>
      <c r="QKH3" s="12" t="s">
        <v>14314</v>
      </c>
      <c r="QKI3" s="12" t="s">
        <v>14315</v>
      </c>
      <c r="QKJ3" s="12" t="s">
        <v>14316</v>
      </c>
      <c r="QKK3" s="12" t="s">
        <v>14317</v>
      </c>
      <c r="QKL3" s="12" t="s">
        <v>14318</v>
      </c>
      <c r="QKM3" s="12" t="s">
        <v>14319</v>
      </c>
      <c r="QKN3" s="12" t="s">
        <v>14320</v>
      </c>
      <c r="QKO3" s="12" t="s">
        <v>14321</v>
      </c>
      <c r="QKP3" s="12" t="s">
        <v>14322</v>
      </c>
      <c r="QKQ3" s="12" t="s">
        <v>14323</v>
      </c>
      <c r="QKR3" s="12" t="s">
        <v>14324</v>
      </c>
      <c r="QKS3" s="12" t="s">
        <v>14325</v>
      </c>
      <c r="QKT3" s="12" t="s">
        <v>14326</v>
      </c>
      <c r="QKU3" s="12" t="s">
        <v>14327</v>
      </c>
      <c r="QKV3" s="12" t="s">
        <v>14328</v>
      </c>
      <c r="QKW3" s="12" t="s">
        <v>14329</v>
      </c>
      <c r="QKX3" s="12" t="s">
        <v>14330</v>
      </c>
      <c r="QKY3" s="12" t="s">
        <v>14331</v>
      </c>
      <c r="QKZ3" s="12" t="s">
        <v>14332</v>
      </c>
      <c r="QLA3" s="12" t="s">
        <v>14333</v>
      </c>
      <c r="QLB3" s="12" t="s">
        <v>14334</v>
      </c>
      <c r="QLC3" s="12" t="s">
        <v>14335</v>
      </c>
      <c r="QLD3" s="12" t="s">
        <v>14336</v>
      </c>
      <c r="QLE3" s="12" t="s">
        <v>14337</v>
      </c>
      <c r="QLF3" s="12" t="s">
        <v>14338</v>
      </c>
      <c r="QLG3" s="12" t="s">
        <v>14339</v>
      </c>
      <c r="QLH3" s="12" t="s">
        <v>14340</v>
      </c>
      <c r="QLI3" s="12" t="s">
        <v>14341</v>
      </c>
      <c r="QLJ3" s="12" t="s">
        <v>14342</v>
      </c>
      <c r="QLK3" s="12" t="s">
        <v>14343</v>
      </c>
      <c r="QLL3" s="12" t="s">
        <v>14344</v>
      </c>
      <c r="QLM3" s="12" t="s">
        <v>14345</v>
      </c>
      <c r="QLN3" s="12" t="s">
        <v>14346</v>
      </c>
      <c r="QLO3" s="12" t="s">
        <v>14347</v>
      </c>
      <c r="QLP3" s="12" t="s">
        <v>14348</v>
      </c>
      <c r="QLQ3" s="12" t="s">
        <v>14349</v>
      </c>
      <c r="QLR3" s="12" t="s">
        <v>14350</v>
      </c>
      <c r="QLS3" s="12" t="s">
        <v>14351</v>
      </c>
      <c r="QLT3" s="12" t="s">
        <v>14352</v>
      </c>
      <c r="QLU3" s="12" t="s">
        <v>14353</v>
      </c>
      <c r="QLV3" s="12" t="s">
        <v>14354</v>
      </c>
      <c r="QLW3" s="12" t="s">
        <v>14355</v>
      </c>
      <c r="QLX3" s="12" t="s">
        <v>14356</v>
      </c>
      <c r="QLY3" s="12" t="s">
        <v>14357</v>
      </c>
      <c r="QLZ3" s="12" t="s">
        <v>14358</v>
      </c>
      <c r="QMA3" s="12" t="s">
        <v>14359</v>
      </c>
      <c r="QMB3" s="12" t="s">
        <v>14360</v>
      </c>
      <c r="QMC3" s="12" t="s">
        <v>14361</v>
      </c>
      <c r="QMD3" s="12" t="s">
        <v>14362</v>
      </c>
      <c r="QME3" s="12" t="s">
        <v>14363</v>
      </c>
      <c r="QMF3" s="12" t="s">
        <v>14364</v>
      </c>
      <c r="QMG3" s="12" t="s">
        <v>14365</v>
      </c>
      <c r="QMH3" s="12" t="s">
        <v>14366</v>
      </c>
      <c r="QMI3" s="12" t="s">
        <v>14367</v>
      </c>
      <c r="QMJ3" s="12" t="s">
        <v>14368</v>
      </c>
      <c r="QMK3" s="12" t="s">
        <v>14369</v>
      </c>
      <c r="QML3" s="12" t="s">
        <v>14370</v>
      </c>
      <c r="QMM3" s="12" t="s">
        <v>14371</v>
      </c>
      <c r="QMN3" s="12" t="s">
        <v>14372</v>
      </c>
      <c r="QMO3" s="12" t="s">
        <v>14373</v>
      </c>
      <c r="QMP3" s="12" t="s">
        <v>14374</v>
      </c>
      <c r="QMQ3" s="12" t="s">
        <v>14375</v>
      </c>
      <c r="QMR3" s="12" t="s">
        <v>14376</v>
      </c>
      <c r="QMS3" s="12" t="s">
        <v>14377</v>
      </c>
      <c r="QMT3" s="12" t="s">
        <v>14378</v>
      </c>
      <c r="QMU3" s="12" t="s">
        <v>14379</v>
      </c>
      <c r="QMV3" s="12" t="s">
        <v>14380</v>
      </c>
      <c r="QMW3" s="12" t="s">
        <v>14381</v>
      </c>
      <c r="QMX3" s="12" t="s">
        <v>14382</v>
      </c>
      <c r="QMY3" s="12" t="s">
        <v>14383</v>
      </c>
      <c r="QMZ3" s="12" t="s">
        <v>14384</v>
      </c>
      <c r="QNA3" s="12" t="s">
        <v>14385</v>
      </c>
      <c r="QNB3" s="12" t="s">
        <v>14386</v>
      </c>
      <c r="QNC3" s="12" t="s">
        <v>14387</v>
      </c>
      <c r="QND3" s="12" t="s">
        <v>14388</v>
      </c>
      <c r="QNE3" s="12" t="s">
        <v>14389</v>
      </c>
      <c r="QNF3" s="12" t="s">
        <v>14390</v>
      </c>
      <c r="QNG3" s="12" t="s">
        <v>14391</v>
      </c>
      <c r="QNH3" s="12" t="s">
        <v>14392</v>
      </c>
      <c r="QNI3" s="12" t="s">
        <v>14393</v>
      </c>
      <c r="QNJ3" s="12" t="s">
        <v>14394</v>
      </c>
      <c r="QNK3" s="12" t="s">
        <v>14395</v>
      </c>
      <c r="QNL3" s="12" t="s">
        <v>14396</v>
      </c>
      <c r="QNM3" s="12" t="s">
        <v>14397</v>
      </c>
      <c r="QNN3" s="12" t="s">
        <v>14398</v>
      </c>
      <c r="QNO3" s="12" t="s">
        <v>14399</v>
      </c>
      <c r="QNP3" s="12" t="s">
        <v>14400</v>
      </c>
      <c r="QNQ3" s="12" t="s">
        <v>14401</v>
      </c>
      <c r="QNR3" s="12" t="s">
        <v>14402</v>
      </c>
      <c r="QNS3" s="12" t="s">
        <v>14403</v>
      </c>
      <c r="QNT3" s="12" t="s">
        <v>14404</v>
      </c>
      <c r="QNU3" s="12" t="s">
        <v>14405</v>
      </c>
      <c r="QNV3" s="12" t="s">
        <v>14406</v>
      </c>
      <c r="QNW3" s="12" t="s">
        <v>14407</v>
      </c>
      <c r="QNX3" s="12" t="s">
        <v>14408</v>
      </c>
      <c r="QNY3" s="12" t="s">
        <v>14409</v>
      </c>
      <c r="QNZ3" s="12" t="s">
        <v>14410</v>
      </c>
      <c r="QOA3" s="12" t="s">
        <v>14411</v>
      </c>
      <c r="QOB3" s="12" t="s">
        <v>14412</v>
      </c>
      <c r="QOC3" s="12" t="s">
        <v>14413</v>
      </c>
      <c r="QOD3" s="12" t="s">
        <v>14414</v>
      </c>
      <c r="QOE3" s="12" t="s">
        <v>14415</v>
      </c>
      <c r="QOF3" s="12" t="s">
        <v>14416</v>
      </c>
      <c r="QOG3" s="12" t="s">
        <v>14417</v>
      </c>
      <c r="QOH3" s="12" t="s">
        <v>14418</v>
      </c>
      <c r="QOI3" s="12" t="s">
        <v>14419</v>
      </c>
      <c r="QOJ3" s="12" t="s">
        <v>14420</v>
      </c>
      <c r="QOK3" s="12" t="s">
        <v>14421</v>
      </c>
      <c r="QOL3" s="12" t="s">
        <v>14422</v>
      </c>
      <c r="QOM3" s="12" t="s">
        <v>14423</v>
      </c>
      <c r="QON3" s="12" t="s">
        <v>14424</v>
      </c>
      <c r="QOO3" s="12" t="s">
        <v>14425</v>
      </c>
      <c r="QOP3" s="12" t="s">
        <v>14426</v>
      </c>
      <c r="QOQ3" s="12" t="s">
        <v>14427</v>
      </c>
      <c r="QOR3" s="12" t="s">
        <v>14428</v>
      </c>
      <c r="QOS3" s="12" t="s">
        <v>14429</v>
      </c>
      <c r="QOT3" s="12" t="s">
        <v>14430</v>
      </c>
      <c r="QOU3" s="12" t="s">
        <v>14431</v>
      </c>
      <c r="QOV3" s="12" t="s">
        <v>14432</v>
      </c>
      <c r="QOW3" s="12" t="s">
        <v>14433</v>
      </c>
      <c r="QOX3" s="12" t="s">
        <v>14434</v>
      </c>
      <c r="QOY3" s="12" t="s">
        <v>14435</v>
      </c>
      <c r="QOZ3" s="12" t="s">
        <v>14436</v>
      </c>
      <c r="QPA3" s="12" t="s">
        <v>14437</v>
      </c>
      <c r="QPB3" s="12" t="s">
        <v>14438</v>
      </c>
      <c r="QPC3" s="12" t="s">
        <v>14439</v>
      </c>
      <c r="QPD3" s="12" t="s">
        <v>14440</v>
      </c>
      <c r="QPE3" s="12" t="s">
        <v>14441</v>
      </c>
      <c r="QPF3" s="12" t="s">
        <v>14442</v>
      </c>
      <c r="QPG3" s="12" t="s">
        <v>14443</v>
      </c>
      <c r="QPH3" s="12" t="s">
        <v>14444</v>
      </c>
      <c r="QPI3" s="12" t="s">
        <v>14445</v>
      </c>
      <c r="QPJ3" s="12" t="s">
        <v>14446</v>
      </c>
      <c r="QPK3" s="12" t="s">
        <v>14447</v>
      </c>
      <c r="QPL3" s="12" t="s">
        <v>14448</v>
      </c>
      <c r="QPM3" s="12" t="s">
        <v>14449</v>
      </c>
      <c r="QPN3" s="12" t="s">
        <v>14450</v>
      </c>
      <c r="QPO3" s="12" t="s">
        <v>14451</v>
      </c>
      <c r="QPP3" s="12" t="s">
        <v>14452</v>
      </c>
      <c r="QPQ3" s="12" t="s">
        <v>14453</v>
      </c>
      <c r="QPR3" s="12" t="s">
        <v>14454</v>
      </c>
      <c r="QPS3" s="12" t="s">
        <v>14455</v>
      </c>
      <c r="QPT3" s="12" t="s">
        <v>14456</v>
      </c>
      <c r="QPU3" s="12" t="s">
        <v>14457</v>
      </c>
      <c r="QPV3" s="12" t="s">
        <v>14458</v>
      </c>
      <c r="QPW3" s="12" t="s">
        <v>14459</v>
      </c>
      <c r="QPX3" s="12" t="s">
        <v>14460</v>
      </c>
      <c r="QPY3" s="12" t="s">
        <v>14461</v>
      </c>
      <c r="QPZ3" s="12" t="s">
        <v>14462</v>
      </c>
      <c r="QQA3" s="12" t="s">
        <v>14463</v>
      </c>
      <c r="QQB3" s="12" t="s">
        <v>14464</v>
      </c>
      <c r="QQC3" s="12" t="s">
        <v>14465</v>
      </c>
      <c r="QQD3" s="12" t="s">
        <v>14466</v>
      </c>
      <c r="QQE3" s="12" t="s">
        <v>14467</v>
      </c>
      <c r="QQF3" s="12" t="s">
        <v>14468</v>
      </c>
      <c r="QQG3" s="12" t="s">
        <v>14469</v>
      </c>
      <c r="QQH3" s="12" t="s">
        <v>14470</v>
      </c>
      <c r="QQI3" s="12" t="s">
        <v>14471</v>
      </c>
      <c r="QQJ3" s="12" t="s">
        <v>14472</v>
      </c>
      <c r="QQK3" s="12" t="s">
        <v>14473</v>
      </c>
      <c r="QQL3" s="12" t="s">
        <v>14474</v>
      </c>
      <c r="QQM3" s="12" t="s">
        <v>14475</v>
      </c>
      <c r="QQN3" s="12" t="s">
        <v>14476</v>
      </c>
      <c r="QQO3" s="12" t="s">
        <v>14477</v>
      </c>
      <c r="QQP3" s="12" t="s">
        <v>14478</v>
      </c>
      <c r="QQQ3" s="12" t="s">
        <v>14479</v>
      </c>
      <c r="QQR3" s="12" t="s">
        <v>14480</v>
      </c>
      <c r="QQS3" s="12" t="s">
        <v>14481</v>
      </c>
      <c r="QQT3" s="12" t="s">
        <v>14482</v>
      </c>
      <c r="QQU3" s="12" t="s">
        <v>14483</v>
      </c>
      <c r="QQV3" s="12" t="s">
        <v>14484</v>
      </c>
      <c r="QQW3" s="12" t="s">
        <v>14485</v>
      </c>
      <c r="QQX3" s="12" t="s">
        <v>14486</v>
      </c>
      <c r="QQY3" s="12" t="s">
        <v>14487</v>
      </c>
      <c r="QQZ3" s="12" t="s">
        <v>14488</v>
      </c>
      <c r="QRA3" s="12" t="s">
        <v>14489</v>
      </c>
      <c r="QRB3" s="12" t="s">
        <v>14490</v>
      </c>
      <c r="QRC3" s="12" t="s">
        <v>14491</v>
      </c>
      <c r="QRD3" s="12" t="s">
        <v>14492</v>
      </c>
      <c r="QRE3" s="12" t="s">
        <v>14493</v>
      </c>
      <c r="QRF3" s="12" t="s">
        <v>14494</v>
      </c>
      <c r="QRG3" s="12" t="s">
        <v>14495</v>
      </c>
      <c r="QRH3" s="12" t="s">
        <v>14496</v>
      </c>
      <c r="QRI3" s="12" t="s">
        <v>14497</v>
      </c>
      <c r="QRJ3" s="12" t="s">
        <v>14498</v>
      </c>
      <c r="QRK3" s="12" t="s">
        <v>14499</v>
      </c>
      <c r="QRL3" s="12" t="s">
        <v>14500</v>
      </c>
      <c r="QRM3" s="12" t="s">
        <v>14501</v>
      </c>
      <c r="QRN3" s="12" t="s">
        <v>14502</v>
      </c>
      <c r="QRO3" s="12" t="s">
        <v>14503</v>
      </c>
      <c r="QRP3" s="12" t="s">
        <v>14504</v>
      </c>
      <c r="QRQ3" s="12" t="s">
        <v>14505</v>
      </c>
      <c r="QRR3" s="12" t="s">
        <v>14506</v>
      </c>
      <c r="QRS3" s="12" t="s">
        <v>14507</v>
      </c>
      <c r="QRT3" s="12" t="s">
        <v>14508</v>
      </c>
      <c r="QRU3" s="12" t="s">
        <v>14509</v>
      </c>
      <c r="QRV3" s="12" t="s">
        <v>14510</v>
      </c>
      <c r="QRW3" s="12" t="s">
        <v>14511</v>
      </c>
      <c r="QRX3" s="12" t="s">
        <v>14512</v>
      </c>
      <c r="QRY3" s="12" t="s">
        <v>14513</v>
      </c>
      <c r="QRZ3" s="12" t="s">
        <v>14514</v>
      </c>
      <c r="QSA3" s="12" t="s">
        <v>14515</v>
      </c>
      <c r="QSB3" s="12" t="s">
        <v>14516</v>
      </c>
      <c r="QSC3" s="12" t="s">
        <v>14517</v>
      </c>
      <c r="QSD3" s="12" t="s">
        <v>14518</v>
      </c>
      <c r="QSE3" s="12" t="s">
        <v>14519</v>
      </c>
      <c r="QSF3" s="12" t="s">
        <v>14520</v>
      </c>
      <c r="QSG3" s="12" t="s">
        <v>14521</v>
      </c>
      <c r="QSH3" s="12" t="s">
        <v>14522</v>
      </c>
      <c r="QSI3" s="12" t="s">
        <v>14523</v>
      </c>
      <c r="QSJ3" s="12" t="s">
        <v>14524</v>
      </c>
      <c r="QSK3" s="12" t="s">
        <v>14525</v>
      </c>
      <c r="QSL3" s="12" t="s">
        <v>14526</v>
      </c>
      <c r="QSM3" s="12" t="s">
        <v>14527</v>
      </c>
      <c r="QSN3" s="12" t="s">
        <v>14528</v>
      </c>
      <c r="QSO3" s="12" t="s">
        <v>14529</v>
      </c>
      <c r="QSP3" s="12" t="s">
        <v>14530</v>
      </c>
      <c r="QSQ3" s="12" t="s">
        <v>14531</v>
      </c>
      <c r="QSR3" s="12" t="s">
        <v>14532</v>
      </c>
      <c r="QSS3" s="12" t="s">
        <v>14533</v>
      </c>
      <c r="QST3" s="12" t="s">
        <v>14534</v>
      </c>
      <c r="QSU3" s="12" t="s">
        <v>14535</v>
      </c>
      <c r="QSV3" s="12" t="s">
        <v>14536</v>
      </c>
      <c r="QSW3" s="12" t="s">
        <v>14537</v>
      </c>
      <c r="QSX3" s="12" t="s">
        <v>14538</v>
      </c>
      <c r="QSY3" s="12" t="s">
        <v>14539</v>
      </c>
      <c r="QSZ3" s="12" t="s">
        <v>14540</v>
      </c>
      <c r="QTA3" s="12" t="s">
        <v>14541</v>
      </c>
      <c r="QTB3" s="12" t="s">
        <v>14542</v>
      </c>
      <c r="QTC3" s="12" t="s">
        <v>14543</v>
      </c>
      <c r="QTD3" s="12" t="s">
        <v>14544</v>
      </c>
      <c r="QTE3" s="12" t="s">
        <v>14545</v>
      </c>
      <c r="QTF3" s="12" t="s">
        <v>14546</v>
      </c>
      <c r="QTG3" s="12" t="s">
        <v>14547</v>
      </c>
      <c r="QTH3" s="12" t="s">
        <v>14548</v>
      </c>
      <c r="QTI3" s="12" t="s">
        <v>14549</v>
      </c>
      <c r="QTJ3" s="12" t="s">
        <v>14550</v>
      </c>
      <c r="QTK3" s="12" t="s">
        <v>14551</v>
      </c>
      <c r="QTL3" s="12" t="s">
        <v>14552</v>
      </c>
      <c r="QTM3" s="12" t="s">
        <v>14553</v>
      </c>
      <c r="QTN3" s="12" t="s">
        <v>14554</v>
      </c>
      <c r="QTO3" s="12" t="s">
        <v>14555</v>
      </c>
      <c r="QTP3" s="12" t="s">
        <v>14556</v>
      </c>
      <c r="QTQ3" s="12" t="s">
        <v>14557</v>
      </c>
      <c r="QTR3" s="12" t="s">
        <v>14558</v>
      </c>
      <c r="QTS3" s="12" t="s">
        <v>14559</v>
      </c>
      <c r="QTT3" s="12" t="s">
        <v>14560</v>
      </c>
      <c r="QTU3" s="12" t="s">
        <v>14561</v>
      </c>
      <c r="QTV3" s="12" t="s">
        <v>14562</v>
      </c>
      <c r="QTW3" s="12" t="s">
        <v>14563</v>
      </c>
      <c r="QTX3" s="12" t="s">
        <v>14564</v>
      </c>
      <c r="QTY3" s="12" t="s">
        <v>14565</v>
      </c>
      <c r="QTZ3" s="12" t="s">
        <v>14566</v>
      </c>
      <c r="QUA3" s="12" t="s">
        <v>14567</v>
      </c>
      <c r="QUB3" s="12" t="s">
        <v>14568</v>
      </c>
      <c r="QUC3" s="12" t="s">
        <v>14569</v>
      </c>
      <c r="QUD3" s="12" t="s">
        <v>14570</v>
      </c>
      <c r="QUE3" s="12" t="s">
        <v>14571</v>
      </c>
      <c r="QUF3" s="12" t="s">
        <v>14572</v>
      </c>
      <c r="QUG3" s="12" t="s">
        <v>14573</v>
      </c>
      <c r="QUH3" s="12" t="s">
        <v>14574</v>
      </c>
      <c r="QUI3" s="12" t="s">
        <v>14575</v>
      </c>
      <c r="QUJ3" s="12" t="s">
        <v>14576</v>
      </c>
      <c r="QUK3" s="12" t="s">
        <v>14577</v>
      </c>
      <c r="QUL3" s="12" t="s">
        <v>14578</v>
      </c>
      <c r="QUM3" s="12" t="s">
        <v>14579</v>
      </c>
      <c r="QUN3" s="12" t="s">
        <v>14580</v>
      </c>
      <c r="QUO3" s="12" t="s">
        <v>14581</v>
      </c>
      <c r="QUP3" s="12" t="s">
        <v>14582</v>
      </c>
      <c r="QUQ3" s="12" t="s">
        <v>14583</v>
      </c>
      <c r="QUR3" s="12" t="s">
        <v>14584</v>
      </c>
      <c r="QUS3" s="12" t="s">
        <v>14585</v>
      </c>
      <c r="QUT3" s="12" t="s">
        <v>14586</v>
      </c>
      <c r="QUU3" s="12" t="s">
        <v>14587</v>
      </c>
      <c r="QUV3" s="12" t="s">
        <v>14588</v>
      </c>
      <c r="QUW3" s="12" t="s">
        <v>14589</v>
      </c>
      <c r="QUX3" s="12" t="s">
        <v>14590</v>
      </c>
      <c r="QUY3" s="12" t="s">
        <v>14591</v>
      </c>
      <c r="QUZ3" s="12" t="s">
        <v>14592</v>
      </c>
      <c r="QVA3" s="12" t="s">
        <v>14593</v>
      </c>
      <c r="QVB3" s="12" t="s">
        <v>14594</v>
      </c>
      <c r="QVC3" s="12" t="s">
        <v>14595</v>
      </c>
      <c r="QVD3" s="12" t="s">
        <v>14596</v>
      </c>
      <c r="QVE3" s="12" t="s">
        <v>14597</v>
      </c>
      <c r="QVF3" s="12" t="s">
        <v>14598</v>
      </c>
      <c r="QVG3" s="12" t="s">
        <v>14599</v>
      </c>
      <c r="QVH3" s="12" t="s">
        <v>14600</v>
      </c>
      <c r="QVI3" s="12" t="s">
        <v>14601</v>
      </c>
      <c r="QVJ3" s="12" t="s">
        <v>14602</v>
      </c>
      <c r="QVK3" s="12" t="s">
        <v>14603</v>
      </c>
      <c r="QVL3" s="12" t="s">
        <v>14604</v>
      </c>
      <c r="QVM3" s="12" t="s">
        <v>14605</v>
      </c>
      <c r="QVN3" s="12" t="s">
        <v>14606</v>
      </c>
      <c r="QVO3" s="12" t="s">
        <v>14607</v>
      </c>
      <c r="QVP3" s="12" t="s">
        <v>14608</v>
      </c>
      <c r="QVQ3" s="12" t="s">
        <v>14609</v>
      </c>
      <c r="QVR3" s="12" t="s">
        <v>14610</v>
      </c>
      <c r="QVS3" s="12" t="s">
        <v>14611</v>
      </c>
      <c r="QVT3" s="12" t="s">
        <v>14612</v>
      </c>
      <c r="QVU3" s="12" t="s">
        <v>14613</v>
      </c>
      <c r="QVV3" s="12" t="s">
        <v>14614</v>
      </c>
      <c r="QVW3" s="12" t="s">
        <v>14615</v>
      </c>
      <c r="QVX3" s="12" t="s">
        <v>14616</v>
      </c>
      <c r="QVY3" s="12" t="s">
        <v>14617</v>
      </c>
      <c r="QVZ3" s="12" t="s">
        <v>14618</v>
      </c>
      <c r="QWA3" s="12" t="s">
        <v>14619</v>
      </c>
      <c r="QWB3" s="12" t="s">
        <v>14620</v>
      </c>
      <c r="QWC3" s="12" t="s">
        <v>14621</v>
      </c>
      <c r="QWD3" s="12" t="s">
        <v>14622</v>
      </c>
      <c r="QWE3" s="12" t="s">
        <v>14623</v>
      </c>
      <c r="QWF3" s="12" t="s">
        <v>14624</v>
      </c>
      <c r="QWG3" s="12" t="s">
        <v>14625</v>
      </c>
      <c r="QWH3" s="12" t="s">
        <v>14626</v>
      </c>
      <c r="QWI3" s="12" t="s">
        <v>14627</v>
      </c>
      <c r="QWJ3" s="12" t="s">
        <v>14628</v>
      </c>
      <c r="QWK3" s="12" t="s">
        <v>14629</v>
      </c>
      <c r="QWL3" s="12" t="s">
        <v>14630</v>
      </c>
      <c r="QWM3" s="12" t="s">
        <v>14631</v>
      </c>
      <c r="QWN3" s="12" t="s">
        <v>14632</v>
      </c>
      <c r="QWO3" s="12" t="s">
        <v>14633</v>
      </c>
      <c r="QWP3" s="12" t="s">
        <v>14634</v>
      </c>
      <c r="QWQ3" s="12" t="s">
        <v>14635</v>
      </c>
      <c r="QWR3" s="12" t="s">
        <v>14636</v>
      </c>
      <c r="QWS3" s="12" t="s">
        <v>14637</v>
      </c>
      <c r="QWT3" s="12" t="s">
        <v>14638</v>
      </c>
      <c r="QWU3" s="12" t="s">
        <v>14639</v>
      </c>
      <c r="QWV3" s="12" t="s">
        <v>14640</v>
      </c>
      <c r="QWW3" s="12" t="s">
        <v>14641</v>
      </c>
      <c r="QWX3" s="12" t="s">
        <v>14642</v>
      </c>
      <c r="QWY3" s="12" t="s">
        <v>14643</v>
      </c>
      <c r="QWZ3" s="12" t="s">
        <v>14644</v>
      </c>
      <c r="QXA3" s="12" t="s">
        <v>14645</v>
      </c>
      <c r="QXB3" s="12" t="s">
        <v>14646</v>
      </c>
      <c r="QXC3" s="12" t="s">
        <v>14647</v>
      </c>
      <c r="QXD3" s="12" t="s">
        <v>14648</v>
      </c>
      <c r="QXE3" s="12" t="s">
        <v>14649</v>
      </c>
      <c r="QXF3" s="12" t="s">
        <v>14650</v>
      </c>
      <c r="QXG3" s="12" t="s">
        <v>14651</v>
      </c>
      <c r="QXH3" s="12" t="s">
        <v>14652</v>
      </c>
      <c r="QXI3" s="12" t="s">
        <v>14653</v>
      </c>
      <c r="QXJ3" s="12" t="s">
        <v>14654</v>
      </c>
      <c r="QXK3" s="12" t="s">
        <v>14655</v>
      </c>
      <c r="QXL3" s="12" t="s">
        <v>14656</v>
      </c>
      <c r="QXM3" s="12" t="s">
        <v>14657</v>
      </c>
      <c r="QXN3" s="12" t="s">
        <v>14658</v>
      </c>
      <c r="QXO3" s="12" t="s">
        <v>14659</v>
      </c>
      <c r="QXP3" s="12" t="s">
        <v>14660</v>
      </c>
      <c r="QXQ3" s="12" t="s">
        <v>14661</v>
      </c>
      <c r="QXR3" s="12" t="s">
        <v>14662</v>
      </c>
      <c r="QXS3" s="12" t="s">
        <v>14663</v>
      </c>
      <c r="QXT3" s="12" t="s">
        <v>14664</v>
      </c>
      <c r="QXU3" s="12" t="s">
        <v>14665</v>
      </c>
      <c r="QXV3" s="12" t="s">
        <v>14666</v>
      </c>
      <c r="QXW3" s="12" t="s">
        <v>14667</v>
      </c>
      <c r="QXX3" s="12" t="s">
        <v>14668</v>
      </c>
      <c r="QXY3" s="12" t="s">
        <v>14669</v>
      </c>
      <c r="QXZ3" s="12" t="s">
        <v>14670</v>
      </c>
      <c r="QYA3" s="12" t="s">
        <v>14671</v>
      </c>
      <c r="QYB3" s="12" t="s">
        <v>14672</v>
      </c>
      <c r="QYC3" s="12" t="s">
        <v>14673</v>
      </c>
      <c r="QYD3" s="12" t="s">
        <v>14674</v>
      </c>
      <c r="QYE3" s="12" t="s">
        <v>14675</v>
      </c>
      <c r="QYF3" s="12" t="s">
        <v>14676</v>
      </c>
      <c r="QYG3" s="12" t="s">
        <v>14677</v>
      </c>
      <c r="QYH3" s="12" t="s">
        <v>14678</v>
      </c>
      <c r="QYI3" s="12" t="s">
        <v>14679</v>
      </c>
      <c r="QYJ3" s="12" t="s">
        <v>14680</v>
      </c>
      <c r="QYK3" s="12" t="s">
        <v>14681</v>
      </c>
      <c r="QYL3" s="12" t="s">
        <v>14682</v>
      </c>
      <c r="QYM3" s="12" t="s">
        <v>14683</v>
      </c>
      <c r="QYN3" s="12" t="s">
        <v>14684</v>
      </c>
      <c r="QYO3" s="12" t="s">
        <v>14685</v>
      </c>
      <c r="QYP3" s="12" t="s">
        <v>14686</v>
      </c>
      <c r="QYQ3" s="12" t="s">
        <v>14687</v>
      </c>
      <c r="QYR3" s="12" t="s">
        <v>14688</v>
      </c>
      <c r="QYS3" s="12" t="s">
        <v>14689</v>
      </c>
      <c r="QYT3" s="12" t="s">
        <v>14690</v>
      </c>
      <c r="QYU3" s="12" t="s">
        <v>14691</v>
      </c>
      <c r="QYV3" s="12" t="s">
        <v>14692</v>
      </c>
      <c r="QYW3" s="12" t="s">
        <v>14693</v>
      </c>
      <c r="QYX3" s="12" t="s">
        <v>14694</v>
      </c>
      <c r="QYY3" s="12" t="s">
        <v>14695</v>
      </c>
      <c r="QYZ3" s="12" t="s">
        <v>14696</v>
      </c>
      <c r="QZA3" s="12" t="s">
        <v>14697</v>
      </c>
      <c r="QZB3" s="12" t="s">
        <v>14698</v>
      </c>
      <c r="QZC3" s="12" t="s">
        <v>14699</v>
      </c>
      <c r="QZD3" s="12" t="s">
        <v>14700</v>
      </c>
      <c r="QZE3" s="12" t="s">
        <v>14701</v>
      </c>
      <c r="QZF3" s="12" t="s">
        <v>14702</v>
      </c>
      <c r="QZG3" s="12" t="s">
        <v>14703</v>
      </c>
      <c r="QZH3" s="12" t="s">
        <v>14704</v>
      </c>
      <c r="QZI3" s="12" t="s">
        <v>14705</v>
      </c>
      <c r="QZJ3" s="12" t="s">
        <v>14706</v>
      </c>
      <c r="QZK3" s="12" t="s">
        <v>14707</v>
      </c>
      <c r="QZL3" s="12" t="s">
        <v>14708</v>
      </c>
      <c r="QZM3" s="12" t="s">
        <v>14709</v>
      </c>
      <c r="QZN3" s="12" t="s">
        <v>14710</v>
      </c>
      <c r="QZO3" s="12" t="s">
        <v>14711</v>
      </c>
      <c r="QZP3" s="12" t="s">
        <v>14712</v>
      </c>
      <c r="QZQ3" s="12" t="s">
        <v>14713</v>
      </c>
      <c r="QZR3" s="12" t="s">
        <v>14714</v>
      </c>
      <c r="QZS3" s="12" t="s">
        <v>14715</v>
      </c>
      <c r="QZT3" s="12" t="s">
        <v>14716</v>
      </c>
      <c r="QZU3" s="12" t="s">
        <v>14717</v>
      </c>
      <c r="QZV3" s="12" t="s">
        <v>14718</v>
      </c>
      <c r="QZW3" s="12" t="s">
        <v>14719</v>
      </c>
      <c r="QZX3" s="12" t="s">
        <v>14720</v>
      </c>
      <c r="QZY3" s="12" t="s">
        <v>14721</v>
      </c>
      <c r="QZZ3" s="12" t="s">
        <v>14722</v>
      </c>
      <c r="RAA3" s="12" t="s">
        <v>14723</v>
      </c>
      <c r="RAB3" s="12" t="s">
        <v>14724</v>
      </c>
      <c r="RAC3" s="12" t="s">
        <v>14725</v>
      </c>
      <c r="RAD3" s="12" t="s">
        <v>14726</v>
      </c>
      <c r="RAE3" s="12" t="s">
        <v>14727</v>
      </c>
      <c r="RAF3" s="12" t="s">
        <v>14728</v>
      </c>
      <c r="RAG3" s="12" t="s">
        <v>14729</v>
      </c>
      <c r="RAH3" s="12" t="s">
        <v>14730</v>
      </c>
      <c r="RAI3" s="12" t="s">
        <v>14731</v>
      </c>
      <c r="RAJ3" s="12" t="s">
        <v>14732</v>
      </c>
      <c r="RAK3" s="12" t="s">
        <v>14733</v>
      </c>
      <c r="RAL3" s="12" t="s">
        <v>14734</v>
      </c>
      <c r="RAM3" s="12" t="s">
        <v>14735</v>
      </c>
      <c r="RAN3" s="12" t="s">
        <v>14736</v>
      </c>
      <c r="RAO3" s="12" t="s">
        <v>14737</v>
      </c>
      <c r="RAP3" s="12" t="s">
        <v>14738</v>
      </c>
      <c r="RAQ3" s="12" t="s">
        <v>14739</v>
      </c>
      <c r="RAR3" s="12" t="s">
        <v>14740</v>
      </c>
      <c r="RAS3" s="12" t="s">
        <v>14741</v>
      </c>
      <c r="RAT3" s="12" t="s">
        <v>14742</v>
      </c>
      <c r="RAU3" s="12" t="s">
        <v>14743</v>
      </c>
      <c r="RAV3" s="12" t="s">
        <v>14744</v>
      </c>
      <c r="RAW3" s="12" t="s">
        <v>14745</v>
      </c>
      <c r="RAX3" s="12" t="s">
        <v>14746</v>
      </c>
      <c r="RAY3" s="12" t="s">
        <v>14747</v>
      </c>
      <c r="RAZ3" s="12" t="s">
        <v>14748</v>
      </c>
      <c r="RBA3" s="12" t="s">
        <v>14749</v>
      </c>
      <c r="RBB3" s="12" t="s">
        <v>14750</v>
      </c>
      <c r="RBC3" s="12" t="s">
        <v>14751</v>
      </c>
      <c r="RBD3" s="12" t="s">
        <v>14752</v>
      </c>
      <c r="RBE3" s="12" t="s">
        <v>14753</v>
      </c>
      <c r="RBF3" s="12" t="s">
        <v>14754</v>
      </c>
      <c r="RBG3" s="12" t="s">
        <v>14755</v>
      </c>
      <c r="RBH3" s="12" t="s">
        <v>14756</v>
      </c>
      <c r="RBI3" s="12" t="s">
        <v>14757</v>
      </c>
      <c r="RBJ3" s="12" t="s">
        <v>14758</v>
      </c>
      <c r="RBK3" s="12" t="s">
        <v>14759</v>
      </c>
      <c r="RBL3" s="12" t="s">
        <v>14760</v>
      </c>
      <c r="RBM3" s="12" t="s">
        <v>14761</v>
      </c>
      <c r="RBN3" s="12" t="s">
        <v>14762</v>
      </c>
      <c r="RBO3" s="12" t="s">
        <v>14763</v>
      </c>
      <c r="RBP3" s="12" t="s">
        <v>14764</v>
      </c>
      <c r="RBQ3" s="12" t="s">
        <v>14765</v>
      </c>
      <c r="RBR3" s="12" t="s">
        <v>14766</v>
      </c>
      <c r="RBS3" s="12" t="s">
        <v>14767</v>
      </c>
      <c r="RBT3" s="12" t="s">
        <v>14768</v>
      </c>
      <c r="RBU3" s="12" t="s">
        <v>14769</v>
      </c>
      <c r="RBV3" s="12" t="s">
        <v>14770</v>
      </c>
      <c r="RBW3" s="12" t="s">
        <v>14771</v>
      </c>
      <c r="RBX3" s="12" t="s">
        <v>14772</v>
      </c>
      <c r="RBY3" s="12" t="s">
        <v>14773</v>
      </c>
      <c r="RBZ3" s="12" t="s">
        <v>14774</v>
      </c>
      <c r="RCA3" s="12" t="s">
        <v>14775</v>
      </c>
      <c r="RCB3" s="12" t="s">
        <v>14776</v>
      </c>
      <c r="RCC3" s="12" t="s">
        <v>14777</v>
      </c>
      <c r="RCD3" s="12" t="s">
        <v>14778</v>
      </c>
      <c r="RCE3" s="12" t="s">
        <v>14779</v>
      </c>
      <c r="RCF3" s="12" t="s">
        <v>14780</v>
      </c>
      <c r="RCG3" s="12" t="s">
        <v>14781</v>
      </c>
      <c r="RCH3" s="12" t="s">
        <v>14782</v>
      </c>
      <c r="RCI3" s="12" t="s">
        <v>14783</v>
      </c>
      <c r="RCJ3" s="12" t="s">
        <v>14784</v>
      </c>
      <c r="RCK3" s="12" t="s">
        <v>14785</v>
      </c>
      <c r="RCL3" s="12" t="s">
        <v>14786</v>
      </c>
      <c r="RCM3" s="12" t="s">
        <v>14787</v>
      </c>
      <c r="RCN3" s="12" t="s">
        <v>14788</v>
      </c>
      <c r="RCO3" s="12" t="s">
        <v>14789</v>
      </c>
      <c r="RCP3" s="12" t="s">
        <v>14790</v>
      </c>
      <c r="RCQ3" s="12" t="s">
        <v>14791</v>
      </c>
      <c r="RCR3" s="12" t="s">
        <v>14792</v>
      </c>
      <c r="RCS3" s="12" t="s">
        <v>14793</v>
      </c>
      <c r="RCT3" s="12" t="s">
        <v>14794</v>
      </c>
      <c r="RCU3" s="12" t="s">
        <v>14795</v>
      </c>
      <c r="RCV3" s="12" t="s">
        <v>14796</v>
      </c>
      <c r="RCW3" s="12" t="s">
        <v>14797</v>
      </c>
      <c r="RCX3" s="12" t="s">
        <v>14798</v>
      </c>
      <c r="RCY3" s="12" t="s">
        <v>14799</v>
      </c>
      <c r="RCZ3" s="12" t="s">
        <v>14800</v>
      </c>
      <c r="RDA3" s="12" t="s">
        <v>14801</v>
      </c>
      <c r="RDB3" s="12" t="s">
        <v>14802</v>
      </c>
      <c r="RDC3" s="12" t="s">
        <v>14803</v>
      </c>
      <c r="RDD3" s="12" t="s">
        <v>14804</v>
      </c>
      <c r="RDE3" s="12" t="s">
        <v>14805</v>
      </c>
      <c r="RDF3" s="12" t="s">
        <v>14806</v>
      </c>
      <c r="RDG3" s="12" t="s">
        <v>14807</v>
      </c>
      <c r="RDH3" s="12" t="s">
        <v>14808</v>
      </c>
      <c r="RDI3" s="12" t="s">
        <v>14809</v>
      </c>
      <c r="RDJ3" s="12" t="s">
        <v>14810</v>
      </c>
      <c r="RDK3" s="12" t="s">
        <v>14811</v>
      </c>
      <c r="RDL3" s="12" t="s">
        <v>14812</v>
      </c>
      <c r="RDM3" s="12" t="s">
        <v>14813</v>
      </c>
      <c r="RDN3" s="12" t="s">
        <v>14814</v>
      </c>
      <c r="RDO3" s="12" t="s">
        <v>14815</v>
      </c>
      <c r="RDP3" s="12" t="s">
        <v>14816</v>
      </c>
      <c r="RDQ3" s="12" t="s">
        <v>14817</v>
      </c>
      <c r="RDR3" s="12" t="s">
        <v>14818</v>
      </c>
      <c r="RDS3" s="12" t="s">
        <v>14819</v>
      </c>
      <c r="RDT3" s="12" t="s">
        <v>14820</v>
      </c>
      <c r="RDU3" s="12" t="s">
        <v>14821</v>
      </c>
      <c r="RDV3" s="12" t="s">
        <v>14822</v>
      </c>
      <c r="RDW3" s="12" t="s">
        <v>14823</v>
      </c>
      <c r="RDX3" s="12" t="s">
        <v>14824</v>
      </c>
      <c r="RDY3" s="12" t="s">
        <v>14825</v>
      </c>
      <c r="RDZ3" s="12" t="s">
        <v>14826</v>
      </c>
      <c r="REA3" s="12" t="s">
        <v>14827</v>
      </c>
      <c r="REB3" s="12" t="s">
        <v>14828</v>
      </c>
      <c r="REC3" s="12" t="s">
        <v>14829</v>
      </c>
      <c r="RED3" s="12" t="s">
        <v>14830</v>
      </c>
      <c r="REE3" s="12" t="s">
        <v>14831</v>
      </c>
      <c r="REF3" s="12" t="s">
        <v>14832</v>
      </c>
      <c r="REG3" s="12" t="s">
        <v>14833</v>
      </c>
      <c r="REH3" s="12" t="s">
        <v>14834</v>
      </c>
      <c r="REI3" s="12" t="s">
        <v>14835</v>
      </c>
      <c r="REJ3" s="12" t="s">
        <v>14836</v>
      </c>
      <c r="REK3" s="12" t="s">
        <v>14837</v>
      </c>
      <c r="REL3" s="12" t="s">
        <v>14838</v>
      </c>
      <c r="REM3" s="12" t="s">
        <v>14839</v>
      </c>
      <c r="REN3" s="12" t="s">
        <v>14840</v>
      </c>
      <c r="REO3" s="12" t="s">
        <v>14841</v>
      </c>
      <c r="REP3" s="12" t="s">
        <v>14842</v>
      </c>
      <c r="REQ3" s="12" t="s">
        <v>14843</v>
      </c>
      <c r="RER3" s="12" t="s">
        <v>14844</v>
      </c>
      <c r="RES3" s="12" t="s">
        <v>14845</v>
      </c>
      <c r="RET3" s="12" t="s">
        <v>14846</v>
      </c>
      <c r="REU3" s="12" t="s">
        <v>14847</v>
      </c>
      <c r="REV3" s="12" t="s">
        <v>14848</v>
      </c>
      <c r="REW3" s="12" t="s">
        <v>14849</v>
      </c>
      <c r="REX3" s="12" t="s">
        <v>14850</v>
      </c>
      <c r="REY3" s="12" t="s">
        <v>14851</v>
      </c>
      <c r="REZ3" s="12" t="s">
        <v>14852</v>
      </c>
      <c r="RFA3" s="12" t="s">
        <v>14853</v>
      </c>
      <c r="RFB3" s="12" t="s">
        <v>14854</v>
      </c>
      <c r="RFC3" s="12" t="s">
        <v>14855</v>
      </c>
      <c r="RFD3" s="12" t="s">
        <v>14856</v>
      </c>
      <c r="RFE3" s="12" t="s">
        <v>14857</v>
      </c>
      <c r="RFF3" s="12" t="s">
        <v>14858</v>
      </c>
      <c r="RFG3" s="12" t="s">
        <v>14859</v>
      </c>
      <c r="RFH3" s="12" t="s">
        <v>14860</v>
      </c>
      <c r="RFI3" s="12" t="s">
        <v>14861</v>
      </c>
      <c r="RFJ3" s="12" t="s">
        <v>14862</v>
      </c>
      <c r="RFK3" s="12" t="s">
        <v>14863</v>
      </c>
      <c r="RFL3" s="12" t="s">
        <v>14864</v>
      </c>
      <c r="RFM3" s="12" t="s">
        <v>14865</v>
      </c>
      <c r="RFN3" s="12" t="s">
        <v>14866</v>
      </c>
      <c r="RFO3" s="12" t="s">
        <v>14867</v>
      </c>
      <c r="RFP3" s="12" t="s">
        <v>14868</v>
      </c>
      <c r="RFQ3" s="12" t="s">
        <v>14869</v>
      </c>
      <c r="RFR3" s="12" t="s">
        <v>14870</v>
      </c>
      <c r="RFS3" s="12" t="s">
        <v>14871</v>
      </c>
      <c r="RFT3" s="12" t="s">
        <v>14872</v>
      </c>
      <c r="RFU3" s="12" t="s">
        <v>14873</v>
      </c>
      <c r="RFV3" s="12" t="s">
        <v>14874</v>
      </c>
      <c r="RFW3" s="12" t="s">
        <v>14875</v>
      </c>
      <c r="RFX3" s="12" t="s">
        <v>14876</v>
      </c>
      <c r="RFY3" s="12" t="s">
        <v>14877</v>
      </c>
      <c r="RFZ3" s="12" t="s">
        <v>14878</v>
      </c>
      <c r="RGA3" s="12" t="s">
        <v>14879</v>
      </c>
      <c r="RGB3" s="12" t="s">
        <v>14880</v>
      </c>
      <c r="RGC3" s="12" t="s">
        <v>14881</v>
      </c>
      <c r="RGD3" s="12" t="s">
        <v>14882</v>
      </c>
      <c r="RGE3" s="12" t="s">
        <v>14883</v>
      </c>
      <c r="RGF3" s="12" t="s">
        <v>14884</v>
      </c>
      <c r="RGG3" s="12" t="s">
        <v>14885</v>
      </c>
      <c r="RGH3" s="12" t="s">
        <v>14886</v>
      </c>
      <c r="RGI3" s="12" t="s">
        <v>14887</v>
      </c>
      <c r="RGJ3" s="12" t="s">
        <v>14888</v>
      </c>
      <c r="RGK3" s="12" t="s">
        <v>14889</v>
      </c>
      <c r="RGL3" s="12" t="s">
        <v>14890</v>
      </c>
      <c r="RGM3" s="12" t="s">
        <v>14891</v>
      </c>
      <c r="RGN3" s="12" t="s">
        <v>14892</v>
      </c>
      <c r="RGO3" s="12" t="s">
        <v>14893</v>
      </c>
      <c r="RGP3" s="12" t="s">
        <v>14894</v>
      </c>
      <c r="RGQ3" s="12" t="s">
        <v>14895</v>
      </c>
      <c r="RGR3" s="12" t="s">
        <v>14896</v>
      </c>
      <c r="RGS3" s="12" t="s">
        <v>14897</v>
      </c>
      <c r="RGT3" s="12" t="s">
        <v>14898</v>
      </c>
      <c r="RGU3" s="12" t="s">
        <v>14899</v>
      </c>
      <c r="RGV3" s="12" t="s">
        <v>14900</v>
      </c>
      <c r="RGW3" s="12" t="s">
        <v>14901</v>
      </c>
      <c r="RGX3" s="12" t="s">
        <v>14902</v>
      </c>
      <c r="RGY3" s="12" t="s">
        <v>14903</v>
      </c>
      <c r="RGZ3" s="12" t="s">
        <v>14904</v>
      </c>
      <c r="RHA3" s="12" t="s">
        <v>14905</v>
      </c>
      <c r="RHB3" s="12" t="s">
        <v>14906</v>
      </c>
      <c r="RHC3" s="12" t="s">
        <v>14907</v>
      </c>
      <c r="RHD3" s="12" t="s">
        <v>14908</v>
      </c>
      <c r="RHE3" s="12" t="s">
        <v>14909</v>
      </c>
      <c r="RHF3" s="12" t="s">
        <v>14910</v>
      </c>
      <c r="RHG3" s="12" t="s">
        <v>14911</v>
      </c>
      <c r="RHH3" s="12" t="s">
        <v>14912</v>
      </c>
      <c r="RHI3" s="12" t="s">
        <v>14913</v>
      </c>
      <c r="RHJ3" s="12" t="s">
        <v>14914</v>
      </c>
      <c r="RHK3" s="12" t="s">
        <v>14915</v>
      </c>
      <c r="RHL3" s="12" t="s">
        <v>14916</v>
      </c>
      <c r="RHM3" s="12" t="s">
        <v>14917</v>
      </c>
      <c r="RHN3" s="12" t="s">
        <v>14918</v>
      </c>
      <c r="RHO3" s="12" t="s">
        <v>14919</v>
      </c>
      <c r="RHP3" s="12" t="s">
        <v>14920</v>
      </c>
      <c r="RHQ3" s="12" t="s">
        <v>14921</v>
      </c>
      <c r="RHR3" s="12" t="s">
        <v>14922</v>
      </c>
      <c r="RHS3" s="12" t="s">
        <v>14923</v>
      </c>
      <c r="RHT3" s="12" t="s">
        <v>14924</v>
      </c>
      <c r="RHU3" s="12" t="s">
        <v>14925</v>
      </c>
      <c r="RHV3" s="12" t="s">
        <v>14926</v>
      </c>
      <c r="RHW3" s="12" t="s">
        <v>14927</v>
      </c>
      <c r="RHX3" s="12" t="s">
        <v>14928</v>
      </c>
      <c r="RHY3" s="12" t="s">
        <v>14929</v>
      </c>
      <c r="RHZ3" s="12" t="s">
        <v>14930</v>
      </c>
      <c r="RIA3" s="12" t="s">
        <v>14931</v>
      </c>
      <c r="RIB3" s="12" t="s">
        <v>14932</v>
      </c>
      <c r="RIC3" s="12" t="s">
        <v>14933</v>
      </c>
      <c r="RID3" s="12" t="s">
        <v>14934</v>
      </c>
      <c r="RIE3" s="12" t="s">
        <v>14935</v>
      </c>
      <c r="RIF3" s="12" t="s">
        <v>14936</v>
      </c>
      <c r="RIG3" s="12" t="s">
        <v>14937</v>
      </c>
      <c r="RIH3" s="12" t="s">
        <v>14938</v>
      </c>
      <c r="RII3" s="12" t="s">
        <v>14939</v>
      </c>
      <c r="RIJ3" s="12" t="s">
        <v>14940</v>
      </c>
      <c r="RIK3" s="12" t="s">
        <v>14941</v>
      </c>
      <c r="RIL3" s="12" t="s">
        <v>14942</v>
      </c>
      <c r="RIM3" s="12" t="s">
        <v>14943</v>
      </c>
      <c r="RIN3" s="12" t="s">
        <v>14944</v>
      </c>
      <c r="RIO3" s="12" t="s">
        <v>14945</v>
      </c>
      <c r="RIP3" s="12" t="s">
        <v>14946</v>
      </c>
      <c r="RIQ3" s="12" t="s">
        <v>14947</v>
      </c>
      <c r="RIR3" s="12" t="s">
        <v>14948</v>
      </c>
      <c r="RIS3" s="12" t="s">
        <v>14949</v>
      </c>
      <c r="RIT3" s="12" t="s">
        <v>14950</v>
      </c>
      <c r="RIU3" s="12" t="s">
        <v>14951</v>
      </c>
      <c r="RIV3" s="12" t="s">
        <v>14952</v>
      </c>
      <c r="RIW3" s="12" t="s">
        <v>14953</v>
      </c>
      <c r="RIX3" s="12" t="s">
        <v>14954</v>
      </c>
      <c r="RIY3" s="12" t="s">
        <v>14955</v>
      </c>
      <c r="RIZ3" s="12" t="s">
        <v>14956</v>
      </c>
      <c r="RJA3" s="12" t="s">
        <v>14957</v>
      </c>
      <c r="RJB3" s="12" t="s">
        <v>14958</v>
      </c>
      <c r="RJC3" s="12" t="s">
        <v>14959</v>
      </c>
      <c r="RJD3" s="12" t="s">
        <v>14960</v>
      </c>
      <c r="RJE3" s="12" t="s">
        <v>14961</v>
      </c>
      <c r="RJF3" s="12" t="s">
        <v>14962</v>
      </c>
      <c r="RJG3" s="12" t="s">
        <v>14963</v>
      </c>
      <c r="RJH3" s="12" t="s">
        <v>14964</v>
      </c>
      <c r="RJI3" s="12" t="s">
        <v>14965</v>
      </c>
      <c r="RJJ3" s="12" t="s">
        <v>14966</v>
      </c>
      <c r="RJK3" s="12" t="s">
        <v>14967</v>
      </c>
      <c r="RJL3" s="12" t="s">
        <v>14968</v>
      </c>
      <c r="RJM3" s="12" t="s">
        <v>14969</v>
      </c>
      <c r="RJN3" s="12" t="s">
        <v>14970</v>
      </c>
      <c r="RJO3" s="12" t="s">
        <v>14971</v>
      </c>
      <c r="RJP3" s="12" t="s">
        <v>14972</v>
      </c>
      <c r="RJQ3" s="12" t="s">
        <v>14973</v>
      </c>
      <c r="RJR3" s="12" t="s">
        <v>14974</v>
      </c>
      <c r="RJS3" s="12" t="s">
        <v>14975</v>
      </c>
      <c r="RJT3" s="12" t="s">
        <v>14976</v>
      </c>
      <c r="RJU3" s="12" t="s">
        <v>14977</v>
      </c>
      <c r="RJV3" s="12" t="s">
        <v>14978</v>
      </c>
      <c r="RJW3" s="12" t="s">
        <v>14979</v>
      </c>
      <c r="RJX3" s="12" t="s">
        <v>14980</v>
      </c>
      <c r="RJY3" s="12" t="s">
        <v>14981</v>
      </c>
      <c r="RJZ3" s="12" t="s">
        <v>14982</v>
      </c>
      <c r="RKA3" s="12" t="s">
        <v>14983</v>
      </c>
      <c r="RKB3" s="12" t="s">
        <v>14984</v>
      </c>
      <c r="RKC3" s="12" t="s">
        <v>14985</v>
      </c>
      <c r="RKD3" s="12" t="s">
        <v>14986</v>
      </c>
      <c r="RKE3" s="12" t="s">
        <v>14987</v>
      </c>
      <c r="RKF3" s="12" t="s">
        <v>14988</v>
      </c>
      <c r="RKG3" s="12" t="s">
        <v>14989</v>
      </c>
      <c r="RKH3" s="12" t="s">
        <v>14990</v>
      </c>
      <c r="RKI3" s="12" t="s">
        <v>14991</v>
      </c>
      <c r="RKJ3" s="12" t="s">
        <v>14992</v>
      </c>
      <c r="RKK3" s="12" t="s">
        <v>14993</v>
      </c>
      <c r="RKL3" s="12" t="s">
        <v>14994</v>
      </c>
      <c r="RKM3" s="12" t="s">
        <v>14995</v>
      </c>
      <c r="RKN3" s="12" t="s">
        <v>14996</v>
      </c>
      <c r="RKO3" s="12" t="s">
        <v>14997</v>
      </c>
      <c r="RKP3" s="12" t="s">
        <v>14998</v>
      </c>
      <c r="RKQ3" s="12" t="s">
        <v>14999</v>
      </c>
      <c r="RKR3" s="12" t="s">
        <v>15000</v>
      </c>
      <c r="RKS3" s="12" t="s">
        <v>15001</v>
      </c>
      <c r="RKT3" s="12" t="s">
        <v>15002</v>
      </c>
      <c r="RKU3" s="12" t="s">
        <v>15003</v>
      </c>
      <c r="RKV3" s="12" t="s">
        <v>15004</v>
      </c>
      <c r="RKW3" s="12" t="s">
        <v>15005</v>
      </c>
      <c r="RKX3" s="12" t="s">
        <v>15006</v>
      </c>
      <c r="RKY3" s="12" t="s">
        <v>15007</v>
      </c>
      <c r="RKZ3" s="12" t="s">
        <v>15008</v>
      </c>
      <c r="RLA3" s="12" t="s">
        <v>15009</v>
      </c>
      <c r="RLB3" s="12" t="s">
        <v>15010</v>
      </c>
      <c r="RLC3" s="12" t="s">
        <v>15011</v>
      </c>
      <c r="RLD3" s="12" t="s">
        <v>15012</v>
      </c>
      <c r="RLE3" s="12" t="s">
        <v>15013</v>
      </c>
      <c r="RLF3" s="12" t="s">
        <v>15014</v>
      </c>
      <c r="RLG3" s="12" t="s">
        <v>15015</v>
      </c>
      <c r="RLH3" s="12" t="s">
        <v>15016</v>
      </c>
      <c r="RLI3" s="12" t="s">
        <v>15017</v>
      </c>
      <c r="RLJ3" s="12" t="s">
        <v>15018</v>
      </c>
      <c r="RLK3" s="12" t="s">
        <v>15019</v>
      </c>
      <c r="RLL3" s="12" t="s">
        <v>15020</v>
      </c>
      <c r="RLM3" s="12" t="s">
        <v>15021</v>
      </c>
      <c r="RLN3" s="12" t="s">
        <v>15022</v>
      </c>
      <c r="RLO3" s="12" t="s">
        <v>15023</v>
      </c>
      <c r="RLP3" s="12" t="s">
        <v>15024</v>
      </c>
      <c r="RLQ3" s="12" t="s">
        <v>15025</v>
      </c>
      <c r="RLR3" s="12" t="s">
        <v>15026</v>
      </c>
      <c r="RLS3" s="12" t="s">
        <v>15027</v>
      </c>
      <c r="RLT3" s="12" t="s">
        <v>15028</v>
      </c>
      <c r="RLU3" s="12" t="s">
        <v>15029</v>
      </c>
      <c r="RLV3" s="12" t="s">
        <v>15030</v>
      </c>
      <c r="RLW3" s="12" t="s">
        <v>15031</v>
      </c>
      <c r="RLX3" s="12" t="s">
        <v>15032</v>
      </c>
      <c r="RLY3" s="12" t="s">
        <v>15033</v>
      </c>
      <c r="RLZ3" s="12" t="s">
        <v>15034</v>
      </c>
      <c r="RMA3" s="12" t="s">
        <v>15035</v>
      </c>
      <c r="RMB3" s="12" t="s">
        <v>15036</v>
      </c>
      <c r="RMC3" s="12" t="s">
        <v>15037</v>
      </c>
      <c r="RMD3" s="12" t="s">
        <v>15038</v>
      </c>
      <c r="RME3" s="12" t="s">
        <v>15039</v>
      </c>
      <c r="RMF3" s="12" t="s">
        <v>15040</v>
      </c>
      <c r="RMG3" s="12" t="s">
        <v>15041</v>
      </c>
      <c r="RMH3" s="12" t="s">
        <v>15042</v>
      </c>
      <c r="RMI3" s="12" t="s">
        <v>15043</v>
      </c>
      <c r="RMJ3" s="12" t="s">
        <v>15044</v>
      </c>
      <c r="RMK3" s="12" t="s">
        <v>15045</v>
      </c>
      <c r="RML3" s="12" t="s">
        <v>15046</v>
      </c>
      <c r="RMM3" s="12" t="s">
        <v>15047</v>
      </c>
      <c r="RMN3" s="12" t="s">
        <v>15048</v>
      </c>
      <c r="RMO3" s="12" t="s">
        <v>15049</v>
      </c>
      <c r="RMP3" s="12" t="s">
        <v>15050</v>
      </c>
      <c r="RMQ3" s="12" t="s">
        <v>15051</v>
      </c>
      <c r="RMR3" s="12" t="s">
        <v>15052</v>
      </c>
      <c r="RMS3" s="12" t="s">
        <v>15053</v>
      </c>
      <c r="RMT3" s="12" t="s">
        <v>15054</v>
      </c>
      <c r="RMU3" s="12" t="s">
        <v>15055</v>
      </c>
      <c r="RMV3" s="12" t="s">
        <v>15056</v>
      </c>
      <c r="RMW3" s="12" t="s">
        <v>15057</v>
      </c>
      <c r="RMX3" s="12" t="s">
        <v>15058</v>
      </c>
      <c r="RMY3" s="12" t="s">
        <v>15059</v>
      </c>
      <c r="RMZ3" s="12" t="s">
        <v>15060</v>
      </c>
      <c r="RNA3" s="12" t="s">
        <v>15061</v>
      </c>
      <c r="RNB3" s="12" t="s">
        <v>15062</v>
      </c>
      <c r="RNC3" s="12" t="s">
        <v>15063</v>
      </c>
      <c r="RND3" s="12" t="s">
        <v>15064</v>
      </c>
      <c r="RNE3" s="12" t="s">
        <v>15065</v>
      </c>
      <c r="RNF3" s="12" t="s">
        <v>15066</v>
      </c>
      <c r="RNG3" s="12" t="s">
        <v>15067</v>
      </c>
      <c r="RNH3" s="12" t="s">
        <v>15068</v>
      </c>
      <c r="RNI3" s="12" t="s">
        <v>15069</v>
      </c>
      <c r="RNJ3" s="12" t="s">
        <v>15070</v>
      </c>
      <c r="RNK3" s="12" t="s">
        <v>15071</v>
      </c>
      <c r="RNL3" s="12" t="s">
        <v>15072</v>
      </c>
      <c r="RNM3" s="12" t="s">
        <v>15073</v>
      </c>
      <c r="RNN3" s="12" t="s">
        <v>15074</v>
      </c>
      <c r="RNO3" s="12" t="s">
        <v>15075</v>
      </c>
      <c r="RNP3" s="12" t="s">
        <v>15076</v>
      </c>
      <c r="RNQ3" s="12" t="s">
        <v>15077</v>
      </c>
      <c r="RNR3" s="12" t="s">
        <v>15078</v>
      </c>
      <c r="RNS3" s="12" t="s">
        <v>15079</v>
      </c>
      <c r="RNT3" s="12" t="s">
        <v>15080</v>
      </c>
      <c r="RNU3" s="12" t="s">
        <v>15081</v>
      </c>
      <c r="RNV3" s="12" t="s">
        <v>15082</v>
      </c>
      <c r="RNW3" s="12" t="s">
        <v>15083</v>
      </c>
      <c r="RNX3" s="12" t="s">
        <v>15084</v>
      </c>
      <c r="RNY3" s="12" t="s">
        <v>15085</v>
      </c>
      <c r="RNZ3" s="12" t="s">
        <v>15086</v>
      </c>
      <c r="ROA3" s="12" t="s">
        <v>15087</v>
      </c>
      <c r="ROB3" s="12" t="s">
        <v>15088</v>
      </c>
      <c r="ROC3" s="12" t="s">
        <v>15089</v>
      </c>
      <c r="ROD3" s="12" t="s">
        <v>15090</v>
      </c>
      <c r="ROE3" s="12" t="s">
        <v>15091</v>
      </c>
      <c r="ROF3" s="12" t="s">
        <v>15092</v>
      </c>
      <c r="ROG3" s="12" t="s">
        <v>15093</v>
      </c>
      <c r="ROH3" s="12" t="s">
        <v>15094</v>
      </c>
      <c r="ROI3" s="12" t="s">
        <v>15095</v>
      </c>
      <c r="ROJ3" s="12" t="s">
        <v>15096</v>
      </c>
      <c r="ROK3" s="12" t="s">
        <v>15097</v>
      </c>
      <c r="ROL3" s="12" t="s">
        <v>15098</v>
      </c>
      <c r="ROM3" s="12" t="s">
        <v>15099</v>
      </c>
      <c r="RON3" s="12" t="s">
        <v>15100</v>
      </c>
      <c r="ROO3" s="12" t="s">
        <v>15101</v>
      </c>
      <c r="ROP3" s="12" t="s">
        <v>15102</v>
      </c>
      <c r="ROQ3" s="12" t="s">
        <v>15103</v>
      </c>
      <c r="ROR3" s="12" t="s">
        <v>15104</v>
      </c>
      <c r="ROS3" s="12" t="s">
        <v>15105</v>
      </c>
      <c r="ROT3" s="12" t="s">
        <v>15106</v>
      </c>
      <c r="ROU3" s="12" t="s">
        <v>15107</v>
      </c>
      <c r="ROV3" s="12" t="s">
        <v>15108</v>
      </c>
      <c r="ROW3" s="12" t="s">
        <v>15109</v>
      </c>
      <c r="ROX3" s="12" t="s">
        <v>15110</v>
      </c>
      <c r="ROY3" s="12" t="s">
        <v>15111</v>
      </c>
      <c r="ROZ3" s="12" t="s">
        <v>15112</v>
      </c>
      <c r="RPA3" s="12" t="s">
        <v>15113</v>
      </c>
      <c r="RPB3" s="12" t="s">
        <v>15114</v>
      </c>
      <c r="RPC3" s="12" t="s">
        <v>15115</v>
      </c>
      <c r="RPD3" s="12" t="s">
        <v>15116</v>
      </c>
      <c r="RPE3" s="12" t="s">
        <v>15117</v>
      </c>
      <c r="RPF3" s="12" t="s">
        <v>15118</v>
      </c>
      <c r="RPG3" s="12" t="s">
        <v>15119</v>
      </c>
      <c r="RPH3" s="12" t="s">
        <v>15120</v>
      </c>
      <c r="RPI3" s="12" t="s">
        <v>15121</v>
      </c>
      <c r="RPJ3" s="12" t="s">
        <v>15122</v>
      </c>
      <c r="RPK3" s="12" t="s">
        <v>15123</v>
      </c>
      <c r="RPL3" s="12" t="s">
        <v>15124</v>
      </c>
      <c r="RPM3" s="12" t="s">
        <v>15125</v>
      </c>
      <c r="RPN3" s="12" t="s">
        <v>15126</v>
      </c>
      <c r="RPO3" s="12" t="s">
        <v>15127</v>
      </c>
      <c r="RPP3" s="12" t="s">
        <v>15128</v>
      </c>
      <c r="RPQ3" s="12" t="s">
        <v>15129</v>
      </c>
      <c r="RPR3" s="12" t="s">
        <v>15130</v>
      </c>
      <c r="RPS3" s="12" t="s">
        <v>15131</v>
      </c>
      <c r="RPT3" s="12" t="s">
        <v>15132</v>
      </c>
      <c r="RPU3" s="12" t="s">
        <v>15133</v>
      </c>
      <c r="RPV3" s="12" t="s">
        <v>15134</v>
      </c>
      <c r="RPW3" s="12" t="s">
        <v>15135</v>
      </c>
      <c r="RPX3" s="12" t="s">
        <v>15136</v>
      </c>
      <c r="RPY3" s="12" t="s">
        <v>15137</v>
      </c>
      <c r="RPZ3" s="12" t="s">
        <v>15138</v>
      </c>
      <c r="RQA3" s="12" t="s">
        <v>15139</v>
      </c>
      <c r="RQB3" s="12" t="s">
        <v>15140</v>
      </c>
      <c r="RQC3" s="12" t="s">
        <v>15141</v>
      </c>
      <c r="RQD3" s="12" t="s">
        <v>15142</v>
      </c>
      <c r="RQE3" s="12" t="s">
        <v>15143</v>
      </c>
      <c r="RQF3" s="12" t="s">
        <v>15144</v>
      </c>
      <c r="RQG3" s="12" t="s">
        <v>15145</v>
      </c>
      <c r="RQH3" s="12" t="s">
        <v>15146</v>
      </c>
      <c r="RQI3" s="12" t="s">
        <v>15147</v>
      </c>
      <c r="RQJ3" s="12" t="s">
        <v>15148</v>
      </c>
      <c r="RQK3" s="12" t="s">
        <v>15149</v>
      </c>
      <c r="RQL3" s="12" t="s">
        <v>15150</v>
      </c>
      <c r="RQM3" s="12" t="s">
        <v>15151</v>
      </c>
      <c r="RQN3" s="12" t="s">
        <v>15152</v>
      </c>
      <c r="RQO3" s="12" t="s">
        <v>15153</v>
      </c>
      <c r="RQP3" s="12" t="s">
        <v>15154</v>
      </c>
      <c r="RQQ3" s="12" t="s">
        <v>15155</v>
      </c>
      <c r="RQR3" s="12" t="s">
        <v>15156</v>
      </c>
      <c r="RQS3" s="12" t="s">
        <v>15157</v>
      </c>
      <c r="RQT3" s="12" t="s">
        <v>15158</v>
      </c>
      <c r="RQU3" s="12" t="s">
        <v>15159</v>
      </c>
      <c r="RQV3" s="12" t="s">
        <v>15160</v>
      </c>
      <c r="RQW3" s="12" t="s">
        <v>15161</v>
      </c>
      <c r="RQX3" s="12" t="s">
        <v>15162</v>
      </c>
      <c r="RQY3" s="12" t="s">
        <v>15163</v>
      </c>
      <c r="RQZ3" s="12" t="s">
        <v>15164</v>
      </c>
      <c r="RRA3" s="12" t="s">
        <v>15165</v>
      </c>
      <c r="RRB3" s="12" t="s">
        <v>15166</v>
      </c>
      <c r="RRC3" s="12" t="s">
        <v>15167</v>
      </c>
      <c r="RRD3" s="12" t="s">
        <v>15168</v>
      </c>
      <c r="RRE3" s="12" t="s">
        <v>15169</v>
      </c>
      <c r="RRF3" s="12" t="s">
        <v>15170</v>
      </c>
      <c r="RRG3" s="12" t="s">
        <v>15171</v>
      </c>
      <c r="RRH3" s="12" t="s">
        <v>15172</v>
      </c>
      <c r="RRI3" s="12" t="s">
        <v>15173</v>
      </c>
      <c r="RRJ3" s="12" t="s">
        <v>15174</v>
      </c>
      <c r="RRK3" s="12" t="s">
        <v>15175</v>
      </c>
      <c r="RRL3" s="12" t="s">
        <v>15176</v>
      </c>
      <c r="RRM3" s="12" t="s">
        <v>15177</v>
      </c>
      <c r="RRN3" s="12" t="s">
        <v>15178</v>
      </c>
      <c r="RRO3" s="12" t="s">
        <v>15179</v>
      </c>
      <c r="RRP3" s="12" t="s">
        <v>15180</v>
      </c>
      <c r="RRQ3" s="12" t="s">
        <v>15181</v>
      </c>
      <c r="RRR3" s="12" t="s">
        <v>15182</v>
      </c>
      <c r="RRS3" s="12" t="s">
        <v>15183</v>
      </c>
      <c r="RRT3" s="12" t="s">
        <v>15184</v>
      </c>
      <c r="RRU3" s="12" t="s">
        <v>15185</v>
      </c>
      <c r="RRV3" s="12" t="s">
        <v>15186</v>
      </c>
      <c r="RRW3" s="12" t="s">
        <v>15187</v>
      </c>
      <c r="RRX3" s="12" t="s">
        <v>15188</v>
      </c>
      <c r="RRY3" s="12" t="s">
        <v>15189</v>
      </c>
      <c r="RRZ3" s="12" t="s">
        <v>15190</v>
      </c>
      <c r="RSA3" s="12" t="s">
        <v>15191</v>
      </c>
      <c r="RSB3" s="12" t="s">
        <v>15192</v>
      </c>
      <c r="RSC3" s="12" t="s">
        <v>15193</v>
      </c>
      <c r="RSD3" s="12" t="s">
        <v>15194</v>
      </c>
      <c r="RSE3" s="12" t="s">
        <v>15195</v>
      </c>
      <c r="RSF3" s="12" t="s">
        <v>15196</v>
      </c>
      <c r="RSG3" s="12" t="s">
        <v>15197</v>
      </c>
      <c r="RSH3" s="12" t="s">
        <v>15198</v>
      </c>
      <c r="RSI3" s="12" t="s">
        <v>15199</v>
      </c>
      <c r="RSJ3" s="12" t="s">
        <v>15200</v>
      </c>
      <c r="RSK3" s="12" t="s">
        <v>15201</v>
      </c>
      <c r="RSL3" s="12" t="s">
        <v>15202</v>
      </c>
      <c r="RSM3" s="12" t="s">
        <v>15203</v>
      </c>
      <c r="RSN3" s="12" t="s">
        <v>15204</v>
      </c>
      <c r="RSO3" s="12" t="s">
        <v>15205</v>
      </c>
      <c r="RSP3" s="12" t="s">
        <v>15206</v>
      </c>
      <c r="RSQ3" s="12" t="s">
        <v>15207</v>
      </c>
      <c r="RSR3" s="12" t="s">
        <v>15208</v>
      </c>
      <c r="RSS3" s="12" t="s">
        <v>15209</v>
      </c>
      <c r="RST3" s="12" t="s">
        <v>15210</v>
      </c>
      <c r="RSU3" s="12" t="s">
        <v>15211</v>
      </c>
      <c r="RSV3" s="12" t="s">
        <v>15212</v>
      </c>
      <c r="RSW3" s="12" t="s">
        <v>15213</v>
      </c>
      <c r="RSX3" s="12" t="s">
        <v>15214</v>
      </c>
      <c r="RSY3" s="12" t="s">
        <v>15215</v>
      </c>
      <c r="RSZ3" s="12" t="s">
        <v>15216</v>
      </c>
      <c r="RTA3" s="12" t="s">
        <v>15217</v>
      </c>
      <c r="RTB3" s="12" t="s">
        <v>15218</v>
      </c>
      <c r="RTC3" s="12" t="s">
        <v>15219</v>
      </c>
      <c r="RTD3" s="12" t="s">
        <v>15220</v>
      </c>
      <c r="RTE3" s="12" t="s">
        <v>15221</v>
      </c>
      <c r="RTF3" s="12" t="s">
        <v>15222</v>
      </c>
      <c r="RTG3" s="12" t="s">
        <v>15223</v>
      </c>
      <c r="RTH3" s="12" t="s">
        <v>15224</v>
      </c>
      <c r="RTI3" s="12" t="s">
        <v>15225</v>
      </c>
      <c r="RTJ3" s="12" t="s">
        <v>15226</v>
      </c>
      <c r="RTK3" s="12" t="s">
        <v>15227</v>
      </c>
      <c r="RTL3" s="12" t="s">
        <v>15228</v>
      </c>
      <c r="RTM3" s="12" t="s">
        <v>15229</v>
      </c>
      <c r="RTN3" s="12" t="s">
        <v>15230</v>
      </c>
      <c r="RTO3" s="12" t="s">
        <v>15231</v>
      </c>
      <c r="RTP3" s="12" t="s">
        <v>15232</v>
      </c>
      <c r="RTQ3" s="12" t="s">
        <v>15233</v>
      </c>
      <c r="RTR3" s="12" t="s">
        <v>15234</v>
      </c>
      <c r="RTS3" s="12" t="s">
        <v>15235</v>
      </c>
      <c r="RTT3" s="12" t="s">
        <v>15236</v>
      </c>
      <c r="RTU3" s="12" t="s">
        <v>15237</v>
      </c>
      <c r="RTV3" s="12" t="s">
        <v>15238</v>
      </c>
      <c r="RTW3" s="12" t="s">
        <v>15239</v>
      </c>
      <c r="RTX3" s="12" t="s">
        <v>15240</v>
      </c>
      <c r="RTY3" s="12" t="s">
        <v>15241</v>
      </c>
      <c r="RTZ3" s="12" t="s">
        <v>15242</v>
      </c>
      <c r="RUA3" s="12" t="s">
        <v>15243</v>
      </c>
      <c r="RUB3" s="12" t="s">
        <v>15244</v>
      </c>
      <c r="RUC3" s="12" t="s">
        <v>15245</v>
      </c>
      <c r="RUD3" s="12" t="s">
        <v>15246</v>
      </c>
      <c r="RUE3" s="12" t="s">
        <v>15247</v>
      </c>
      <c r="RUF3" s="12" t="s">
        <v>15248</v>
      </c>
      <c r="RUG3" s="12" t="s">
        <v>15249</v>
      </c>
      <c r="RUH3" s="12" t="s">
        <v>15250</v>
      </c>
      <c r="RUI3" s="12" t="s">
        <v>15251</v>
      </c>
      <c r="RUJ3" s="12" t="s">
        <v>15252</v>
      </c>
      <c r="RUK3" s="12" t="s">
        <v>15253</v>
      </c>
      <c r="RUL3" s="12" t="s">
        <v>15254</v>
      </c>
      <c r="RUM3" s="12" t="s">
        <v>15255</v>
      </c>
      <c r="RUN3" s="12" t="s">
        <v>15256</v>
      </c>
      <c r="RUO3" s="12" t="s">
        <v>15257</v>
      </c>
      <c r="RUP3" s="12" t="s">
        <v>15258</v>
      </c>
      <c r="RUQ3" s="12" t="s">
        <v>15259</v>
      </c>
      <c r="RUR3" s="12" t="s">
        <v>15260</v>
      </c>
      <c r="RUS3" s="12" t="s">
        <v>15261</v>
      </c>
      <c r="RUT3" s="12" t="s">
        <v>15262</v>
      </c>
      <c r="RUU3" s="12" t="s">
        <v>15263</v>
      </c>
      <c r="RUV3" s="12" t="s">
        <v>15264</v>
      </c>
      <c r="RUW3" s="12" t="s">
        <v>15265</v>
      </c>
      <c r="RUX3" s="12" t="s">
        <v>15266</v>
      </c>
      <c r="RUY3" s="12" t="s">
        <v>15267</v>
      </c>
      <c r="RUZ3" s="12" t="s">
        <v>15268</v>
      </c>
      <c r="RVA3" s="12" t="s">
        <v>15269</v>
      </c>
      <c r="RVB3" s="12" t="s">
        <v>15270</v>
      </c>
      <c r="RVC3" s="12" t="s">
        <v>15271</v>
      </c>
      <c r="RVD3" s="12" t="s">
        <v>15272</v>
      </c>
      <c r="RVE3" s="12" t="s">
        <v>15273</v>
      </c>
      <c r="RVF3" s="12" t="s">
        <v>15274</v>
      </c>
      <c r="RVG3" s="12" t="s">
        <v>15275</v>
      </c>
      <c r="RVH3" s="12" t="s">
        <v>15276</v>
      </c>
      <c r="RVI3" s="12" t="s">
        <v>15277</v>
      </c>
      <c r="RVJ3" s="12" t="s">
        <v>15278</v>
      </c>
      <c r="RVK3" s="12" t="s">
        <v>15279</v>
      </c>
      <c r="RVL3" s="12" t="s">
        <v>15280</v>
      </c>
      <c r="RVM3" s="12" t="s">
        <v>15281</v>
      </c>
      <c r="RVN3" s="12" t="s">
        <v>15282</v>
      </c>
      <c r="RVO3" s="12" t="s">
        <v>15283</v>
      </c>
      <c r="RVP3" s="12" t="s">
        <v>15284</v>
      </c>
      <c r="RVQ3" s="12" t="s">
        <v>15285</v>
      </c>
      <c r="RVR3" s="12" t="s">
        <v>15286</v>
      </c>
      <c r="RVS3" s="12" t="s">
        <v>15287</v>
      </c>
      <c r="RVT3" s="12" t="s">
        <v>15288</v>
      </c>
      <c r="RVU3" s="12" t="s">
        <v>15289</v>
      </c>
      <c r="RVV3" s="12" t="s">
        <v>15290</v>
      </c>
      <c r="RVW3" s="12" t="s">
        <v>15291</v>
      </c>
      <c r="RVX3" s="12" t="s">
        <v>15292</v>
      </c>
      <c r="RVY3" s="12" t="s">
        <v>15293</v>
      </c>
      <c r="RVZ3" s="12" t="s">
        <v>15294</v>
      </c>
      <c r="RWA3" s="12" t="s">
        <v>15295</v>
      </c>
      <c r="RWB3" s="12" t="s">
        <v>15296</v>
      </c>
      <c r="RWC3" s="12" t="s">
        <v>15297</v>
      </c>
      <c r="RWD3" s="12" t="s">
        <v>15298</v>
      </c>
      <c r="RWE3" s="12" t="s">
        <v>15299</v>
      </c>
      <c r="RWF3" s="12" t="s">
        <v>15300</v>
      </c>
      <c r="RWG3" s="12" t="s">
        <v>15301</v>
      </c>
      <c r="RWH3" s="12" t="s">
        <v>15302</v>
      </c>
      <c r="RWI3" s="12" t="s">
        <v>15303</v>
      </c>
      <c r="RWJ3" s="12" t="s">
        <v>15304</v>
      </c>
      <c r="RWK3" s="12" t="s">
        <v>15305</v>
      </c>
      <c r="RWL3" s="12" t="s">
        <v>15306</v>
      </c>
      <c r="RWM3" s="12" t="s">
        <v>15307</v>
      </c>
      <c r="RWN3" s="12" t="s">
        <v>15308</v>
      </c>
      <c r="RWO3" s="12" t="s">
        <v>15309</v>
      </c>
      <c r="RWP3" s="12" t="s">
        <v>15310</v>
      </c>
      <c r="RWQ3" s="12" t="s">
        <v>15311</v>
      </c>
      <c r="RWR3" s="12" t="s">
        <v>15312</v>
      </c>
      <c r="RWS3" s="12" t="s">
        <v>15313</v>
      </c>
      <c r="RWT3" s="12" t="s">
        <v>15314</v>
      </c>
      <c r="RWU3" s="12" t="s">
        <v>15315</v>
      </c>
      <c r="RWV3" s="12" t="s">
        <v>15316</v>
      </c>
      <c r="RWW3" s="12" t="s">
        <v>15317</v>
      </c>
      <c r="RWX3" s="12" t="s">
        <v>15318</v>
      </c>
      <c r="RWY3" s="12" t="s">
        <v>15319</v>
      </c>
      <c r="RWZ3" s="12" t="s">
        <v>15320</v>
      </c>
      <c r="RXA3" s="12" t="s">
        <v>15321</v>
      </c>
      <c r="RXB3" s="12" t="s">
        <v>15322</v>
      </c>
      <c r="RXC3" s="12" t="s">
        <v>15323</v>
      </c>
      <c r="RXD3" s="12" t="s">
        <v>15324</v>
      </c>
      <c r="RXE3" s="12" t="s">
        <v>15325</v>
      </c>
      <c r="RXF3" s="12" t="s">
        <v>15326</v>
      </c>
      <c r="RXG3" s="12" t="s">
        <v>15327</v>
      </c>
      <c r="RXH3" s="12" t="s">
        <v>15328</v>
      </c>
      <c r="RXI3" s="12" t="s">
        <v>15329</v>
      </c>
      <c r="RXJ3" s="12" t="s">
        <v>15330</v>
      </c>
      <c r="RXK3" s="12" t="s">
        <v>15331</v>
      </c>
      <c r="RXL3" s="12" t="s">
        <v>15332</v>
      </c>
      <c r="RXM3" s="12" t="s">
        <v>15333</v>
      </c>
      <c r="RXN3" s="12" t="s">
        <v>15334</v>
      </c>
      <c r="RXO3" s="12" t="s">
        <v>15335</v>
      </c>
      <c r="RXP3" s="12" t="s">
        <v>15336</v>
      </c>
      <c r="RXQ3" s="12" t="s">
        <v>15337</v>
      </c>
      <c r="RXR3" s="12" t="s">
        <v>15338</v>
      </c>
      <c r="RXS3" s="12" t="s">
        <v>15339</v>
      </c>
      <c r="RXT3" s="12" t="s">
        <v>15340</v>
      </c>
      <c r="RXU3" s="12" t="s">
        <v>15341</v>
      </c>
      <c r="RXV3" s="12" t="s">
        <v>15342</v>
      </c>
      <c r="RXW3" s="12" t="s">
        <v>15343</v>
      </c>
      <c r="RXX3" s="12" t="s">
        <v>15344</v>
      </c>
      <c r="RXY3" s="12" t="s">
        <v>15345</v>
      </c>
      <c r="RXZ3" s="12" t="s">
        <v>15346</v>
      </c>
      <c r="RYA3" s="12" t="s">
        <v>15347</v>
      </c>
      <c r="RYB3" s="12" t="s">
        <v>15348</v>
      </c>
      <c r="RYC3" s="12" t="s">
        <v>15349</v>
      </c>
      <c r="RYD3" s="12" t="s">
        <v>15350</v>
      </c>
      <c r="RYE3" s="12" t="s">
        <v>15351</v>
      </c>
      <c r="RYF3" s="12" t="s">
        <v>15352</v>
      </c>
      <c r="RYG3" s="12" t="s">
        <v>15353</v>
      </c>
      <c r="RYH3" s="12" t="s">
        <v>15354</v>
      </c>
      <c r="RYI3" s="12" t="s">
        <v>15355</v>
      </c>
      <c r="RYJ3" s="12" t="s">
        <v>15356</v>
      </c>
      <c r="RYK3" s="12" t="s">
        <v>15357</v>
      </c>
      <c r="RYL3" s="12" t="s">
        <v>15358</v>
      </c>
      <c r="RYM3" s="12" t="s">
        <v>15359</v>
      </c>
      <c r="RYN3" s="12" t="s">
        <v>15360</v>
      </c>
      <c r="RYO3" s="12" t="s">
        <v>15361</v>
      </c>
      <c r="RYP3" s="12" t="s">
        <v>15362</v>
      </c>
      <c r="RYQ3" s="12" t="s">
        <v>15363</v>
      </c>
      <c r="RYR3" s="12" t="s">
        <v>15364</v>
      </c>
      <c r="RYS3" s="12" t="s">
        <v>15365</v>
      </c>
      <c r="RYT3" s="12" t="s">
        <v>15366</v>
      </c>
      <c r="RYU3" s="12" t="s">
        <v>15367</v>
      </c>
      <c r="RYV3" s="12" t="s">
        <v>15368</v>
      </c>
      <c r="RYW3" s="12" t="s">
        <v>15369</v>
      </c>
      <c r="RYX3" s="12" t="s">
        <v>15370</v>
      </c>
      <c r="RYY3" s="12" t="s">
        <v>15371</v>
      </c>
      <c r="RYZ3" s="12" t="s">
        <v>15372</v>
      </c>
      <c r="RZA3" s="12" t="s">
        <v>15373</v>
      </c>
      <c r="RZB3" s="12" t="s">
        <v>15374</v>
      </c>
      <c r="RZC3" s="12" t="s">
        <v>15375</v>
      </c>
      <c r="RZD3" s="12" t="s">
        <v>15376</v>
      </c>
      <c r="RZE3" s="12" t="s">
        <v>15377</v>
      </c>
      <c r="RZF3" s="12" t="s">
        <v>15378</v>
      </c>
      <c r="RZG3" s="12" t="s">
        <v>15379</v>
      </c>
      <c r="RZH3" s="12" t="s">
        <v>15380</v>
      </c>
      <c r="RZI3" s="12" t="s">
        <v>15381</v>
      </c>
      <c r="RZJ3" s="12" t="s">
        <v>15382</v>
      </c>
      <c r="RZK3" s="12" t="s">
        <v>15383</v>
      </c>
      <c r="RZL3" s="12" t="s">
        <v>15384</v>
      </c>
      <c r="RZM3" s="12" t="s">
        <v>15385</v>
      </c>
      <c r="RZN3" s="12" t="s">
        <v>15386</v>
      </c>
      <c r="RZO3" s="12" t="s">
        <v>15387</v>
      </c>
      <c r="RZP3" s="12" t="s">
        <v>15388</v>
      </c>
      <c r="RZQ3" s="12" t="s">
        <v>15389</v>
      </c>
      <c r="RZR3" s="12" t="s">
        <v>15390</v>
      </c>
      <c r="RZS3" s="12" t="s">
        <v>15391</v>
      </c>
      <c r="RZT3" s="12" t="s">
        <v>15392</v>
      </c>
      <c r="RZU3" s="12" t="s">
        <v>15393</v>
      </c>
      <c r="RZV3" s="12" t="s">
        <v>15394</v>
      </c>
      <c r="RZW3" s="12" t="s">
        <v>15395</v>
      </c>
      <c r="RZX3" s="12" t="s">
        <v>15396</v>
      </c>
      <c r="RZY3" s="12" t="s">
        <v>15397</v>
      </c>
      <c r="RZZ3" s="12" t="s">
        <v>15398</v>
      </c>
      <c r="SAA3" s="12" t="s">
        <v>15399</v>
      </c>
      <c r="SAB3" s="12" t="s">
        <v>15400</v>
      </c>
      <c r="SAC3" s="12" t="s">
        <v>15401</v>
      </c>
      <c r="SAD3" s="12" t="s">
        <v>15402</v>
      </c>
      <c r="SAE3" s="12" t="s">
        <v>15403</v>
      </c>
      <c r="SAF3" s="12" t="s">
        <v>15404</v>
      </c>
      <c r="SAG3" s="12" t="s">
        <v>15405</v>
      </c>
      <c r="SAH3" s="12" t="s">
        <v>15406</v>
      </c>
      <c r="SAI3" s="12" t="s">
        <v>15407</v>
      </c>
      <c r="SAJ3" s="12" t="s">
        <v>15408</v>
      </c>
      <c r="SAK3" s="12" t="s">
        <v>15409</v>
      </c>
      <c r="SAL3" s="12" t="s">
        <v>15410</v>
      </c>
      <c r="SAM3" s="12" t="s">
        <v>15411</v>
      </c>
      <c r="SAN3" s="12" t="s">
        <v>15412</v>
      </c>
      <c r="SAO3" s="12" t="s">
        <v>15413</v>
      </c>
      <c r="SAP3" s="12" t="s">
        <v>15414</v>
      </c>
      <c r="SAQ3" s="12" t="s">
        <v>15415</v>
      </c>
      <c r="SAR3" s="12" t="s">
        <v>15416</v>
      </c>
      <c r="SAS3" s="12" t="s">
        <v>15417</v>
      </c>
      <c r="SAT3" s="12" t="s">
        <v>15418</v>
      </c>
      <c r="SAU3" s="12" t="s">
        <v>15419</v>
      </c>
      <c r="SAV3" s="12" t="s">
        <v>15420</v>
      </c>
      <c r="SAW3" s="12" t="s">
        <v>15421</v>
      </c>
      <c r="SAX3" s="12" t="s">
        <v>15422</v>
      </c>
      <c r="SAY3" s="12" t="s">
        <v>15423</v>
      </c>
      <c r="SAZ3" s="12" t="s">
        <v>15424</v>
      </c>
      <c r="SBA3" s="12" t="s">
        <v>15425</v>
      </c>
      <c r="SBB3" s="12" t="s">
        <v>15426</v>
      </c>
      <c r="SBC3" s="12" t="s">
        <v>15427</v>
      </c>
      <c r="SBD3" s="12" t="s">
        <v>15428</v>
      </c>
      <c r="SBE3" s="12" t="s">
        <v>15429</v>
      </c>
      <c r="SBF3" s="12" t="s">
        <v>15430</v>
      </c>
      <c r="SBG3" s="12" t="s">
        <v>15431</v>
      </c>
      <c r="SBH3" s="12" t="s">
        <v>15432</v>
      </c>
      <c r="SBI3" s="12" t="s">
        <v>15433</v>
      </c>
      <c r="SBJ3" s="12" t="s">
        <v>15434</v>
      </c>
      <c r="SBK3" s="12" t="s">
        <v>15435</v>
      </c>
      <c r="SBL3" s="12" t="s">
        <v>15436</v>
      </c>
      <c r="SBM3" s="12" t="s">
        <v>15437</v>
      </c>
      <c r="SBN3" s="12" t="s">
        <v>15438</v>
      </c>
      <c r="SBO3" s="12" t="s">
        <v>15439</v>
      </c>
      <c r="SBP3" s="12" t="s">
        <v>15440</v>
      </c>
      <c r="SBQ3" s="12" t="s">
        <v>15441</v>
      </c>
      <c r="SBR3" s="12" t="s">
        <v>15442</v>
      </c>
      <c r="SBS3" s="12" t="s">
        <v>15443</v>
      </c>
      <c r="SBT3" s="12" t="s">
        <v>15444</v>
      </c>
      <c r="SBU3" s="12" t="s">
        <v>15445</v>
      </c>
      <c r="SBV3" s="12" t="s">
        <v>15446</v>
      </c>
      <c r="SBW3" s="12" t="s">
        <v>15447</v>
      </c>
      <c r="SBX3" s="12" t="s">
        <v>15448</v>
      </c>
      <c r="SBY3" s="12" t="s">
        <v>15449</v>
      </c>
      <c r="SBZ3" s="12" t="s">
        <v>15450</v>
      </c>
      <c r="SCA3" s="12" t="s">
        <v>15451</v>
      </c>
      <c r="SCB3" s="12" t="s">
        <v>15452</v>
      </c>
      <c r="SCC3" s="12" t="s">
        <v>15453</v>
      </c>
      <c r="SCD3" s="12" t="s">
        <v>15454</v>
      </c>
      <c r="SCE3" s="12" t="s">
        <v>15455</v>
      </c>
      <c r="SCF3" s="12" t="s">
        <v>15456</v>
      </c>
      <c r="SCG3" s="12" t="s">
        <v>15457</v>
      </c>
      <c r="SCH3" s="12" t="s">
        <v>15458</v>
      </c>
      <c r="SCI3" s="12" t="s">
        <v>15459</v>
      </c>
      <c r="SCJ3" s="12" t="s">
        <v>15460</v>
      </c>
      <c r="SCK3" s="12" t="s">
        <v>15461</v>
      </c>
      <c r="SCL3" s="12" t="s">
        <v>15462</v>
      </c>
      <c r="SCM3" s="12" t="s">
        <v>15463</v>
      </c>
      <c r="SCN3" s="12" t="s">
        <v>15464</v>
      </c>
      <c r="SCO3" s="12" t="s">
        <v>15465</v>
      </c>
      <c r="SCP3" s="12" t="s">
        <v>15466</v>
      </c>
      <c r="SCQ3" s="12" t="s">
        <v>15467</v>
      </c>
      <c r="SCR3" s="12" t="s">
        <v>15468</v>
      </c>
      <c r="SCS3" s="12" t="s">
        <v>15469</v>
      </c>
      <c r="SCT3" s="12" t="s">
        <v>15470</v>
      </c>
      <c r="SCU3" s="12" t="s">
        <v>15471</v>
      </c>
      <c r="SCV3" s="12" t="s">
        <v>15472</v>
      </c>
      <c r="SCW3" s="12" t="s">
        <v>15473</v>
      </c>
      <c r="SCX3" s="12" t="s">
        <v>15474</v>
      </c>
      <c r="SCY3" s="12" t="s">
        <v>15475</v>
      </c>
      <c r="SCZ3" s="12" t="s">
        <v>15476</v>
      </c>
      <c r="SDA3" s="12" t="s">
        <v>15477</v>
      </c>
      <c r="SDB3" s="12" t="s">
        <v>15478</v>
      </c>
      <c r="SDC3" s="12" t="s">
        <v>15479</v>
      </c>
      <c r="SDD3" s="12" t="s">
        <v>15480</v>
      </c>
      <c r="SDE3" s="12" t="s">
        <v>15481</v>
      </c>
      <c r="SDF3" s="12" t="s">
        <v>15482</v>
      </c>
      <c r="SDG3" s="12" t="s">
        <v>15483</v>
      </c>
      <c r="SDH3" s="12" t="s">
        <v>15484</v>
      </c>
      <c r="SDI3" s="12" t="s">
        <v>15485</v>
      </c>
      <c r="SDJ3" s="12" t="s">
        <v>15486</v>
      </c>
      <c r="SDK3" s="12" t="s">
        <v>15487</v>
      </c>
      <c r="SDL3" s="12" t="s">
        <v>15488</v>
      </c>
      <c r="SDM3" s="12" t="s">
        <v>15489</v>
      </c>
      <c r="SDN3" s="12" t="s">
        <v>15490</v>
      </c>
      <c r="SDO3" s="12" t="s">
        <v>15491</v>
      </c>
      <c r="SDP3" s="12" t="s">
        <v>15492</v>
      </c>
      <c r="SDQ3" s="12" t="s">
        <v>15493</v>
      </c>
      <c r="SDR3" s="12" t="s">
        <v>15494</v>
      </c>
      <c r="SDS3" s="12" t="s">
        <v>15495</v>
      </c>
      <c r="SDT3" s="12" t="s">
        <v>15496</v>
      </c>
      <c r="SDU3" s="12" t="s">
        <v>15497</v>
      </c>
      <c r="SDV3" s="12" t="s">
        <v>15498</v>
      </c>
      <c r="SDW3" s="12" t="s">
        <v>15499</v>
      </c>
      <c r="SDX3" s="12" t="s">
        <v>15500</v>
      </c>
      <c r="SDY3" s="12" t="s">
        <v>15501</v>
      </c>
      <c r="SDZ3" s="12" t="s">
        <v>15502</v>
      </c>
      <c r="SEA3" s="12" t="s">
        <v>15503</v>
      </c>
      <c r="SEB3" s="12" t="s">
        <v>15504</v>
      </c>
      <c r="SEC3" s="12" t="s">
        <v>15505</v>
      </c>
      <c r="SED3" s="12" t="s">
        <v>15506</v>
      </c>
      <c r="SEE3" s="12" t="s">
        <v>15507</v>
      </c>
      <c r="SEF3" s="12" t="s">
        <v>15508</v>
      </c>
      <c r="SEG3" s="12" t="s">
        <v>15509</v>
      </c>
      <c r="SEH3" s="12" t="s">
        <v>15510</v>
      </c>
      <c r="SEI3" s="12" t="s">
        <v>15511</v>
      </c>
      <c r="SEJ3" s="12" t="s">
        <v>15512</v>
      </c>
      <c r="SEK3" s="12" t="s">
        <v>15513</v>
      </c>
      <c r="SEL3" s="12" t="s">
        <v>15514</v>
      </c>
      <c r="SEM3" s="12" t="s">
        <v>15515</v>
      </c>
      <c r="SEN3" s="12" t="s">
        <v>15516</v>
      </c>
      <c r="SEO3" s="12" t="s">
        <v>15517</v>
      </c>
      <c r="SEP3" s="12" t="s">
        <v>15518</v>
      </c>
      <c r="SEQ3" s="12" t="s">
        <v>15519</v>
      </c>
      <c r="SER3" s="12" t="s">
        <v>15520</v>
      </c>
      <c r="SES3" s="12" t="s">
        <v>15521</v>
      </c>
      <c r="SET3" s="12" t="s">
        <v>15522</v>
      </c>
      <c r="SEU3" s="12" t="s">
        <v>15523</v>
      </c>
      <c r="SEV3" s="12" t="s">
        <v>15524</v>
      </c>
      <c r="SEW3" s="12" t="s">
        <v>15525</v>
      </c>
      <c r="SEX3" s="12" t="s">
        <v>15526</v>
      </c>
      <c r="SEY3" s="12" t="s">
        <v>15527</v>
      </c>
      <c r="SEZ3" s="12" t="s">
        <v>15528</v>
      </c>
      <c r="SFA3" s="12" t="s">
        <v>15529</v>
      </c>
      <c r="SFB3" s="12" t="s">
        <v>15530</v>
      </c>
      <c r="SFC3" s="12" t="s">
        <v>15531</v>
      </c>
      <c r="SFD3" s="12" t="s">
        <v>15532</v>
      </c>
      <c r="SFE3" s="12" t="s">
        <v>15533</v>
      </c>
      <c r="SFF3" s="12" t="s">
        <v>15534</v>
      </c>
      <c r="SFG3" s="12" t="s">
        <v>15535</v>
      </c>
      <c r="SFH3" s="12" t="s">
        <v>15536</v>
      </c>
      <c r="SFI3" s="12" t="s">
        <v>15537</v>
      </c>
      <c r="SFJ3" s="12" t="s">
        <v>15538</v>
      </c>
      <c r="SFK3" s="12" t="s">
        <v>15539</v>
      </c>
      <c r="SFL3" s="12" t="s">
        <v>15540</v>
      </c>
      <c r="SFM3" s="12" t="s">
        <v>15541</v>
      </c>
      <c r="SFN3" s="12" t="s">
        <v>15542</v>
      </c>
      <c r="SFO3" s="12" t="s">
        <v>15543</v>
      </c>
      <c r="SFP3" s="12" t="s">
        <v>15544</v>
      </c>
      <c r="SFQ3" s="12" t="s">
        <v>15545</v>
      </c>
      <c r="SFR3" s="12" t="s">
        <v>15546</v>
      </c>
      <c r="SFS3" s="12" t="s">
        <v>15547</v>
      </c>
      <c r="SFT3" s="12" t="s">
        <v>15548</v>
      </c>
      <c r="SFU3" s="12" t="s">
        <v>15549</v>
      </c>
      <c r="SFV3" s="12" t="s">
        <v>15550</v>
      </c>
      <c r="SFW3" s="12" t="s">
        <v>15551</v>
      </c>
      <c r="SFX3" s="12" t="s">
        <v>15552</v>
      </c>
      <c r="SFY3" s="12" t="s">
        <v>15553</v>
      </c>
      <c r="SFZ3" s="12" t="s">
        <v>15554</v>
      </c>
      <c r="SGA3" s="12" t="s">
        <v>15555</v>
      </c>
      <c r="SGB3" s="12" t="s">
        <v>15556</v>
      </c>
      <c r="SGC3" s="12" t="s">
        <v>15557</v>
      </c>
      <c r="SGD3" s="12" t="s">
        <v>15558</v>
      </c>
      <c r="SGE3" s="12" t="s">
        <v>15559</v>
      </c>
      <c r="SGF3" s="12" t="s">
        <v>15560</v>
      </c>
      <c r="SGG3" s="12" t="s">
        <v>15561</v>
      </c>
      <c r="SGH3" s="12" t="s">
        <v>15562</v>
      </c>
      <c r="SGI3" s="12" t="s">
        <v>15563</v>
      </c>
      <c r="SGJ3" s="12" t="s">
        <v>15564</v>
      </c>
      <c r="SGK3" s="12" t="s">
        <v>15565</v>
      </c>
      <c r="SGL3" s="12" t="s">
        <v>15566</v>
      </c>
      <c r="SGM3" s="12" t="s">
        <v>15567</v>
      </c>
      <c r="SGN3" s="12" t="s">
        <v>15568</v>
      </c>
      <c r="SGO3" s="12" t="s">
        <v>15569</v>
      </c>
      <c r="SGP3" s="12" t="s">
        <v>15570</v>
      </c>
      <c r="SGQ3" s="12" t="s">
        <v>15571</v>
      </c>
      <c r="SGR3" s="12" t="s">
        <v>15572</v>
      </c>
      <c r="SGS3" s="12" t="s">
        <v>15573</v>
      </c>
      <c r="SGT3" s="12" t="s">
        <v>15574</v>
      </c>
      <c r="SGU3" s="12" t="s">
        <v>15575</v>
      </c>
      <c r="SGV3" s="12" t="s">
        <v>15576</v>
      </c>
      <c r="SGW3" s="12" t="s">
        <v>15577</v>
      </c>
      <c r="SGX3" s="12" t="s">
        <v>15578</v>
      </c>
      <c r="SGY3" s="12" t="s">
        <v>15579</v>
      </c>
      <c r="SGZ3" s="12" t="s">
        <v>15580</v>
      </c>
      <c r="SHA3" s="12" t="s">
        <v>15581</v>
      </c>
      <c r="SHB3" s="12" t="s">
        <v>15582</v>
      </c>
      <c r="SHC3" s="12" t="s">
        <v>15583</v>
      </c>
      <c r="SHD3" s="12" t="s">
        <v>15584</v>
      </c>
      <c r="SHE3" s="12" t="s">
        <v>15585</v>
      </c>
      <c r="SHF3" s="12" t="s">
        <v>15586</v>
      </c>
      <c r="SHG3" s="12" t="s">
        <v>15587</v>
      </c>
      <c r="SHH3" s="12" t="s">
        <v>15588</v>
      </c>
      <c r="SHI3" s="12" t="s">
        <v>15589</v>
      </c>
      <c r="SHJ3" s="12" t="s">
        <v>15590</v>
      </c>
      <c r="SHK3" s="12" t="s">
        <v>15591</v>
      </c>
      <c r="SHL3" s="12" t="s">
        <v>15592</v>
      </c>
      <c r="SHM3" s="12" t="s">
        <v>15593</v>
      </c>
      <c r="SHN3" s="12" t="s">
        <v>15594</v>
      </c>
      <c r="SHO3" s="12" t="s">
        <v>15595</v>
      </c>
      <c r="SHP3" s="12" t="s">
        <v>15596</v>
      </c>
      <c r="SHQ3" s="12" t="s">
        <v>15597</v>
      </c>
      <c r="SHR3" s="12" t="s">
        <v>15598</v>
      </c>
      <c r="SHS3" s="12" t="s">
        <v>15599</v>
      </c>
      <c r="SHT3" s="12" t="s">
        <v>15600</v>
      </c>
      <c r="SHU3" s="12" t="s">
        <v>15601</v>
      </c>
      <c r="SHV3" s="12" t="s">
        <v>15602</v>
      </c>
      <c r="SHW3" s="12" t="s">
        <v>15603</v>
      </c>
      <c r="SHX3" s="12" t="s">
        <v>15604</v>
      </c>
      <c r="SHY3" s="12" t="s">
        <v>15605</v>
      </c>
      <c r="SHZ3" s="12" t="s">
        <v>15606</v>
      </c>
      <c r="SIA3" s="12" t="s">
        <v>15607</v>
      </c>
      <c r="SIB3" s="12" t="s">
        <v>15608</v>
      </c>
      <c r="SIC3" s="12" t="s">
        <v>15609</v>
      </c>
      <c r="SID3" s="12" t="s">
        <v>15610</v>
      </c>
      <c r="SIE3" s="12" t="s">
        <v>15611</v>
      </c>
      <c r="SIF3" s="12" t="s">
        <v>15612</v>
      </c>
      <c r="SIG3" s="12" t="s">
        <v>15613</v>
      </c>
      <c r="SIH3" s="12" t="s">
        <v>15614</v>
      </c>
      <c r="SII3" s="12" t="s">
        <v>15615</v>
      </c>
      <c r="SIJ3" s="12" t="s">
        <v>15616</v>
      </c>
      <c r="SIK3" s="12" t="s">
        <v>15617</v>
      </c>
      <c r="SIL3" s="12" t="s">
        <v>15618</v>
      </c>
      <c r="SIM3" s="12" t="s">
        <v>15619</v>
      </c>
      <c r="SIN3" s="12" t="s">
        <v>15620</v>
      </c>
      <c r="SIO3" s="12" t="s">
        <v>15621</v>
      </c>
      <c r="SIP3" s="12" t="s">
        <v>15622</v>
      </c>
      <c r="SIQ3" s="12" t="s">
        <v>15623</v>
      </c>
      <c r="SIR3" s="12" t="s">
        <v>15624</v>
      </c>
      <c r="SIS3" s="12" t="s">
        <v>15625</v>
      </c>
      <c r="SIT3" s="12" t="s">
        <v>15626</v>
      </c>
      <c r="SIU3" s="12" t="s">
        <v>15627</v>
      </c>
      <c r="SIV3" s="12" t="s">
        <v>15628</v>
      </c>
      <c r="SIW3" s="12" t="s">
        <v>15629</v>
      </c>
      <c r="SIX3" s="12" t="s">
        <v>15630</v>
      </c>
      <c r="SIY3" s="12" t="s">
        <v>15631</v>
      </c>
      <c r="SIZ3" s="12" t="s">
        <v>15632</v>
      </c>
      <c r="SJA3" s="12" t="s">
        <v>15633</v>
      </c>
      <c r="SJB3" s="12" t="s">
        <v>15634</v>
      </c>
      <c r="SJC3" s="12" t="s">
        <v>15635</v>
      </c>
      <c r="SJD3" s="12" t="s">
        <v>15636</v>
      </c>
      <c r="SJE3" s="12" t="s">
        <v>15637</v>
      </c>
      <c r="SJF3" s="12" t="s">
        <v>15638</v>
      </c>
      <c r="SJG3" s="12" t="s">
        <v>15639</v>
      </c>
      <c r="SJH3" s="12" t="s">
        <v>15640</v>
      </c>
      <c r="SJI3" s="12" t="s">
        <v>15641</v>
      </c>
      <c r="SJJ3" s="12" t="s">
        <v>15642</v>
      </c>
      <c r="SJK3" s="12" t="s">
        <v>15643</v>
      </c>
      <c r="SJL3" s="12" t="s">
        <v>15644</v>
      </c>
      <c r="SJM3" s="12" t="s">
        <v>15645</v>
      </c>
      <c r="SJN3" s="12" t="s">
        <v>15646</v>
      </c>
      <c r="SJO3" s="12" t="s">
        <v>15647</v>
      </c>
      <c r="SJP3" s="12" t="s">
        <v>15648</v>
      </c>
      <c r="SJQ3" s="12" t="s">
        <v>15649</v>
      </c>
      <c r="SJR3" s="12" t="s">
        <v>15650</v>
      </c>
      <c r="SJS3" s="12" t="s">
        <v>15651</v>
      </c>
      <c r="SJT3" s="12" t="s">
        <v>15652</v>
      </c>
      <c r="SJU3" s="12" t="s">
        <v>15653</v>
      </c>
      <c r="SJV3" s="12" t="s">
        <v>15654</v>
      </c>
      <c r="SJW3" s="12" t="s">
        <v>15655</v>
      </c>
      <c r="SJX3" s="12" t="s">
        <v>15656</v>
      </c>
      <c r="SJY3" s="12" t="s">
        <v>15657</v>
      </c>
      <c r="SJZ3" s="12" t="s">
        <v>15658</v>
      </c>
      <c r="SKA3" s="12" t="s">
        <v>15659</v>
      </c>
      <c r="SKB3" s="12" t="s">
        <v>15660</v>
      </c>
      <c r="SKC3" s="12" t="s">
        <v>15661</v>
      </c>
      <c r="SKD3" s="12" t="s">
        <v>15662</v>
      </c>
      <c r="SKE3" s="12" t="s">
        <v>15663</v>
      </c>
      <c r="SKF3" s="12" t="s">
        <v>15664</v>
      </c>
      <c r="SKG3" s="12" t="s">
        <v>15665</v>
      </c>
      <c r="SKH3" s="12" t="s">
        <v>15666</v>
      </c>
      <c r="SKI3" s="12" t="s">
        <v>15667</v>
      </c>
      <c r="SKJ3" s="12" t="s">
        <v>15668</v>
      </c>
      <c r="SKK3" s="12" t="s">
        <v>15669</v>
      </c>
      <c r="SKL3" s="12" t="s">
        <v>15670</v>
      </c>
      <c r="SKM3" s="12" t="s">
        <v>15671</v>
      </c>
      <c r="SKN3" s="12" t="s">
        <v>15672</v>
      </c>
      <c r="SKO3" s="12" t="s">
        <v>15673</v>
      </c>
      <c r="SKP3" s="12" t="s">
        <v>15674</v>
      </c>
      <c r="SKQ3" s="12" t="s">
        <v>15675</v>
      </c>
      <c r="SKR3" s="12" t="s">
        <v>15676</v>
      </c>
      <c r="SKS3" s="12" t="s">
        <v>15677</v>
      </c>
      <c r="SKT3" s="12" t="s">
        <v>15678</v>
      </c>
      <c r="SKU3" s="12" t="s">
        <v>15679</v>
      </c>
      <c r="SKV3" s="12" t="s">
        <v>15680</v>
      </c>
      <c r="SKW3" s="12" t="s">
        <v>15681</v>
      </c>
      <c r="SKX3" s="12" t="s">
        <v>15682</v>
      </c>
      <c r="SKY3" s="12" t="s">
        <v>15683</v>
      </c>
      <c r="SKZ3" s="12" t="s">
        <v>15684</v>
      </c>
      <c r="SLA3" s="12" t="s">
        <v>15685</v>
      </c>
      <c r="SLB3" s="12" t="s">
        <v>15686</v>
      </c>
      <c r="SLC3" s="12" t="s">
        <v>15687</v>
      </c>
      <c r="SLD3" s="12" t="s">
        <v>15688</v>
      </c>
      <c r="SLE3" s="12" t="s">
        <v>15689</v>
      </c>
      <c r="SLF3" s="12" t="s">
        <v>15690</v>
      </c>
      <c r="SLG3" s="12" t="s">
        <v>15691</v>
      </c>
      <c r="SLH3" s="12" t="s">
        <v>15692</v>
      </c>
      <c r="SLI3" s="12" t="s">
        <v>15693</v>
      </c>
      <c r="SLJ3" s="12" t="s">
        <v>15694</v>
      </c>
      <c r="SLK3" s="12" t="s">
        <v>15695</v>
      </c>
      <c r="SLL3" s="12" t="s">
        <v>15696</v>
      </c>
      <c r="SLM3" s="12" t="s">
        <v>15697</v>
      </c>
      <c r="SLN3" s="12" t="s">
        <v>15698</v>
      </c>
      <c r="SLO3" s="12" t="s">
        <v>15699</v>
      </c>
      <c r="SLP3" s="12" t="s">
        <v>15700</v>
      </c>
      <c r="SLQ3" s="12" t="s">
        <v>15701</v>
      </c>
      <c r="SLR3" s="12" t="s">
        <v>15702</v>
      </c>
      <c r="SLS3" s="12" t="s">
        <v>15703</v>
      </c>
      <c r="SLT3" s="12" t="s">
        <v>15704</v>
      </c>
      <c r="SLU3" s="12" t="s">
        <v>15705</v>
      </c>
      <c r="SLV3" s="12" t="s">
        <v>15706</v>
      </c>
      <c r="SLW3" s="12" t="s">
        <v>15707</v>
      </c>
      <c r="SLX3" s="12" t="s">
        <v>15708</v>
      </c>
      <c r="SLY3" s="12" t="s">
        <v>15709</v>
      </c>
      <c r="SLZ3" s="12" t="s">
        <v>15710</v>
      </c>
      <c r="SMA3" s="12" t="s">
        <v>15711</v>
      </c>
      <c r="SMB3" s="12" t="s">
        <v>15712</v>
      </c>
      <c r="SMC3" s="12" t="s">
        <v>15713</v>
      </c>
      <c r="SMD3" s="12" t="s">
        <v>15714</v>
      </c>
      <c r="SME3" s="12" t="s">
        <v>15715</v>
      </c>
      <c r="SMF3" s="12" t="s">
        <v>15716</v>
      </c>
      <c r="SMG3" s="12" t="s">
        <v>15717</v>
      </c>
      <c r="SMH3" s="12" t="s">
        <v>15718</v>
      </c>
      <c r="SMI3" s="12" t="s">
        <v>15719</v>
      </c>
      <c r="SMJ3" s="12" t="s">
        <v>15720</v>
      </c>
      <c r="SMK3" s="12" t="s">
        <v>15721</v>
      </c>
      <c r="SML3" s="12" t="s">
        <v>15722</v>
      </c>
      <c r="SMM3" s="12" t="s">
        <v>15723</v>
      </c>
      <c r="SMN3" s="12" t="s">
        <v>15724</v>
      </c>
      <c r="SMO3" s="12" t="s">
        <v>15725</v>
      </c>
      <c r="SMP3" s="12" t="s">
        <v>15726</v>
      </c>
      <c r="SMQ3" s="12" t="s">
        <v>15727</v>
      </c>
      <c r="SMR3" s="12" t="s">
        <v>15728</v>
      </c>
      <c r="SMS3" s="12" t="s">
        <v>15729</v>
      </c>
      <c r="SMT3" s="12" t="s">
        <v>15730</v>
      </c>
      <c r="SMU3" s="12" t="s">
        <v>15731</v>
      </c>
      <c r="SMV3" s="12" t="s">
        <v>15732</v>
      </c>
      <c r="SMW3" s="12" t="s">
        <v>15733</v>
      </c>
      <c r="SMX3" s="12" t="s">
        <v>15734</v>
      </c>
      <c r="SMY3" s="12" t="s">
        <v>15735</v>
      </c>
      <c r="SMZ3" s="12" t="s">
        <v>15736</v>
      </c>
      <c r="SNA3" s="12" t="s">
        <v>15737</v>
      </c>
      <c r="SNB3" s="12" t="s">
        <v>15738</v>
      </c>
      <c r="SNC3" s="12" t="s">
        <v>15739</v>
      </c>
      <c r="SND3" s="12" t="s">
        <v>15740</v>
      </c>
      <c r="SNE3" s="12" t="s">
        <v>15741</v>
      </c>
      <c r="SNF3" s="12" t="s">
        <v>15742</v>
      </c>
      <c r="SNG3" s="12" t="s">
        <v>15743</v>
      </c>
      <c r="SNH3" s="12" t="s">
        <v>15744</v>
      </c>
      <c r="SNI3" s="12" t="s">
        <v>15745</v>
      </c>
      <c r="SNJ3" s="12" t="s">
        <v>15746</v>
      </c>
      <c r="SNK3" s="12" t="s">
        <v>15747</v>
      </c>
      <c r="SNL3" s="12" t="s">
        <v>15748</v>
      </c>
      <c r="SNM3" s="12" t="s">
        <v>15749</v>
      </c>
      <c r="SNN3" s="12" t="s">
        <v>15750</v>
      </c>
      <c r="SNO3" s="12" t="s">
        <v>15751</v>
      </c>
      <c r="SNP3" s="12" t="s">
        <v>15752</v>
      </c>
      <c r="SNQ3" s="12" t="s">
        <v>15753</v>
      </c>
      <c r="SNR3" s="12" t="s">
        <v>15754</v>
      </c>
      <c r="SNS3" s="12" t="s">
        <v>15755</v>
      </c>
      <c r="SNT3" s="12" t="s">
        <v>15756</v>
      </c>
      <c r="SNU3" s="12" t="s">
        <v>15757</v>
      </c>
      <c r="SNV3" s="12" t="s">
        <v>15758</v>
      </c>
      <c r="SNW3" s="12" t="s">
        <v>15759</v>
      </c>
      <c r="SNX3" s="12" t="s">
        <v>15760</v>
      </c>
      <c r="SNY3" s="12" t="s">
        <v>15761</v>
      </c>
      <c r="SNZ3" s="12" t="s">
        <v>15762</v>
      </c>
      <c r="SOA3" s="12" t="s">
        <v>15763</v>
      </c>
      <c r="SOB3" s="12" t="s">
        <v>15764</v>
      </c>
      <c r="SOC3" s="12" t="s">
        <v>15765</v>
      </c>
      <c r="SOD3" s="12" t="s">
        <v>15766</v>
      </c>
      <c r="SOE3" s="12" t="s">
        <v>15767</v>
      </c>
      <c r="SOF3" s="12" t="s">
        <v>15768</v>
      </c>
      <c r="SOG3" s="12" t="s">
        <v>15769</v>
      </c>
      <c r="SOH3" s="12" t="s">
        <v>15770</v>
      </c>
      <c r="SOI3" s="12" t="s">
        <v>15771</v>
      </c>
      <c r="SOJ3" s="12" t="s">
        <v>15772</v>
      </c>
      <c r="SOK3" s="12" t="s">
        <v>15773</v>
      </c>
      <c r="SOL3" s="12" t="s">
        <v>15774</v>
      </c>
      <c r="SOM3" s="12" t="s">
        <v>15775</v>
      </c>
      <c r="SON3" s="12" t="s">
        <v>15776</v>
      </c>
      <c r="SOO3" s="12" t="s">
        <v>15777</v>
      </c>
      <c r="SOP3" s="12" t="s">
        <v>15778</v>
      </c>
      <c r="SOQ3" s="12" t="s">
        <v>15779</v>
      </c>
      <c r="SOR3" s="12" t="s">
        <v>15780</v>
      </c>
      <c r="SOS3" s="12" t="s">
        <v>15781</v>
      </c>
      <c r="SOT3" s="12" t="s">
        <v>15782</v>
      </c>
      <c r="SOU3" s="12" t="s">
        <v>15783</v>
      </c>
      <c r="SOV3" s="12" t="s">
        <v>15784</v>
      </c>
      <c r="SOW3" s="12" t="s">
        <v>15785</v>
      </c>
      <c r="SOX3" s="12" t="s">
        <v>15786</v>
      </c>
      <c r="SOY3" s="12" t="s">
        <v>15787</v>
      </c>
      <c r="SOZ3" s="12" t="s">
        <v>15788</v>
      </c>
      <c r="SPA3" s="12" t="s">
        <v>15789</v>
      </c>
      <c r="SPB3" s="12" t="s">
        <v>15790</v>
      </c>
      <c r="SPC3" s="12" t="s">
        <v>15791</v>
      </c>
      <c r="SPD3" s="12" t="s">
        <v>15792</v>
      </c>
      <c r="SPE3" s="12" t="s">
        <v>15793</v>
      </c>
      <c r="SPF3" s="12" t="s">
        <v>15794</v>
      </c>
      <c r="SPG3" s="12" t="s">
        <v>15795</v>
      </c>
      <c r="SPH3" s="12" t="s">
        <v>15796</v>
      </c>
      <c r="SPI3" s="12" t="s">
        <v>15797</v>
      </c>
      <c r="SPJ3" s="12" t="s">
        <v>15798</v>
      </c>
      <c r="SPK3" s="12" t="s">
        <v>15799</v>
      </c>
      <c r="SPL3" s="12" t="s">
        <v>15800</v>
      </c>
      <c r="SPM3" s="12" t="s">
        <v>15801</v>
      </c>
      <c r="SPN3" s="12" t="s">
        <v>15802</v>
      </c>
      <c r="SPO3" s="12" t="s">
        <v>15803</v>
      </c>
      <c r="SPP3" s="12" t="s">
        <v>15804</v>
      </c>
      <c r="SPQ3" s="12" t="s">
        <v>15805</v>
      </c>
      <c r="SPR3" s="12" t="s">
        <v>15806</v>
      </c>
      <c r="SPS3" s="12" t="s">
        <v>15807</v>
      </c>
      <c r="SPT3" s="12" t="s">
        <v>15808</v>
      </c>
      <c r="SPU3" s="12" t="s">
        <v>15809</v>
      </c>
      <c r="SPV3" s="12" t="s">
        <v>15810</v>
      </c>
      <c r="SPW3" s="12" t="s">
        <v>15811</v>
      </c>
      <c r="SPX3" s="12" t="s">
        <v>15812</v>
      </c>
      <c r="SPY3" s="12" t="s">
        <v>15813</v>
      </c>
      <c r="SPZ3" s="12" t="s">
        <v>15814</v>
      </c>
      <c r="SQA3" s="12" t="s">
        <v>15815</v>
      </c>
      <c r="SQB3" s="12" t="s">
        <v>15816</v>
      </c>
      <c r="SQC3" s="12" t="s">
        <v>15817</v>
      </c>
      <c r="SQD3" s="12" t="s">
        <v>15818</v>
      </c>
      <c r="SQE3" s="12" t="s">
        <v>15819</v>
      </c>
      <c r="SQF3" s="12" t="s">
        <v>15820</v>
      </c>
      <c r="SQG3" s="12" t="s">
        <v>15821</v>
      </c>
      <c r="SQH3" s="12" t="s">
        <v>15822</v>
      </c>
      <c r="SQI3" s="12" t="s">
        <v>15823</v>
      </c>
      <c r="SQJ3" s="12" t="s">
        <v>15824</v>
      </c>
      <c r="SQK3" s="12" t="s">
        <v>15825</v>
      </c>
      <c r="SQL3" s="12" t="s">
        <v>15826</v>
      </c>
      <c r="SQM3" s="12" t="s">
        <v>15827</v>
      </c>
      <c r="SQN3" s="12" t="s">
        <v>15828</v>
      </c>
      <c r="SQO3" s="12" t="s">
        <v>15829</v>
      </c>
      <c r="SQP3" s="12" t="s">
        <v>15830</v>
      </c>
      <c r="SQQ3" s="12" t="s">
        <v>15831</v>
      </c>
      <c r="SQR3" s="12" t="s">
        <v>15832</v>
      </c>
      <c r="SQS3" s="12" t="s">
        <v>15833</v>
      </c>
      <c r="SQT3" s="12" t="s">
        <v>15834</v>
      </c>
      <c r="SQU3" s="12" t="s">
        <v>15835</v>
      </c>
      <c r="SQV3" s="12" t="s">
        <v>15836</v>
      </c>
      <c r="SQW3" s="12" t="s">
        <v>15837</v>
      </c>
      <c r="SQX3" s="12" t="s">
        <v>15838</v>
      </c>
      <c r="SQY3" s="12" t="s">
        <v>15839</v>
      </c>
      <c r="SQZ3" s="12" t="s">
        <v>15840</v>
      </c>
      <c r="SRA3" s="12" t="s">
        <v>15841</v>
      </c>
      <c r="SRB3" s="12" t="s">
        <v>15842</v>
      </c>
      <c r="SRC3" s="12" t="s">
        <v>15843</v>
      </c>
      <c r="SRD3" s="12" t="s">
        <v>15844</v>
      </c>
      <c r="SRE3" s="12" t="s">
        <v>15845</v>
      </c>
      <c r="SRF3" s="12" t="s">
        <v>15846</v>
      </c>
      <c r="SRG3" s="12" t="s">
        <v>15847</v>
      </c>
      <c r="SRH3" s="12" t="s">
        <v>15848</v>
      </c>
      <c r="SRI3" s="12" t="s">
        <v>15849</v>
      </c>
      <c r="SRJ3" s="12" t="s">
        <v>15850</v>
      </c>
      <c r="SRK3" s="12" t="s">
        <v>15851</v>
      </c>
      <c r="SRL3" s="12" t="s">
        <v>15852</v>
      </c>
      <c r="SRM3" s="12" t="s">
        <v>15853</v>
      </c>
      <c r="SRN3" s="12" t="s">
        <v>15854</v>
      </c>
      <c r="SRO3" s="12" t="s">
        <v>15855</v>
      </c>
      <c r="SRP3" s="12" t="s">
        <v>15856</v>
      </c>
      <c r="SRQ3" s="12" t="s">
        <v>15857</v>
      </c>
      <c r="SRR3" s="12" t="s">
        <v>15858</v>
      </c>
      <c r="SRS3" s="12" t="s">
        <v>15859</v>
      </c>
      <c r="SRT3" s="12" t="s">
        <v>15860</v>
      </c>
      <c r="SRU3" s="12" t="s">
        <v>15861</v>
      </c>
      <c r="SRV3" s="12" t="s">
        <v>15862</v>
      </c>
      <c r="SRW3" s="12" t="s">
        <v>15863</v>
      </c>
      <c r="SRX3" s="12" t="s">
        <v>15864</v>
      </c>
      <c r="SRY3" s="12" t="s">
        <v>15865</v>
      </c>
      <c r="SRZ3" s="12" t="s">
        <v>15866</v>
      </c>
      <c r="SSA3" s="12" t="s">
        <v>15867</v>
      </c>
      <c r="SSB3" s="12" t="s">
        <v>15868</v>
      </c>
      <c r="SSC3" s="12" t="s">
        <v>15869</v>
      </c>
      <c r="SSD3" s="12" t="s">
        <v>15870</v>
      </c>
      <c r="SSE3" s="12" t="s">
        <v>15871</v>
      </c>
      <c r="SSF3" s="12" t="s">
        <v>15872</v>
      </c>
      <c r="SSG3" s="12" t="s">
        <v>15873</v>
      </c>
      <c r="SSH3" s="12" t="s">
        <v>15874</v>
      </c>
      <c r="SSI3" s="12" t="s">
        <v>15875</v>
      </c>
      <c r="SSJ3" s="12" t="s">
        <v>15876</v>
      </c>
      <c r="SSK3" s="12" t="s">
        <v>15877</v>
      </c>
      <c r="SSL3" s="12" t="s">
        <v>15878</v>
      </c>
      <c r="SSM3" s="12" t="s">
        <v>15879</v>
      </c>
      <c r="SSN3" s="12" t="s">
        <v>15880</v>
      </c>
      <c r="SSO3" s="12" t="s">
        <v>15881</v>
      </c>
      <c r="SSP3" s="12" t="s">
        <v>15882</v>
      </c>
      <c r="SSQ3" s="12" t="s">
        <v>15883</v>
      </c>
      <c r="SSR3" s="12" t="s">
        <v>15884</v>
      </c>
      <c r="SSS3" s="12" t="s">
        <v>15885</v>
      </c>
      <c r="SST3" s="12" t="s">
        <v>15886</v>
      </c>
      <c r="SSU3" s="12" t="s">
        <v>15887</v>
      </c>
      <c r="SSV3" s="12" t="s">
        <v>15888</v>
      </c>
      <c r="SSW3" s="12" t="s">
        <v>15889</v>
      </c>
      <c r="SSX3" s="12" t="s">
        <v>15890</v>
      </c>
      <c r="SSY3" s="12" t="s">
        <v>15891</v>
      </c>
      <c r="SSZ3" s="12" t="s">
        <v>15892</v>
      </c>
      <c r="STA3" s="12" t="s">
        <v>15893</v>
      </c>
      <c r="STB3" s="12" t="s">
        <v>15894</v>
      </c>
      <c r="STC3" s="12" t="s">
        <v>15895</v>
      </c>
      <c r="STD3" s="12" t="s">
        <v>15896</v>
      </c>
      <c r="STE3" s="12" t="s">
        <v>15897</v>
      </c>
      <c r="STF3" s="12" t="s">
        <v>15898</v>
      </c>
      <c r="STG3" s="12" t="s">
        <v>15899</v>
      </c>
      <c r="STH3" s="12" t="s">
        <v>15900</v>
      </c>
      <c r="STI3" s="12" t="s">
        <v>15901</v>
      </c>
      <c r="STJ3" s="12" t="s">
        <v>15902</v>
      </c>
      <c r="STK3" s="12" t="s">
        <v>15903</v>
      </c>
      <c r="STL3" s="12" t="s">
        <v>15904</v>
      </c>
      <c r="STM3" s="12" t="s">
        <v>15905</v>
      </c>
      <c r="STN3" s="12" t="s">
        <v>15906</v>
      </c>
      <c r="STO3" s="12" t="s">
        <v>15907</v>
      </c>
      <c r="STP3" s="12" t="s">
        <v>15908</v>
      </c>
      <c r="STQ3" s="12" t="s">
        <v>15909</v>
      </c>
      <c r="STR3" s="12" t="s">
        <v>15910</v>
      </c>
      <c r="STS3" s="12" t="s">
        <v>15911</v>
      </c>
      <c r="STT3" s="12" t="s">
        <v>15912</v>
      </c>
      <c r="STU3" s="12" t="s">
        <v>15913</v>
      </c>
      <c r="STV3" s="12" t="s">
        <v>15914</v>
      </c>
      <c r="STW3" s="12" t="s">
        <v>15915</v>
      </c>
      <c r="STX3" s="12" t="s">
        <v>15916</v>
      </c>
      <c r="STY3" s="12" t="s">
        <v>15917</v>
      </c>
      <c r="STZ3" s="12" t="s">
        <v>15918</v>
      </c>
      <c r="SUA3" s="12" t="s">
        <v>15919</v>
      </c>
      <c r="SUB3" s="12" t="s">
        <v>15920</v>
      </c>
      <c r="SUC3" s="12" t="s">
        <v>15921</v>
      </c>
      <c r="SUD3" s="12" t="s">
        <v>15922</v>
      </c>
      <c r="SUE3" s="12" t="s">
        <v>15923</v>
      </c>
      <c r="SUF3" s="12" t="s">
        <v>15924</v>
      </c>
      <c r="SUG3" s="12" t="s">
        <v>15925</v>
      </c>
      <c r="SUH3" s="12" t="s">
        <v>15926</v>
      </c>
      <c r="SUI3" s="12" t="s">
        <v>15927</v>
      </c>
      <c r="SUJ3" s="12" t="s">
        <v>15928</v>
      </c>
      <c r="SUK3" s="12" t="s">
        <v>15929</v>
      </c>
      <c r="SUL3" s="12" t="s">
        <v>15930</v>
      </c>
      <c r="SUM3" s="12" t="s">
        <v>15931</v>
      </c>
      <c r="SUN3" s="12" t="s">
        <v>15932</v>
      </c>
      <c r="SUO3" s="12" t="s">
        <v>15933</v>
      </c>
      <c r="SUP3" s="12" t="s">
        <v>15934</v>
      </c>
      <c r="SUQ3" s="12" t="s">
        <v>15935</v>
      </c>
      <c r="SUR3" s="12" t="s">
        <v>15936</v>
      </c>
      <c r="SUS3" s="12" t="s">
        <v>15937</v>
      </c>
      <c r="SUT3" s="12" t="s">
        <v>15938</v>
      </c>
      <c r="SUU3" s="12" t="s">
        <v>15939</v>
      </c>
      <c r="SUV3" s="12" t="s">
        <v>15940</v>
      </c>
      <c r="SUW3" s="12" t="s">
        <v>15941</v>
      </c>
      <c r="SUX3" s="12" t="s">
        <v>15942</v>
      </c>
      <c r="SUY3" s="12" t="s">
        <v>15943</v>
      </c>
      <c r="SUZ3" s="12" t="s">
        <v>15944</v>
      </c>
      <c r="SVA3" s="12" t="s">
        <v>15945</v>
      </c>
      <c r="SVB3" s="12" t="s">
        <v>15946</v>
      </c>
      <c r="SVC3" s="12" t="s">
        <v>15947</v>
      </c>
      <c r="SVD3" s="12" t="s">
        <v>15948</v>
      </c>
      <c r="SVE3" s="12" t="s">
        <v>15949</v>
      </c>
      <c r="SVF3" s="12" t="s">
        <v>15950</v>
      </c>
      <c r="SVG3" s="12" t="s">
        <v>15951</v>
      </c>
      <c r="SVH3" s="12" t="s">
        <v>15952</v>
      </c>
      <c r="SVI3" s="12" t="s">
        <v>15953</v>
      </c>
      <c r="SVJ3" s="12" t="s">
        <v>15954</v>
      </c>
      <c r="SVK3" s="12" t="s">
        <v>15955</v>
      </c>
      <c r="SVL3" s="12" t="s">
        <v>15956</v>
      </c>
      <c r="SVM3" s="12" t="s">
        <v>15957</v>
      </c>
      <c r="SVN3" s="12" t="s">
        <v>15958</v>
      </c>
      <c r="SVO3" s="12" t="s">
        <v>15959</v>
      </c>
      <c r="SVP3" s="12" t="s">
        <v>15960</v>
      </c>
      <c r="SVQ3" s="12" t="s">
        <v>15961</v>
      </c>
      <c r="SVR3" s="12" t="s">
        <v>15962</v>
      </c>
      <c r="SVS3" s="12" t="s">
        <v>15963</v>
      </c>
      <c r="SVT3" s="12" t="s">
        <v>15964</v>
      </c>
      <c r="SVU3" s="12" t="s">
        <v>15965</v>
      </c>
      <c r="SVV3" s="12" t="s">
        <v>15966</v>
      </c>
      <c r="SVW3" s="12" t="s">
        <v>15967</v>
      </c>
      <c r="SVX3" s="12" t="s">
        <v>15968</v>
      </c>
      <c r="SVY3" s="12" t="s">
        <v>15969</v>
      </c>
      <c r="SVZ3" s="12" t="s">
        <v>15970</v>
      </c>
      <c r="SWA3" s="12" t="s">
        <v>15971</v>
      </c>
      <c r="SWB3" s="12" t="s">
        <v>15972</v>
      </c>
      <c r="SWC3" s="12" t="s">
        <v>15973</v>
      </c>
      <c r="SWD3" s="12" t="s">
        <v>15974</v>
      </c>
      <c r="SWE3" s="12" t="s">
        <v>15975</v>
      </c>
      <c r="SWF3" s="12" t="s">
        <v>15976</v>
      </c>
      <c r="SWG3" s="12" t="s">
        <v>15977</v>
      </c>
      <c r="SWH3" s="12" t="s">
        <v>15978</v>
      </c>
      <c r="SWI3" s="12" t="s">
        <v>15979</v>
      </c>
      <c r="SWJ3" s="12" t="s">
        <v>15980</v>
      </c>
      <c r="SWK3" s="12" t="s">
        <v>15981</v>
      </c>
      <c r="SWL3" s="12" t="s">
        <v>15982</v>
      </c>
      <c r="SWM3" s="12" t="s">
        <v>15983</v>
      </c>
      <c r="SWN3" s="12" t="s">
        <v>15984</v>
      </c>
      <c r="SWO3" s="12" t="s">
        <v>15985</v>
      </c>
      <c r="SWP3" s="12" t="s">
        <v>15986</v>
      </c>
      <c r="SWQ3" s="12" t="s">
        <v>15987</v>
      </c>
      <c r="SWR3" s="12" t="s">
        <v>15988</v>
      </c>
      <c r="SWS3" s="12" t="s">
        <v>15989</v>
      </c>
      <c r="SWT3" s="12" t="s">
        <v>15990</v>
      </c>
      <c r="SWU3" s="12" t="s">
        <v>15991</v>
      </c>
      <c r="SWV3" s="12" t="s">
        <v>15992</v>
      </c>
      <c r="SWW3" s="12" t="s">
        <v>15993</v>
      </c>
      <c r="SWX3" s="12" t="s">
        <v>15994</v>
      </c>
      <c r="SWY3" s="12" t="s">
        <v>15995</v>
      </c>
      <c r="SWZ3" s="12" t="s">
        <v>15996</v>
      </c>
      <c r="SXA3" s="12" t="s">
        <v>15997</v>
      </c>
      <c r="SXB3" s="12" t="s">
        <v>15998</v>
      </c>
      <c r="SXC3" s="12" t="s">
        <v>15999</v>
      </c>
      <c r="SXD3" s="12" t="s">
        <v>16000</v>
      </c>
      <c r="SXE3" s="12" t="s">
        <v>16001</v>
      </c>
      <c r="SXF3" s="12" t="s">
        <v>16002</v>
      </c>
      <c r="SXG3" s="12" t="s">
        <v>16003</v>
      </c>
      <c r="SXH3" s="12" t="s">
        <v>16004</v>
      </c>
      <c r="SXI3" s="12" t="s">
        <v>16005</v>
      </c>
      <c r="SXJ3" s="12" t="s">
        <v>16006</v>
      </c>
      <c r="SXK3" s="12" t="s">
        <v>16007</v>
      </c>
      <c r="SXL3" s="12" t="s">
        <v>16008</v>
      </c>
      <c r="SXM3" s="12" t="s">
        <v>16009</v>
      </c>
      <c r="SXN3" s="12" t="s">
        <v>16010</v>
      </c>
      <c r="SXO3" s="12" t="s">
        <v>16011</v>
      </c>
      <c r="SXP3" s="12" t="s">
        <v>16012</v>
      </c>
      <c r="SXQ3" s="12" t="s">
        <v>16013</v>
      </c>
      <c r="SXR3" s="12" t="s">
        <v>16014</v>
      </c>
      <c r="SXS3" s="12" t="s">
        <v>16015</v>
      </c>
      <c r="SXT3" s="12" t="s">
        <v>16016</v>
      </c>
      <c r="SXU3" s="12" t="s">
        <v>16017</v>
      </c>
      <c r="SXV3" s="12" t="s">
        <v>16018</v>
      </c>
      <c r="SXW3" s="12" t="s">
        <v>16019</v>
      </c>
      <c r="SXX3" s="12" t="s">
        <v>16020</v>
      </c>
      <c r="SXY3" s="12" t="s">
        <v>16021</v>
      </c>
      <c r="SXZ3" s="12" t="s">
        <v>16022</v>
      </c>
      <c r="SYA3" s="12" t="s">
        <v>16023</v>
      </c>
      <c r="SYB3" s="12" t="s">
        <v>16024</v>
      </c>
      <c r="SYC3" s="12" t="s">
        <v>16025</v>
      </c>
      <c r="SYD3" s="12" t="s">
        <v>16026</v>
      </c>
      <c r="SYE3" s="12" t="s">
        <v>16027</v>
      </c>
      <c r="SYF3" s="12" t="s">
        <v>16028</v>
      </c>
      <c r="SYG3" s="12" t="s">
        <v>16029</v>
      </c>
      <c r="SYH3" s="12" t="s">
        <v>16030</v>
      </c>
      <c r="SYI3" s="12" t="s">
        <v>16031</v>
      </c>
      <c r="SYJ3" s="12" t="s">
        <v>16032</v>
      </c>
      <c r="SYK3" s="12" t="s">
        <v>16033</v>
      </c>
      <c r="SYL3" s="12" t="s">
        <v>16034</v>
      </c>
      <c r="SYM3" s="12" t="s">
        <v>16035</v>
      </c>
      <c r="SYN3" s="12" t="s">
        <v>16036</v>
      </c>
      <c r="SYO3" s="12" t="s">
        <v>16037</v>
      </c>
      <c r="SYP3" s="12" t="s">
        <v>16038</v>
      </c>
      <c r="SYQ3" s="12" t="s">
        <v>16039</v>
      </c>
      <c r="SYR3" s="12" t="s">
        <v>16040</v>
      </c>
      <c r="SYS3" s="12" t="s">
        <v>16041</v>
      </c>
      <c r="SYT3" s="12" t="s">
        <v>16042</v>
      </c>
      <c r="SYU3" s="12" t="s">
        <v>16043</v>
      </c>
      <c r="SYV3" s="12" t="s">
        <v>16044</v>
      </c>
      <c r="SYW3" s="12" t="s">
        <v>16045</v>
      </c>
      <c r="SYX3" s="12" t="s">
        <v>16046</v>
      </c>
      <c r="SYY3" s="12" t="s">
        <v>16047</v>
      </c>
      <c r="SYZ3" s="12" t="s">
        <v>16048</v>
      </c>
      <c r="SZA3" s="12" t="s">
        <v>16049</v>
      </c>
      <c r="SZB3" s="12" t="s">
        <v>16050</v>
      </c>
      <c r="SZC3" s="12" t="s">
        <v>16051</v>
      </c>
      <c r="SZD3" s="12" t="s">
        <v>16052</v>
      </c>
      <c r="SZE3" s="12" t="s">
        <v>16053</v>
      </c>
      <c r="SZF3" s="12" t="s">
        <v>16054</v>
      </c>
      <c r="SZG3" s="12" t="s">
        <v>16055</v>
      </c>
      <c r="SZH3" s="12" t="s">
        <v>16056</v>
      </c>
      <c r="SZI3" s="12" t="s">
        <v>16057</v>
      </c>
      <c r="SZJ3" s="12" t="s">
        <v>16058</v>
      </c>
      <c r="SZK3" s="12" t="s">
        <v>16059</v>
      </c>
      <c r="SZL3" s="12" t="s">
        <v>16060</v>
      </c>
      <c r="SZM3" s="12" t="s">
        <v>16061</v>
      </c>
      <c r="SZN3" s="12" t="s">
        <v>16062</v>
      </c>
      <c r="SZO3" s="12" t="s">
        <v>16063</v>
      </c>
      <c r="SZP3" s="12" t="s">
        <v>16064</v>
      </c>
      <c r="SZQ3" s="12" t="s">
        <v>16065</v>
      </c>
      <c r="SZR3" s="12" t="s">
        <v>16066</v>
      </c>
      <c r="SZS3" s="12" t="s">
        <v>16067</v>
      </c>
      <c r="SZT3" s="12" t="s">
        <v>16068</v>
      </c>
      <c r="SZU3" s="12" t="s">
        <v>16069</v>
      </c>
      <c r="SZV3" s="12" t="s">
        <v>16070</v>
      </c>
      <c r="SZW3" s="12" t="s">
        <v>16071</v>
      </c>
      <c r="SZX3" s="12" t="s">
        <v>16072</v>
      </c>
      <c r="SZY3" s="12" t="s">
        <v>16073</v>
      </c>
      <c r="SZZ3" s="12" t="s">
        <v>16074</v>
      </c>
      <c r="TAA3" s="12" t="s">
        <v>16075</v>
      </c>
      <c r="TAB3" s="12" t="s">
        <v>16076</v>
      </c>
      <c r="TAC3" s="12" t="s">
        <v>16077</v>
      </c>
      <c r="TAD3" s="12" t="s">
        <v>16078</v>
      </c>
      <c r="TAE3" s="12" t="s">
        <v>16079</v>
      </c>
      <c r="TAF3" s="12" t="s">
        <v>16080</v>
      </c>
      <c r="TAG3" s="12" t="s">
        <v>16081</v>
      </c>
      <c r="TAH3" s="12" t="s">
        <v>16082</v>
      </c>
      <c r="TAI3" s="12" t="s">
        <v>16083</v>
      </c>
      <c r="TAJ3" s="12" t="s">
        <v>16084</v>
      </c>
      <c r="TAK3" s="12" t="s">
        <v>16085</v>
      </c>
      <c r="TAL3" s="12" t="s">
        <v>16086</v>
      </c>
      <c r="TAM3" s="12" t="s">
        <v>16087</v>
      </c>
      <c r="TAN3" s="12" t="s">
        <v>16088</v>
      </c>
      <c r="TAO3" s="12" t="s">
        <v>16089</v>
      </c>
      <c r="TAP3" s="12" t="s">
        <v>16090</v>
      </c>
      <c r="TAQ3" s="12" t="s">
        <v>16091</v>
      </c>
      <c r="TAR3" s="12" t="s">
        <v>16092</v>
      </c>
      <c r="TAS3" s="12" t="s">
        <v>16093</v>
      </c>
      <c r="TAT3" s="12" t="s">
        <v>16094</v>
      </c>
      <c r="TAU3" s="12" t="s">
        <v>16095</v>
      </c>
      <c r="TAV3" s="12" t="s">
        <v>16096</v>
      </c>
      <c r="TAW3" s="12" t="s">
        <v>16097</v>
      </c>
      <c r="TAX3" s="12" t="s">
        <v>16098</v>
      </c>
      <c r="TAY3" s="12" t="s">
        <v>16099</v>
      </c>
      <c r="TAZ3" s="12" t="s">
        <v>16100</v>
      </c>
      <c r="TBA3" s="12" t="s">
        <v>16101</v>
      </c>
      <c r="TBB3" s="12" t="s">
        <v>16102</v>
      </c>
      <c r="TBC3" s="12" t="s">
        <v>16103</v>
      </c>
      <c r="TBD3" s="12" t="s">
        <v>16104</v>
      </c>
      <c r="TBE3" s="12" t="s">
        <v>16105</v>
      </c>
      <c r="TBF3" s="12" t="s">
        <v>16106</v>
      </c>
      <c r="TBG3" s="12" t="s">
        <v>16107</v>
      </c>
      <c r="TBH3" s="12" t="s">
        <v>16108</v>
      </c>
      <c r="TBI3" s="12" t="s">
        <v>16109</v>
      </c>
      <c r="TBJ3" s="12" t="s">
        <v>16110</v>
      </c>
      <c r="TBK3" s="12" t="s">
        <v>16111</v>
      </c>
      <c r="TBL3" s="12" t="s">
        <v>16112</v>
      </c>
      <c r="TBM3" s="12" t="s">
        <v>16113</v>
      </c>
      <c r="TBN3" s="12" t="s">
        <v>16114</v>
      </c>
      <c r="TBO3" s="12" t="s">
        <v>16115</v>
      </c>
      <c r="TBP3" s="12" t="s">
        <v>16116</v>
      </c>
      <c r="TBQ3" s="12" t="s">
        <v>16117</v>
      </c>
      <c r="TBR3" s="12" t="s">
        <v>16118</v>
      </c>
      <c r="TBS3" s="12" t="s">
        <v>16119</v>
      </c>
      <c r="TBT3" s="12" t="s">
        <v>16120</v>
      </c>
      <c r="TBU3" s="12" t="s">
        <v>16121</v>
      </c>
      <c r="TBV3" s="12" t="s">
        <v>16122</v>
      </c>
      <c r="TBW3" s="12" t="s">
        <v>16123</v>
      </c>
      <c r="TBX3" s="12" t="s">
        <v>16124</v>
      </c>
      <c r="TBY3" s="12" t="s">
        <v>16125</v>
      </c>
      <c r="TBZ3" s="12" t="s">
        <v>16126</v>
      </c>
      <c r="TCA3" s="12" t="s">
        <v>16127</v>
      </c>
      <c r="TCB3" s="12" t="s">
        <v>16128</v>
      </c>
      <c r="TCC3" s="12" t="s">
        <v>16129</v>
      </c>
      <c r="TCD3" s="12" t="s">
        <v>16130</v>
      </c>
      <c r="TCE3" s="12" t="s">
        <v>16131</v>
      </c>
      <c r="TCF3" s="12" t="s">
        <v>16132</v>
      </c>
      <c r="TCG3" s="12" t="s">
        <v>16133</v>
      </c>
      <c r="TCH3" s="12" t="s">
        <v>16134</v>
      </c>
      <c r="TCI3" s="12" t="s">
        <v>16135</v>
      </c>
      <c r="TCJ3" s="12" t="s">
        <v>16136</v>
      </c>
      <c r="TCK3" s="12" t="s">
        <v>16137</v>
      </c>
      <c r="TCL3" s="12" t="s">
        <v>16138</v>
      </c>
      <c r="TCM3" s="12" t="s">
        <v>16139</v>
      </c>
      <c r="TCN3" s="12" t="s">
        <v>16140</v>
      </c>
      <c r="TCO3" s="12" t="s">
        <v>16141</v>
      </c>
      <c r="TCP3" s="12" t="s">
        <v>16142</v>
      </c>
      <c r="TCQ3" s="12" t="s">
        <v>16143</v>
      </c>
      <c r="TCR3" s="12" t="s">
        <v>16144</v>
      </c>
      <c r="TCS3" s="12" t="s">
        <v>16145</v>
      </c>
      <c r="TCT3" s="12" t="s">
        <v>16146</v>
      </c>
      <c r="TCU3" s="12" t="s">
        <v>16147</v>
      </c>
      <c r="TCV3" s="12" t="s">
        <v>16148</v>
      </c>
      <c r="TCW3" s="12" t="s">
        <v>16149</v>
      </c>
      <c r="TCX3" s="12" t="s">
        <v>16150</v>
      </c>
      <c r="TCY3" s="12" t="s">
        <v>16151</v>
      </c>
      <c r="TCZ3" s="12" t="s">
        <v>16152</v>
      </c>
      <c r="TDA3" s="12" t="s">
        <v>16153</v>
      </c>
      <c r="TDB3" s="12" t="s">
        <v>16154</v>
      </c>
      <c r="TDC3" s="12" t="s">
        <v>16155</v>
      </c>
      <c r="TDD3" s="12" t="s">
        <v>16156</v>
      </c>
      <c r="TDE3" s="12" t="s">
        <v>16157</v>
      </c>
      <c r="TDF3" s="12" t="s">
        <v>16158</v>
      </c>
      <c r="TDG3" s="12" t="s">
        <v>16159</v>
      </c>
      <c r="TDH3" s="12" t="s">
        <v>16160</v>
      </c>
      <c r="TDI3" s="12" t="s">
        <v>16161</v>
      </c>
      <c r="TDJ3" s="12" t="s">
        <v>16162</v>
      </c>
      <c r="TDK3" s="12" t="s">
        <v>16163</v>
      </c>
      <c r="TDL3" s="12" t="s">
        <v>16164</v>
      </c>
      <c r="TDM3" s="12" t="s">
        <v>16165</v>
      </c>
      <c r="TDN3" s="12" t="s">
        <v>16166</v>
      </c>
      <c r="TDO3" s="12" t="s">
        <v>16167</v>
      </c>
      <c r="TDP3" s="12" t="s">
        <v>16168</v>
      </c>
      <c r="TDQ3" s="12" t="s">
        <v>16169</v>
      </c>
      <c r="TDR3" s="12" t="s">
        <v>16170</v>
      </c>
      <c r="TDS3" s="12" t="s">
        <v>16171</v>
      </c>
      <c r="TDT3" s="12" t="s">
        <v>16172</v>
      </c>
      <c r="TDU3" s="12" t="s">
        <v>16173</v>
      </c>
      <c r="TDV3" s="12" t="s">
        <v>16174</v>
      </c>
      <c r="TDW3" s="12" t="s">
        <v>16175</v>
      </c>
      <c r="TDX3" s="12" t="s">
        <v>16176</v>
      </c>
      <c r="TDY3" s="12" t="s">
        <v>16177</v>
      </c>
      <c r="TDZ3" s="12" t="s">
        <v>16178</v>
      </c>
      <c r="TEA3" s="12" t="s">
        <v>16179</v>
      </c>
      <c r="TEB3" s="12" t="s">
        <v>16180</v>
      </c>
      <c r="TEC3" s="12" t="s">
        <v>16181</v>
      </c>
      <c r="TED3" s="12" t="s">
        <v>16182</v>
      </c>
      <c r="TEE3" s="12" t="s">
        <v>16183</v>
      </c>
      <c r="TEF3" s="12" t="s">
        <v>16184</v>
      </c>
      <c r="TEG3" s="12" t="s">
        <v>16185</v>
      </c>
      <c r="TEH3" s="12" t="s">
        <v>16186</v>
      </c>
      <c r="TEI3" s="12" t="s">
        <v>16187</v>
      </c>
      <c r="TEJ3" s="12" t="s">
        <v>16188</v>
      </c>
      <c r="TEK3" s="12" t="s">
        <v>16189</v>
      </c>
      <c r="TEL3" s="12" t="s">
        <v>16190</v>
      </c>
      <c r="TEM3" s="12" t="s">
        <v>16191</v>
      </c>
      <c r="TEN3" s="12" t="s">
        <v>16192</v>
      </c>
      <c r="TEO3" s="12" t="s">
        <v>16193</v>
      </c>
      <c r="TEP3" s="12" t="s">
        <v>16194</v>
      </c>
      <c r="TEQ3" s="12" t="s">
        <v>16195</v>
      </c>
      <c r="TER3" s="12" t="s">
        <v>16196</v>
      </c>
      <c r="TES3" s="12" t="s">
        <v>16197</v>
      </c>
      <c r="TET3" s="12" t="s">
        <v>16198</v>
      </c>
      <c r="TEU3" s="12" t="s">
        <v>16199</v>
      </c>
      <c r="TEV3" s="12" t="s">
        <v>16200</v>
      </c>
      <c r="TEW3" s="12" t="s">
        <v>16201</v>
      </c>
      <c r="TEX3" s="12" t="s">
        <v>16202</v>
      </c>
      <c r="TEY3" s="12" t="s">
        <v>16203</v>
      </c>
      <c r="TEZ3" s="12" t="s">
        <v>16204</v>
      </c>
      <c r="TFA3" s="12" t="s">
        <v>16205</v>
      </c>
      <c r="TFB3" s="12" t="s">
        <v>16206</v>
      </c>
      <c r="TFC3" s="12" t="s">
        <v>16207</v>
      </c>
      <c r="TFD3" s="12" t="s">
        <v>16208</v>
      </c>
      <c r="TFE3" s="12" t="s">
        <v>16209</v>
      </c>
      <c r="TFF3" s="12" t="s">
        <v>16210</v>
      </c>
      <c r="TFG3" s="12" t="s">
        <v>16211</v>
      </c>
      <c r="TFH3" s="12" t="s">
        <v>16212</v>
      </c>
      <c r="TFI3" s="12" t="s">
        <v>16213</v>
      </c>
      <c r="TFJ3" s="12" t="s">
        <v>16214</v>
      </c>
      <c r="TFK3" s="12" t="s">
        <v>16215</v>
      </c>
      <c r="TFL3" s="12" t="s">
        <v>16216</v>
      </c>
      <c r="TFM3" s="12" t="s">
        <v>16217</v>
      </c>
      <c r="TFN3" s="12" t="s">
        <v>16218</v>
      </c>
      <c r="TFO3" s="12" t="s">
        <v>16219</v>
      </c>
      <c r="TFP3" s="12" t="s">
        <v>16220</v>
      </c>
      <c r="TFQ3" s="12" t="s">
        <v>16221</v>
      </c>
      <c r="TFR3" s="12" t="s">
        <v>16222</v>
      </c>
      <c r="TFS3" s="12" t="s">
        <v>16223</v>
      </c>
      <c r="TFT3" s="12" t="s">
        <v>16224</v>
      </c>
      <c r="TFU3" s="12" t="s">
        <v>16225</v>
      </c>
      <c r="TFV3" s="12" t="s">
        <v>16226</v>
      </c>
      <c r="TFW3" s="12" t="s">
        <v>16227</v>
      </c>
      <c r="TFX3" s="12" t="s">
        <v>16228</v>
      </c>
      <c r="TFY3" s="12" t="s">
        <v>16229</v>
      </c>
      <c r="TFZ3" s="12" t="s">
        <v>16230</v>
      </c>
      <c r="TGA3" s="12" t="s">
        <v>16231</v>
      </c>
      <c r="TGB3" s="12" t="s">
        <v>16232</v>
      </c>
      <c r="TGC3" s="12" t="s">
        <v>16233</v>
      </c>
      <c r="TGD3" s="12" t="s">
        <v>16234</v>
      </c>
      <c r="TGE3" s="12" t="s">
        <v>16235</v>
      </c>
      <c r="TGF3" s="12" t="s">
        <v>16236</v>
      </c>
      <c r="TGG3" s="12" t="s">
        <v>16237</v>
      </c>
      <c r="TGH3" s="12" t="s">
        <v>16238</v>
      </c>
      <c r="TGI3" s="12" t="s">
        <v>16239</v>
      </c>
      <c r="TGJ3" s="12" t="s">
        <v>16240</v>
      </c>
      <c r="TGK3" s="12" t="s">
        <v>16241</v>
      </c>
      <c r="TGL3" s="12" t="s">
        <v>16242</v>
      </c>
      <c r="TGM3" s="12" t="s">
        <v>16243</v>
      </c>
      <c r="TGN3" s="12" t="s">
        <v>16244</v>
      </c>
      <c r="TGO3" s="12" t="s">
        <v>16245</v>
      </c>
      <c r="TGP3" s="12" t="s">
        <v>16246</v>
      </c>
      <c r="TGQ3" s="12" t="s">
        <v>16247</v>
      </c>
      <c r="TGR3" s="12" t="s">
        <v>16248</v>
      </c>
      <c r="TGS3" s="12" t="s">
        <v>16249</v>
      </c>
      <c r="TGT3" s="12" t="s">
        <v>16250</v>
      </c>
      <c r="TGU3" s="12" t="s">
        <v>16251</v>
      </c>
      <c r="TGV3" s="12" t="s">
        <v>16252</v>
      </c>
      <c r="TGW3" s="12" t="s">
        <v>16253</v>
      </c>
      <c r="TGX3" s="12" t="s">
        <v>16254</v>
      </c>
      <c r="TGY3" s="12" t="s">
        <v>16255</v>
      </c>
      <c r="TGZ3" s="12" t="s">
        <v>16256</v>
      </c>
      <c r="THA3" s="12" t="s">
        <v>16257</v>
      </c>
      <c r="THB3" s="12" t="s">
        <v>16258</v>
      </c>
      <c r="THC3" s="12" t="s">
        <v>16259</v>
      </c>
      <c r="THD3" s="12" t="s">
        <v>16260</v>
      </c>
      <c r="THE3" s="12" t="s">
        <v>16261</v>
      </c>
      <c r="THF3" s="12" t="s">
        <v>16262</v>
      </c>
      <c r="THG3" s="12" t="s">
        <v>16263</v>
      </c>
      <c r="THH3" s="12" t="s">
        <v>16264</v>
      </c>
      <c r="THI3" s="12" t="s">
        <v>16265</v>
      </c>
      <c r="THJ3" s="12" t="s">
        <v>16266</v>
      </c>
      <c r="THK3" s="12" t="s">
        <v>16267</v>
      </c>
      <c r="THL3" s="12" t="s">
        <v>16268</v>
      </c>
      <c r="THM3" s="12" t="s">
        <v>16269</v>
      </c>
      <c r="THN3" s="12" t="s">
        <v>16270</v>
      </c>
      <c r="THO3" s="12" t="s">
        <v>16271</v>
      </c>
      <c r="THP3" s="12" t="s">
        <v>16272</v>
      </c>
      <c r="THQ3" s="12" t="s">
        <v>16273</v>
      </c>
      <c r="THR3" s="12" t="s">
        <v>16274</v>
      </c>
      <c r="THS3" s="12" t="s">
        <v>16275</v>
      </c>
      <c r="THT3" s="12" t="s">
        <v>16276</v>
      </c>
      <c r="THU3" s="12" t="s">
        <v>16277</v>
      </c>
      <c r="THV3" s="12" t="s">
        <v>16278</v>
      </c>
      <c r="THW3" s="12" t="s">
        <v>16279</v>
      </c>
      <c r="THX3" s="12" t="s">
        <v>16280</v>
      </c>
      <c r="THY3" s="12" t="s">
        <v>16281</v>
      </c>
      <c r="THZ3" s="12" t="s">
        <v>16282</v>
      </c>
      <c r="TIA3" s="12" t="s">
        <v>16283</v>
      </c>
      <c r="TIB3" s="12" t="s">
        <v>16284</v>
      </c>
      <c r="TIC3" s="12" t="s">
        <v>16285</v>
      </c>
      <c r="TID3" s="12" t="s">
        <v>16286</v>
      </c>
      <c r="TIE3" s="12" t="s">
        <v>16287</v>
      </c>
      <c r="TIF3" s="12" t="s">
        <v>16288</v>
      </c>
      <c r="TIG3" s="12" t="s">
        <v>16289</v>
      </c>
      <c r="TIH3" s="12" t="s">
        <v>16290</v>
      </c>
      <c r="TII3" s="12" t="s">
        <v>16291</v>
      </c>
      <c r="TIJ3" s="12" t="s">
        <v>16292</v>
      </c>
      <c r="TIK3" s="12" t="s">
        <v>16293</v>
      </c>
      <c r="TIL3" s="12" t="s">
        <v>16294</v>
      </c>
      <c r="TIM3" s="12" t="s">
        <v>16295</v>
      </c>
      <c r="TIN3" s="12" t="s">
        <v>16296</v>
      </c>
      <c r="TIO3" s="12" t="s">
        <v>16297</v>
      </c>
      <c r="TIP3" s="12" t="s">
        <v>16298</v>
      </c>
      <c r="TIQ3" s="12" t="s">
        <v>16299</v>
      </c>
      <c r="TIR3" s="12" t="s">
        <v>16300</v>
      </c>
      <c r="TIS3" s="12" t="s">
        <v>16301</v>
      </c>
      <c r="TIT3" s="12" t="s">
        <v>16302</v>
      </c>
      <c r="TIU3" s="12" t="s">
        <v>16303</v>
      </c>
      <c r="TIV3" s="12" t="s">
        <v>16304</v>
      </c>
      <c r="TIW3" s="12" t="s">
        <v>16305</v>
      </c>
      <c r="TIX3" s="12" t="s">
        <v>16306</v>
      </c>
      <c r="TIY3" s="12" t="s">
        <v>16307</v>
      </c>
      <c r="TIZ3" s="12" t="s">
        <v>16308</v>
      </c>
      <c r="TJA3" s="12" t="s">
        <v>16309</v>
      </c>
      <c r="TJB3" s="12" t="s">
        <v>16310</v>
      </c>
      <c r="TJC3" s="12" t="s">
        <v>16311</v>
      </c>
      <c r="TJD3" s="12" t="s">
        <v>16312</v>
      </c>
      <c r="TJE3" s="12" t="s">
        <v>16313</v>
      </c>
      <c r="TJF3" s="12" t="s">
        <v>16314</v>
      </c>
      <c r="TJG3" s="12" t="s">
        <v>16315</v>
      </c>
      <c r="TJH3" s="12" t="s">
        <v>16316</v>
      </c>
      <c r="TJI3" s="12" t="s">
        <v>16317</v>
      </c>
      <c r="TJJ3" s="12" t="s">
        <v>16318</v>
      </c>
      <c r="TJK3" s="12" t="s">
        <v>16319</v>
      </c>
      <c r="TJL3" s="12" t="s">
        <v>16320</v>
      </c>
      <c r="TJM3" s="12" t="s">
        <v>16321</v>
      </c>
      <c r="TJN3" s="12" t="s">
        <v>16322</v>
      </c>
      <c r="TJO3" s="12" t="s">
        <v>16323</v>
      </c>
      <c r="TJP3" s="12" t="s">
        <v>16324</v>
      </c>
      <c r="TJQ3" s="12" t="s">
        <v>16325</v>
      </c>
      <c r="TJR3" s="12" t="s">
        <v>16326</v>
      </c>
      <c r="TJS3" s="12" t="s">
        <v>16327</v>
      </c>
      <c r="TJT3" s="12" t="s">
        <v>16328</v>
      </c>
      <c r="TJU3" s="12" t="s">
        <v>16329</v>
      </c>
      <c r="TJV3" s="12" t="s">
        <v>16330</v>
      </c>
      <c r="TJW3" s="12" t="s">
        <v>16331</v>
      </c>
      <c r="TJX3" s="12" t="s">
        <v>16332</v>
      </c>
      <c r="TJY3" s="12" t="s">
        <v>16333</v>
      </c>
      <c r="TJZ3" s="12" t="s">
        <v>16334</v>
      </c>
      <c r="TKA3" s="12" t="s">
        <v>16335</v>
      </c>
      <c r="TKB3" s="12" t="s">
        <v>16336</v>
      </c>
      <c r="TKC3" s="12" t="s">
        <v>16337</v>
      </c>
      <c r="TKD3" s="12" t="s">
        <v>16338</v>
      </c>
      <c r="TKE3" s="12" t="s">
        <v>16339</v>
      </c>
      <c r="TKF3" s="12" t="s">
        <v>16340</v>
      </c>
      <c r="TKG3" s="12" t="s">
        <v>16341</v>
      </c>
      <c r="TKH3" s="12" t="s">
        <v>16342</v>
      </c>
      <c r="TKI3" s="12" t="s">
        <v>16343</v>
      </c>
      <c r="TKJ3" s="12" t="s">
        <v>16344</v>
      </c>
      <c r="TKK3" s="12" t="s">
        <v>16345</v>
      </c>
      <c r="TKL3" s="12" t="s">
        <v>16346</v>
      </c>
      <c r="TKM3" s="12" t="s">
        <v>16347</v>
      </c>
      <c r="TKN3" s="12" t="s">
        <v>16348</v>
      </c>
      <c r="TKO3" s="12" t="s">
        <v>16349</v>
      </c>
      <c r="TKP3" s="12" t="s">
        <v>16350</v>
      </c>
      <c r="TKQ3" s="12" t="s">
        <v>16351</v>
      </c>
      <c r="TKR3" s="12" t="s">
        <v>16352</v>
      </c>
      <c r="TKS3" s="12" t="s">
        <v>16353</v>
      </c>
      <c r="TKT3" s="12" t="s">
        <v>16354</v>
      </c>
      <c r="TKU3" s="12" t="s">
        <v>16355</v>
      </c>
      <c r="TKV3" s="12" t="s">
        <v>16356</v>
      </c>
      <c r="TKW3" s="12" t="s">
        <v>16357</v>
      </c>
      <c r="TKX3" s="12" t="s">
        <v>16358</v>
      </c>
      <c r="TKY3" s="12" t="s">
        <v>16359</v>
      </c>
      <c r="TKZ3" s="12" t="s">
        <v>16360</v>
      </c>
      <c r="TLA3" s="12" t="s">
        <v>16361</v>
      </c>
      <c r="TLB3" s="12" t="s">
        <v>16362</v>
      </c>
      <c r="TLC3" s="12" t="s">
        <v>16363</v>
      </c>
      <c r="TLD3" s="12" t="s">
        <v>16364</v>
      </c>
      <c r="TLE3" s="12" t="s">
        <v>16365</v>
      </c>
      <c r="TLF3" s="12" t="s">
        <v>16366</v>
      </c>
      <c r="TLG3" s="12" t="s">
        <v>16367</v>
      </c>
      <c r="TLH3" s="12" t="s">
        <v>16368</v>
      </c>
      <c r="TLI3" s="12" t="s">
        <v>16369</v>
      </c>
      <c r="TLJ3" s="12" t="s">
        <v>16370</v>
      </c>
      <c r="TLK3" s="12" t="s">
        <v>16371</v>
      </c>
      <c r="TLL3" s="12" t="s">
        <v>16372</v>
      </c>
      <c r="TLM3" s="12" t="s">
        <v>16373</v>
      </c>
      <c r="TLN3" s="12" t="s">
        <v>16374</v>
      </c>
      <c r="TLO3" s="12" t="s">
        <v>16375</v>
      </c>
      <c r="TLP3" s="12" t="s">
        <v>16376</v>
      </c>
      <c r="TLQ3" s="12" t="s">
        <v>16377</v>
      </c>
      <c r="TLR3" s="12" t="s">
        <v>16378</v>
      </c>
      <c r="TLS3" s="12" t="s">
        <v>16379</v>
      </c>
      <c r="TLT3" s="12" t="s">
        <v>16380</v>
      </c>
      <c r="TLU3" s="12" t="s">
        <v>16381</v>
      </c>
      <c r="TLV3" s="12" t="s">
        <v>16382</v>
      </c>
      <c r="TLW3" s="12" t="s">
        <v>16383</v>
      </c>
      <c r="TLX3" s="12" t="s">
        <v>16384</v>
      </c>
      <c r="TLY3" s="12" t="s">
        <v>16385</v>
      </c>
      <c r="TLZ3" s="12" t="s">
        <v>16386</v>
      </c>
      <c r="TMA3" s="12" t="s">
        <v>16387</v>
      </c>
      <c r="TMB3" s="12" t="s">
        <v>16388</v>
      </c>
      <c r="TMC3" s="12" t="s">
        <v>16389</v>
      </c>
      <c r="TMD3" s="12" t="s">
        <v>16390</v>
      </c>
      <c r="TME3" s="12" t="s">
        <v>16391</v>
      </c>
      <c r="TMF3" s="12" t="s">
        <v>16392</v>
      </c>
      <c r="TMG3" s="12" t="s">
        <v>16393</v>
      </c>
      <c r="TMH3" s="12" t="s">
        <v>16394</v>
      </c>
      <c r="TMI3" s="12" t="s">
        <v>16395</v>
      </c>
      <c r="TMJ3" s="12" t="s">
        <v>16396</v>
      </c>
      <c r="TMK3" s="12" t="s">
        <v>16397</v>
      </c>
      <c r="TML3" s="12" t="s">
        <v>16398</v>
      </c>
      <c r="TMM3" s="12" t="s">
        <v>16399</v>
      </c>
      <c r="TMN3" s="12" t="s">
        <v>16400</v>
      </c>
      <c r="TMO3" s="12" t="s">
        <v>16401</v>
      </c>
      <c r="TMP3" s="12" t="s">
        <v>16402</v>
      </c>
      <c r="TMQ3" s="12" t="s">
        <v>16403</v>
      </c>
      <c r="TMR3" s="12" t="s">
        <v>16404</v>
      </c>
      <c r="TMS3" s="12" t="s">
        <v>16405</v>
      </c>
      <c r="TMT3" s="12" t="s">
        <v>16406</v>
      </c>
      <c r="TMU3" s="12" t="s">
        <v>16407</v>
      </c>
      <c r="TMV3" s="12" t="s">
        <v>16408</v>
      </c>
      <c r="TMW3" s="12" t="s">
        <v>16409</v>
      </c>
      <c r="TMX3" s="12" t="s">
        <v>16410</v>
      </c>
      <c r="TMY3" s="12" t="s">
        <v>16411</v>
      </c>
      <c r="TMZ3" s="12" t="s">
        <v>16412</v>
      </c>
      <c r="TNA3" s="12" t="s">
        <v>16413</v>
      </c>
      <c r="TNB3" s="12" t="s">
        <v>16414</v>
      </c>
      <c r="TNC3" s="12" t="s">
        <v>16415</v>
      </c>
      <c r="TND3" s="12" t="s">
        <v>16416</v>
      </c>
      <c r="TNE3" s="12" t="s">
        <v>16417</v>
      </c>
      <c r="TNF3" s="12" t="s">
        <v>16418</v>
      </c>
      <c r="TNG3" s="12" t="s">
        <v>16419</v>
      </c>
      <c r="TNH3" s="12" t="s">
        <v>16420</v>
      </c>
      <c r="TNI3" s="12" t="s">
        <v>16421</v>
      </c>
      <c r="TNJ3" s="12" t="s">
        <v>16422</v>
      </c>
      <c r="TNK3" s="12" t="s">
        <v>16423</v>
      </c>
      <c r="TNL3" s="12" t="s">
        <v>16424</v>
      </c>
      <c r="TNM3" s="12" t="s">
        <v>16425</v>
      </c>
      <c r="TNN3" s="12" t="s">
        <v>16426</v>
      </c>
      <c r="TNO3" s="12" t="s">
        <v>16427</v>
      </c>
      <c r="TNP3" s="12" t="s">
        <v>16428</v>
      </c>
      <c r="TNQ3" s="12" t="s">
        <v>16429</v>
      </c>
      <c r="TNR3" s="12" t="s">
        <v>16430</v>
      </c>
      <c r="TNS3" s="12" t="s">
        <v>16431</v>
      </c>
      <c r="TNT3" s="12" t="s">
        <v>16432</v>
      </c>
      <c r="TNU3" s="12" t="s">
        <v>16433</v>
      </c>
      <c r="TNV3" s="12" t="s">
        <v>16434</v>
      </c>
      <c r="TNW3" s="12" t="s">
        <v>16435</v>
      </c>
      <c r="TNX3" s="12" t="s">
        <v>16436</v>
      </c>
      <c r="TNY3" s="12" t="s">
        <v>16437</v>
      </c>
      <c r="TNZ3" s="12" t="s">
        <v>16438</v>
      </c>
      <c r="TOA3" s="12" t="s">
        <v>16439</v>
      </c>
      <c r="TOB3" s="12" t="s">
        <v>16440</v>
      </c>
      <c r="TOC3" s="12" t="s">
        <v>16441</v>
      </c>
      <c r="TOD3" s="12" t="s">
        <v>16442</v>
      </c>
      <c r="TOE3" s="12" t="s">
        <v>16443</v>
      </c>
      <c r="TOF3" s="12" t="s">
        <v>16444</v>
      </c>
      <c r="TOG3" s="12" t="s">
        <v>16445</v>
      </c>
      <c r="TOH3" s="12" t="s">
        <v>16446</v>
      </c>
      <c r="TOI3" s="12" t="s">
        <v>16447</v>
      </c>
      <c r="TOJ3" s="12" t="s">
        <v>16448</v>
      </c>
      <c r="TOK3" s="12" t="s">
        <v>16449</v>
      </c>
      <c r="TOL3" s="12" t="s">
        <v>16450</v>
      </c>
      <c r="TOM3" s="12" t="s">
        <v>16451</v>
      </c>
      <c r="TON3" s="12" t="s">
        <v>16452</v>
      </c>
      <c r="TOO3" s="12" t="s">
        <v>16453</v>
      </c>
      <c r="TOP3" s="12" t="s">
        <v>16454</v>
      </c>
      <c r="TOQ3" s="12" t="s">
        <v>16455</v>
      </c>
      <c r="TOR3" s="12" t="s">
        <v>16456</v>
      </c>
      <c r="TOS3" s="12" t="s">
        <v>16457</v>
      </c>
      <c r="TOT3" s="12" t="s">
        <v>16458</v>
      </c>
      <c r="TOU3" s="12" t="s">
        <v>16459</v>
      </c>
      <c r="TOV3" s="12" t="s">
        <v>16460</v>
      </c>
      <c r="TOW3" s="12" t="s">
        <v>16461</v>
      </c>
      <c r="TOX3" s="12" t="s">
        <v>16462</v>
      </c>
      <c r="TOY3" s="12" t="s">
        <v>16463</v>
      </c>
      <c r="TOZ3" s="12" t="s">
        <v>16464</v>
      </c>
      <c r="TPA3" s="12" t="s">
        <v>16465</v>
      </c>
      <c r="TPB3" s="12" t="s">
        <v>16466</v>
      </c>
      <c r="TPC3" s="12" t="s">
        <v>16467</v>
      </c>
      <c r="TPD3" s="12" t="s">
        <v>16468</v>
      </c>
      <c r="TPE3" s="12" t="s">
        <v>16469</v>
      </c>
      <c r="TPF3" s="12" t="s">
        <v>16470</v>
      </c>
      <c r="TPG3" s="12" t="s">
        <v>16471</v>
      </c>
      <c r="TPH3" s="12" t="s">
        <v>16472</v>
      </c>
      <c r="TPI3" s="12" t="s">
        <v>16473</v>
      </c>
      <c r="TPJ3" s="12" t="s">
        <v>16474</v>
      </c>
      <c r="TPK3" s="12" t="s">
        <v>16475</v>
      </c>
      <c r="TPL3" s="12" t="s">
        <v>16476</v>
      </c>
      <c r="TPM3" s="12" t="s">
        <v>16477</v>
      </c>
      <c r="TPN3" s="12" t="s">
        <v>16478</v>
      </c>
      <c r="TPO3" s="12" t="s">
        <v>16479</v>
      </c>
      <c r="TPP3" s="12" t="s">
        <v>16480</v>
      </c>
      <c r="TPQ3" s="12" t="s">
        <v>16481</v>
      </c>
      <c r="TPR3" s="12" t="s">
        <v>16482</v>
      </c>
      <c r="TPS3" s="12" t="s">
        <v>16483</v>
      </c>
      <c r="TPT3" s="12" t="s">
        <v>16484</v>
      </c>
      <c r="TPU3" s="12" t="s">
        <v>16485</v>
      </c>
      <c r="TPV3" s="12" t="s">
        <v>16486</v>
      </c>
      <c r="TPW3" s="12" t="s">
        <v>16487</v>
      </c>
      <c r="TPX3" s="12" t="s">
        <v>16488</v>
      </c>
      <c r="TPY3" s="12" t="s">
        <v>16489</v>
      </c>
      <c r="TPZ3" s="12" t="s">
        <v>16490</v>
      </c>
      <c r="TQA3" s="12" t="s">
        <v>16491</v>
      </c>
      <c r="TQB3" s="12" t="s">
        <v>16492</v>
      </c>
      <c r="TQC3" s="12" t="s">
        <v>16493</v>
      </c>
      <c r="TQD3" s="12" t="s">
        <v>16494</v>
      </c>
      <c r="TQE3" s="12" t="s">
        <v>16495</v>
      </c>
      <c r="TQF3" s="12" t="s">
        <v>16496</v>
      </c>
      <c r="TQG3" s="12" t="s">
        <v>16497</v>
      </c>
      <c r="TQH3" s="12" t="s">
        <v>16498</v>
      </c>
      <c r="TQI3" s="12" t="s">
        <v>16499</v>
      </c>
      <c r="TQJ3" s="12" t="s">
        <v>16500</v>
      </c>
      <c r="TQK3" s="12" t="s">
        <v>16501</v>
      </c>
      <c r="TQL3" s="12" t="s">
        <v>16502</v>
      </c>
      <c r="TQM3" s="12" t="s">
        <v>16503</v>
      </c>
      <c r="TQN3" s="12" t="s">
        <v>16504</v>
      </c>
      <c r="TQO3" s="12" t="s">
        <v>16505</v>
      </c>
      <c r="TQP3" s="12" t="s">
        <v>16506</v>
      </c>
      <c r="TQQ3" s="12" t="s">
        <v>16507</v>
      </c>
      <c r="TQR3" s="12" t="s">
        <v>16508</v>
      </c>
      <c r="TQS3" s="12" t="s">
        <v>16509</v>
      </c>
      <c r="TQT3" s="12" t="s">
        <v>16510</v>
      </c>
      <c r="TQU3" s="12" t="s">
        <v>16511</v>
      </c>
      <c r="TQV3" s="12" t="s">
        <v>16512</v>
      </c>
      <c r="TQW3" s="12" t="s">
        <v>16513</v>
      </c>
      <c r="TQX3" s="12" t="s">
        <v>16514</v>
      </c>
      <c r="TQY3" s="12" t="s">
        <v>16515</v>
      </c>
      <c r="TQZ3" s="12" t="s">
        <v>16516</v>
      </c>
      <c r="TRA3" s="12" t="s">
        <v>16517</v>
      </c>
      <c r="TRB3" s="12" t="s">
        <v>16518</v>
      </c>
      <c r="TRC3" s="12" t="s">
        <v>16519</v>
      </c>
      <c r="TRD3" s="12" t="s">
        <v>16520</v>
      </c>
      <c r="TRE3" s="12" t="s">
        <v>16521</v>
      </c>
      <c r="TRF3" s="12" t="s">
        <v>16522</v>
      </c>
      <c r="TRG3" s="12" t="s">
        <v>16523</v>
      </c>
      <c r="TRH3" s="12" t="s">
        <v>16524</v>
      </c>
      <c r="TRI3" s="12" t="s">
        <v>16525</v>
      </c>
      <c r="TRJ3" s="12" t="s">
        <v>16526</v>
      </c>
      <c r="TRK3" s="12" t="s">
        <v>16527</v>
      </c>
      <c r="TRL3" s="12" t="s">
        <v>16528</v>
      </c>
      <c r="TRM3" s="12" t="s">
        <v>16529</v>
      </c>
      <c r="TRN3" s="12" t="s">
        <v>16530</v>
      </c>
      <c r="TRO3" s="12" t="s">
        <v>16531</v>
      </c>
      <c r="TRP3" s="12" t="s">
        <v>16532</v>
      </c>
      <c r="TRQ3" s="12" t="s">
        <v>16533</v>
      </c>
      <c r="TRR3" s="12" t="s">
        <v>16534</v>
      </c>
      <c r="TRS3" s="12" t="s">
        <v>16535</v>
      </c>
      <c r="TRT3" s="12" t="s">
        <v>16536</v>
      </c>
      <c r="TRU3" s="12" t="s">
        <v>16537</v>
      </c>
      <c r="TRV3" s="12" t="s">
        <v>16538</v>
      </c>
      <c r="TRW3" s="12" t="s">
        <v>16539</v>
      </c>
      <c r="TRX3" s="12" t="s">
        <v>16540</v>
      </c>
      <c r="TRY3" s="12" t="s">
        <v>16541</v>
      </c>
      <c r="TRZ3" s="12" t="s">
        <v>16542</v>
      </c>
      <c r="TSA3" s="12" t="s">
        <v>16543</v>
      </c>
      <c r="TSB3" s="12" t="s">
        <v>16544</v>
      </c>
      <c r="TSC3" s="12" t="s">
        <v>16545</v>
      </c>
      <c r="TSD3" s="12" t="s">
        <v>16546</v>
      </c>
      <c r="TSE3" s="12" t="s">
        <v>16547</v>
      </c>
      <c r="TSF3" s="12" t="s">
        <v>16548</v>
      </c>
      <c r="TSG3" s="12" t="s">
        <v>16549</v>
      </c>
      <c r="TSH3" s="12" t="s">
        <v>16550</v>
      </c>
      <c r="TSI3" s="12" t="s">
        <v>16551</v>
      </c>
      <c r="TSJ3" s="12" t="s">
        <v>16552</v>
      </c>
      <c r="TSK3" s="12" t="s">
        <v>16553</v>
      </c>
      <c r="TSL3" s="12" t="s">
        <v>16554</v>
      </c>
      <c r="TSM3" s="12" t="s">
        <v>16555</v>
      </c>
      <c r="TSN3" s="12" t="s">
        <v>16556</v>
      </c>
      <c r="TSO3" s="12" t="s">
        <v>16557</v>
      </c>
      <c r="TSP3" s="12" t="s">
        <v>16558</v>
      </c>
      <c r="TSQ3" s="12" t="s">
        <v>16559</v>
      </c>
      <c r="TSR3" s="12" t="s">
        <v>16560</v>
      </c>
      <c r="TSS3" s="12" t="s">
        <v>16561</v>
      </c>
      <c r="TST3" s="12" t="s">
        <v>16562</v>
      </c>
      <c r="TSU3" s="12" t="s">
        <v>16563</v>
      </c>
      <c r="TSV3" s="12" t="s">
        <v>16564</v>
      </c>
      <c r="TSW3" s="12" t="s">
        <v>16565</v>
      </c>
      <c r="TSX3" s="12" t="s">
        <v>16566</v>
      </c>
      <c r="TSY3" s="12" t="s">
        <v>16567</v>
      </c>
      <c r="TSZ3" s="12" t="s">
        <v>16568</v>
      </c>
      <c r="TTA3" s="12" t="s">
        <v>16569</v>
      </c>
      <c r="TTB3" s="12" t="s">
        <v>16570</v>
      </c>
      <c r="TTC3" s="12" t="s">
        <v>16571</v>
      </c>
      <c r="TTD3" s="12" t="s">
        <v>16572</v>
      </c>
      <c r="TTE3" s="12" t="s">
        <v>16573</v>
      </c>
      <c r="TTF3" s="12" t="s">
        <v>16574</v>
      </c>
      <c r="TTG3" s="12" t="s">
        <v>16575</v>
      </c>
      <c r="TTH3" s="12" t="s">
        <v>16576</v>
      </c>
      <c r="TTI3" s="12" t="s">
        <v>16577</v>
      </c>
      <c r="TTJ3" s="12" t="s">
        <v>16578</v>
      </c>
      <c r="TTK3" s="12" t="s">
        <v>16579</v>
      </c>
      <c r="TTL3" s="12" t="s">
        <v>16580</v>
      </c>
      <c r="TTM3" s="12" t="s">
        <v>16581</v>
      </c>
      <c r="TTN3" s="12" t="s">
        <v>16582</v>
      </c>
      <c r="TTO3" s="12" t="s">
        <v>16583</v>
      </c>
      <c r="TTP3" s="12" t="s">
        <v>16584</v>
      </c>
      <c r="TTQ3" s="12" t="s">
        <v>16585</v>
      </c>
      <c r="TTR3" s="12" t="s">
        <v>16586</v>
      </c>
      <c r="TTS3" s="12" t="s">
        <v>16587</v>
      </c>
      <c r="TTT3" s="12" t="s">
        <v>16588</v>
      </c>
      <c r="TTU3" s="12" t="s">
        <v>16589</v>
      </c>
      <c r="TTV3" s="12" t="s">
        <v>16590</v>
      </c>
      <c r="TTW3" s="12" t="s">
        <v>16591</v>
      </c>
      <c r="TTX3" s="12" t="s">
        <v>16592</v>
      </c>
      <c r="TTY3" s="12" t="s">
        <v>16593</v>
      </c>
      <c r="TTZ3" s="12" t="s">
        <v>16594</v>
      </c>
      <c r="TUA3" s="12" t="s">
        <v>16595</v>
      </c>
      <c r="TUB3" s="12" t="s">
        <v>16596</v>
      </c>
      <c r="TUC3" s="12" t="s">
        <v>16597</v>
      </c>
      <c r="TUD3" s="12" t="s">
        <v>16598</v>
      </c>
      <c r="TUE3" s="12" t="s">
        <v>16599</v>
      </c>
      <c r="TUF3" s="12" t="s">
        <v>16600</v>
      </c>
      <c r="TUG3" s="12" t="s">
        <v>16601</v>
      </c>
      <c r="TUH3" s="12" t="s">
        <v>16602</v>
      </c>
      <c r="TUI3" s="12" t="s">
        <v>16603</v>
      </c>
      <c r="TUJ3" s="12" t="s">
        <v>16604</v>
      </c>
      <c r="TUK3" s="12" t="s">
        <v>16605</v>
      </c>
      <c r="TUL3" s="12" t="s">
        <v>16606</v>
      </c>
      <c r="TUM3" s="12" t="s">
        <v>16607</v>
      </c>
      <c r="TUN3" s="12" t="s">
        <v>16608</v>
      </c>
      <c r="TUO3" s="12" t="s">
        <v>16609</v>
      </c>
      <c r="TUP3" s="12" t="s">
        <v>16610</v>
      </c>
      <c r="TUQ3" s="12" t="s">
        <v>16611</v>
      </c>
      <c r="TUR3" s="12" t="s">
        <v>16612</v>
      </c>
      <c r="TUS3" s="12" t="s">
        <v>16613</v>
      </c>
      <c r="TUT3" s="12" t="s">
        <v>16614</v>
      </c>
      <c r="TUU3" s="12" t="s">
        <v>16615</v>
      </c>
      <c r="TUV3" s="12" t="s">
        <v>16616</v>
      </c>
      <c r="TUW3" s="12" t="s">
        <v>16617</v>
      </c>
      <c r="TUX3" s="12" t="s">
        <v>16618</v>
      </c>
      <c r="TUY3" s="12" t="s">
        <v>16619</v>
      </c>
      <c r="TUZ3" s="12" t="s">
        <v>16620</v>
      </c>
      <c r="TVA3" s="12" t="s">
        <v>16621</v>
      </c>
      <c r="TVB3" s="12" t="s">
        <v>16622</v>
      </c>
      <c r="TVC3" s="12" t="s">
        <v>16623</v>
      </c>
      <c r="TVD3" s="12" t="s">
        <v>16624</v>
      </c>
      <c r="TVE3" s="12" t="s">
        <v>16625</v>
      </c>
      <c r="TVF3" s="12" t="s">
        <v>16626</v>
      </c>
      <c r="TVG3" s="12" t="s">
        <v>16627</v>
      </c>
      <c r="TVH3" s="12" t="s">
        <v>16628</v>
      </c>
      <c r="TVI3" s="12" t="s">
        <v>16629</v>
      </c>
      <c r="TVJ3" s="12" t="s">
        <v>16630</v>
      </c>
      <c r="TVK3" s="12" t="s">
        <v>16631</v>
      </c>
      <c r="TVL3" s="12" t="s">
        <v>16632</v>
      </c>
      <c r="TVM3" s="12" t="s">
        <v>16633</v>
      </c>
      <c r="TVN3" s="12" t="s">
        <v>16634</v>
      </c>
      <c r="TVO3" s="12" t="s">
        <v>16635</v>
      </c>
      <c r="TVP3" s="12" t="s">
        <v>16636</v>
      </c>
      <c r="TVQ3" s="12" t="s">
        <v>16637</v>
      </c>
      <c r="TVR3" s="12" t="s">
        <v>16638</v>
      </c>
      <c r="TVS3" s="12" t="s">
        <v>16639</v>
      </c>
      <c r="TVT3" s="12" t="s">
        <v>16640</v>
      </c>
      <c r="TVU3" s="12" t="s">
        <v>16641</v>
      </c>
      <c r="TVV3" s="12" t="s">
        <v>16642</v>
      </c>
      <c r="TVW3" s="12" t="s">
        <v>16643</v>
      </c>
      <c r="TVX3" s="12" t="s">
        <v>16644</v>
      </c>
      <c r="TVY3" s="12" t="s">
        <v>16645</v>
      </c>
      <c r="TVZ3" s="12" t="s">
        <v>16646</v>
      </c>
      <c r="TWA3" s="12" t="s">
        <v>16647</v>
      </c>
      <c r="TWB3" s="12" t="s">
        <v>16648</v>
      </c>
      <c r="TWC3" s="12" t="s">
        <v>16649</v>
      </c>
      <c r="TWD3" s="12" t="s">
        <v>16650</v>
      </c>
      <c r="TWE3" s="12" t="s">
        <v>16651</v>
      </c>
      <c r="TWF3" s="12" t="s">
        <v>16652</v>
      </c>
      <c r="TWG3" s="12" t="s">
        <v>16653</v>
      </c>
      <c r="TWH3" s="12" t="s">
        <v>16654</v>
      </c>
      <c r="TWI3" s="12" t="s">
        <v>16655</v>
      </c>
      <c r="TWJ3" s="12" t="s">
        <v>16656</v>
      </c>
      <c r="TWK3" s="12" t="s">
        <v>16657</v>
      </c>
      <c r="TWL3" s="12" t="s">
        <v>16658</v>
      </c>
      <c r="TWM3" s="12" t="s">
        <v>16659</v>
      </c>
      <c r="TWN3" s="12" t="s">
        <v>16660</v>
      </c>
      <c r="TWO3" s="12" t="s">
        <v>16661</v>
      </c>
      <c r="TWP3" s="12" t="s">
        <v>16662</v>
      </c>
      <c r="TWQ3" s="12" t="s">
        <v>16663</v>
      </c>
      <c r="TWR3" s="12" t="s">
        <v>16664</v>
      </c>
      <c r="TWS3" s="12" t="s">
        <v>16665</v>
      </c>
      <c r="TWT3" s="12" t="s">
        <v>16666</v>
      </c>
      <c r="TWU3" s="12" t="s">
        <v>16667</v>
      </c>
      <c r="TWV3" s="12" t="s">
        <v>16668</v>
      </c>
      <c r="TWW3" s="12" t="s">
        <v>16669</v>
      </c>
      <c r="TWX3" s="12" t="s">
        <v>16670</v>
      </c>
      <c r="TWY3" s="12" t="s">
        <v>16671</v>
      </c>
      <c r="TWZ3" s="12" t="s">
        <v>16672</v>
      </c>
      <c r="TXA3" s="12" t="s">
        <v>16673</v>
      </c>
      <c r="TXB3" s="12" t="s">
        <v>16674</v>
      </c>
      <c r="TXC3" s="12" t="s">
        <v>16675</v>
      </c>
      <c r="TXD3" s="12" t="s">
        <v>16676</v>
      </c>
      <c r="TXE3" s="12" t="s">
        <v>16677</v>
      </c>
      <c r="TXF3" s="12" t="s">
        <v>16678</v>
      </c>
      <c r="TXG3" s="12" t="s">
        <v>16679</v>
      </c>
      <c r="TXH3" s="12" t="s">
        <v>16680</v>
      </c>
      <c r="TXI3" s="12" t="s">
        <v>16681</v>
      </c>
      <c r="TXJ3" s="12" t="s">
        <v>16682</v>
      </c>
      <c r="TXK3" s="12" t="s">
        <v>16683</v>
      </c>
      <c r="TXL3" s="12" t="s">
        <v>16684</v>
      </c>
      <c r="TXM3" s="12" t="s">
        <v>16685</v>
      </c>
      <c r="TXN3" s="12" t="s">
        <v>16686</v>
      </c>
      <c r="TXO3" s="12" t="s">
        <v>16687</v>
      </c>
      <c r="TXP3" s="12" t="s">
        <v>16688</v>
      </c>
      <c r="TXQ3" s="12" t="s">
        <v>16689</v>
      </c>
      <c r="TXR3" s="12" t="s">
        <v>16690</v>
      </c>
      <c r="TXS3" s="12" t="s">
        <v>16691</v>
      </c>
      <c r="TXT3" s="12" t="s">
        <v>16692</v>
      </c>
      <c r="TXU3" s="12" t="s">
        <v>16693</v>
      </c>
      <c r="TXV3" s="12" t="s">
        <v>16694</v>
      </c>
      <c r="TXW3" s="12" t="s">
        <v>16695</v>
      </c>
      <c r="TXX3" s="12" t="s">
        <v>16696</v>
      </c>
      <c r="TXY3" s="12" t="s">
        <v>16697</v>
      </c>
      <c r="TXZ3" s="12" t="s">
        <v>16698</v>
      </c>
      <c r="TYA3" s="12" t="s">
        <v>16699</v>
      </c>
      <c r="TYB3" s="12" t="s">
        <v>16700</v>
      </c>
      <c r="TYC3" s="12" t="s">
        <v>16701</v>
      </c>
      <c r="TYD3" s="12" t="s">
        <v>16702</v>
      </c>
      <c r="TYE3" s="12" t="s">
        <v>16703</v>
      </c>
      <c r="TYF3" s="12" t="s">
        <v>16704</v>
      </c>
      <c r="TYG3" s="12" t="s">
        <v>16705</v>
      </c>
      <c r="TYH3" s="12" t="s">
        <v>16706</v>
      </c>
      <c r="TYI3" s="12" t="s">
        <v>16707</v>
      </c>
      <c r="TYJ3" s="12" t="s">
        <v>16708</v>
      </c>
      <c r="TYK3" s="12" t="s">
        <v>16709</v>
      </c>
      <c r="TYL3" s="12" t="s">
        <v>16710</v>
      </c>
      <c r="TYM3" s="12" t="s">
        <v>16711</v>
      </c>
      <c r="TYN3" s="12" t="s">
        <v>16712</v>
      </c>
      <c r="TYO3" s="12" t="s">
        <v>16713</v>
      </c>
      <c r="TYP3" s="12" t="s">
        <v>16714</v>
      </c>
      <c r="TYQ3" s="12" t="s">
        <v>16715</v>
      </c>
      <c r="TYR3" s="12" t="s">
        <v>16716</v>
      </c>
      <c r="TYS3" s="12" t="s">
        <v>16717</v>
      </c>
      <c r="TYT3" s="12" t="s">
        <v>16718</v>
      </c>
      <c r="TYU3" s="12" t="s">
        <v>16719</v>
      </c>
      <c r="TYV3" s="12" t="s">
        <v>16720</v>
      </c>
      <c r="TYW3" s="12" t="s">
        <v>16721</v>
      </c>
      <c r="TYX3" s="12" t="s">
        <v>16722</v>
      </c>
      <c r="TYY3" s="12" t="s">
        <v>16723</v>
      </c>
      <c r="TYZ3" s="12" t="s">
        <v>16724</v>
      </c>
      <c r="TZA3" s="12" t="s">
        <v>16725</v>
      </c>
      <c r="TZB3" s="12" t="s">
        <v>16726</v>
      </c>
      <c r="TZC3" s="12" t="s">
        <v>16727</v>
      </c>
      <c r="TZD3" s="12" t="s">
        <v>16728</v>
      </c>
      <c r="TZE3" s="12" t="s">
        <v>16729</v>
      </c>
      <c r="TZF3" s="12" t="s">
        <v>16730</v>
      </c>
      <c r="TZG3" s="12" t="s">
        <v>16731</v>
      </c>
      <c r="TZH3" s="12" t="s">
        <v>16732</v>
      </c>
      <c r="TZI3" s="12" t="s">
        <v>16733</v>
      </c>
      <c r="TZJ3" s="12" t="s">
        <v>16734</v>
      </c>
      <c r="TZK3" s="12" t="s">
        <v>16735</v>
      </c>
      <c r="TZL3" s="12" t="s">
        <v>16736</v>
      </c>
      <c r="TZM3" s="12" t="s">
        <v>16737</v>
      </c>
      <c r="TZN3" s="12" t="s">
        <v>16738</v>
      </c>
      <c r="TZO3" s="12" t="s">
        <v>16739</v>
      </c>
      <c r="TZP3" s="12" t="s">
        <v>16740</v>
      </c>
      <c r="TZQ3" s="12" t="s">
        <v>16741</v>
      </c>
      <c r="TZR3" s="12" t="s">
        <v>16742</v>
      </c>
      <c r="TZS3" s="12" t="s">
        <v>16743</v>
      </c>
      <c r="TZT3" s="12" t="s">
        <v>16744</v>
      </c>
      <c r="TZU3" s="12" t="s">
        <v>16745</v>
      </c>
      <c r="TZV3" s="12" t="s">
        <v>16746</v>
      </c>
      <c r="TZW3" s="12" t="s">
        <v>16747</v>
      </c>
      <c r="TZX3" s="12" t="s">
        <v>16748</v>
      </c>
      <c r="TZY3" s="12" t="s">
        <v>16749</v>
      </c>
      <c r="TZZ3" s="12" t="s">
        <v>16750</v>
      </c>
      <c r="UAA3" s="12" t="s">
        <v>16751</v>
      </c>
      <c r="UAB3" s="12" t="s">
        <v>16752</v>
      </c>
      <c r="UAC3" s="12" t="s">
        <v>16753</v>
      </c>
      <c r="UAD3" s="12" t="s">
        <v>16754</v>
      </c>
      <c r="UAE3" s="12" t="s">
        <v>16755</v>
      </c>
      <c r="UAF3" s="12" t="s">
        <v>16756</v>
      </c>
      <c r="UAG3" s="12" t="s">
        <v>16757</v>
      </c>
      <c r="UAH3" s="12" t="s">
        <v>16758</v>
      </c>
      <c r="UAI3" s="12" t="s">
        <v>16759</v>
      </c>
      <c r="UAJ3" s="12" t="s">
        <v>16760</v>
      </c>
      <c r="UAK3" s="12" t="s">
        <v>16761</v>
      </c>
      <c r="UAL3" s="12" t="s">
        <v>16762</v>
      </c>
      <c r="UAM3" s="12" t="s">
        <v>16763</v>
      </c>
      <c r="UAN3" s="12" t="s">
        <v>16764</v>
      </c>
      <c r="UAO3" s="12" t="s">
        <v>16765</v>
      </c>
      <c r="UAP3" s="12" t="s">
        <v>16766</v>
      </c>
      <c r="UAQ3" s="12" t="s">
        <v>16767</v>
      </c>
      <c r="UAR3" s="12" t="s">
        <v>16768</v>
      </c>
      <c r="UAS3" s="12" t="s">
        <v>16769</v>
      </c>
      <c r="UAT3" s="12" t="s">
        <v>16770</v>
      </c>
      <c r="UAU3" s="12" t="s">
        <v>16771</v>
      </c>
      <c r="UAV3" s="12" t="s">
        <v>16772</v>
      </c>
      <c r="UAW3" s="12" t="s">
        <v>16773</v>
      </c>
      <c r="UAX3" s="12" t="s">
        <v>16774</v>
      </c>
      <c r="UAY3" s="12" t="s">
        <v>16775</v>
      </c>
      <c r="UAZ3" s="12" t="s">
        <v>16776</v>
      </c>
      <c r="UBA3" s="12" t="s">
        <v>16777</v>
      </c>
      <c r="UBB3" s="12" t="s">
        <v>16778</v>
      </c>
      <c r="UBC3" s="12" t="s">
        <v>16779</v>
      </c>
      <c r="UBD3" s="12" t="s">
        <v>16780</v>
      </c>
      <c r="UBE3" s="12" t="s">
        <v>16781</v>
      </c>
      <c r="UBF3" s="12" t="s">
        <v>16782</v>
      </c>
      <c r="UBG3" s="12" t="s">
        <v>16783</v>
      </c>
      <c r="UBH3" s="12" t="s">
        <v>16784</v>
      </c>
      <c r="UBI3" s="12" t="s">
        <v>16785</v>
      </c>
      <c r="UBJ3" s="12" t="s">
        <v>16786</v>
      </c>
      <c r="UBK3" s="12" t="s">
        <v>16787</v>
      </c>
      <c r="UBL3" s="12" t="s">
        <v>16788</v>
      </c>
      <c r="UBM3" s="12" t="s">
        <v>16789</v>
      </c>
      <c r="UBN3" s="12" t="s">
        <v>16790</v>
      </c>
      <c r="UBO3" s="12" t="s">
        <v>16791</v>
      </c>
      <c r="UBP3" s="12" t="s">
        <v>16792</v>
      </c>
      <c r="UBQ3" s="12" t="s">
        <v>16793</v>
      </c>
      <c r="UBR3" s="12" t="s">
        <v>16794</v>
      </c>
      <c r="UBS3" s="12" t="s">
        <v>16795</v>
      </c>
      <c r="UBT3" s="12" t="s">
        <v>16796</v>
      </c>
      <c r="UBU3" s="12" t="s">
        <v>16797</v>
      </c>
      <c r="UBV3" s="12" t="s">
        <v>16798</v>
      </c>
      <c r="UBW3" s="12" t="s">
        <v>16799</v>
      </c>
      <c r="UBX3" s="12" t="s">
        <v>16800</v>
      </c>
      <c r="UBY3" s="12" t="s">
        <v>16801</v>
      </c>
      <c r="UBZ3" s="12" t="s">
        <v>16802</v>
      </c>
      <c r="UCA3" s="12" t="s">
        <v>16803</v>
      </c>
      <c r="UCB3" s="12" t="s">
        <v>16804</v>
      </c>
      <c r="UCC3" s="12" t="s">
        <v>16805</v>
      </c>
      <c r="UCD3" s="12" t="s">
        <v>16806</v>
      </c>
      <c r="UCE3" s="12" t="s">
        <v>16807</v>
      </c>
      <c r="UCF3" s="12" t="s">
        <v>16808</v>
      </c>
      <c r="UCG3" s="12" t="s">
        <v>16809</v>
      </c>
      <c r="UCH3" s="12" t="s">
        <v>16810</v>
      </c>
      <c r="UCI3" s="12" t="s">
        <v>16811</v>
      </c>
      <c r="UCJ3" s="12" t="s">
        <v>16812</v>
      </c>
      <c r="UCK3" s="12" t="s">
        <v>16813</v>
      </c>
      <c r="UCL3" s="12" t="s">
        <v>16814</v>
      </c>
      <c r="UCM3" s="12" t="s">
        <v>16815</v>
      </c>
      <c r="UCN3" s="12" t="s">
        <v>16816</v>
      </c>
      <c r="UCO3" s="12" t="s">
        <v>16817</v>
      </c>
      <c r="UCP3" s="12" t="s">
        <v>16818</v>
      </c>
      <c r="UCQ3" s="12" t="s">
        <v>16819</v>
      </c>
      <c r="UCR3" s="12" t="s">
        <v>16820</v>
      </c>
      <c r="UCS3" s="12" t="s">
        <v>16821</v>
      </c>
      <c r="UCT3" s="12" t="s">
        <v>16822</v>
      </c>
      <c r="UCU3" s="12" t="s">
        <v>16823</v>
      </c>
      <c r="UCV3" s="12" t="s">
        <v>16824</v>
      </c>
      <c r="UCW3" s="12" t="s">
        <v>16825</v>
      </c>
      <c r="UCX3" s="12" t="s">
        <v>16826</v>
      </c>
      <c r="UCY3" s="12" t="s">
        <v>16827</v>
      </c>
      <c r="UCZ3" s="12" t="s">
        <v>16828</v>
      </c>
      <c r="UDA3" s="12" t="s">
        <v>16829</v>
      </c>
      <c r="UDB3" s="12" t="s">
        <v>16830</v>
      </c>
      <c r="UDC3" s="12" t="s">
        <v>16831</v>
      </c>
      <c r="UDD3" s="12" t="s">
        <v>16832</v>
      </c>
      <c r="UDE3" s="12" t="s">
        <v>16833</v>
      </c>
      <c r="UDF3" s="12" t="s">
        <v>16834</v>
      </c>
      <c r="UDG3" s="12" t="s">
        <v>16835</v>
      </c>
      <c r="UDH3" s="12" t="s">
        <v>16836</v>
      </c>
      <c r="UDI3" s="12" t="s">
        <v>16837</v>
      </c>
      <c r="UDJ3" s="12" t="s">
        <v>16838</v>
      </c>
      <c r="UDK3" s="12" t="s">
        <v>16839</v>
      </c>
      <c r="UDL3" s="12" t="s">
        <v>16840</v>
      </c>
      <c r="UDM3" s="12" t="s">
        <v>16841</v>
      </c>
      <c r="UDN3" s="12" t="s">
        <v>16842</v>
      </c>
      <c r="UDO3" s="12" t="s">
        <v>16843</v>
      </c>
      <c r="UDP3" s="12" t="s">
        <v>16844</v>
      </c>
      <c r="UDQ3" s="12" t="s">
        <v>16845</v>
      </c>
      <c r="UDR3" s="12" t="s">
        <v>16846</v>
      </c>
      <c r="UDS3" s="12" t="s">
        <v>16847</v>
      </c>
      <c r="UDT3" s="12" t="s">
        <v>16848</v>
      </c>
      <c r="UDU3" s="12" t="s">
        <v>16849</v>
      </c>
      <c r="UDV3" s="12" t="s">
        <v>16850</v>
      </c>
      <c r="UDW3" s="12" t="s">
        <v>16851</v>
      </c>
      <c r="UDX3" s="12" t="s">
        <v>16852</v>
      </c>
      <c r="UDY3" s="12" t="s">
        <v>16853</v>
      </c>
      <c r="UDZ3" s="12" t="s">
        <v>16854</v>
      </c>
      <c r="UEA3" s="12" t="s">
        <v>16855</v>
      </c>
      <c r="UEB3" s="12" t="s">
        <v>16856</v>
      </c>
      <c r="UEC3" s="12" t="s">
        <v>16857</v>
      </c>
      <c r="UED3" s="12" t="s">
        <v>16858</v>
      </c>
      <c r="UEE3" s="12" t="s">
        <v>16859</v>
      </c>
      <c r="UEF3" s="12" t="s">
        <v>16860</v>
      </c>
      <c r="UEG3" s="12" t="s">
        <v>16861</v>
      </c>
      <c r="UEH3" s="12" t="s">
        <v>16862</v>
      </c>
      <c r="UEI3" s="12" t="s">
        <v>16863</v>
      </c>
      <c r="UEJ3" s="12" t="s">
        <v>16864</v>
      </c>
      <c r="UEK3" s="12" t="s">
        <v>16865</v>
      </c>
      <c r="UEL3" s="12" t="s">
        <v>16866</v>
      </c>
      <c r="UEM3" s="12" t="s">
        <v>16867</v>
      </c>
      <c r="UEN3" s="12" t="s">
        <v>16868</v>
      </c>
      <c r="UEO3" s="12" t="s">
        <v>16869</v>
      </c>
      <c r="UEP3" s="12" t="s">
        <v>16870</v>
      </c>
      <c r="UEQ3" s="12" t="s">
        <v>16871</v>
      </c>
      <c r="UER3" s="12" t="s">
        <v>16872</v>
      </c>
      <c r="UES3" s="12" t="s">
        <v>16873</v>
      </c>
      <c r="UET3" s="12" t="s">
        <v>16874</v>
      </c>
      <c r="UEU3" s="12" t="s">
        <v>16875</v>
      </c>
      <c r="UEV3" s="12" t="s">
        <v>16876</v>
      </c>
      <c r="UEW3" s="12" t="s">
        <v>16877</v>
      </c>
      <c r="UEX3" s="12" t="s">
        <v>16878</v>
      </c>
      <c r="UEY3" s="12" t="s">
        <v>16879</v>
      </c>
      <c r="UEZ3" s="12" t="s">
        <v>16880</v>
      </c>
      <c r="UFA3" s="12" t="s">
        <v>16881</v>
      </c>
      <c r="UFB3" s="12" t="s">
        <v>16882</v>
      </c>
      <c r="UFC3" s="12" t="s">
        <v>16883</v>
      </c>
      <c r="UFD3" s="12" t="s">
        <v>16884</v>
      </c>
      <c r="UFE3" s="12" t="s">
        <v>16885</v>
      </c>
      <c r="UFF3" s="12" t="s">
        <v>16886</v>
      </c>
      <c r="UFG3" s="12" t="s">
        <v>16887</v>
      </c>
      <c r="UFH3" s="12" t="s">
        <v>16888</v>
      </c>
      <c r="UFI3" s="12" t="s">
        <v>16889</v>
      </c>
      <c r="UFJ3" s="12" t="s">
        <v>16890</v>
      </c>
      <c r="UFK3" s="12" t="s">
        <v>16891</v>
      </c>
      <c r="UFL3" s="12" t="s">
        <v>16892</v>
      </c>
      <c r="UFM3" s="12" t="s">
        <v>16893</v>
      </c>
      <c r="UFN3" s="12" t="s">
        <v>16894</v>
      </c>
      <c r="UFO3" s="12" t="s">
        <v>16895</v>
      </c>
      <c r="UFP3" s="12" t="s">
        <v>16896</v>
      </c>
      <c r="UFQ3" s="12" t="s">
        <v>16897</v>
      </c>
      <c r="UFR3" s="12" t="s">
        <v>16898</v>
      </c>
      <c r="UFS3" s="12" t="s">
        <v>16899</v>
      </c>
      <c r="UFT3" s="12" t="s">
        <v>16900</v>
      </c>
      <c r="UFU3" s="12" t="s">
        <v>16901</v>
      </c>
      <c r="UFV3" s="12" t="s">
        <v>16902</v>
      </c>
      <c r="UFW3" s="12" t="s">
        <v>16903</v>
      </c>
      <c r="UFX3" s="12" t="s">
        <v>16904</v>
      </c>
      <c r="UFY3" s="12" t="s">
        <v>16905</v>
      </c>
      <c r="UFZ3" s="12" t="s">
        <v>16906</v>
      </c>
      <c r="UGA3" s="12" t="s">
        <v>16907</v>
      </c>
      <c r="UGB3" s="12" t="s">
        <v>16908</v>
      </c>
      <c r="UGC3" s="12" t="s">
        <v>16909</v>
      </c>
      <c r="UGD3" s="12" t="s">
        <v>16910</v>
      </c>
      <c r="UGE3" s="12" t="s">
        <v>16911</v>
      </c>
      <c r="UGF3" s="12" t="s">
        <v>16912</v>
      </c>
      <c r="UGG3" s="12" t="s">
        <v>16913</v>
      </c>
      <c r="UGH3" s="12" t="s">
        <v>16914</v>
      </c>
      <c r="UGI3" s="12" t="s">
        <v>16915</v>
      </c>
      <c r="UGJ3" s="12" t="s">
        <v>16916</v>
      </c>
      <c r="UGK3" s="12" t="s">
        <v>16917</v>
      </c>
      <c r="UGL3" s="12" t="s">
        <v>16918</v>
      </c>
      <c r="UGM3" s="12" t="s">
        <v>16919</v>
      </c>
      <c r="UGN3" s="12" t="s">
        <v>16920</v>
      </c>
      <c r="UGO3" s="12" t="s">
        <v>16921</v>
      </c>
      <c r="UGP3" s="12" t="s">
        <v>16922</v>
      </c>
      <c r="UGQ3" s="12" t="s">
        <v>16923</v>
      </c>
      <c r="UGR3" s="12" t="s">
        <v>16924</v>
      </c>
      <c r="UGS3" s="12" t="s">
        <v>16925</v>
      </c>
      <c r="UGT3" s="12" t="s">
        <v>16926</v>
      </c>
      <c r="UGU3" s="12" t="s">
        <v>16927</v>
      </c>
      <c r="UGV3" s="12" t="s">
        <v>16928</v>
      </c>
      <c r="UGW3" s="12" t="s">
        <v>16929</v>
      </c>
      <c r="UGX3" s="12" t="s">
        <v>16930</v>
      </c>
      <c r="UGY3" s="12" t="s">
        <v>16931</v>
      </c>
      <c r="UGZ3" s="12" t="s">
        <v>16932</v>
      </c>
      <c r="UHA3" s="12" t="s">
        <v>16933</v>
      </c>
      <c r="UHB3" s="12" t="s">
        <v>16934</v>
      </c>
      <c r="UHC3" s="12" t="s">
        <v>16935</v>
      </c>
      <c r="UHD3" s="12" t="s">
        <v>16936</v>
      </c>
      <c r="UHE3" s="12" t="s">
        <v>16937</v>
      </c>
      <c r="UHF3" s="12" t="s">
        <v>16938</v>
      </c>
      <c r="UHG3" s="12" t="s">
        <v>16939</v>
      </c>
      <c r="UHH3" s="12" t="s">
        <v>16940</v>
      </c>
      <c r="UHI3" s="12" t="s">
        <v>16941</v>
      </c>
      <c r="UHJ3" s="12" t="s">
        <v>16942</v>
      </c>
      <c r="UHK3" s="12" t="s">
        <v>16943</v>
      </c>
      <c r="UHL3" s="12" t="s">
        <v>16944</v>
      </c>
      <c r="UHM3" s="12" t="s">
        <v>16945</v>
      </c>
      <c r="UHN3" s="12" t="s">
        <v>16946</v>
      </c>
      <c r="UHO3" s="12" t="s">
        <v>16947</v>
      </c>
      <c r="UHP3" s="12" t="s">
        <v>16948</v>
      </c>
      <c r="UHQ3" s="12" t="s">
        <v>16949</v>
      </c>
      <c r="UHR3" s="12" t="s">
        <v>16950</v>
      </c>
      <c r="UHS3" s="12" t="s">
        <v>16951</v>
      </c>
      <c r="UHT3" s="12" t="s">
        <v>16952</v>
      </c>
      <c r="UHU3" s="12" t="s">
        <v>16953</v>
      </c>
      <c r="UHV3" s="12" t="s">
        <v>16954</v>
      </c>
      <c r="UHW3" s="12" t="s">
        <v>16955</v>
      </c>
      <c r="UHX3" s="12" t="s">
        <v>16956</v>
      </c>
      <c r="UHY3" s="12" t="s">
        <v>16957</v>
      </c>
      <c r="UHZ3" s="12" t="s">
        <v>16958</v>
      </c>
      <c r="UIA3" s="12" t="s">
        <v>16959</v>
      </c>
      <c r="UIB3" s="12" t="s">
        <v>16960</v>
      </c>
      <c r="UIC3" s="12" t="s">
        <v>16961</v>
      </c>
      <c r="UID3" s="12" t="s">
        <v>16962</v>
      </c>
      <c r="UIE3" s="12" t="s">
        <v>16963</v>
      </c>
      <c r="UIF3" s="12" t="s">
        <v>16964</v>
      </c>
      <c r="UIG3" s="12" t="s">
        <v>16965</v>
      </c>
      <c r="UIH3" s="12" t="s">
        <v>16966</v>
      </c>
      <c r="UII3" s="12" t="s">
        <v>16967</v>
      </c>
      <c r="UIJ3" s="12" t="s">
        <v>16968</v>
      </c>
      <c r="UIK3" s="12" t="s">
        <v>16969</v>
      </c>
      <c r="UIL3" s="12" t="s">
        <v>16970</v>
      </c>
      <c r="UIM3" s="12" t="s">
        <v>16971</v>
      </c>
      <c r="UIN3" s="12" t="s">
        <v>16972</v>
      </c>
      <c r="UIO3" s="12" t="s">
        <v>16973</v>
      </c>
      <c r="UIP3" s="12" t="s">
        <v>16974</v>
      </c>
      <c r="UIQ3" s="12" t="s">
        <v>16975</v>
      </c>
      <c r="UIR3" s="12" t="s">
        <v>16976</v>
      </c>
      <c r="UIS3" s="12" t="s">
        <v>16977</v>
      </c>
      <c r="UIT3" s="12" t="s">
        <v>16978</v>
      </c>
      <c r="UIU3" s="12" t="s">
        <v>16979</v>
      </c>
      <c r="UIV3" s="12" t="s">
        <v>16980</v>
      </c>
      <c r="UIW3" s="12" t="s">
        <v>16981</v>
      </c>
      <c r="UIX3" s="12" t="s">
        <v>16982</v>
      </c>
      <c r="UIY3" s="12" t="s">
        <v>16983</v>
      </c>
      <c r="UIZ3" s="12" t="s">
        <v>16984</v>
      </c>
      <c r="UJA3" s="12" t="s">
        <v>16985</v>
      </c>
      <c r="UJB3" s="12" t="s">
        <v>16986</v>
      </c>
      <c r="UJC3" s="12" t="s">
        <v>16987</v>
      </c>
      <c r="UJD3" s="12" t="s">
        <v>16988</v>
      </c>
      <c r="UJE3" s="12" t="s">
        <v>16989</v>
      </c>
      <c r="UJF3" s="12" t="s">
        <v>16990</v>
      </c>
      <c r="UJG3" s="12" t="s">
        <v>16991</v>
      </c>
      <c r="UJH3" s="12" t="s">
        <v>16992</v>
      </c>
      <c r="UJI3" s="12" t="s">
        <v>16993</v>
      </c>
      <c r="UJJ3" s="12" t="s">
        <v>16994</v>
      </c>
      <c r="UJK3" s="12" t="s">
        <v>16995</v>
      </c>
      <c r="UJL3" s="12" t="s">
        <v>16996</v>
      </c>
      <c r="UJM3" s="12" t="s">
        <v>16997</v>
      </c>
      <c r="UJN3" s="12" t="s">
        <v>16998</v>
      </c>
      <c r="UJO3" s="12" t="s">
        <v>16999</v>
      </c>
      <c r="UJP3" s="12" t="s">
        <v>17000</v>
      </c>
      <c r="UJQ3" s="12" t="s">
        <v>17001</v>
      </c>
      <c r="UJR3" s="12" t="s">
        <v>17002</v>
      </c>
      <c r="UJS3" s="12" t="s">
        <v>17003</v>
      </c>
      <c r="UJT3" s="12" t="s">
        <v>17004</v>
      </c>
      <c r="UJU3" s="12" t="s">
        <v>17005</v>
      </c>
      <c r="UJV3" s="12" t="s">
        <v>17006</v>
      </c>
      <c r="UJW3" s="12" t="s">
        <v>17007</v>
      </c>
      <c r="UJX3" s="12" t="s">
        <v>17008</v>
      </c>
      <c r="UJY3" s="12" t="s">
        <v>17009</v>
      </c>
      <c r="UJZ3" s="12" t="s">
        <v>17010</v>
      </c>
      <c r="UKA3" s="12" t="s">
        <v>17011</v>
      </c>
      <c r="UKB3" s="12" t="s">
        <v>17012</v>
      </c>
      <c r="UKC3" s="12" t="s">
        <v>17013</v>
      </c>
      <c r="UKD3" s="12" t="s">
        <v>17014</v>
      </c>
      <c r="UKE3" s="12" t="s">
        <v>17015</v>
      </c>
      <c r="UKF3" s="12" t="s">
        <v>17016</v>
      </c>
      <c r="UKG3" s="12" t="s">
        <v>17017</v>
      </c>
      <c r="UKH3" s="12" t="s">
        <v>17018</v>
      </c>
      <c r="UKI3" s="12" t="s">
        <v>17019</v>
      </c>
      <c r="UKJ3" s="12" t="s">
        <v>17020</v>
      </c>
      <c r="UKK3" s="12" t="s">
        <v>17021</v>
      </c>
      <c r="UKL3" s="12" t="s">
        <v>17022</v>
      </c>
      <c r="UKM3" s="12" t="s">
        <v>17023</v>
      </c>
      <c r="UKN3" s="12" t="s">
        <v>17024</v>
      </c>
      <c r="UKO3" s="12" t="s">
        <v>17025</v>
      </c>
      <c r="UKP3" s="12" t="s">
        <v>17026</v>
      </c>
      <c r="UKQ3" s="12" t="s">
        <v>17027</v>
      </c>
      <c r="UKR3" s="12" t="s">
        <v>17028</v>
      </c>
      <c r="UKS3" s="12" t="s">
        <v>17029</v>
      </c>
      <c r="UKT3" s="12" t="s">
        <v>17030</v>
      </c>
      <c r="UKU3" s="12" t="s">
        <v>17031</v>
      </c>
      <c r="UKV3" s="12" t="s">
        <v>17032</v>
      </c>
      <c r="UKW3" s="12" t="s">
        <v>17033</v>
      </c>
      <c r="UKX3" s="12" t="s">
        <v>17034</v>
      </c>
      <c r="UKY3" s="12" t="s">
        <v>17035</v>
      </c>
      <c r="UKZ3" s="12" t="s">
        <v>17036</v>
      </c>
      <c r="ULA3" s="12" t="s">
        <v>17037</v>
      </c>
      <c r="ULB3" s="12" t="s">
        <v>17038</v>
      </c>
      <c r="ULC3" s="12" t="s">
        <v>17039</v>
      </c>
      <c r="ULD3" s="12" t="s">
        <v>17040</v>
      </c>
      <c r="ULE3" s="12" t="s">
        <v>17041</v>
      </c>
      <c r="ULF3" s="12" t="s">
        <v>17042</v>
      </c>
      <c r="ULG3" s="12" t="s">
        <v>17043</v>
      </c>
      <c r="ULH3" s="12" t="s">
        <v>17044</v>
      </c>
      <c r="ULI3" s="12" t="s">
        <v>17045</v>
      </c>
      <c r="ULJ3" s="12" t="s">
        <v>17046</v>
      </c>
      <c r="ULK3" s="12" t="s">
        <v>17047</v>
      </c>
      <c r="ULL3" s="12" t="s">
        <v>17048</v>
      </c>
      <c r="ULM3" s="12" t="s">
        <v>17049</v>
      </c>
      <c r="ULN3" s="12" t="s">
        <v>17050</v>
      </c>
      <c r="ULO3" s="12" t="s">
        <v>17051</v>
      </c>
      <c r="ULP3" s="12" t="s">
        <v>17052</v>
      </c>
      <c r="ULQ3" s="12" t="s">
        <v>17053</v>
      </c>
      <c r="ULR3" s="12" t="s">
        <v>17054</v>
      </c>
      <c r="ULS3" s="12" t="s">
        <v>17055</v>
      </c>
      <c r="ULT3" s="12" t="s">
        <v>17056</v>
      </c>
      <c r="ULU3" s="12" t="s">
        <v>17057</v>
      </c>
      <c r="ULV3" s="12" t="s">
        <v>17058</v>
      </c>
      <c r="ULW3" s="12" t="s">
        <v>17059</v>
      </c>
      <c r="ULX3" s="12" t="s">
        <v>17060</v>
      </c>
      <c r="ULY3" s="12" t="s">
        <v>17061</v>
      </c>
      <c r="ULZ3" s="12" t="s">
        <v>17062</v>
      </c>
      <c r="UMA3" s="12" t="s">
        <v>17063</v>
      </c>
      <c r="UMB3" s="12" t="s">
        <v>17064</v>
      </c>
      <c r="UMC3" s="12" t="s">
        <v>17065</v>
      </c>
      <c r="UMD3" s="12" t="s">
        <v>17066</v>
      </c>
      <c r="UME3" s="12" t="s">
        <v>17067</v>
      </c>
      <c r="UMF3" s="12" t="s">
        <v>17068</v>
      </c>
      <c r="UMG3" s="12" t="s">
        <v>17069</v>
      </c>
      <c r="UMH3" s="12" t="s">
        <v>17070</v>
      </c>
      <c r="UMI3" s="12" t="s">
        <v>17071</v>
      </c>
      <c r="UMJ3" s="12" t="s">
        <v>17072</v>
      </c>
      <c r="UMK3" s="12" t="s">
        <v>17073</v>
      </c>
      <c r="UML3" s="12" t="s">
        <v>17074</v>
      </c>
      <c r="UMM3" s="12" t="s">
        <v>17075</v>
      </c>
      <c r="UMN3" s="12" t="s">
        <v>17076</v>
      </c>
      <c r="UMO3" s="12" t="s">
        <v>17077</v>
      </c>
      <c r="UMP3" s="12" t="s">
        <v>17078</v>
      </c>
      <c r="UMQ3" s="12" t="s">
        <v>17079</v>
      </c>
      <c r="UMR3" s="12" t="s">
        <v>17080</v>
      </c>
      <c r="UMS3" s="12" t="s">
        <v>17081</v>
      </c>
      <c r="UMT3" s="12" t="s">
        <v>17082</v>
      </c>
      <c r="UMU3" s="12" t="s">
        <v>17083</v>
      </c>
      <c r="UMV3" s="12" t="s">
        <v>17084</v>
      </c>
      <c r="UMW3" s="12" t="s">
        <v>17085</v>
      </c>
      <c r="UMX3" s="12" t="s">
        <v>17086</v>
      </c>
      <c r="UMY3" s="12" t="s">
        <v>17087</v>
      </c>
      <c r="UMZ3" s="12" t="s">
        <v>17088</v>
      </c>
      <c r="UNA3" s="12" t="s">
        <v>17089</v>
      </c>
      <c r="UNB3" s="12" t="s">
        <v>17090</v>
      </c>
      <c r="UNC3" s="12" t="s">
        <v>17091</v>
      </c>
      <c r="UND3" s="12" t="s">
        <v>17092</v>
      </c>
      <c r="UNE3" s="12" t="s">
        <v>17093</v>
      </c>
      <c r="UNF3" s="12" t="s">
        <v>17094</v>
      </c>
      <c r="UNG3" s="12" t="s">
        <v>17095</v>
      </c>
      <c r="UNH3" s="12" t="s">
        <v>17096</v>
      </c>
      <c r="UNI3" s="12" t="s">
        <v>17097</v>
      </c>
      <c r="UNJ3" s="12" t="s">
        <v>17098</v>
      </c>
      <c r="UNK3" s="12" t="s">
        <v>17099</v>
      </c>
      <c r="UNL3" s="12" t="s">
        <v>17100</v>
      </c>
      <c r="UNM3" s="12" t="s">
        <v>17101</v>
      </c>
      <c r="UNN3" s="12" t="s">
        <v>17102</v>
      </c>
      <c r="UNO3" s="12" t="s">
        <v>17103</v>
      </c>
      <c r="UNP3" s="12" t="s">
        <v>17104</v>
      </c>
      <c r="UNQ3" s="12" t="s">
        <v>17105</v>
      </c>
      <c r="UNR3" s="12" t="s">
        <v>17106</v>
      </c>
      <c r="UNS3" s="12" t="s">
        <v>17107</v>
      </c>
      <c r="UNT3" s="12" t="s">
        <v>17108</v>
      </c>
      <c r="UNU3" s="12" t="s">
        <v>17109</v>
      </c>
      <c r="UNV3" s="12" t="s">
        <v>17110</v>
      </c>
      <c r="UNW3" s="12" t="s">
        <v>17111</v>
      </c>
      <c r="UNX3" s="12" t="s">
        <v>17112</v>
      </c>
      <c r="UNY3" s="12" t="s">
        <v>17113</v>
      </c>
      <c r="UNZ3" s="12" t="s">
        <v>17114</v>
      </c>
      <c r="UOA3" s="12" t="s">
        <v>17115</v>
      </c>
      <c r="UOB3" s="12" t="s">
        <v>17116</v>
      </c>
      <c r="UOC3" s="12" t="s">
        <v>17117</v>
      </c>
      <c r="UOD3" s="12" t="s">
        <v>17118</v>
      </c>
      <c r="UOE3" s="12" t="s">
        <v>17119</v>
      </c>
      <c r="UOF3" s="12" t="s">
        <v>17120</v>
      </c>
      <c r="UOG3" s="12" t="s">
        <v>17121</v>
      </c>
      <c r="UOH3" s="12" t="s">
        <v>17122</v>
      </c>
      <c r="UOI3" s="12" t="s">
        <v>17123</v>
      </c>
      <c r="UOJ3" s="12" t="s">
        <v>17124</v>
      </c>
      <c r="UOK3" s="12" t="s">
        <v>17125</v>
      </c>
      <c r="UOL3" s="12" t="s">
        <v>17126</v>
      </c>
      <c r="UOM3" s="12" t="s">
        <v>17127</v>
      </c>
      <c r="UON3" s="12" t="s">
        <v>17128</v>
      </c>
      <c r="UOO3" s="12" t="s">
        <v>17129</v>
      </c>
      <c r="UOP3" s="12" t="s">
        <v>17130</v>
      </c>
      <c r="UOQ3" s="12" t="s">
        <v>17131</v>
      </c>
      <c r="UOR3" s="12" t="s">
        <v>17132</v>
      </c>
      <c r="UOS3" s="12" t="s">
        <v>17133</v>
      </c>
      <c r="UOT3" s="12" t="s">
        <v>17134</v>
      </c>
      <c r="UOU3" s="12" t="s">
        <v>17135</v>
      </c>
      <c r="UOV3" s="12" t="s">
        <v>17136</v>
      </c>
      <c r="UOW3" s="12" t="s">
        <v>17137</v>
      </c>
      <c r="UOX3" s="12" t="s">
        <v>17138</v>
      </c>
      <c r="UOY3" s="12" t="s">
        <v>17139</v>
      </c>
      <c r="UOZ3" s="12" t="s">
        <v>17140</v>
      </c>
      <c r="UPA3" s="12" t="s">
        <v>17141</v>
      </c>
      <c r="UPB3" s="12" t="s">
        <v>17142</v>
      </c>
      <c r="UPC3" s="12" t="s">
        <v>17143</v>
      </c>
      <c r="UPD3" s="12" t="s">
        <v>17144</v>
      </c>
      <c r="UPE3" s="12" t="s">
        <v>17145</v>
      </c>
      <c r="UPF3" s="12" t="s">
        <v>17146</v>
      </c>
      <c r="UPG3" s="12" t="s">
        <v>17147</v>
      </c>
      <c r="UPH3" s="12" t="s">
        <v>17148</v>
      </c>
      <c r="UPI3" s="12" t="s">
        <v>17149</v>
      </c>
      <c r="UPJ3" s="12" t="s">
        <v>17150</v>
      </c>
      <c r="UPK3" s="12" t="s">
        <v>17151</v>
      </c>
      <c r="UPL3" s="12" t="s">
        <v>17152</v>
      </c>
      <c r="UPM3" s="12" t="s">
        <v>17153</v>
      </c>
      <c r="UPN3" s="12" t="s">
        <v>17154</v>
      </c>
      <c r="UPO3" s="12" t="s">
        <v>17155</v>
      </c>
      <c r="UPP3" s="12" t="s">
        <v>17156</v>
      </c>
      <c r="UPQ3" s="12" t="s">
        <v>17157</v>
      </c>
      <c r="UPR3" s="12" t="s">
        <v>17158</v>
      </c>
      <c r="UPS3" s="12" t="s">
        <v>17159</v>
      </c>
      <c r="UPT3" s="12" t="s">
        <v>17160</v>
      </c>
      <c r="UPU3" s="12" t="s">
        <v>17161</v>
      </c>
      <c r="UPV3" s="12" t="s">
        <v>17162</v>
      </c>
      <c r="UPW3" s="12" t="s">
        <v>17163</v>
      </c>
      <c r="UPX3" s="12" t="s">
        <v>17164</v>
      </c>
      <c r="UPY3" s="12" t="s">
        <v>17165</v>
      </c>
      <c r="UPZ3" s="12" t="s">
        <v>17166</v>
      </c>
      <c r="UQA3" s="12" t="s">
        <v>17167</v>
      </c>
      <c r="UQB3" s="12" t="s">
        <v>17168</v>
      </c>
      <c r="UQC3" s="12" t="s">
        <v>17169</v>
      </c>
      <c r="UQD3" s="12" t="s">
        <v>17170</v>
      </c>
      <c r="UQE3" s="12" t="s">
        <v>17171</v>
      </c>
      <c r="UQF3" s="12" t="s">
        <v>17172</v>
      </c>
      <c r="UQG3" s="12" t="s">
        <v>17173</v>
      </c>
      <c r="UQH3" s="12" t="s">
        <v>17174</v>
      </c>
      <c r="UQI3" s="12" t="s">
        <v>17175</v>
      </c>
      <c r="UQJ3" s="12" t="s">
        <v>17176</v>
      </c>
      <c r="UQK3" s="12" t="s">
        <v>17177</v>
      </c>
      <c r="UQL3" s="12" t="s">
        <v>17178</v>
      </c>
      <c r="UQM3" s="12" t="s">
        <v>17179</v>
      </c>
      <c r="UQN3" s="12" t="s">
        <v>17180</v>
      </c>
      <c r="UQO3" s="12" t="s">
        <v>17181</v>
      </c>
      <c r="UQP3" s="12" t="s">
        <v>17182</v>
      </c>
      <c r="UQQ3" s="12" t="s">
        <v>17183</v>
      </c>
      <c r="UQR3" s="12" t="s">
        <v>17184</v>
      </c>
      <c r="UQS3" s="12" t="s">
        <v>17185</v>
      </c>
      <c r="UQT3" s="12" t="s">
        <v>17186</v>
      </c>
      <c r="UQU3" s="12" t="s">
        <v>17187</v>
      </c>
      <c r="UQV3" s="12" t="s">
        <v>17188</v>
      </c>
      <c r="UQW3" s="12" t="s">
        <v>17189</v>
      </c>
      <c r="UQX3" s="12" t="s">
        <v>17190</v>
      </c>
      <c r="UQY3" s="12" t="s">
        <v>17191</v>
      </c>
      <c r="UQZ3" s="12" t="s">
        <v>17192</v>
      </c>
      <c r="URA3" s="12" t="s">
        <v>17193</v>
      </c>
      <c r="URB3" s="12" t="s">
        <v>17194</v>
      </c>
      <c r="URC3" s="12" t="s">
        <v>17195</v>
      </c>
      <c r="URD3" s="12" t="s">
        <v>17196</v>
      </c>
      <c r="URE3" s="12" t="s">
        <v>17197</v>
      </c>
      <c r="URF3" s="12" t="s">
        <v>17198</v>
      </c>
      <c r="URG3" s="12" t="s">
        <v>17199</v>
      </c>
      <c r="URH3" s="12" t="s">
        <v>17200</v>
      </c>
      <c r="URI3" s="12" t="s">
        <v>17201</v>
      </c>
      <c r="URJ3" s="12" t="s">
        <v>17202</v>
      </c>
      <c r="URK3" s="12" t="s">
        <v>17203</v>
      </c>
      <c r="URL3" s="12" t="s">
        <v>17204</v>
      </c>
      <c r="URM3" s="12" t="s">
        <v>17205</v>
      </c>
      <c r="URN3" s="12" t="s">
        <v>17206</v>
      </c>
      <c r="URO3" s="12" t="s">
        <v>17207</v>
      </c>
      <c r="URP3" s="12" t="s">
        <v>17208</v>
      </c>
      <c r="URQ3" s="12" t="s">
        <v>17209</v>
      </c>
      <c r="URR3" s="12" t="s">
        <v>17210</v>
      </c>
      <c r="URS3" s="12" t="s">
        <v>17211</v>
      </c>
      <c r="URT3" s="12" t="s">
        <v>17212</v>
      </c>
      <c r="URU3" s="12" t="s">
        <v>17213</v>
      </c>
      <c r="URV3" s="12" t="s">
        <v>17214</v>
      </c>
      <c r="URW3" s="12" t="s">
        <v>17215</v>
      </c>
      <c r="URX3" s="12" t="s">
        <v>17216</v>
      </c>
      <c r="URY3" s="12" t="s">
        <v>17217</v>
      </c>
      <c r="URZ3" s="12" t="s">
        <v>17218</v>
      </c>
      <c r="USA3" s="12" t="s">
        <v>17219</v>
      </c>
      <c r="USB3" s="12" t="s">
        <v>17220</v>
      </c>
      <c r="USC3" s="12" t="s">
        <v>17221</v>
      </c>
      <c r="USD3" s="12" t="s">
        <v>17222</v>
      </c>
      <c r="USE3" s="12" t="s">
        <v>17223</v>
      </c>
      <c r="USF3" s="12" t="s">
        <v>17224</v>
      </c>
      <c r="USG3" s="12" t="s">
        <v>17225</v>
      </c>
      <c r="USH3" s="12" t="s">
        <v>17226</v>
      </c>
      <c r="USI3" s="12" t="s">
        <v>17227</v>
      </c>
      <c r="USJ3" s="12" t="s">
        <v>17228</v>
      </c>
      <c r="USK3" s="12" t="s">
        <v>17229</v>
      </c>
      <c r="USL3" s="12" t="s">
        <v>17230</v>
      </c>
      <c r="USM3" s="12" t="s">
        <v>17231</v>
      </c>
      <c r="USN3" s="12" t="s">
        <v>17232</v>
      </c>
      <c r="USO3" s="12" t="s">
        <v>17233</v>
      </c>
      <c r="USP3" s="12" t="s">
        <v>17234</v>
      </c>
      <c r="USQ3" s="12" t="s">
        <v>17235</v>
      </c>
      <c r="USR3" s="12" t="s">
        <v>17236</v>
      </c>
      <c r="USS3" s="12" t="s">
        <v>17237</v>
      </c>
      <c r="UST3" s="12" t="s">
        <v>17238</v>
      </c>
      <c r="USU3" s="12" t="s">
        <v>17239</v>
      </c>
      <c r="USV3" s="12" t="s">
        <v>17240</v>
      </c>
      <c r="USW3" s="12" t="s">
        <v>17241</v>
      </c>
      <c r="USX3" s="12" t="s">
        <v>17242</v>
      </c>
      <c r="USY3" s="12" t="s">
        <v>17243</v>
      </c>
      <c r="USZ3" s="12" t="s">
        <v>17244</v>
      </c>
      <c r="UTA3" s="12" t="s">
        <v>17245</v>
      </c>
      <c r="UTB3" s="12" t="s">
        <v>17246</v>
      </c>
      <c r="UTC3" s="12" t="s">
        <v>17247</v>
      </c>
      <c r="UTD3" s="12" t="s">
        <v>17248</v>
      </c>
      <c r="UTE3" s="12" t="s">
        <v>17249</v>
      </c>
      <c r="UTF3" s="12" t="s">
        <v>17250</v>
      </c>
      <c r="UTG3" s="12" t="s">
        <v>17251</v>
      </c>
      <c r="UTH3" s="12" t="s">
        <v>17252</v>
      </c>
      <c r="UTI3" s="12" t="s">
        <v>17253</v>
      </c>
      <c r="UTJ3" s="12" t="s">
        <v>17254</v>
      </c>
      <c r="UTK3" s="12" t="s">
        <v>17255</v>
      </c>
      <c r="UTL3" s="12" t="s">
        <v>17256</v>
      </c>
      <c r="UTM3" s="12" t="s">
        <v>17257</v>
      </c>
      <c r="UTN3" s="12" t="s">
        <v>17258</v>
      </c>
      <c r="UTO3" s="12" t="s">
        <v>17259</v>
      </c>
      <c r="UTP3" s="12" t="s">
        <v>17260</v>
      </c>
      <c r="UTQ3" s="12" t="s">
        <v>17261</v>
      </c>
      <c r="UTR3" s="12" t="s">
        <v>17262</v>
      </c>
      <c r="UTS3" s="12" t="s">
        <v>17263</v>
      </c>
      <c r="UTT3" s="12" t="s">
        <v>17264</v>
      </c>
      <c r="UTU3" s="12" t="s">
        <v>17265</v>
      </c>
      <c r="UTV3" s="12" t="s">
        <v>17266</v>
      </c>
      <c r="UTW3" s="12" t="s">
        <v>17267</v>
      </c>
      <c r="UTX3" s="12" t="s">
        <v>17268</v>
      </c>
      <c r="UTY3" s="12" t="s">
        <v>17269</v>
      </c>
      <c r="UTZ3" s="12" t="s">
        <v>17270</v>
      </c>
      <c r="UUA3" s="12" t="s">
        <v>17271</v>
      </c>
      <c r="UUB3" s="12" t="s">
        <v>17272</v>
      </c>
      <c r="UUC3" s="12" t="s">
        <v>17273</v>
      </c>
      <c r="UUD3" s="12" t="s">
        <v>17274</v>
      </c>
      <c r="UUE3" s="12" t="s">
        <v>17275</v>
      </c>
      <c r="UUF3" s="12" t="s">
        <v>17276</v>
      </c>
      <c r="UUG3" s="12" t="s">
        <v>17277</v>
      </c>
      <c r="UUH3" s="12" t="s">
        <v>17278</v>
      </c>
      <c r="UUI3" s="12" t="s">
        <v>17279</v>
      </c>
      <c r="UUJ3" s="12" t="s">
        <v>17280</v>
      </c>
      <c r="UUK3" s="12" t="s">
        <v>17281</v>
      </c>
      <c r="UUL3" s="12" t="s">
        <v>17282</v>
      </c>
      <c r="UUM3" s="12" t="s">
        <v>17283</v>
      </c>
      <c r="UUN3" s="12" t="s">
        <v>17284</v>
      </c>
      <c r="UUO3" s="12" t="s">
        <v>17285</v>
      </c>
      <c r="UUP3" s="12" t="s">
        <v>17286</v>
      </c>
      <c r="UUQ3" s="12" t="s">
        <v>17287</v>
      </c>
      <c r="UUR3" s="12" t="s">
        <v>17288</v>
      </c>
      <c r="UUS3" s="12" t="s">
        <v>17289</v>
      </c>
      <c r="UUT3" s="12" t="s">
        <v>17290</v>
      </c>
      <c r="UUU3" s="12" t="s">
        <v>17291</v>
      </c>
      <c r="UUV3" s="12" t="s">
        <v>17292</v>
      </c>
      <c r="UUW3" s="12" t="s">
        <v>17293</v>
      </c>
      <c r="UUX3" s="12" t="s">
        <v>17294</v>
      </c>
      <c r="UUY3" s="12" t="s">
        <v>17295</v>
      </c>
      <c r="UUZ3" s="12" t="s">
        <v>17296</v>
      </c>
      <c r="UVA3" s="12" t="s">
        <v>17297</v>
      </c>
      <c r="UVB3" s="12" t="s">
        <v>17298</v>
      </c>
      <c r="UVC3" s="12" t="s">
        <v>17299</v>
      </c>
      <c r="UVD3" s="12" t="s">
        <v>17300</v>
      </c>
      <c r="UVE3" s="12" t="s">
        <v>17301</v>
      </c>
      <c r="UVF3" s="12" t="s">
        <v>17302</v>
      </c>
      <c r="UVG3" s="12" t="s">
        <v>17303</v>
      </c>
      <c r="UVH3" s="12" t="s">
        <v>17304</v>
      </c>
      <c r="UVI3" s="12" t="s">
        <v>17305</v>
      </c>
      <c r="UVJ3" s="12" t="s">
        <v>17306</v>
      </c>
      <c r="UVK3" s="12" t="s">
        <v>17307</v>
      </c>
      <c r="UVL3" s="12" t="s">
        <v>17308</v>
      </c>
      <c r="UVM3" s="12" t="s">
        <v>17309</v>
      </c>
      <c r="UVN3" s="12" t="s">
        <v>17310</v>
      </c>
      <c r="UVO3" s="12" t="s">
        <v>17311</v>
      </c>
      <c r="UVP3" s="12" t="s">
        <v>17312</v>
      </c>
      <c r="UVQ3" s="12" t="s">
        <v>17313</v>
      </c>
      <c r="UVR3" s="12" t="s">
        <v>17314</v>
      </c>
      <c r="UVS3" s="12" t="s">
        <v>17315</v>
      </c>
      <c r="UVT3" s="12" t="s">
        <v>17316</v>
      </c>
      <c r="UVU3" s="12" t="s">
        <v>17317</v>
      </c>
      <c r="UVV3" s="12" t="s">
        <v>17318</v>
      </c>
      <c r="UVW3" s="12" t="s">
        <v>17319</v>
      </c>
      <c r="UVX3" s="12" t="s">
        <v>17320</v>
      </c>
      <c r="UVY3" s="12" t="s">
        <v>17321</v>
      </c>
      <c r="UVZ3" s="12" t="s">
        <v>17322</v>
      </c>
      <c r="UWA3" s="12" t="s">
        <v>17323</v>
      </c>
      <c r="UWB3" s="12" t="s">
        <v>17324</v>
      </c>
      <c r="UWC3" s="12" t="s">
        <v>17325</v>
      </c>
      <c r="UWD3" s="12" t="s">
        <v>17326</v>
      </c>
      <c r="UWE3" s="12" t="s">
        <v>17327</v>
      </c>
      <c r="UWF3" s="12" t="s">
        <v>17328</v>
      </c>
      <c r="UWG3" s="12" t="s">
        <v>17329</v>
      </c>
      <c r="UWH3" s="12" t="s">
        <v>17330</v>
      </c>
      <c r="UWI3" s="12" t="s">
        <v>17331</v>
      </c>
      <c r="UWJ3" s="12" t="s">
        <v>17332</v>
      </c>
      <c r="UWK3" s="12" t="s">
        <v>17333</v>
      </c>
      <c r="UWL3" s="12" t="s">
        <v>17334</v>
      </c>
      <c r="UWM3" s="12" t="s">
        <v>17335</v>
      </c>
      <c r="UWN3" s="12" t="s">
        <v>17336</v>
      </c>
      <c r="UWO3" s="12" t="s">
        <v>17337</v>
      </c>
      <c r="UWP3" s="12" t="s">
        <v>17338</v>
      </c>
      <c r="UWQ3" s="12" t="s">
        <v>17339</v>
      </c>
      <c r="UWR3" s="12" t="s">
        <v>17340</v>
      </c>
      <c r="UWS3" s="12" t="s">
        <v>17341</v>
      </c>
      <c r="UWT3" s="12" t="s">
        <v>17342</v>
      </c>
      <c r="UWU3" s="12" t="s">
        <v>17343</v>
      </c>
      <c r="UWV3" s="12" t="s">
        <v>17344</v>
      </c>
      <c r="UWW3" s="12" t="s">
        <v>17345</v>
      </c>
      <c r="UWX3" s="12" t="s">
        <v>17346</v>
      </c>
      <c r="UWY3" s="12" t="s">
        <v>17347</v>
      </c>
      <c r="UWZ3" s="12" t="s">
        <v>17348</v>
      </c>
      <c r="UXA3" s="12" t="s">
        <v>17349</v>
      </c>
      <c r="UXB3" s="12" t="s">
        <v>17350</v>
      </c>
      <c r="UXC3" s="12" t="s">
        <v>17351</v>
      </c>
      <c r="UXD3" s="12" t="s">
        <v>17352</v>
      </c>
      <c r="UXE3" s="12" t="s">
        <v>17353</v>
      </c>
      <c r="UXF3" s="12" t="s">
        <v>17354</v>
      </c>
      <c r="UXG3" s="12" t="s">
        <v>17355</v>
      </c>
      <c r="UXH3" s="12" t="s">
        <v>17356</v>
      </c>
      <c r="UXI3" s="12" t="s">
        <v>17357</v>
      </c>
      <c r="UXJ3" s="12" t="s">
        <v>17358</v>
      </c>
      <c r="UXK3" s="12" t="s">
        <v>17359</v>
      </c>
      <c r="UXL3" s="12" t="s">
        <v>17360</v>
      </c>
      <c r="UXM3" s="12" t="s">
        <v>17361</v>
      </c>
      <c r="UXN3" s="12" t="s">
        <v>17362</v>
      </c>
      <c r="UXO3" s="12" t="s">
        <v>17363</v>
      </c>
      <c r="UXP3" s="12" t="s">
        <v>17364</v>
      </c>
      <c r="UXQ3" s="12" t="s">
        <v>17365</v>
      </c>
      <c r="UXR3" s="12" t="s">
        <v>17366</v>
      </c>
      <c r="UXS3" s="12" t="s">
        <v>17367</v>
      </c>
      <c r="UXT3" s="12" t="s">
        <v>17368</v>
      </c>
      <c r="UXU3" s="12" t="s">
        <v>17369</v>
      </c>
      <c r="UXV3" s="12" t="s">
        <v>17370</v>
      </c>
      <c r="UXW3" s="12" t="s">
        <v>17371</v>
      </c>
      <c r="UXX3" s="12" t="s">
        <v>17372</v>
      </c>
      <c r="UXY3" s="12" t="s">
        <v>17373</v>
      </c>
      <c r="UXZ3" s="12" t="s">
        <v>17374</v>
      </c>
      <c r="UYA3" s="12" t="s">
        <v>17375</v>
      </c>
      <c r="UYB3" s="12" t="s">
        <v>17376</v>
      </c>
      <c r="UYC3" s="12" t="s">
        <v>17377</v>
      </c>
      <c r="UYD3" s="12" t="s">
        <v>17378</v>
      </c>
      <c r="UYE3" s="12" t="s">
        <v>17379</v>
      </c>
      <c r="UYF3" s="12" t="s">
        <v>17380</v>
      </c>
      <c r="UYG3" s="12" t="s">
        <v>17381</v>
      </c>
      <c r="UYH3" s="12" t="s">
        <v>17382</v>
      </c>
      <c r="UYI3" s="12" t="s">
        <v>17383</v>
      </c>
      <c r="UYJ3" s="12" t="s">
        <v>17384</v>
      </c>
      <c r="UYK3" s="12" t="s">
        <v>17385</v>
      </c>
      <c r="UYL3" s="12" t="s">
        <v>17386</v>
      </c>
      <c r="UYM3" s="12" t="s">
        <v>17387</v>
      </c>
      <c r="UYN3" s="12" t="s">
        <v>17388</v>
      </c>
      <c r="UYO3" s="12" t="s">
        <v>17389</v>
      </c>
      <c r="UYP3" s="12" t="s">
        <v>17390</v>
      </c>
      <c r="UYQ3" s="12" t="s">
        <v>17391</v>
      </c>
      <c r="UYR3" s="12" t="s">
        <v>17392</v>
      </c>
      <c r="UYS3" s="12" t="s">
        <v>17393</v>
      </c>
      <c r="UYT3" s="12" t="s">
        <v>17394</v>
      </c>
      <c r="UYU3" s="12" t="s">
        <v>17395</v>
      </c>
      <c r="UYV3" s="12" t="s">
        <v>17396</v>
      </c>
      <c r="UYW3" s="12" t="s">
        <v>17397</v>
      </c>
      <c r="UYX3" s="12" t="s">
        <v>17398</v>
      </c>
      <c r="UYY3" s="12" t="s">
        <v>17399</v>
      </c>
      <c r="UYZ3" s="12" t="s">
        <v>17400</v>
      </c>
      <c r="UZA3" s="12" t="s">
        <v>17401</v>
      </c>
      <c r="UZB3" s="12" t="s">
        <v>17402</v>
      </c>
      <c r="UZC3" s="12" t="s">
        <v>17403</v>
      </c>
      <c r="UZD3" s="12" t="s">
        <v>17404</v>
      </c>
      <c r="UZE3" s="12" t="s">
        <v>17405</v>
      </c>
      <c r="UZF3" s="12" t="s">
        <v>17406</v>
      </c>
      <c r="UZG3" s="12" t="s">
        <v>17407</v>
      </c>
      <c r="UZH3" s="12" t="s">
        <v>17408</v>
      </c>
      <c r="UZI3" s="12" t="s">
        <v>17409</v>
      </c>
      <c r="UZJ3" s="12" t="s">
        <v>17410</v>
      </c>
      <c r="UZK3" s="12" t="s">
        <v>17411</v>
      </c>
      <c r="UZL3" s="12" t="s">
        <v>17412</v>
      </c>
      <c r="UZM3" s="12" t="s">
        <v>17413</v>
      </c>
      <c r="UZN3" s="12" t="s">
        <v>17414</v>
      </c>
      <c r="UZO3" s="12" t="s">
        <v>17415</v>
      </c>
      <c r="UZP3" s="12" t="s">
        <v>17416</v>
      </c>
      <c r="UZQ3" s="12" t="s">
        <v>17417</v>
      </c>
      <c r="UZR3" s="12" t="s">
        <v>17418</v>
      </c>
      <c r="UZS3" s="12" t="s">
        <v>17419</v>
      </c>
      <c r="UZT3" s="12" t="s">
        <v>17420</v>
      </c>
      <c r="UZU3" s="12" t="s">
        <v>17421</v>
      </c>
      <c r="UZV3" s="12" t="s">
        <v>17422</v>
      </c>
      <c r="UZW3" s="12" t="s">
        <v>17423</v>
      </c>
      <c r="UZX3" s="12" t="s">
        <v>17424</v>
      </c>
      <c r="UZY3" s="12" t="s">
        <v>17425</v>
      </c>
      <c r="UZZ3" s="12" t="s">
        <v>17426</v>
      </c>
      <c r="VAA3" s="12" t="s">
        <v>17427</v>
      </c>
      <c r="VAB3" s="12" t="s">
        <v>17428</v>
      </c>
      <c r="VAC3" s="12" t="s">
        <v>17429</v>
      </c>
      <c r="VAD3" s="12" t="s">
        <v>17430</v>
      </c>
      <c r="VAE3" s="12" t="s">
        <v>17431</v>
      </c>
      <c r="VAF3" s="12" t="s">
        <v>17432</v>
      </c>
      <c r="VAG3" s="12" t="s">
        <v>17433</v>
      </c>
      <c r="VAH3" s="12" t="s">
        <v>17434</v>
      </c>
      <c r="VAI3" s="12" t="s">
        <v>17435</v>
      </c>
      <c r="VAJ3" s="12" t="s">
        <v>17436</v>
      </c>
      <c r="VAK3" s="12" t="s">
        <v>17437</v>
      </c>
      <c r="VAL3" s="12" t="s">
        <v>17438</v>
      </c>
      <c r="VAM3" s="12" t="s">
        <v>17439</v>
      </c>
      <c r="VAN3" s="12" t="s">
        <v>17440</v>
      </c>
      <c r="VAO3" s="12" t="s">
        <v>17441</v>
      </c>
      <c r="VAP3" s="12" t="s">
        <v>17442</v>
      </c>
      <c r="VAQ3" s="12" t="s">
        <v>17443</v>
      </c>
      <c r="VAR3" s="12" t="s">
        <v>17444</v>
      </c>
      <c r="VAS3" s="12" t="s">
        <v>17445</v>
      </c>
      <c r="VAT3" s="12" t="s">
        <v>17446</v>
      </c>
      <c r="VAU3" s="12" t="s">
        <v>17447</v>
      </c>
      <c r="VAV3" s="12" t="s">
        <v>17448</v>
      </c>
      <c r="VAW3" s="12" t="s">
        <v>17449</v>
      </c>
      <c r="VAX3" s="12" t="s">
        <v>17450</v>
      </c>
      <c r="VAY3" s="12" t="s">
        <v>17451</v>
      </c>
      <c r="VAZ3" s="12" t="s">
        <v>17452</v>
      </c>
      <c r="VBA3" s="12" t="s">
        <v>17453</v>
      </c>
      <c r="VBB3" s="12" t="s">
        <v>17454</v>
      </c>
      <c r="VBC3" s="12" t="s">
        <v>17455</v>
      </c>
      <c r="VBD3" s="12" t="s">
        <v>17456</v>
      </c>
      <c r="VBE3" s="12" t="s">
        <v>17457</v>
      </c>
      <c r="VBF3" s="12" t="s">
        <v>17458</v>
      </c>
      <c r="VBG3" s="12" t="s">
        <v>17459</v>
      </c>
      <c r="VBH3" s="12" t="s">
        <v>17460</v>
      </c>
      <c r="VBI3" s="12" t="s">
        <v>17461</v>
      </c>
      <c r="VBJ3" s="12" t="s">
        <v>17462</v>
      </c>
      <c r="VBK3" s="12" t="s">
        <v>17463</v>
      </c>
      <c r="VBL3" s="12" t="s">
        <v>17464</v>
      </c>
      <c r="VBM3" s="12" t="s">
        <v>17465</v>
      </c>
      <c r="VBN3" s="12" t="s">
        <v>17466</v>
      </c>
      <c r="VBO3" s="12" t="s">
        <v>17467</v>
      </c>
      <c r="VBP3" s="12" t="s">
        <v>17468</v>
      </c>
      <c r="VBQ3" s="12" t="s">
        <v>17469</v>
      </c>
      <c r="VBR3" s="12" t="s">
        <v>17470</v>
      </c>
      <c r="VBS3" s="12" t="s">
        <v>17471</v>
      </c>
      <c r="VBT3" s="12" t="s">
        <v>17472</v>
      </c>
      <c r="VBU3" s="12" t="s">
        <v>17473</v>
      </c>
      <c r="VBV3" s="12" t="s">
        <v>17474</v>
      </c>
      <c r="VBW3" s="12" t="s">
        <v>17475</v>
      </c>
      <c r="VBX3" s="12" t="s">
        <v>17476</v>
      </c>
      <c r="VBY3" s="12" t="s">
        <v>17477</v>
      </c>
      <c r="VBZ3" s="12" t="s">
        <v>17478</v>
      </c>
      <c r="VCA3" s="12" t="s">
        <v>17479</v>
      </c>
      <c r="VCB3" s="12" t="s">
        <v>17480</v>
      </c>
      <c r="VCC3" s="12" t="s">
        <v>17481</v>
      </c>
      <c r="VCD3" s="12" t="s">
        <v>17482</v>
      </c>
      <c r="VCE3" s="12" t="s">
        <v>17483</v>
      </c>
      <c r="VCF3" s="12" t="s">
        <v>17484</v>
      </c>
      <c r="VCG3" s="12" t="s">
        <v>17485</v>
      </c>
      <c r="VCH3" s="12" t="s">
        <v>17486</v>
      </c>
      <c r="VCI3" s="12" t="s">
        <v>17487</v>
      </c>
      <c r="VCJ3" s="12" t="s">
        <v>17488</v>
      </c>
      <c r="VCK3" s="12" t="s">
        <v>17489</v>
      </c>
      <c r="VCL3" s="12" t="s">
        <v>17490</v>
      </c>
      <c r="VCM3" s="12" t="s">
        <v>17491</v>
      </c>
      <c r="VCN3" s="12" t="s">
        <v>17492</v>
      </c>
      <c r="VCO3" s="12" t="s">
        <v>17493</v>
      </c>
      <c r="VCP3" s="12" t="s">
        <v>17494</v>
      </c>
      <c r="VCQ3" s="12" t="s">
        <v>17495</v>
      </c>
      <c r="VCR3" s="12" t="s">
        <v>17496</v>
      </c>
      <c r="VCS3" s="12" t="s">
        <v>17497</v>
      </c>
      <c r="VCT3" s="12" t="s">
        <v>17498</v>
      </c>
      <c r="VCU3" s="12" t="s">
        <v>17499</v>
      </c>
      <c r="VCV3" s="12" t="s">
        <v>17500</v>
      </c>
      <c r="VCW3" s="12" t="s">
        <v>17501</v>
      </c>
      <c r="VCX3" s="12" t="s">
        <v>17502</v>
      </c>
      <c r="VCY3" s="12" t="s">
        <v>17503</v>
      </c>
      <c r="VCZ3" s="12" t="s">
        <v>17504</v>
      </c>
      <c r="VDA3" s="12" t="s">
        <v>17505</v>
      </c>
      <c r="VDB3" s="12" t="s">
        <v>17506</v>
      </c>
      <c r="VDC3" s="12" t="s">
        <v>17507</v>
      </c>
      <c r="VDD3" s="12" t="s">
        <v>17508</v>
      </c>
      <c r="VDE3" s="12" t="s">
        <v>17509</v>
      </c>
      <c r="VDF3" s="12" t="s">
        <v>17510</v>
      </c>
      <c r="VDG3" s="12" t="s">
        <v>17511</v>
      </c>
      <c r="VDH3" s="12" t="s">
        <v>17512</v>
      </c>
      <c r="VDI3" s="12" t="s">
        <v>17513</v>
      </c>
      <c r="VDJ3" s="12" t="s">
        <v>17514</v>
      </c>
      <c r="VDK3" s="12" t="s">
        <v>17515</v>
      </c>
      <c r="VDL3" s="12" t="s">
        <v>17516</v>
      </c>
      <c r="VDM3" s="12" t="s">
        <v>17517</v>
      </c>
      <c r="VDN3" s="12" t="s">
        <v>17518</v>
      </c>
      <c r="VDO3" s="12" t="s">
        <v>17519</v>
      </c>
      <c r="VDP3" s="12" t="s">
        <v>17520</v>
      </c>
      <c r="VDQ3" s="12" t="s">
        <v>17521</v>
      </c>
      <c r="VDR3" s="12" t="s">
        <v>17522</v>
      </c>
      <c r="VDS3" s="12" t="s">
        <v>17523</v>
      </c>
      <c r="VDT3" s="12" t="s">
        <v>17524</v>
      </c>
      <c r="VDU3" s="12" t="s">
        <v>17525</v>
      </c>
      <c r="VDV3" s="12" t="s">
        <v>17526</v>
      </c>
      <c r="VDW3" s="12" t="s">
        <v>17527</v>
      </c>
      <c r="VDX3" s="12" t="s">
        <v>17528</v>
      </c>
      <c r="VDY3" s="12" t="s">
        <v>17529</v>
      </c>
      <c r="VDZ3" s="12" t="s">
        <v>17530</v>
      </c>
      <c r="VEA3" s="12" t="s">
        <v>17531</v>
      </c>
      <c r="VEB3" s="12" t="s">
        <v>17532</v>
      </c>
      <c r="VEC3" s="12" t="s">
        <v>17533</v>
      </c>
      <c r="VED3" s="12" t="s">
        <v>17534</v>
      </c>
      <c r="VEE3" s="12" t="s">
        <v>17535</v>
      </c>
      <c r="VEF3" s="12" t="s">
        <v>17536</v>
      </c>
      <c r="VEG3" s="12" t="s">
        <v>17537</v>
      </c>
      <c r="VEH3" s="12" t="s">
        <v>17538</v>
      </c>
      <c r="VEI3" s="12" t="s">
        <v>17539</v>
      </c>
      <c r="VEJ3" s="12" t="s">
        <v>17540</v>
      </c>
      <c r="VEK3" s="12" t="s">
        <v>17541</v>
      </c>
      <c r="VEL3" s="12" t="s">
        <v>17542</v>
      </c>
      <c r="VEM3" s="12" t="s">
        <v>17543</v>
      </c>
      <c r="VEN3" s="12" t="s">
        <v>17544</v>
      </c>
      <c r="VEO3" s="12" t="s">
        <v>17545</v>
      </c>
      <c r="VEP3" s="12" t="s">
        <v>17546</v>
      </c>
      <c r="VEQ3" s="12" t="s">
        <v>17547</v>
      </c>
      <c r="VER3" s="12" t="s">
        <v>17548</v>
      </c>
      <c r="VES3" s="12" t="s">
        <v>17549</v>
      </c>
      <c r="VET3" s="12" t="s">
        <v>17550</v>
      </c>
      <c r="VEU3" s="12" t="s">
        <v>17551</v>
      </c>
      <c r="VEV3" s="12" t="s">
        <v>17552</v>
      </c>
      <c r="VEW3" s="12" t="s">
        <v>17553</v>
      </c>
      <c r="VEX3" s="12" t="s">
        <v>17554</v>
      </c>
      <c r="VEY3" s="12" t="s">
        <v>17555</v>
      </c>
      <c r="VEZ3" s="12" t="s">
        <v>17556</v>
      </c>
      <c r="VFA3" s="12" t="s">
        <v>17557</v>
      </c>
      <c r="VFB3" s="12" t="s">
        <v>17558</v>
      </c>
      <c r="VFC3" s="12" t="s">
        <v>17559</v>
      </c>
      <c r="VFD3" s="12" t="s">
        <v>17560</v>
      </c>
      <c r="VFE3" s="12" t="s">
        <v>17561</v>
      </c>
      <c r="VFF3" s="12" t="s">
        <v>17562</v>
      </c>
      <c r="VFG3" s="12" t="s">
        <v>17563</v>
      </c>
      <c r="VFH3" s="12" t="s">
        <v>17564</v>
      </c>
      <c r="VFI3" s="12" t="s">
        <v>17565</v>
      </c>
      <c r="VFJ3" s="12" t="s">
        <v>17566</v>
      </c>
      <c r="VFK3" s="12" t="s">
        <v>17567</v>
      </c>
      <c r="VFL3" s="12" t="s">
        <v>17568</v>
      </c>
      <c r="VFM3" s="12" t="s">
        <v>17569</v>
      </c>
      <c r="VFN3" s="12" t="s">
        <v>17570</v>
      </c>
      <c r="VFO3" s="12" t="s">
        <v>17571</v>
      </c>
      <c r="VFP3" s="12" t="s">
        <v>17572</v>
      </c>
      <c r="VFQ3" s="12" t="s">
        <v>17573</v>
      </c>
      <c r="VFR3" s="12" t="s">
        <v>17574</v>
      </c>
      <c r="VFS3" s="12" t="s">
        <v>17575</v>
      </c>
      <c r="VFT3" s="12" t="s">
        <v>17576</v>
      </c>
      <c r="VFU3" s="12" t="s">
        <v>17577</v>
      </c>
      <c r="VFV3" s="12" t="s">
        <v>17578</v>
      </c>
      <c r="VFW3" s="12" t="s">
        <v>17579</v>
      </c>
      <c r="VFX3" s="12" t="s">
        <v>17580</v>
      </c>
      <c r="VFY3" s="12" t="s">
        <v>17581</v>
      </c>
      <c r="VFZ3" s="12" t="s">
        <v>17582</v>
      </c>
      <c r="VGA3" s="12" t="s">
        <v>17583</v>
      </c>
      <c r="VGB3" s="12" t="s">
        <v>17584</v>
      </c>
      <c r="VGC3" s="12" t="s">
        <v>17585</v>
      </c>
      <c r="VGD3" s="12" t="s">
        <v>17586</v>
      </c>
      <c r="VGE3" s="12" t="s">
        <v>17587</v>
      </c>
      <c r="VGF3" s="12" t="s">
        <v>17588</v>
      </c>
      <c r="VGG3" s="12" t="s">
        <v>17589</v>
      </c>
      <c r="VGH3" s="12" t="s">
        <v>17590</v>
      </c>
      <c r="VGI3" s="12" t="s">
        <v>17591</v>
      </c>
      <c r="VGJ3" s="12" t="s">
        <v>17592</v>
      </c>
      <c r="VGK3" s="12" t="s">
        <v>17593</v>
      </c>
      <c r="VGL3" s="12" t="s">
        <v>17594</v>
      </c>
      <c r="VGM3" s="12" t="s">
        <v>17595</v>
      </c>
      <c r="VGN3" s="12" t="s">
        <v>17596</v>
      </c>
      <c r="VGO3" s="12" t="s">
        <v>17597</v>
      </c>
      <c r="VGP3" s="12" t="s">
        <v>17598</v>
      </c>
      <c r="VGQ3" s="12" t="s">
        <v>17599</v>
      </c>
      <c r="VGR3" s="12" t="s">
        <v>17600</v>
      </c>
      <c r="VGS3" s="12" t="s">
        <v>17601</v>
      </c>
      <c r="VGT3" s="12" t="s">
        <v>17602</v>
      </c>
      <c r="VGU3" s="12" t="s">
        <v>17603</v>
      </c>
      <c r="VGV3" s="12" t="s">
        <v>17604</v>
      </c>
      <c r="VGW3" s="12" t="s">
        <v>17605</v>
      </c>
      <c r="VGX3" s="12" t="s">
        <v>17606</v>
      </c>
      <c r="VGY3" s="12" t="s">
        <v>17607</v>
      </c>
      <c r="VGZ3" s="12" t="s">
        <v>17608</v>
      </c>
      <c r="VHA3" s="12" t="s">
        <v>17609</v>
      </c>
      <c r="VHB3" s="12" t="s">
        <v>17610</v>
      </c>
      <c r="VHC3" s="12" t="s">
        <v>17611</v>
      </c>
      <c r="VHD3" s="12" t="s">
        <v>17612</v>
      </c>
      <c r="VHE3" s="12" t="s">
        <v>17613</v>
      </c>
      <c r="VHF3" s="12" t="s">
        <v>17614</v>
      </c>
      <c r="VHG3" s="12" t="s">
        <v>17615</v>
      </c>
      <c r="VHH3" s="12" t="s">
        <v>17616</v>
      </c>
      <c r="VHI3" s="12" t="s">
        <v>17617</v>
      </c>
      <c r="VHJ3" s="12" t="s">
        <v>17618</v>
      </c>
      <c r="VHK3" s="12" t="s">
        <v>17619</v>
      </c>
      <c r="VHL3" s="12" t="s">
        <v>17620</v>
      </c>
      <c r="VHM3" s="12" t="s">
        <v>17621</v>
      </c>
      <c r="VHN3" s="12" t="s">
        <v>17622</v>
      </c>
      <c r="VHO3" s="12" t="s">
        <v>17623</v>
      </c>
      <c r="VHP3" s="12" t="s">
        <v>17624</v>
      </c>
      <c r="VHQ3" s="12" t="s">
        <v>17625</v>
      </c>
      <c r="VHR3" s="12" t="s">
        <v>17626</v>
      </c>
      <c r="VHS3" s="12" t="s">
        <v>17627</v>
      </c>
      <c r="VHT3" s="12" t="s">
        <v>17628</v>
      </c>
      <c r="VHU3" s="12" t="s">
        <v>17629</v>
      </c>
      <c r="VHV3" s="12" t="s">
        <v>17630</v>
      </c>
      <c r="VHW3" s="12" t="s">
        <v>17631</v>
      </c>
      <c r="VHX3" s="12" t="s">
        <v>17632</v>
      </c>
      <c r="VHY3" s="12" t="s">
        <v>17633</v>
      </c>
      <c r="VHZ3" s="12" t="s">
        <v>17634</v>
      </c>
      <c r="VIA3" s="12" t="s">
        <v>17635</v>
      </c>
      <c r="VIB3" s="12" t="s">
        <v>17636</v>
      </c>
      <c r="VIC3" s="12" t="s">
        <v>17637</v>
      </c>
      <c r="VID3" s="12" t="s">
        <v>17638</v>
      </c>
      <c r="VIE3" s="12" t="s">
        <v>17639</v>
      </c>
      <c r="VIF3" s="12" t="s">
        <v>17640</v>
      </c>
      <c r="VIG3" s="12" t="s">
        <v>17641</v>
      </c>
      <c r="VIH3" s="12" t="s">
        <v>17642</v>
      </c>
      <c r="VII3" s="12" t="s">
        <v>17643</v>
      </c>
      <c r="VIJ3" s="12" t="s">
        <v>17644</v>
      </c>
      <c r="VIK3" s="12" t="s">
        <v>17645</v>
      </c>
      <c r="VIL3" s="12" t="s">
        <v>17646</v>
      </c>
      <c r="VIM3" s="12" t="s">
        <v>17647</v>
      </c>
      <c r="VIN3" s="12" t="s">
        <v>17648</v>
      </c>
      <c r="VIO3" s="12" t="s">
        <v>17649</v>
      </c>
      <c r="VIP3" s="12" t="s">
        <v>17650</v>
      </c>
      <c r="VIQ3" s="12" t="s">
        <v>17651</v>
      </c>
      <c r="VIR3" s="12" t="s">
        <v>17652</v>
      </c>
      <c r="VIS3" s="12" t="s">
        <v>17653</v>
      </c>
      <c r="VIT3" s="12" t="s">
        <v>17654</v>
      </c>
      <c r="VIU3" s="12" t="s">
        <v>17655</v>
      </c>
      <c r="VIV3" s="12" t="s">
        <v>17656</v>
      </c>
      <c r="VIW3" s="12" t="s">
        <v>17657</v>
      </c>
      <c r="VIX3" s="12" t="s">
        <v>17658</v>
      </c>
      <c r="VIY3" s="12" t="s">
        <v>17659</v>
      </c>
      <c r="VIZ3" s="12" t="s">
        <v>17660</v>
      </c>
      <c r="VJA3" s="12" t="s">
        <v>17661</v>
      </c>
      <c r="VJB3" s="12" t="s">
        <v>17662</v>
      </c>
      <c r="VJC3" s="12" t="s">
        <v>17663</v>
      </c>
      <c r="VJD3" s="12" t="s">
        <v>17664</v>
      </c>
      <c r="VJE3" s="12" t="s">
        <v>17665</v>
      </c>
      <c r="VJF3" s="12" t="s">
        <v>17666</v>
      </c>
      <c r="VJG3" s="12" t="s">
        <v>17667</v>
      </c>
      <c r="VJH3" s="12" t="s">
        <v>17668</v>
      </c>
      <c r="VJI3" s="12" t="s">
        <v>17669</v>
      </c>
      <c r="VJJ3" s="12" t="s">
        <v>17670</v>
      </c>
      <c r="VJK3" s="12" t="s">
        <v>17671</v>
      </c>
      <c r="VJL3" s="12" t="s">
        <v>17672</v>
      </c>
      <c r="VJM3" s="12" t="s">
        <v>17673</v>
      </c>
      <c r="VJN3" s="12" t="s">
        <v>17674</v>
      </c>
      <c r="VJO3" s="12" t="s">
        <v>17675</v>
      </c>
      <c r="VJP3" s="12" t="s">
        <v>17676</v>
      </c>
      <c r="VJQ3" s="12" t="s">
        <v>17677</v>
      </c>
      <c r="VJR3" s="12" t="s">
        <v>17678</v>
      </c>
      <c r="VJS3" s="12" t="s">
        <v>17679</v>
      </c>
      <c r="VJT3" s="12" t="s">
        <v>17680</v>
      </c>
      <c r="VJU3" s="12" t="s">
        <v>17681</v>
      </c>
      <c r="VJV3" s="12" t="s">
        <v>17682</v>
      </c>
      <c r="VJW3" s="12" t="s">
        <v>17683</v>
      </c>
      <c r="VJX3" s="12" t="s">
        <v>17684</v>
      </c>
      <c r="VJY3" s="12" t="s">
        <v>17685</v>
      </c>
      <c r="VJZ3" s="12" t="s">
        <v>17686</v>
      </c>
      <c r="VKA3" s="12" t="s">
        <v>17687</v>
      </c>
      <c r="VKB3" s="12" t="s">
        <v>17688</v>
      </c>
      <c r="VKC3" s="12" t="s">
        <v>17689</v>
      </c>
      <c r="VKD3" s="12" t="s">
        <v>17690</v>
      </c>
      <c r="VKE3" s="12" t="s">
        <v>17691</v>
      </c>
      <c r="VKF3" s="12" t="s">
        <v>17692</v>
      </c>
      <c r="VKG3" s="12" t="s">
        <v>17693</v>
      </c>
      <c r="VKH3" s="12" t="s">
        <v>17694</v>
      </c>
      <c r="VKI3" s="12" t="s">
        <v>17695</v>
      </c>
      <c r="VKJ3" s="12" t="s">
        <v>17696</v>
      </c>
      <c r="VKK3" s="12" t="s">
        <v>17697</v>
      </c>
      <c r="VKL3" s="12" t="s">
        <v>17698</v>
      </c>
      <c r="VKM3" s="12" t="s">
        <v>17699</v>
      </c>
      <c r="VKN3" s="12" t="s">
        <v>17700</v>
      </c>
      <c r="VKO3" s="12" t="s">
        <v>17701</v>
      </c>
      <c r="VKP3" s="12" t="s">
        <v>17702</v>
      </c>
      <c r="VKQ3" s="12" t="s">
        <v>17703</v>
      </c>
      <c r="VKR3" s="12" t="s">
        <v>17704</v>
      </c>
      <c r="VKS3" s="12" t="s">
        <v>17705</v>
      </c>
      <c r="VKT3" s="12" t="s">
        <v>17706</v>
      </c>
      <c r="VKU3" s="12" t="s">
        <v>17707</v>
      </c>
      <c r="VKV3" s="12" t="s">
        <v>17708</v>
      </c>
      <c r="VKW3" s="12" t="s">
        <v>17709</v>
      </c>
      <c r="VKX3" s="12" t="s">
        <v>17710</v>
      </c>
      <c r="VKY3" s="12" t="s">
        <v>17711</v>
      </c>
      <c r="VKZ3" s="12" t="s">
        <v>17712</v>
      </c>
      <c r="VLA3" s="12" t="s">
        <v>17713</v>
      </c>
      <c r="VLB3" s="12" t="s">
        <v>17714</v>
      </c>
      <c r="VLC3" s="12" t="s">
        <v>17715</v>
      </c>
      <c r="VLD3" s="12" t="s">
        <v>17716</v>
      </c>
      <c r="VLE3" s="12" t="s">
        <v>17717</v>
      </c>
      <c r="VLF3" s="12" t="s">
        <v>17718</v>
      </c>
      <c r="VLG3" s="12" t="s">
        <v>17719</v>
      </c>
      <c r="VLH3" s="12" t="s">
        <v>17720</v>
      </c>
      <c r="VLI3" s="12" t="s">
        <v>17721</v>
      </c>
      <c r="VLJ3" s="12" t="s">
        <v>17722</v>
      </c>
      <c r="VLK3" s="12" t="s">
        <v>17723</v>
      </c>
      <c r="VLL3" s="12" t="s">
        <v>17724</v>
      </c>
      <c r="VLM3" s="12" t="s">
        <v>17725</v>
      </c>
      <c r="VLN3" s="12" t="s">
        <v>17726</v>
      </c>
      <c r="VLO3" s="12" t="s">
        <v>17727</v>
      </c>
      <c r="VLP3" s="12" t="s">
        <v>17728</v>
      </c>
      <c r="VLQ3" s="12" t="s">
        <v>17729</v>
      </c>
      <c r="VLR3" s="12" t="s">
        <v>17730</v>
      </c>
      <c r="VLS3" s="12" t="s">
        <v>17731</v>
      </c>
      <c r="VLT3" s="12" t="s">
        <v>17732</v>
      </c>
      <c r="VLU3" s="12" t="s">
        <v>17733</v>
      </c>
      <c r="VLV3" s="12" t="s">
        <v>17734</v>
      </c>
      <c r="VLW3" s="12" t="s">
        <v>17735</v>
      </c>
      <c r="VLX3" s="12" t="s">
        <v>17736</v>
      </c>
      <c r="VLY3" s="12" t="s">
        <v>17737</v>
      </c>
      <c r="VLZ3" s="12" t="s">
        <v>17738</v>
      </c>
      <c r="VMA3" s="12" t="s">
        <v>17739</v>
      </c>
      <c r="VMB3" s="12" t="s">
        <v>17740</v>
      </c>
      <c r="VMC3" s="12" t="s">
        <v>17741</v>
      </c>
      <c r="VMD3" s="12" t="s">
        <v>17742</v>
      </c>
      <c r="VME3" s="12" t="s">
        <v>17743</v>
      </c>
      <c r="VMF3" s="12" t="s">
        <v>17744</v>
      </c>
      <c r="VMG3" s="12" t="s">
        <v>17745</v>
      </c>
      <c r="VMH3" s="12" t="s">
        <v>17746</v>
      </c>
      <c r="VMI3" s="12" t="s">
        <v>17747</v>
      </c>
      <c r="VMJ3" s="12" t="s">
        <v>17748</v>
      </c>
      <c r="VMK3" s="12" t="s">
        <v>17749</v>
      </c>
      <c r="VML3" s="12" t="s">
        <v>17750</v>
      </c>
      <c r="VMM3" s="12" t="s">
        <v>17751</v>
      </c>
      <c r="VMN3" s="12" t="s">
        <v>17752</v>
      </c>
      <c r="VMO3" s="12" t="s">
        <v>17753</v>
      </c>
      <c r="VMP3" s="12" t="s">
        <v>17754</v>
      </c>
      <c r="VMQ3" s="12" t="s">
        <v>17755</v>
      </c>
      <c r="VMR3" s="12" t="s">
        <v>17756</v>
      </c>
      <c r="VMS3" s="12" t="s">
        <v>17757</v>
      </c>
      <c r="VMT3" s="12" t="s">
        <v>17758</v>
      </c>
      <c r="VMU3" s="12" t="s">
        <v>17759</v>
      </c>
      <c r="VMV3" s="12" t="s">
        <v>17760</v>
      </c>
      <c r="VMW3" s="12" t="s">
        <v>17761</v>
      </c>
      <c r="VMX3" s="12" t="s">
        <v>17762</v>
      </c>
      <c r="VMY3" s="12" t="s">
        <v>17763</v>
      </c>
      <c r="VMZ3" s="12" t="s">
        <v>17764</v>
      </c>
      <c r="VNA3" s="12" t="s">
        <v>17765</v>
      </c>
      <c r="VNB3" s="12" t="s">
        <v>17766</v>
      </c>
      <c r="VNC3" s="12" t="s">
        <v>17767</v>
      </c>
      <c r="VND3" s="12" t="s">
        <v>17768</v>
      </c>
      <c r="VNE3" s="12" t="s">
        <v>17769</v>
      </c>
      <c r="VNF3" s="12" t="s">
        <v>17770</v>
      </c>
      <c r="VNG3" s="12" t="s">
        <v>17771</v>
      </c>
      <c r="VNH3" s="12" t="s">
        <v>17772</v>
      </c>
      <c r="VNI3" s="12" t="s">
        <v>17773</v>
      </c>
      <c r="VNJ3" s="12" t="s">
        <v>17774</v>
      </c>
      <c r="VNK3" s="12" t="s">
        <v>17775</v>
      </c>
      <c r="VNL3" s="12" t="s">
        <v>17776</v>
      </c>
      <c r="VNM3" s="12" t="s">
        <v>17777</v>
      </c>
      <c r="VNN3" s="12" t="s">
        <v>17778</v>
      </c>
      <c r="VNO3" s="12" t="s">
        <v>17779</v>
      </c>
      <c r="VNP3" s="12" t="s">
        <v>17780</v>
      </c>
      <c r="VNQ3" s="12" t="s">
        <v>17781</v>
      </c>
      <c r="VNR3" s="12" t="s">
        <v>17782</v>
      </c>
      <c r="VNS3" s="12" t="s">
        <v>17783</v>
      </c>
      <c r="VNT3" s="12" t="s">
        <v>17784</v>
      </c>
      <c r="VNU3" s="12" t="s">
        <v>17785</v>
      </c>
      <c r="VNV3" s="12" t="s">
        <v>17786</v>
      </c>
      <c r="VNW3" s="12" t="s">
        <v>17787</v>
      </c>
      <c r="VNX3" s="12" t="s">
        <v>17788</v>
      </c>
      <c r="VNY3" s="12" t="s">
        <v>17789</v>
      </c>
      <c r="VNZ3" s="12" t="s">
        <v>17790</v>
      </c>
      <c r="VOA3" s="12" t="s">
        <v>17791</v>
      </c>
      <c r="VOB3" s="12" t="s">
        <v>17792</v>
      </c>
      <c r="VOC3" s="12" t="s">
        <v>17793</v>
      </c>
      <c r="VOD3" s="12" t="s">
        <v>17794</v>
      </c>
      <c r="VOE3" s="12" t="s">
        <v>17795</v>
      </c>
      <c r="VOF3" s="12" t="s">
        <v>17796</v>
      </c>
      <c r="VOG3" s="12" t="s">
        <v>17797</v>
      </c>
      <c r="VOH3" s="12" t="s">
        <v>17798</v>
      </c>
      <c r="VOI3" s="12" t="s">
        <v>17799</v>
      </c>
      <c r="VOJ3" s="12" t="s">
        <v>17800</v>
      </c>
      <c r="VOK3" s="12" t="s">
        <v>17801</v>
      </c>
      <c r="VOL3" s="12" t="s">
        <v>17802</v>
      </c>
      <c r="VOM3" s="12" t="s">
        <v>17803</v>
      </c>
      <c r="VON3" s="12" t="s">
        <v>17804</v>
      </c>
      <c r="VOO3" s="12" t="s">
        <v>17805</v>
      </c>
      <c r="VOP3" s="12" t="s">
        <v>17806</v>
      </c>
      <c r="VOQ3" s="12" t="s">
        <v>17807</v>
      </c>
      <c r="VOR3" s="12" t="s">
        <v>17808</v>
      </c>
      <c r="VOS3" s="12" t="s">
        <v>17809</v>
      </c>
      <c r="VOT3" s="12" t="s">
        <v>17810</v>
      </c>
      <c r="VOU3" s="12" t="s">
        <v>17811</v>
      </c>
      <c r="VOV3" s="12" t="s">
        <v>17812</v>
      </c>
      <c r="VOW3" s="12" t="s">
        <v>17813</v>
      </c>
      <c r="VOX3" s="12" t="s">
        <v>17814</v>
      </c>
      <c r="VOY3" s="12" t="s">
        <v>17815</v>
      </c>
      <c r="VOZ3" s="12" t="s">
        <v>17816</v>
      </c>
      <c r="VPA3" s="12" t="s">
        <v>17817</v>
      </c>
      <c r="VPB3" s="12" t="s">
        <v>17818</v>
      </c>
      <c r="VPC3" s="12" t="s">
        <v>17819</v>
      </c>
      <c r="VPD3" s="12" t="s">
        <v>17820</v>
      </c>
      <c r="VPE3" s="12" t="s">
        <v>17821</v>
      </c>
      <c r="VPF3" s="12" t="s">
        <v>17822</v>
      </c>
      <c r="VPG3" s="12" t="s">
        <v>17823</v>
      </c>
      <c r="VPH3" s="12" t="s">
        <v>17824</v>
      </c>
      <c r="VPI3" s="12" t="s">
        <v>17825</v>
      </c>
      <c r="VPJ3" s="12" t="s">
        <v>17826</v>
      </c>
      <c r="VPK3" s="12" t="s">
        <v>17827</v>
      </c>
      <c r="VPL3" s="12" t="s">
        <v>17828</v>
      </c>
      <c r="VPM3" s="12" t="s">
        <v>17829</v>
      </c>
      <c r="VPN3" s="12" t="s">
        <v>17830</v>
      </c>
      <c r="VPO3" s="12" t="s">
        <v>17831</v>
      </c>
      <c r="VPP3" s="12" t="s">
        <v>17832</v>
      </c>
      <c r="VPQ3" s="12" t="s">
        <v>17833</v>
      </c>
      <c r="VPR3" s="12" t="s">
        <v>17834</v>
      </c>
      <c r="VPS3" s="12" t="s">
        <v>17835</v>
      </c>
      <c r="VPT3" s="12" t="s">
        <v>17836</v>
      </c>
      <c r="VPU3" s="12" t="s">
        <v>17837</v>
      </c>
      <c r="VPV3" s="12" t="s">
        <v>17838</v>
      </c>
      <c r="VPW3" s="12" t="s">
        <v>17839</v>
      </c>
      <c r="VPX3" s="12" t="s">
        <v>17840</v>
      </c>
      <c r="VPY3" s="12" t="s">
        <v>17841</v>
      </c>
      <c r="VPZ3" s="12" t="s">
        <v>17842</v>
      </c>
      <c r="VQA3" s="12" t="s">
        <v>17843</v>
      </c>
      <c r="VQB3" s="12" t="s">
        <v>17844</v>
      </c>
      <c r="VQC3" s="12" t="s">
        <v>17845</v>
      </c>
      <c r="VQD3" s="12" t="s">
        <v>17846</v>
      </c>
      <c r="VQE3" s="12" t="s">
        <v>17847</v>
      </c>
      <c r="VQF3" s="12" t="s">
        <v>17848</v>
      </c>
      <c r="VQG3" s="12" t="s">
        <v>17849</v>
      </c>
      <c r="VQH3" s="12" t="s">
        <v>17850</v>
      </c>
      <c r="VQI3" s="12" t="s">
        <v>17851</v>
      </c>
      <c r="VQJ3" s="12" t="s">
        <v>17852</v>
      </c>
      <c r="VQK3" s="12" t="s">
        <v>17853</v>
      </c>
      <c r="VQL3" s="12" t="s">
        <v>17854</v>
      </c>
      <c r="VQM3" s="12" t="s">
        <v>17855</v>
      </c>
      <c r="VQN3" s="12" t="s">
        <v>17856</v>
      </c>
      <c r="VQO3" s="12" t="s">
        <v>17857</v>
      </c>
      <c r="VQP3" s="12" t="s">
        <v>17858</v>
      </c>
      <c r="VQQ3" s="12" t="s">
        <v>17859</v>
      </c>
      <c r="VQR3" s="12" t="s">
        <v>17860</v>
      </c>
      <c r="VQS3" s="12" t="s">
        <v>17861</v>
      </c>
      <c r="VQT3" s="12" t="s">
        <v>17862</v>
      </c>
      <c r="VQU3" s="12" t="s">
        <v>17863</v>
      </c>
      <c r="VQV3" s="12" t="s">
        <v>17864</v>
      </c>
      <c r="VQW3" s="12" t="s">
        <v>17865</v>
      </c>
      <c r="VQX3" s="12" t="s">
        <v>17866</v>
      </c>
      <c r="VQY3" s="12" t="s">
        <v>17867</v>
      </c>
      <c r="VQZ3" s="12" t="s">
        <v>17868</v>
      </c>
      <c r="VRA3" s="12" t="s">
        <v>17869</v>
      </c>
      <c r="VRB3" s="12" t="s">
        <v>17870</v>
      </c>
      <c r="VRC3" s="12" t="s">
        <v>17871</v>
      </c>
      <c r="VRD3" s="12" t="s">
        <v>17872</v>
      </c>
      <c r="VRE3" s="12" t="s">
        <v>17873</v>
      </c>
      <c r="VRF3" s="12" t="s">
        <v>17874</v>
      </c>
      <c r="VRG3" s="12" t="s">
        <v>17875</v>
      </c>
      <c r="VRH3" s="12" t="s">
        <v>17876</v>
      </c>
      <c r="VRI3" s="12" t="s">
        <v>17877</v>
      </c>
      <c r="VRJ3" s="12" t="s">
        <v>17878</v>
      </c>
      <c r="VRK3" s="12" t="s">
        <v>17879</v>
      </c>
      <c r="VRL3" s="12" t="s">
        <v>17880</v>
      </c>
      <c r="VRM3" s="12" t="s">
        <v>17881</v>
      </c>
      <c r="VRN3" s="12" t="s">
        <v>17882</v>
      </c>
      <c r="VRO3" s="12" t="s">
        <v>17883</v>
      </c>
      <c r="VRP3" s="12" t="s">
        <v>17884</v>
      </c>
      <c r="VRQ3" s="12" t="s">
        <v>17885</v>
      </c>
      <c r="VRR3" s="12" t="s">
        <v>17886</v>
      </c>
      <c r="VRS3" s="12" t="s">
        <v>17887</v>
      </c>
      <c r="VRT3" s="12" t="s">
        <v>17888</v>
      </c>
      <c r="VRU3" s="12" t="s">
        <v>17889</v>
      </c>
      <c r="VRV3" s="12" t="s">
        <v>17890</v>
      </c>
      <c r="VRW3" s="12" t="s">
        <v>17891</v>
      </c>
      <c r="VRX3" s="12" t="s">
        <v>17892</v>
      </c>
      <c r="VRY3" s="12" t="s">
        <v>17893</v>
      </c>
      <c r="VRZ3" s="12" t="s">
        <v>17894</v>
      </c>
      <c r="VSA3" s="12" t="s">
        <v>17895</v>
      </c>
      <c r="VSB3" s="12" t="s">
        <v>17896</v>
      </c>
      <c r="VSC3" s="12" t="s">
        <v>17897</v>
      </c>
      <c r="VSD3" s="12" t="s">
        <v>17898</v>
      </c>
      <c r="VSE3" s="12" t="s">
        <v>17899</v>
      </c>
      <c r="VSF3" s="12" t="s">
        <v>17900</v>
      </c>
      <c r="VSG3" s="12" t="s">
        <v>17901</v>
      </c>
      <c r="VSH3" s="12" t="s">
        <v>17902</v>
      </c>
      <c r="VSI3" s="12" t="s">
        <v>17903</v>
      </c>
      <c r="VSJ3" s="12" t="s">
        <v>17904</v>
      </c>
      <c r="VSK3" s="12" t="s">
        <v>17905</v>
      </c>
      <c r="VSL3" s="12" t="s">
        <v>17906</v>
      </c>
      <c r="VSM3" s="12" t="s">
        <v>17907</v>
      </c>
      <c r="VSN3" s="12" t="s">
        <v>17908</v>
      </c>
      <c r="VSO3" s="12" t="s">
        <v>17909</v>
      </c>
      <c r="VSP3" s="12" t="s">
        <v>17910</v>
      </c>
      <c r="VSQ3" s="12" t="s">
        <v>17911</v>
      </c>
      <c r="VSR3" s="12" t="s">
        <v>17912</v>
      </c>
      <c r="VSS3" s="12" t="s">
        <v>17913</v>
      </c>
      <c r="VST3" s="12" t="s">
        <v>17914</v>
      </c>
      <c r="VSU3" s="12" t="s">
        <v>17915</v>
      </c>
      <c r="VSV3" s="12" t="s">
        <v>17916</v>
      </c>
      <c r="VSW3" s="12" t="s">
        <v>17917</v>
      </c>
      <c r="VSX3" s="12" t="s">
        <v>17918</v>
      </c>
      <c r="VSY3" s="12" t="s">
        <v>17919</v>
      </c>
      <c r="VSZ3" s="12" t="s">
        <v>17920</v>
      </c>
      <c r="VTA3" s="12" t="s">
        <v>17921</v>
      </c>
      <c r="VTB3" s="12" t="s">
        <v>17922</v>
      </c>
      <c r="VTC3" s="12" t="s">
        <v>17923</v>
      </c>
      <c r="VTD3" s="12" t="s">
        <v>17924</v>
      </c>
      <c r="VTE3" s="12" t="s">
        <v>17925</v>
      </c>
      <c r="VTF3" s="12" t="s">
        <v>17926</v>
      </c>
      <c r="VTG3" s="12" t="s">
        <v>17927</v>
      </c>
      <c r="VTH3" s="12" t="s">
        <v>17928</v>
      </c>
      <c r="VTI3" s="12" t="s">
        <v>17929</v>
      </c>
      <c r="VTJ3" s="12" t="s">
        <v>17930</v>
      </c>
      <c r="VTK3" s="12" t="s">
        <v>17931</v>
      </c>
      <c r="VTL3" s="12" t="s">
        <v>17932</v>
      </c>
      <c r="VTM3" s="12" t="s">
        <v>17933</v>
      </c>
      <c r="VTN3" s="12" t="s">
        <v>17934</v>
      </c>
      <c r="VTO3" s="12" t="s">
        <v>17935</v>
      </c>
      <c r="VTP3" s="12" t="s">
        <v>17936</v>
      </c>
      <c r="VTQ3" s="12" t="s">
        <v>17937</v>
      </c>
      <c r="VTR3" s="12" t="s">
        <v>17938</v>
      </c>
      <c r="VTS3" s="12" t="s">
        <v>17939</v>
      </c>
      <c r="VTT3" s="12" t="s">
        <v>17940</v>
      </c>
      <c r="VTU3" s="12" t="s">
        <v>17941</v>
      </c>
      <c r="VTV3" s="12" t="s">
        <v>17942</v>
      </c>
      <c r="VTW3" s="12" t="s">
        <v>17943</v>
      </c>
      <c r="VTX3" s="12" t="s">
        <v>17944</v>
      </c>
      <c r="VTY3" s="12" t="s">
        <v>17945</v>
      </c>
      <c r="VTZ3" s="12" t="s">
        <v>17946</v>
      </c>
      <c r="VUA3" s="12" t="s">
        <v>17947</v>
      </c>
      <c r="VUB3" s="12" t="s">
        <v>17948</v>
      </c>
      <c r="VUC3" s="12" t="s">
        <v>17949</v>
      </c>
      <c r="VUD3" s="12" t="s">
        <v>17950</v>
      </c>
      <c r="VUE3" s="12" t="s">
        <v>17951</v>
      </c>
      <c r="VUF3" s="12" t="s">
        <v>17952</v>
      </c>
      <c r="VUG3" s="12" t="s">
        <v>17953</v>
      </c>
      <c r="VUH3" s="12" t="s">
        <v>17954</v>
      </c>
      <c r="VUI3" s="12" t="s">
        <v>17955</v>
      </c>
      <c r="VUJ3" s="12" t="s">
        <v>17956</v>
      </c>
      <c r="VUK3" s="12" t="s">
        <v>17957</v>
      </c>
      <c r="VUL3" s="12" t="s">
        <v>17958</v>
      </c>
      <c r="VUM3" s="12" t="s">
        <v>17959</v>
      </c>
      <c r="VUN3" s="12" t="s">
        <v>17960</v>
      </c>
      <c r="VUO3" s="12" t="s">
        <v>17961</v>
      </c>
      <c r="VUP3" s="12" t="s">
        <v>17962</v>
      </c>
      <c r="VUQ3" s="12" t="s">
        <v>17963</v>
      </c>
      <c r="VUR3" s="12" t="s">
        <v>17964</v>
      </c>
      <c r="VUS3" s="12" t="s">
        <v>17965</v>
      </c>
      <c r="VUT3" s="12" t="s">
        <v>17966</v>
      </c>
      <c r="VUU3" s="12" t="s">
        <v>17967</v>
      </c>
      <c r="VUV3" s="12" t="s">
        <v>17968</v>
      </c>
      <c r="VUW3" s="12" t="s">
        <v>17969</v>
      </c>
      <c r="VUX3" s="12" t="s">
        <v>17970</v>
      </c>
      <c r="VUY3" s="12" t="s">
        <v>17971</v>
      </c>
      <c r="VUZ3" s="12" t="s">
        <v>17972</v>
      </c>
      <c r="VVA3" s="12" t="s">
        <v>17973</v>
      </c>
      <c r="VVB3" s="12" t="s">
        <v>17974</v>
      </c>
      <c r="VVC3" s="12" t="s">
        <v>17975</v>
      </c>
      <c r="VVD3" s="12" t="s">
        <v>17976</v>
      </c>
      <c r="VVE3" s="12" t="s">
        <v>17977</v>
      </c>
      <c r="VVF3" s="12" t="s">
        <v>17978</v>
      </c>
      <c r="VVG3" s="12" t="s">
        <v>17979</v>
      </c>
      <c r="VVH3" s="12" t="s">
        <v>17980</v>
      </c>
      <c r="VVI3" s="12" t="s">
        <v>17981</v>
      </c>
      <c r="VVJ3" s="12" t="s">
        <v>17982</v>
      </c>
      <c r="VVK3" s="12" t="s">
        <v>17983</v>
      </c>
      <c r="VVL3" s="12" t="s">
        <v>17984</v>
      </c>
      <c r="VVM3" s="12" t="s">
        <v>17985</v>
      </c>
      <c r="VVN3" s="12" t="s">
        <v>17986</v>
      </c>
      <c r="VVO3" s="12" t="s">
        <v>17987</v>
      </c>
      <c r="VVP3" s="12" t="s">
        <v>17988</v>
      </c>
      <c r="VVQ3" s="12" t="s">
        <v>17989</v>
      </c>
      <c r="VVR3" s="12" t="s">
        <v>17990</v>
      </c>
      <c r="VVS3" s="12" t="s">
        <v>17991</v>
      </c>
      <c r="VVT3" s="12" t="s">
        <v>17992</v>
      </c>
      <c r="VVU3" s="12" t="s">
        <v>17993</v>
      </c>
      <c r="VVV3" s="12" t="s">
        <v>17994</v>
      </c>
      <c r="VVW3" s="12" t="s">
        <v>17995</v>
      </c>
      <c r="VVX3" s="12" t="s">
        <v>17996</v>
      </c>
      <c r="VVY3" s="12" t="s">
        <v>17997</v>
      </c>
      <c r="VVZ3" s="12" t="s">
        <v>17998</v>
      </c>
      <c r="VWA3" s="12" t="s">
        <v>17999</v>
      </c>
      <c r="VWB3" s="12" t="s">
        <v>18000</v>
      </c>
      <c r="VWC3" s="12" t="s">
        <v>18001</v>
      </c>
      <c r="VWD3" s="12" t="s">
        <v>18002</v>
      </c>
      <c r="VWE3" s="12" t="s">
        <v>18003</v>
      </c>
      <c r="VWF3" s="12" t="s">
        <v>18004</v>
      </c>
      <c r="VWG3" s="12" t="s">
        <v>18005</v>
      </c>
      <c r="VWH3" s="12" t="s">
        <v>18006</v>
      </c>
      <c r="VWI3" s="12" t="s">
        <v>18007</v>
      </c>
      <c r="VWJ3" s="12" t="s">
        <v>18008</v>
      </c>
      <c r="VWK3" s="12" t="s">
        <v>18009</v>
      </c>
      <c r="VWL3" s="12" t="s">
        <v>18010</v>
      </c>
      <c r="VWM3" s="12" t="s">
        <v>18011</v>
      </c>
      <c r="VWN3" s="12" t="s">
        <v>18012</v>
      </c>
      <c r="VWO3" s="12" t="s">
        <v>18013</v>
      </c>
      <c r="VWP3" s="12" t="s">
        <v>18014</v>
      </c>
      <c r="VWQ3" s="12" t="s">
        <v>18015</v>
      </c>
      <c r="VWR3" s="12" t="s">
        <v>18016</v>
      </c>
      <c r="VWS3" s="12" t="s">
        <v>18017</v>
      </c>
      <c r="VWT3" s="12" t="s">
        <v>18018</v>
      </c>
      <c r="VWU3" s="12" t="s">
        <v>18019</v>
      </c>
      <c r="VWV3" s="12" t="s">
        <v>18020</v>
      </c>
      <c r="VWW3" s="12" t="s">
        <v>18021</v>
      </c>
      <c r="VWX3" s="12" t="s">
        <v>18022</v>
      </c>
      <c r="VWY3" s="12" t="s">
        <v>18023</v>
      </c>
      <c r="VWZ3" s="12" t="s">
        <v>18024</v>
      </c>
      <c r="VXA3" s="12" t="s">
        <v>18025</v>
      </c>
      <c r="VXB3" s="12" t="s">
        <v>18026</v>
      </c>
      <c r="VXC3" s="12" t="s">
        <v>18027</v>
      </c>
      <c r="VXD3" s="12" t="s">
        <v>18028</v>
      </c>
      <c r="VXE3" s="12" t="s">
        <v>18029</v>
      </c>
      <c r="VXF3" s="12" t="s">
        <v>18030</v>
      </c>
      <c r="VXG3" s="12" t="s">
        <v>18031</v>
      </c>
      <c r="VXH3" s="12" t="s">
        <v>18032</v>
      </c>
      <c r="VXI3" s="12" t="s">
        <v>18033</v>
      </c>
      <c r="VXJ3" s="12" t="s">
        <v>18034</v>
      </c>
      <c r="VXK3" s="12" t="s">
        <v>18035</v>
      </c>
      <c r="VXL3" s="12" t="s">
        <v>18036</v>
      </c>
      <c r="VXM3" s="12" t="s">
        <v>18037</v>
      </c>
      <c r="VXN3" s="12" t="s">
        <v>18038</v>
      </c>
      <c r="VXO3" s="12" t="s">
        <v>18039</v>
      </c>
      <c r="VXP3" s="12" t="s">
        <v>18040</v>
      </c>
      <c r="VXQ3" s="12" t="s">
        <v>18041</v>
      </c>
      <c r="VXR3" s="12" t="s">
        <v>18042</v>
      </c>
      <c r="VXS3" s="12" t="s">
        <v>18043</v>
      </c>
      <c r="VXT3" s="12" t="s">
        <v>18044</v>
      </c>
      <c r="VXU3" s="12" t="s">
        <v>18045</v>
      </c>
      <c r="VXV3" s="12" t="s">
        <v>18046</v>
      </c>
      <c r="VXW3" s="12" t="s">
        <v>18047</v>
      </c>
      <c r="VXX3" s="12" t="s">
        <v>18048</v>
      </c>
      <c r="VXY3" s="12" t="s">
        <v>18049</v>
      </c>
      <c r="VXZ3" s="12" t="s">
        <v>18050</v>
      </c>
      <c r="VYA3" s="12" t="s">
        <v>18051</v>
      </c>
      <c r="VYB3" s="12" t="s">
        <v>18052</v>
      </c>
      <c r="VYC3" s="12" t="s">
        <v>18053</v>
      </c>
      <c r="VYD3" s="12" t="s">
        <v>18054</v>
      </c>
      <c r="VYE3" s="12" t="s">
        <v>18055</v>
      </c>
      <c r="VYF3" s="12" t="s">
        <v>18056</v>
      </c>
      <c r="VYG3" s="12" t="s">
        <v>18057</v>
      </c>
      <c r="VYH3" s="12" t="s">
        <v>18058</v>
      </c>
      <c r="VYI3" s="12" t="s">
        <v>18059</v>
      </c>
      <c r="VYJ3" s="12" t="s">
        <v>18060</v>
      </c>
      <c r="VYK3" s="12" t="s">
        <v>18061</v>
      </c>
      <c r="VYL3" s="12" t="s">
        <v>18062</v>
      </c>
      <c r="VYM3" s="12" t="s">
        <v>18063</v>
      </c>
      <c r="VYN3" s="12" t="s">
        <v>18064</v>
      </c>
      <c r="VYO3" s="12" t="s">
        <v>18065</v>
      </c>
      <c r="VYP3" s="12" t="s">
        <v>18066</v>
      </c>
      <c r="VYQ3" s="12" t="s">
        <v>18067</v>
      </c>
      <c r="VYR3" s="12" t="s">
        <v>18068</v>
      </c>
      <c r="VYS3" s="12" t="s">
        <v>18069</v>
      </c>
      <c r="VYT3" s="12" t="s">
        <v>18070</v>
      </c>
      <c r="VYU3" s="12" t="s">
        <v>18071</v>
      </c>
      <c r="VYV3" s="12" t="s">
        <v>18072</v>
      </c>
      <c r="VYW3" s="12" t="s">
        <v>18073</v>
      </c>
      <c r="VYX3" s="12" t="s">
        <v>18074</v>
      </c>
      <c r="VYY3" s="12" t="s">
        <v>18075</v>
      </c>
      <c r="VYZ3" s="12" t="s">
        <v>18076</v>
      </c>
      <c r="VZA3" s="12" t="s">
        <v>18077</v>
      </c>
      <c r="VZB3" s="12" t="s">
        <v>18078</v>
      </c>
      <c r="VZC3" s="12" t="s">
        <v>18079</v>
      </c>
      <c r="VZD3" s="12" t="s">
        <v>18080</v>
      </c>
      <c r="VZE3" s="12" t="s">
        <v>18081</v>
      </c>
      <c r="VZF3" s="12" t="s">
        <v>18082</v>
      </c>
      <c r="VZG3" s="12" t="s">
        <v>18083</v>
      </c>
      <c r="VZH3" s="12" t="s">
        <v>18084</v>
      </c>
      <c r="VZI3" s="12" t="s">
        <v>18085</v>
      </c>
      <c r="VZJ3" s="12" t="s">
        <v>18086</v>
      </c>
      <c r="VZK3" s="12" t="s">
        <v>18087</v>
      </c>
      <c r="VZL3" s="12" t="s">
        <v>18088</v>
      </c>
      <c r="VZM3" s="12" t="s">
        <v>18089</v>
      </c>
      <c r="VZN3" s="12" t="s">
        <v>18090</v>
      </c>
      <c r="VZO3" s="12" t="s">
        <v>18091</v>
      </c>
      <c r="VZP3" s="12" t="s">
        <v>18092</v>
      </c>
      <c r="VZQ3" s="12" t="s">
        <v>18093</v>
      </c>
      <c r="VZR3" s="12" t="s">
        <v>18094</v>
      </c>
      <c r="VZS3" s="12" t="s">
        <v>18095</v>
      </c>
      <c r="VZT3" s="12" t="s">
        <v>18096</v>
      </c>
      <c r="VZU3" s="12" t="s">
        <v>18097</v>
      </c>
      <c r="VZV3" s="12" t="s">
        <v>18098</v>
      </c>
      <c r="VZW3" s="12" t="s">
        <v>18099</v>
      </c>
      <c r="VZX3" s="12" t="s">
        <v>18100</v>
      </c>
      <c r="VZY3" s="12" t="s">
        <v>18101</v>
      </c>
      <c r="VZZ3" s="12" t="s">
        <v>18102</v>
      </c>
      <c r="WAA3" s="12" t="s">
        <v>18103</v>
      </c>
      <c r="WAB3" s="12" t="s">
        <v>18104</v>
      </c>
      <c r="WAC3" s="12" t="s">
        <v>18105</v>
      </c>
      <c r="WAD3" s="12" t="s">
        <v>18106</v>
      </c>
      <c r="WAE3" s="12" t="s">
        <v>18107</v>
      </c>
      <c r="WAF3" s="12" t="s">
        <v>18108</v>
      </c>
      <c r="WAG3" s="12" t="s">
        <v>18109</v>
      </c>
      <c r="WAH3" s="12" t="s">
        <v>18110</v>
      </c>
      <c r="WAI3" s="12" t="s">
        <v>18111</v>
      </c>
      <c r="WAJ3" s="12" t="s">
        <v>18112</v>
      </c>
      <c r="WAK3" s="12" t="s">
        <v>18113</v>
      </c>
      <c r="WAL3" s="12" t="s">
        <v>18114</v>
      </c>
      <c r="WAM3" s="12" t="s">
        <v>18115</v>
      </c>
      <c r="WAN3" s="12" t="s">
        <v>18116</v>
      </c>
      <c r="WAO3" s="12" t="s">
        <v>18117</v>
      </c>
      <c r="WAP3" s="12" t="s">
        <v>18118</v>
      </c>
      <c r="WAQ3" s="12" t="s">
        <v>18119</v>
      </c>
      <c r="WAR3" s="12" t="s">
        <v>18120</v>
      </c>
      <c r="WAS3" s="12" t="s">
        <v>18121</v>
      </c>
      <c r="WAT3" s="12" t="s">
        <v>18122</v>
      </c>
      <c r="WAU3" s="12" t="s">
        <v>18123</v>
      </c>
      <c r="WAV3" s="12" t="s">
        <v>18124</v>
      </c>
      <c r="WAW3" s="12" t="s">
        <v>18125</v>
      </c>
      <c r="WAX3" s="12" t="s">
        <v>18126</v>
      </c>
      <c r="WAY3" s="12" t="s">
        <v>18127</v>
      </c>
      <c r="WAZ3" s="12" t="s">
        <v>18128</v>
      </c>
      <c r="WBA3" s="12" t="s">
        <v>18129</v>
      </c>
      <c r="WBB3" s="12" t="s">
        <v>18130</v>
      </c>
      <c r="WBC3" s="12" t="s">
        <v>18131</v>
      </c>
      <c r="WBD3" s="12" t="s">
        <v>18132</v>
      </c>
      <c r="WBE3" s="12" t="s">
        <v>18133</v>
      </c>
      <c r="WBF3" s="12" t="s">
        <v>18134</v>
      </c>
      <c r="WBG3" s="12" t="s">
        <v>18135</v>
      </c>
      <c r="WBH3" s="12" t="s">
        <v>18136</v>
      </c>
      <c r="WBI3" s="12" t="s">
        <v>18137</v>
      </c>
      <c r="WBJ3" s="12" t="s">
        <v>18138</v>
      </c>
      <c r="WBK3" s="12" t="s">
        <v>18139</v>
      </c>
      <c r="WBL3" s="12" t="s">
        <v>18140</v>
      </c>
      <c r="WBM3" s="12" t="s">
        <v>18141</v>
      </c>
      <c r="WBN3" s="12" t="s">
        <v>18142</v>
      </c>
      <c r="WBO3" s="12" t="s">
        <v>18143</v>
      </c>
      <c r="WBP3" s="12" t="s">
        <v>18144</v>
      </c>
      <c r="WBQ3" s="12" t="s">
        <v>18145</v>
      </c>
      <c r="WBR3" s="12" t="s">
        <v>18146</v>
      </c>
      <c r="WBS3" s="12" t="s">
        <v>18147</v>
      </c>
      <c r="WBT3" s="12" t="s">
        <v>18148</v>
      </c>
      <c r="WBU3" s="12" t="s">
        <v>18149</v>
      </c>
      <c r="WBV3" s="12" t="s">
        <v>18150</v>
      </c>
      <c r="WBW3" s="12" t="s">
        <v>18151</v>
      </c>
      <c r="WBX3" s="12" t="s">
        <v>18152</v>
      </c>
      <c r="WBY3" s="12" t="s">
        <v>18153</v>
      </c>
      <c r="WBZ3" s="12" t="s">
        <v>18154</v>
      </c>
      <c r="WCA3" s="12" t="s">
        <v>18155</v>
      </c>
      <c r="WCB3" s="12" t="s">
        <v>18156</v>
      </c>
      <c r="WCC3" s="12" t="s">
        <v>18157</v>
      </c>
      <c r="WCD3" s="12" t="s">
        <v>18158</v>
      </c>
      <c r="WCE3" s="12" t="s">
        <v>18159</v>
      </c>
      <c r="WCF3" s="12" t="s">
        <v>18160</v>
      </c>
      <c r="WCG3" s="12" t="s">
        <v>18161</v>
      </c>
      <c r="WCH3" s="12" t="s">
        <v>18162</v>
      </c>
      <c r="WCI3" s="12" t="s">
        <v>18163</v>
      </c>
      <c r="WCJ3" s="12" t="s">
        <v>18164</v>
      </c>
      <c r="WCK3" s="12" t="s">
        <v>18165</v>
      </c>
      <c r="WCL3" s="12" t="s">
        <v>18166</v>
      </c>
      <c r="WCM3" s="12" t="s">
        <v>18167</v>
      </c>
      <c r="WCN3" s="12" t="s">
        <v>18168</v>
      </c>
      <c r="WCO3" s="12" t="s">
        <v>18169</v>
      </c>
      <c r="WCP3" s="12" t="s">
        <v>18170</v>
      </c>
      <c r="WCQ3" s="12" t="s">
        <v>18171</v>
      </c>
      <c r="WCR3" s="12" t="s">
        <v>18172</v>
      </c>
      <c r="WCS3" s="12" t="s">
        <v>18173</v>
      </c>
      <c r="WCT3" s="12" t="s">
        <v>18174</v>
      </c>
      <c r="WCU3" s="12" t="s">
        <v>18175</v>
      </c>
      <c r="WCV3" s="12" t="s">
        <v>18176</v>
      </c>
      <c r="WCW3" s="12" t="s">
        <v>18177</v>
      </c>
      <c r="WCX3" s="12" t="s">
        <v>18178</v>
      </c>
      <c r="WCY3" s="12" t="s">
        <v>18179</v>
      </c>
      <c r="WCZ3" s="12" t="s">
        <v>18180</v>
      </c>
      <c r="WDA3" s="12" t="s">
        <v>18181</v>
      </c>
      <c r="WDB3" s="12" t="s">
        <v>18182</v>
      </c>
      <c r="WDC3" s="12" t="s">
        <v>18183</v>
      </c>
      <c r="WDD3" s="12" t="s">
        <v>18184</v>
      </c>
      <c r="WDE3" s="12" t="s">
        <v>18185</v>
      </c>
      <c r="WDF3" s="12" t="s">
        <v>18186</v>
      </c>
      <c r="WDG3" s="12" t="s">
        <v>18187</v>
      </c>
      <c r="WDH3" s="12" t="s">
        <v>18188</v>
      </c>
      <c r="WDI3" s="12" t="s">
        <v>18189</v>
      </c>
      <c r="WDJ3" s="12" t="s">
        <v>18190</v>
      </c>
      <c r="WDK3" s="12" t="s">
        <v>18191</v>
      </c>
      <c r="WDL3" s="12" t="s">
        <v>18192</v>
      </c>
      <c r="WDM3" s="12" t="s">
        <v>18193</v>
      </c>
      <c r="WDN3" s="12" t="s">
        <v>18194</v>
      </c>
      <c r="WDO3" s="12" t="s">
        <v>18195</v>
      </c>
      <c r="WDP3" s="12" t="s">
        <v>18196</v>
      </c>
      <c r="WDQ3" s="12" t="s">
        <v>18197</v>
      </c>
      <c r="WDR3" s="12" t="s">
        <v>18198</v>
      </c>
      <c r="WDS3" s="12" t="s">
        <v>18199</v>
      </c>
      <c r="WDT3" s="12" t="s">
        <v>18200</v>
      </c>
      <c r="WDU3" s="12" t="s">
        <v>18201</v>
      </c>
      <c r="WDV3" s="12" t="s">
        <v>18202</v>
      </c>
      <c r="WDW3" s="12" t="s">
        <v>18203</v>
      </c>
      <c r="WDX3" s="12" t="s">
        <v>18204</v>
      </c>
      <c r="WDY3" s="12" t="s">
        <v>18205</v>
      </c>
      <c r="WDZ3" s="12" t="s">
        <v>18206</v>
      </c>
      <c r="WEA3" s="12" t="s">
        <v>18207</v>
      </c>
      <c r="WEB3" s="12" t="s">
        <v>18208</v>
      </c>
      <c r="WEC3" s="12" t="s">
        <v>18209</v>
      </c>
      <c r="WED3" s="12" t="s">
        <v>18210</v>
      </c>
      <c r="WEE3" s="12" t="s">
        <v>18211</v>
      </c>
      <c r="WEF3" s="12" t="s">
        <v>18212</v>
      </c>
      <c r="WEG3" s="12" t="s">
        <v>18213</v>
      </c>
      <c r="WEH3" s="12" t="s">
        <v>18214</v>
      </c>
      <c r="WEI3" s="12" t="s">
        <v>18215</v>
      </c>
      <c r="WEJ3" s="12" t="s">
        <v>18216</v>
      </c>
      <c r="WEK3" s="12" t="s">
        <v>18217</v>
      </c>
      <c r="WEL3" s="12" t="s">
        <v>18218</v>
      </c>
      <c r="WEM3" s="12" t="s">
        <v>18219</v>
      </c>
      <c r="WEN3" s="12" t="s">
        <v>18220</v>
      </c>
      <c r="WEO3" s="12" t="s">
        <v>18221</v>
      </c>
      <c r="WEP3" s="12" t="s">
        <v>18222</v>
      </c>
      <c r="WEQ3" s="12" t="s">
        <v>18223</v>
      </c>
      <c r="WER3" s="12" t="s">
        <v>18224</v>
      </c>
      <c r="WES3" s="12" t="s">
        <v>18225</v>
      </c>
      <c r="WET3" s="12" t="s">
        <v>18226</v>
      </c>
      <c r="WEU3" s="12" t="s">
        <v>18227</v>
      </c>
      <c r="WEV3" s="12" t="s">
        <v>18228</v>
      </c>
      <c r="WEW3" s="12" t="s">
        <v>18229</v>
      </c>
      <c r="WEX3" s="12" t="s">
        <v>18230</v>
      </c>
      <c r="WEY3" s="12" t="s">
        <v>18231</v>
      </c>
      <c r="WEZ3" s="12" t="s">
        <v>18232</v>
      </c>
      <c r="WFA3" s="12" t="s">
        <v>18233</v>
      </c>
      <c r="WFB3" s="12" t="s">
        <v>18234</v>
      </c>
      <c r="WFC3" s="12" t="s">
        <v>18235</v>
      </c>
      <c r="WFD3" s="12" t="s">
        <v>18236</v>
      </c>
      <c r="WFE3" s="12" t="s">
        <v>18237</v>
      </c>
      <c r="WFF3" s="12" t="s">
        <v>18238</v>
      </c>
      <c r="WFG3" s="12" t="s">
        <v>18239</v>
      </c>
      <c r="WFH3" s="12" t="s">
        <v>18240</v>
      </c>
      <c r="WFI3" s="12" t="s">
        <v>18241</v>
      </c>
      <c r="WFJ3" s="12" t="s">
        <v>18242</v>
      </c>
      <c r="WFK3" s="12" t="s">
        <v>18243</v>
      </c>
      <c r="WFL3" s="12" t="s">
        <v>18244</v>
      </c>
      <c r="WFM3" s="12" t="s">
        <v>18245</v>
      </c>
      <c r="WFN3" s="12" t="s">
        <v>18246</v>
      </c>
      <c r="WFO3" s="12" t="s">
        <v>18247</v>
      </c>
      <c r="WFP3" s="12" t="s">
        <v>18248</v>
      </c>
      <c r="WFQ3" s="12" t="s">
        <v>18249</v>
      </c>
      <c r="WFR3" s="12" t="s">
        <v>18250</v>
      </c>
      <c r="WFS3" s="12" t="s">
        <v>18251</v>
      </c>
      <c r="WFT3" s="12" t="s">
        <v>18252</v>
      </c>
      <c r="WFU3" s="12" t="s">
        <v>18253</v>
      </c>
      <c r="WFV3" s="12" t="s">
        <v>18254</v>
      </c>
      <c r="WFW3" s="12" t="s">
        <v>18255</v>
      </c>
      <c r="WFX3" s="12" t="s">
        <v>18256</v>
      </c>
      <c r="WFY3" s="12" t="s">
        <v>18257</v>
      </c>
      <c r="WFZ3" s="12" t="s">
        <v>18258</v>
      </c>
      <c r="WGA3" s="12" t="s">
        <v>18259</v>
      </c>
      <c r="WGB3" s="12" t="s">
        <v>18260</v>
      </c>
      <c r="WGC3" s="12" t="s">
        <v>18261</v>
      </c>
      <c r="WGD3" s="12" t="s">
        <v>18262</v>
      </c>
      <c r="WGE3" s="12" t="s">
        <v>18263</v>
      </c>
      <c r="WGF3" s="12" t="s">
        <v>18264</v>
      </c>
      <c r="WGG3" s="12" t="s">
        <v>18265</v>
      </c>
      <c r="WGH3" s="12" t="s">
        <v>18266</v>
      </c>
      <c r="WGI3" s="12" t="s">
        <v>18267</v>
      </c>
      <c r="WGJ3" s="12" t="s">
        <v>18268</v>
      </c>
      <c r="WGK3" s="12" t="s">
        <v>18269</v>
      </c>
      <c r="WGL3" s="12" t="s">
        <v>18270</v>
      </c>
      <c r="WGM3" s="12" t="s">
        <v>18271</v>
      </c>
      <c r="WGN3" s="12" t="s">
        <v>18272</v>
      </c>
      <c r="WGO3" s="12" t="s">
        <v>18273</v>
      </c>
      <c r="WGP3" s="12" t="s">
        <v>18274</v>
      </c>
      <c r="WGQ3" s="12" t="s">
        <v>18275</v>
      </c>
      <c r="WGR3" s="12" t="s">
        <v>18276</v>
      </c>
      <c r="WGS3" s="12" t="s">
        <v>18277</v>
      </c>
      <c r="WGT3" s="12" t="s">
        <v>18278</v>
      </c>
      <c r="WGU3" s="12" t="s">
        <v>18279</v>
      </c>
      <c r="WGV3" s="12" t="s">
        <v>18280</v>
      </c>
      <c r="WGW3" s="12" t="s">
        <v>18281</v>
      </c>
      <c r="WGX3" s="12" t="s">
        <v>18282</v>
      </c>
      <c r="WGY3" s="12" t="s">
        <v>18283</v>
      </c>
      <c r="WGZ3" s="12" t="s">
        <v>18284</v>
      </c>
      <c r="WHA3" s="12" t="s">
        <v>18285</v>
      </c>
      <c r="WHB3" s="12" t="s">
        <v>18286</v>
      </c>
      <c r="WHC3" s="12" t="s">
        <v>18287</v>
      </c>
      <c r="WHD3" s="12" t="s">
        <v>18288</v>
      </c>
      <c r="WHE3" s="12" t="s">
        <v>18289</v>
      </c>
      <c r="WHF3" s="12" t="s">
        <v>18290</v>
      </c>
      <c r="WHG3" s="12" t="s">
        <v>18291</v>
      </c>
      <c r="WHH3" s="12" t="s">
        <v>18292</v>
      </c>
      <c r="WHI3" s="12" t="s">
        <v>18293</v>
      </c>
      <c r="WHJ3" s="12" t="s">
        <v>18294</v>
      </c>
      <c r="WHK3" s="12" t="s">
        <v>18295</v>
      </c>
      <c r="WHL3" s="12" t="s">
        <v>18296</v>
      </c>
      <c r="WHM3" s="12" t="s">
        <v>18297</v>
      </c>
      <c r="WHN3" s="12" t="s">
        <v>18298</v>
      </c>
      <c r="WHO3" s="12" t="s">
        <v>18299</v>
      </c>
      <c r="WHP3" s="12" t="s">
        <v>18300</v>
      </c>
      <c r="WHQ3" s="12" t="s">
        <v>18301</v>
      </c>
      <c r="WHR3" s="12" t="s">
        <v>18302</v>
      </c>
      <c r="WHS3" s="12" t="s">
        <v>18303</v>
      </c>
      <c r="WHT3" s="12" t="s">
        <v>18304</v>
      </c>
      <c r="WHU3" s="12" t="s">
        <v>18305</v>
      </c>
      <c r="WHV3" s="12" t="s">
        <v>18306</v>
      </c>
      <c r="WHW3" s="12" t="s">
        <v>18307</v>
      </c>
      <c r="WHX3" s="12" t="s">
        <v>18308</v>
      </c>
      <c r="WHY3" s="12" t="s">
        <v>18309</v>
      </c>
      <c r="WHZ3" s="12" t="s">
        <v>18310</v>
      </c>
      <c r="WIA3" s="12" t="s">
        <v>18311</v>
      </c>
      <c r="WIB3" s="12" t="s">
        <v>18312</v>
      </c>
      <c r="WIC3" s="12" t="s">
        <v>18313</v>
      </c>
      <c r="WID3" s="12" t="s">
        <v>18314</v>
      </c>
      <c r="WIE3" s="12" t="s">
        <v>18315</v>
      </c>
      <c r="WIF3" s="12" t="s">
        <v>18316</v>
      </c>
      <c r="WIG3" s="12" t="s">
        <v>18317</v>
      </c>
      <c r="WIH3" s="12" t="s">
        <v>18318</v>
      </c>
      <c r="WII3" s="12" t="s">
        <v>18319</v>
      </c>
      <c r="WIJ3" s="12" t="s">
        <v>18320</v>
      </c>
      <c r="WIK3" s="12" t="s">
        <v>18321</v>
      </c>
      <c r="WIL3" s="12" t="s">
        <v>18322</v>
      </c>
      <c r="WIM3" s="12" t="s">
        <v>18323</v>
      </c>
      <c r="WIN3" s="12" t="s">
        <v>18324</v>
      </c>
      <c r="WIO3" s="12" t="s">
        <v>18325</v>
      </c>
      <c r="WIP3" s="12" t="s">
        <v>18326</v>
      </c>
      <c r="WIQ3" s="12" t="s">
        <v>18327</v>
      </c>
      <c r="WIR3" s="12" t="s">
        <v>18328</v>
      </c>
      <c r="WIS3" s="12" t="s">
        <v>18329</v>
      </c>
      <c r="WIT3" s="12" t="s">
        <v>18330</v>
      </c>
      <c r="WIU3" s="12" t="s">
        <v>18331</v>
      </c>
      <c r="WIV3" s="12" t="s">
        <v>18332</v>
      </c>
      <c r="WIW3" s="12" t="s">
        <v>18333</v>
      </c>
      <c r="WIX3" s="12" t="s">
        <v>18334</v>
      </c>
      <c r="WIY3" s="12" t="s">
        <v>18335</v>
      </c>
      <c r="WIZ3" s="12" t="s">
        <v>18336</v>
      </c>
      <c r="WJA3" s="12" t="s">
        <v>18337</v>
      </c>
      <c r="WJB3" s="12" t="s">
        <v>18338</v>
      </c>
      <c r="WJC3" s="12" t="s">
        <v>18339</v>
      </c>
      <c r="WJD3" s="12" t="s">
        <v>18340</v>
      </c>
      <c r="WJE3" s="12" t="s">
        <v>18341</v>
      </c>
      <c r="WJF3" s="12" t="s">
        <v>18342</v>
      </c>
      <c r="WJG3" s="12" t="s">
        <v>18343</v>
      </c>
      <c r="WJH3" s="12" t="s">
        <v>18344</v>
      </c>
      <c r="WJI3" s="12" t="s">
        <v>18345</v>
      </c>
      <c r="WJJ3" s="12" t="s">
        <v>18346</v>
      </c>
      <c r="WJK3" s="12" t="s">
        <v>18347</v>
      </c>
      <c r="WJL3" s="12" t="s">
        <v>18348</v>
      </c>
      <c r="WJM3" s="12" t="s">
        <v>18349</v>
      </c>
      <c r="WJN3" s="12" t="s">
        <v>18350</v>
      </c>
      <c r="WJO3" s="12" t="s">
        <v>18351</v>
      </c>
      <c r="WJP3" s="12" t="s">
        <v>18352</v>
      </c>
      <c r="WJQ3" s="12" t="s">
        <v>18353</v>
      </c>
      <c r="WJR3" s="12" t="s">
        <v>18354</v>
      </c>
      <c r="WJS3" s="12" t="s">
        <v>18355</v>
      </c>
      <c r="WJT3" s="12" t="s">
        <v>18356</v>
      </c>
      <c r="WJU3" s="12" t="s">
        <v>18357</v>
      </c>
      <c r="WJV3" s="12" t="s">
        <v>18358</v>
      </c>
      <c r="WJW3" s="12" t="s">
        <v>18359</v>
      </c>
      <c r="WJX3" s="12" t="s">
        <v>18360</v>
      </c>
      <c r="WJY3" s="12" t="s">
        <v>18361</v>
      </c>
      <c r="WJZ3" s="12" t="s">
        <v>18362</v>
      </c>
      <c r="WKA3" s="12" t="s">
        <v>18363</v>
      </c>
      <c r="WKB3" s="12" t="s">
        <v>18364</v>
      </c>
      <c r="WKC3" s="12" t="s">
        <v>18365</v>
      </c>
      <c r="WKD3" s="12" t="s">
        <v>18366</v>
      </c>
      <c r="WKE3" s="12" t="s">
        <v>18367</v>
      </c>
      <c r="WKF3" s="12" t="s">
        <v>18368</v>
      </c>
      <c r="WKG3" s="12" t="s">
        <v>18369</v>
      </c>
      <c r="WKH3" s="12" t="s">
        <v>18370</v>
      </c>
      <c r="WKI3" s="12" t="s">
        <v>18371</v>
      </c>
      <c r="WKJ3" s="12" t="s">
        <v>18372</v>
      </c>
      <c r="WKK3" s="12" t="s">
        <v>18373</v>
      </c>
      <c r="WKL3" s="12" t="s">
        <v>18374</v>
      </c>
      <c r="WKM3" s="12" t="s">
        <v>18375</v>
      </c>
      <c r="WKN3" s="12" t="s">
        <v>18376</v>
      </c>
      <c r="WKO3" s="12" t="s">
        <v>18377</v>
      </c>
      <c r="WKP3" s="12" t="s">
        <v>18378</v>
      </c>
      <c r="WKQ3" s="12" t="s">
        <v>18379</v>
      </c>
      <c r="WKR3" s="12" t="s">
        <v>18380</v>
      </c>
      <c r="WKS3" s="12" t="s">
        <v>18381</v>
      </c>
      <c r="WKT3" s="12" t="s">
        <v>18382</v>
      </c>
      <c r="WKU3" s="12" t="s">
        <v>18383</v>
      </c>
      <c r="WKV3" s="12" t="s">
        <v>18384</v>
      </c>
      <c r="WKW3" s="12" t="s">
        <v>18385</v>
      </c>
      <c r="WKX3" s="12" t="s">
        <v>18386</v>
      </c>
      <c r="WKY3" s="12" t="s">
        <v>18387</v>
      </c>
      <c r="WKZ3" s="12" t="s">
        <v>18388</v>
      </c>
      <c r="WLA3" s="12" t="s">
        <v>18389</v>
      </c>
      <c r="WLB3" s="12" t="s">
        <v>18390</v>
      </c>
      <c r="WLC3" s="12" t="s">
        <v>18391</v>
      </c>
      <c r="WLD3" s="12" t="s">
        <v>18392</v>
      </c>
      <c r="WLE3" s="12" t="s">
        <v>18393</v>
      </c>
      <c r="WLF3" s="12" t="s">
        <v>18394</v>
      </c>
      <c r="WLG3" s="12" t="s">
        <v>18395</v>
      </c>
      <c r="WLH3" s="12" t="s">
        <v>18396</v>
      </c>
      <c r="WLI3" s="12" t="s">
        <v>18397</v>
      </c>
      <c r="WLJ3" s="12" t="s">
        <v>18398</v>
      </c>
      <c r="WLK3" s="12" t="s">
        <v>18399</v>
      </c>
      <c r="WLL3" s="12" t="s">
        <v>18400</v>
      </c>
      <c r="WLM3" s="12" t="s">
        <v>18401</v>
      </c>
      <c r="WLN3" s="12" t="s">
        <v>18402</v>
      </c>
      <c r="WLO3" s="12" t="s">
        <v>18403</v>
      </c>
      <c r="WLP3" s="12" t="s">
        <v>18404</v>
      </c>
      <c r="WLQ3" s="12" t="s">
        <v>18405</v>
      </c>
      <c r="WLR3" s="12" t="s">
        <v>18406</v>
      </c>
      <c r="WLS3" s="12" t="s">
        <v>18407</v>
      </c>
      <c r="WLT3" s="12" t="s">
        <v>18408</v>
      </c>
      <c r="WLU3" s="12" t="s">
        <v>18409</v>
      </c>
      <c r="WLV3" s="12" t="s">
        <v>18410</v>
      </c>
      <c r="WLW3" s="12" t="s">
        <v>18411</v>
      </c>
      <c r="WLX3" s="12" t="s">
        <v>18412</v>
      </c>
      <c r="WLY3" s="12" t="s">
        <v>18413</v>
      </c>
      <c r="WLZ3" s="12" t="s">
        <v>18414</v>
      </c>
      <c r="WMA3" s="12" t="s">
        <v>18415</v>
      </c>
      <c r="WMB3" s="12" t="s">
        <v>18416</v>
      </c>
      <c r="WMC3" s="12" t="s">
        <v>18417</v>
      </c>
      <c r="WMD3" s="12" t="s">
        <v>18418</v>
      </c>
      <c r="WME3" s="12" t="s">
        <v>18419</v>
      </c>
      <c r="WMF3" s="12" t="s">
        <v>18420</v>
      </c>
      <c r="WMG3" s="12" t="s">
        <v>18421</v>
      </c>
      <c r="WMH3" s="12" t="s">
        <v>18422</v>
      </c>
      <c r="WMI3" s="12" t="s">
        <v>18423</v>
      </c>
      <c r="WMJ3" s="12" t="s">
        <v>18424</v>
      </c>
      <c r="WMK3" s="12" t="s">
        <v>18425</v>
      </c>
      <c r="WML3" s="12" t="s">
        <v>18426</v>
      </c>
      <c r="WMM3" s="12" t="s">
        <v>18427</v>
      </c>
      <c r="WMN3" s="12" t="s">
        <v>18428</v>
      </c>
      <c r="WMO3" s="12" t="s">
        <v>18429</v>
      </c>
      <c r="WMP3" s="12" t="s">
        <v>18430</v>
      </c>
      <c r="WMQ3" s="12" t="s">
        <v>18431</v>
      </c>
      <c r="WMR3" s="12" t="s">
        <v>18432</v>
      </c>
      <c r="WMS3" s="12" t="s">
        <v>18433</v>
      </c>
      <c r="WMT3" s="12" t="s">
        <v>18434</v>
      </c>
      <c r="WMU3" s="12" t="s">
        <v>18435</v>
      </c>
      <c r="WMV3" s="12" t="s">
        <v>18436</v>
      </c>
      <c r="WMW3" s="12" t="s">
        <v>18437</v>
      </c>
      <c r="WMX3" s="12" t="s">
        <v>18438</v>
      </c>
      <c r="WMY3" s="12" t="s">
        <v>18439</v>
      </c>
      <c r="WMZ3" s="12" t="s">
        <v>18440</v>
      </c>
      <c r="WNA3" s="12" t="s">
        <v>18441</v>
      </c>
      <c r="WNB3" s="12" t="s">
        <v>18442</v>
      </c>
      <c r="WNC3" s="12" t="s">
        <v>18443</v>
      </c>
      <c r="WND3" s="12" t="s">
        <v>18444</v>
      </c>
      <c r="WNE3" s="12" t="s">
        <v>18445</v>
      </c>
      <c r="WNF3" s="12" t="s">
        <v>18446</v>
      </c>
      <c r="WNG3" s="12" t="s">
        <v>18447</v>
      </c>
      <c r="WNH3" s="12" t="s">
        <v>18448</v>
      </c>
      <c r="WNI3" s="12" t="s">
        <v>18449</v>
      </c>
      <c r="WNJ3" s="12" t="s">
        <v>18450</v>
      </c>
      <c r="WNK3" s="12" t="s">
        <v>18451</v>
      </c>
      <c r="WNL3" s="12" t="s">
        <v>18452</v>
      </c>
      <c r="WNM3" s="12" t="s">
        <v>18453</v>
      </c>
      <c r="WNN3" s="12" t="s">
        <v>18454</v>
      </c>
      <c r="WNO3" s="12" t="s">
        <v>18455</v>
      </c>
      <c r="WNP3" s="12" t="s">
        <v>18456</v>
      </c>
      <c r="WNQ3" s="12" t="s">
        <v>18457</v>
      </c>
      <c r="WNR3" s="12" t="s">
        <v>18458</v>
      </c>
      <c r="WNS3" s="12" t="s">
        <v>18459</v>
      </c>
      <c r="WNT3" s="12" t="s">
        <v>18460</v>
      </c>
      <c r="WNU3" s="12" t="s">
        <v>18461</v>
      </c>
      <c r="WNV3" s="12" t="s">
        <v>18462</v>
      </c>
      <c r="WNW3" s="12" t="s">
        <v>18463</v>
      </c>
      <c r="WNX3" s="12" t="s">
        <v>18464</v>
      </c>
      <c r="WNY3" s="12" t="s">
        <v>18465</v>
      </c>
      <c r="WNZ3" s="12" t="s">
        <v>18466</v>
      </c>
      <c r="WOA3" s="12" t="s">
        <v>18467</v>
      </c>
      <c r="WOB3" s="12" t="s">
        <v>18468</v>
      </c>
      <c r="WOC3" s="12" t="s">
        <v>18469</v>
      </c>
      <c r="WOD3" s="12" t="s">
        <v>18470</v>
      </c>
      <c r="WOE3" s="12" t="s">
        <v>18471</v>
      </c>
      <c r="WOF3" s="12" t="s">
        <v>18472</v>
      </c>
      <c r="WOG3" s="12" t="s">
        <v>18473</v>
      </c>
      <c r="WOH3" s="12" t="s">
        <v>18474</v>
      </c>
      <c r="WOI3" s="12" t="s">
        <v>18475</v>
      </c>
      <c r="WOJ3" s="12" t="s">
        <v>18476</v>
      </c>
      <c r="WOK3" s="12" t="s">
        <v>18477</v>
      </c>
      <c r="WOL3" s="12" t="s">
        <v>18478</v>
      </c>
      <c r="WOM3" s="12" t="s">
        <v>18479</v>
      </c>
      <c r="WON3" s="12" t="s">
        <v>18480</v>
      </c>
      <c r="WOO3" s="12" t="s">
        <v>18481</v>
      </c>
      <c r="WOP3" s="12" t="s">
        <v>18482</v>
      </c>
      <c r="WOQ3" s="12" t="s">
        <v>18483</v>
      </c>
      <c r="WOR3" s="12" t="s">
        <v>18484</v>
      </c>
      <c r="WOS3" s="12" t="s">
        <v>18485</v>
      </c>
      <c r="WOT3" s="12" t="s">
        <v>18486</v>
      </c>
      <c r="WOU3" s="12" t="s">
        <v>18487</v>
      </c>
      <c r="WOV3" s="12" t="s">
        <v>18488</v>
      </c>
      <c r="WOW3" s="12" t="s">
        <v>18489</v>
      </c>
      <c r="WOX3" s="12" t="s">
        <v>18490</v>
      </c>
      <c r="WOY3" s="12" t="s">
        <v>18491</v>
      </c>
      <c r="WOZ3" s="12" t="s">
        <v>18492</v>
      </c>
      <c r="WPA3" s="12" t="s">
        <v>18493</v>
      </c>
      <c r="WPB3" s="12" t="s">
        <v>18494</v>
      </c>
      <c r="WPC3" s="12" t="s">
        <v>18495</v>
      </c>
      <c r="WPD3" s="12" t="s">
        <v>18496</v>
      </c>
      <c r="WPE3" s="12" t="s">
        <v>18497</v>
      </c>
      <c r="WPF3" s="12" t="s">
        <v>18498</v>
      </c>
      <c r="WPG3" s="12" t="s">
        <v>18499</v>
      </c>
      <c r="WPH3" s="12" t="s">
        <v>18500</v>
      </c>
      <c r="WPI3" s="12" t="s">
        <v>18501</v>
      </c>
      <c r="WPJ3" s="12" t="s">
        <v>18502</v>
      </c>
      <c r="WPK3" s="12" t="s">
        <v>18503</v>
      </c>
      <c r="WPL3" s="12" t="s">
        <v>18504</v>
      </c>
      <c r="WPM3" s="12" t="s">
        <v>18505</v>
      </c>
      <c r="WPN3" s="12" t="s">
        <v>18506</v>
      </c>
      <c r="WPO3" s="12" t="s">
        <v>18507</v>
      </c>
      <c r="WPP3" s="12" t="s">
        <v>18508</v>
      </c>
      <c r="WPQ3" s="12" t="s">
        <v>18509</v>
      </c>
      <c r="WPR3" s="12" t="s">
        <v>18510</v>
      </c>
      <c r="WPS3" s="12" t="s">
        <v>18511</v>
      </c>
      <c r="WPT3" s="12" t="s">
        <v>18512</v>
      </c>
      <c r="WPU3" s="12" t="s">
        <v>18513</v>
      </c>
      <c r="WPV3" s="12" t="s">
        <v>18514</v>
      </c>
      <c r="WPW3" s="12" t="s">
        <v>18515</v>
      </c>
      <c r="WPX3" s="12" t="s">
        <v>18516</v>
      </c>
      <c r="WPY3" s="12" t="s">
        <v>18517</v>
      </c>
      <c r="WPZ3" s="12" t="s">
        <v>18518</v>
      </c>
      <c r="WQA3" s="12" t="s">
        <v>18519</v>
      </c>
      <c r="WQB3" s="12" t="s">
        <v>18520</v>
      </c>
      <c r="WQC3" s="12" t="s">
        <v>18521</v>
      </c>
      <c r="WQD3" s="12" t="s">
        <v>18522</v>
      </c>
      <c r="WQE3" s="12" t="s">
        <v>18523</v>
      </c>
      <c r="WQF3" s="12" t="s">
        <v>18524</v>
      </c>
      <c r="WQG3" s="12" t="s">
        <v>18525</v>
      </c>
      <c r="WQH3" s="12" t="s">
        <v>18526</v>
      </c>
      <c r="WQI3" s="12" t="s">
        <v>18527</v>
      </c>
      <c r="WQJ3" s="12" t="s">
        <v>18528</v>
      </c>
      <c r="WQK3" s="12" t="s">
        <v>18529</v>
      </c>
      <c r="WQL3" s="12" t="s">
        <v>18530</v>
      </c>
      <c r="WQM3" s="12" t="s">
        <v>18531</v>
      </c>
      <c r="WQN3" s="12" t="s">
        <v>18532</v>
      </c>
      <c r="WQO3" s="12" t="s">
        <v>18533</v>
      </c>
      <c r="WQP3" s="12" t="s">
        <v>18534</v>
      </c>
      <c r="WQQ3" s="12" t="s">
        <v>18535</v>
      </c>
      <c r="WQR3" s="12" t="s">
        <v>18536</v>
      </c>
      <c r="WQS3" s="12" t="s">
        <v>18537</v>
      </c>
      <c r="WQT3" s="12" t="s">
        <v>18538</v>
      </c>
      <c r="WQU3" s="12" t="s">
        <v>18539</v>
      </c>
      <c r="WQV3" s="12" t="s">
        <v>18540</v>
      </c>
      <c r="WQW3" s="12" t="s">
        <v>18541</v>
      </c>
      <c r="WQX3" s="12" t="s">
        <v>18542</v>
      </c>
      <c r="WQY3" s="12" t="s">
        <v>18543</v>
      </c>
      <c r="WQZ3" s="12" t="s">
        <v>18544</v>
      </c>
      <c r="WRA3" s="12" t="s">
        <v>18545</v>
      </c>
      <c r="WRB3" s="12" t="s">
        <v>18546</v>
      </c>
      <c r="WRC3" s="12" t="s">
        <v>18547</v>
      </c>
      <c r="WRD3" s="12" t="s">
        <v>18548</v>
      </c>
      <c r="WRE3" s="12" t="s">
        <v>18549</v>
      </c>
      <c r="WRF3" s="12" t="s">
        <v>18550</v>
      </c>
      <c r="WRG3" s="12" t="s">
        <v>18551</v>
      </c>
      <c r="WRH3" s="12" t="s">
        <v>18552</v>
      </c>
      <c r="WRI3" s="12" t="s">
        <v>18553</v>
      </c>
      <c r="WRJ3" s="12" t="s">
        <v>18554</v>
      </c>
      <c r="WRK3" s="12" t="s">
        <v>18555</v>
      </c>
      <c r="WRL3" s="12" t="s">
        <v>18556</v>
      </c>
      <c r="WRM3" s="12" t="s">
        <v>18557</v>
      </c>
      <c r="WRN3" s="12" t="s">
        <v>18558</v>
      </c>
      <c r="WRO3" s="12" t="s">
        <v>18559</v>
      </c>
      <c r="WRP3" s="12" t="s">
        <v>18560</v>
      </c>
      <c r="WRQ3" s="12" t="s">
        <v>18561</v>
      </c>
      <c r="WRR3" s="12" t="s">
        <v>18562</v>
      </c>
      <c r="WRS3" s="12" t="s">
        <v>18563</v>
      </c>
      <c r="WRT3" s="12" t="s">
        <v>18564</v>
      </c>
      <c r="WRU3" s="12" t="s">
        <v>18565</v>
      </c>
      <c r="WRV3" s="12" t="s">
        <v>18566</v>
      </c>
      <c r="WRW3" s="12" t="s">
        <v>18567</v>
      </c>
      <c r="WRX3" s="12" t="s">
        <v>18568</v>
      </c>
      <c r="WRY3" s="12" t="s">
        <v>18569</v>
      </c>
      <c r="WRZ3" s="12" t="s">
        <v>18570</v>
      </c>
      <c r="WSA3" s="12" t="s">
        <v>18571</v>
      </c>
      <c r="WSB3" s="12" t="s">
        <v>18572</v>
      </c>
      <c r="WSC3" s="12" t="s">
        <v>18573</v>
      </c>
      <c r="WSD3" s="12" t="s">
        <v>18574</v>
      </c>
      <c r="WSE3" s="12" t="s">
        <v>18575</v>
      </c>
      <c r="WSF3" s="12" t="s">
        <v>18576</v>
      </c>
      <c r="WSG3" s="12" t="s">
        <v>18577</v>
      </c>
      <c r="WSH3" s="12" t="s">
        <v>18578</v>
      </c>
      <c r="WSI3" s="12" t="s">
        <v>18579</v>
      </c>
      <c r="WSJ3" s="12" t="s">
        <v>18580</v>
      </c>
      <c r="WSK3" s="12" t="s">
        <v>18581</v>
      </c>
      <c r="WSL3" s="12" t="s">
        <v>18582</v>
      </c>
      <c r="WSM3" s="12" t="s">
        <v>18583</v>
      </c>
      <c r="WSN3" s="12" t="s">
        <v>18584</v>
      </c>
      <c r="WSO3" s="12" t="s">
        <v>18585</v>
      </c>
      <c r="WSP3" s="12" t="s">
        <v>18586</v>
      </c>
      <c r="WSQ3" s="12" t="s">
        <v>18587</v>
      </c>
      <c r="WSR3" s="12" t="s">
        <v>18588</v>
      </c>
      <c r="WSS3" s="12" t="s">
        <v>18589</v>
      </c>
      <c r="WST3" s="12" t="s">
        <v>18590</v>
      </c>
      <c r="WSU3" s="12" t="s">
        <v>18591</v>
      </c>
      <c r="WSV3" s="12" t="s">
        <v>18592</v>
      </c>
      <c r="WSW3" s="12" t="s">
        <v>18593</v>
      </c>
      <c r="WSX3" s="12" t="s">
        <v>18594</v>
      </c>
      <c r="WSY3" s="12" t="s">
        <v>18595</v>
      </c>
      <c r="WSZ3" s="12" t="s">
        <v>18596</v>
      </c>
      <c r="WTA3" s="12" t="s">
        <v>18597</v>
      </c>
      <c r="WTB3" s="12" t="s">
        <v>18598</v>
      </c>
      <c r="WTC3" s="12" t="s">
        <v>18599</v>
      </c>
      <c r="WTD3" s="12" t="s">
        <v>18600</v>
      </c>
      <c r="WTE3" s="12" t="s">
        <v>18601</v>
      </c>
      <c r="WTF3" s="12" t="s">
        <v>18602</v>
      </c>
      <c r="WTG3" s="12" t="s">
        <v>18603</v>
      </c>
      <c r="WTH3" s="12" t="s">
        <v>18604</v>
      </c>
      <c r="WTI3" s="12" t="s">
        <v>18605</v>
      </c>
      <c r="WTJ3" s="12" t="s">
        <v>18606</v>
      </c>
      <c r="WTK3" s="12" t="s">
        <v>18607</v>
      </c>
      <c r="WTL3" s="12" t="s">
        <v>18608</v>
      </c>
      <c r="WTM3" s="12" t="s">
        <v>18609</v>
      </c>
      <c r="WTN3" s="12" t="s">
        <v>18610</v>
      </c>
      <c r="WTO3" s="12" t="s">
        <v>18611</v>
      </c>
      <c r="WTP3" s="12" t="s">
        <v>18612</v>
      </c>
      <c r="WTQ3" s="12" t="s">
        <v>18613</v>
      </c>
      <c r="WTR3" s="12" t="s">
        <v>18614</v>
      </c>
      <c r="WTS3" s="12" t="s">
        <v>18615</v>
      </c>
      <c r="WTT3" s="12" t="s">
        <v>18616</v>
      </c>
      <c r="WTU3" s="12" t="s">
        <v>18617</v>
      </c>
      <c r="WTV3" s="12" t="s">
        <v>18618</v>
      </c>
      <c r="WTW3" s="12" t="s">
        <v>18619</v>
      </c>
      <c r="WTX3" s="12" t="s">
        <v>18620</v>
      </c>
      <c r="WTY3" s="12" t="s">
        <v>18621</v>
      </c>
      <c r="WTZ3" s="12" t="s">
        <v>18622</v>
      </c>
      <c r="WUA3" s="12" t="s">
        <v>18623</v>
      </c>
      <c r="WUB3" s="12" t="s">
        <v>18624</v>
      </c>
      <c r="WUC3" s="12" t="s">
        <v>18625</v>
      </c>
      <c r="WUD3" s="12" t="s">
        <v>18626</v>
      </c>
      <c r="WUE3" s="12" t="s">
        <v>18627</v>
      </c>
      <c r="WUF3" s="12" t="s">
        <v>18628</v>
      </c>
      <c r="WUG3" s="12" t="s">
        <v>18629</v>
      </c>
      <c r="WUH3" s="12" t="s">
        <v>18630</v>
      </c>
      <c r="WUI3" s="12" t="s">
        <v>18631</v>
      </c>
      <c r="WUJ3" s="12" t="s">
        <v>18632</v>
      </c>
      <c r="WUK3" s="12" t="s">
        <v>18633</v>
      </c>
      <c r="WUL3" s="12" t="s">
        <v>18634</v>
      </c>
      <c r="WUM3" s="12" t="s">
        <v>18635</v>
      </c>
      <c r="WUN3" s="12" t="s">
        <v>18636</v>
      </c>
      <c r="WUO3" s="12" t="s">
        <v>18637</v>
      </c>
      <c r="WUP3" s="12" t="s">
        <v>18638</v>
      </c>
      <c r="WUQ3" s="12" t="s">
        <v>18639</v>
      </c>
      <c r="WUR3" s="12" t="s">
        <v>18640</v>
      </c>
      <c r="WUS3" s="12" t="s">
        <v>18641</v>
      </c>
      <c r="WUT3" s="12" t="s">
        <v>18642</v>
      </c>
      <c r="WUU3" s="12" t="s">
        <v>18643</v>
      </c>
      <c r="WUV3" s="12" t="s">
        <v>18644</v>
      </c>
      <c r="WUW3" s="12" t="s">
        <v>18645</v>
      </c>
      <c r="WUX3" s="12" t="s">
        <v>18646</v>
      </c>
      <c r="WUY3" s="12" t="s">
        <v>18647</v>
      </c>
      <c r="WUZ3" s="12" t="s">
        <v>18648</v>
      </c>
      <c r="WVA3" s="12" t="s">
        <v>18649</v>
      </c>
      <c r="WVB3" s="12" t="s">
        <v>18650</v>
      </c>
      <c r="WVC3" s="12" t="s">
        <v>18651</v>
      </c>
      <c r="WVD3" s="12" t="s">
        <v>18652</v>
      </c>
      <c r="WVE3" s="12" t="s">
        <v>18653</v>
      </c>
      <c r="WVF3" s="12" t="s">
        <v>18654</v>
      </c>
      <c r="WVG3" s="12" t="s">
        <v>18655</v>
      </c>
      <c r="WVH3" s="12" t="s">
        <v>18656</v>
      </c>
      <c r="WVI3" s="12" t="s">
        <v>18657</v>
      </c>
      <c r="WVJ3" s="12" t="s">
        <v>18658</v>
      </c>
      <c r="WVK3" s="12" t="s">
        <v>18659</v>
      </c>
      <c r="WVL3" s="12" t="s">
        <v>18660</v>
      </c>
      <c r="WVM3" s="12" t="s">
        <v>18661</v>
      </c>
      <c r="WVN3" s="12" t="s">
        <v>18662</v>
      </c>
      <c r="WVO3" s="12" t="s">
        <v>18663</v>
      </c>
      <c r="WVP3" s="12" t="s">
        <v>18664</v>
      </c>
      <c r="WVQ3" s="12" t="s">
        <v>18665</v>
      </c>
      <c r="WVR3" s="12" t="s">
        <v>18666</v>
      </c>
      <c r="WVS3" s="12" t="s">
        <v>18667</v>
      </c>
      <c r="WVT3" s="12" t="s">
        <v>18668</v>
      </c>
      <c r="WVU3" s="12" t="s">
        <v>18669</v>
      </c>
      <c r="WVV3" s="12" t="s">
        <v>18670</v>
      </c>
      <c r="WVW3" s="12" t="s">
        <v>18671</v>
      </c>
      <c r="WVX3" s="12" t="s">
        <v>18672</v>
      </c>
      <c r="WVY3" s="12" t="s">
        <v>18673</v>
      </c>
      <c r="WVZ3" s="12" t="s">
        <v>18674</v>
      </c>
      <c r="WWA3" s="12" t="s">
        <v>18675</v>
      </c>
      <c r="WWB3" s="12" t="s">
        <v>18676</v>
      </c>
      <c r="WWC3" s="12" t="s">
        <v>18677</v>
      </c>
      <c r="WWD3" s="12" t="s">
        <v>18678</v>
      </c>
      <c r="WWE3" s="12" t="s">
        <v>18679</v>
      </c>
      <c r="WWF3" s="12" t="s">
        <v>18680</v>
      </c>
      <c r="WWG3" s="12" t="s">
        <v>18681</v>
      </c>
      <c r="WWH3" s="12" t="s">
        <v>18682</v>
      </c>
      <c r="WWI3" s="12" t="s">
        <v>18683</v>
      </c>
      <c r="WWJ3" s="12" t="s">
        <v>18684</v>
      </c>
      <c r="WWK3" s="12" t="s">
        <v>18685</v>
      </c>
      <c r="WWL3" s="12" t="s">
        <v>18686</v>
      </c>
      <c r="WWM3" s="12" t="s">
        <v>18687</v>
      </c>
      <c r="WWN3" s="12" t="s">
        <v>18688</v>
      </c>
      <c r="WWO3" s="12" t="s">
        <v>18689</v>
      </c>
      <c r="WWP3" s="12" t="s">
        <v>18690</v>
      </c>
      <c r="WWQ3" s="12" t="s">
        <v>18691</v>
      </c>
      <c r="WWR3" s="12" t="s">
        <v>18692</v>
      </c>
      <c r="WWS3" s="12" t="s">
        <v>18693</v>
      </c>
      <c r="WWT3" s="12" t="s">
        <v>18694</v>
      </c>
      <c r="WWU3" s="12" t="s">
        <v>18695</v>
      </c>
      <c r="WWV3" s="12" t="s">
        <v>18696</v>
      </c>
      <c r="WWW3" s="12" t="s">
        <v>18697</v>
      </c>
      <c r="WWX3" s="12" t="s">
        <v>18698</v>
      </c>
      <c r="WWY3" s="12" t="s">
        <v>18699</v>
      </c>
      <c r="WWZ3" s="12" t="s">
        <v>18700</v>
      </c>
      <c r="WXA3" s="12" t="s">
        <v>18701</v>
      </c>
      <c r="WXB3" s="12" t="s">
        <v>18702</v>
      </c>
      <c r="WXC3" s="12" t="s">
        <v>18703</v>
      </c>
      <c r="WXD3" s="12" t="s">
        <v>18704</v>
      </c>
      <c r="WXE3" s="12" t="s">
        <v>18705</v>
      </c>
      <c r="WXF3" s="12" t="s">
        <v>18706</v>
      </c>
      <c r="WXG3" s="12" t="s">
        <v>18707</v>
      </c>
      <c r="WXH3" s="12" t="s">
        <v>18708</v>
      </c>
      <c r="WXI3" s="12" t="s">
        <v>18709</v>
      </c>
      <c r="WXJ3" s="12" t="s">
        <v>18710</v>
      </c>
      <c r="WXK3" s="12" t="s">
        <v>18711</v>
      </c>
      <c r="WXL3" s="12" t="s">
        <v>18712</v>
      </c>
      <c r="WXM3" s="12" t="s">
        <v>18713</v>
      </c>
      <c r="WXN3" s="12" t="s">
        <v>18714</v>
      </c>
      <c r="WXO3" s="12" t="s">
        <v>18715</v>
      </c>
      <c r="WXP3" s="12" t="s">
        <v>18716</v>
      </c>
      <c r="WXQ3" s="12" t="s">
        <v>18717</v>
      </c>
      <c r="WXR3" s="12" t="s">
        <v>18718</v>
      </c>
      <c r="WXS3" s="12" t="s">
        <v>18719</v>
      </c>
      <c r="WXT3" s="12" t="s">
        <v>18720</v>
      </c>
      <c r="WXU3" s="12" t="s">
        <v>18721</v>
      </c>
      <c r="WXV3" s="12" t="s">
        <v>18722</v>
      </c>
      <c r="WXW3" s="12" t="s">
        <v>18723</v>
      </c>
      <c r="WXX3" s="12" t="s">
        <v>18724</v>
      </c>
      <c r="WXY3" s="12" t="s">
        <v>18725</v>
      </c>
      <c r="WXZ3" s="12" t="s">
        <v>18726</v>
      </c>
      <c r="WYA3" s="12" t="s">
        <v>18727</v>
      </c>
      <c r="WYB3" s="12" t="s">
        <v>18728</v>
      </c>
      <c r="WYC3" s="12" t="s">
        <v>18729</v>
      </c>
      <c r="WYD3" s="12" t="s">
        <v>18730</v>
      </c>
      <c r="WYE3" s="12" t="s">
        <v>18731</v>
      </c>
      <c r="WYF3" s="12" t="s">
        <v>18732</v>
      </c>
      <c r="WYG3" s="12" t="s">
        <v>18733</v>
      </c>
      <c r="WYH3" s="12" t="s">
        <v>18734</v>
      </c>
      <c r="WYI3" s="12" t="s">
        <v>18735</v>
      </c>
      <c r="WYJ3" s="12" t="s">
        <v>18736</v>
      </c>
      <c r="WYK3" s="12" t="s">
        <v>18737</v>
      </c>
      <c r="WYL3" s="12" t="s">
        <v>18738</v>
      </c>
      <c r="WYM3" s="12" t="s">
        <v>18739</v>
      </c>
      <c r="WYN3" s="12" t="s">
        <v>18740</v>
      </c>
      <c r="WYO3" s="12" t="s">
        <v>18741</v>
      </c>
      <c r="WYP3" s="12" t="s">
        <v>18742</v>
      </c>
      <c r="WYQ3" s="12" t="s">
        <v>18743</v>
      </c>
      <c r="WYR3" s="12" t="s">
        <v>18744</v>
      </c>
      <c r="WYS3" s="12" t="s">
        <v>18745</v>
      </c>
      <c r="WYT3" s="12" t="s">
        <v>18746</v>
      </c>
      <c r="WYU3" s="12" t="s">
        <v>18747</v>
      </c>
      <c r="WYV3" s="12" t="s">
        <v>18748</v>
      </c>
      <c r="WYW3" s="12" t="s">
        <v>18749</v>
      </c>
      <c r="WYX3" s="12" t="s">
        <v>18750</v>
      </c>
      <c r="WYY3" s="12" t="s">
        <v>18751</v>
      </c>
      <c r="WYZ3" s="12" t="s">
        <v>18752</v>
      </c>
      <c r="WZA3" s="12" t="s">
        <v>18753</v>
      </c>
      <c r="WZB3" s="12" t="s">
        <v>18754</v>
      </c>
      <c r="WZC3" s="12" t="s">
        <v>18755</v>
      </c>
      <c r="WZD3" s="12" t="s">
        <v>18756</v>
      </c>
      <c r="WZE3" s="12" t="s">
        <v>18757</v>
      </c>
      <c r="WZF3" s="12" t="s">
        <v>18758</v>
      </c>
      <c r="WZG3" s="12" t="s">
        <v>18759</v>
      </c>
      <c r="WZH3" s="12" t="s">
        <v>18760</v>
      </c>
      <c r="WZI3" s="12" t="s">
        <v>18761</v>
      </c>
      <c r="WZJ3" s="12" t="s">
        <v>18762</v>
      </c>
      <c r="WZK3" s="12" t="s">
        <v>18763</v>
      </c>
      <c r="WZL3" s="12" t="s">
        <v>18764</v>
      </c>
      <c r="WZM3" s="12" t="s">
        <v>18765</v>
      </c>
      <c r="WZN3" s="12" t="s">
        <v>18766</v>
      </c>
      <c r="WZO3" s="12" t="s">
        <v>18767</v>
      </c>
      <c r="WZP3" s="12" t="s">
        <v>18768</v>
      </c>
      <c r="WZQ3" s="12" t="s">
        <v>18769</v>
      </c>
      <c r="WZR3" s="12" t="s">
        <v>18770</v>
      </c>
      <c r="WZS3" s="12" t="s">
        <v>18771</v>
      </c>
      <c r="WZT3" s="12" t="s">
        <v>18772</v>
      </c>
      <c r="WZU3" s="12" t="s">
        <v>18773</v>
      </c>
      <c r="WZV3" s="12" t="s">
        <v>18774</v>
      </c>
      <c r="WZW3" s="12" t="s">
        <v>18775</v>
      </c>
      <c r="WZX3" s="12" t="s">
        <v>18776</v>
      </c>
      <c r="WZY3" s="12" t="s">
        <v>18777</v>
      </c>
      <c r="WZZ3" s="12" t="s">
        <v>18778</v>
      </c>
      <c r="XAA3" s="12" t="s">
        <v>18779</v>
      </c>
      <c r="XAB3" s="12" t="s">
        <v>18780</v>
      </c>
      <c r="XAC3" s="12" t="s">
        <v>18781</v>
      </c>
      <c r="XAD3" s="12" t="s">
        <v>18782</v>
      </c>
      <c r="XAE3" s="12" t="s">
        <v>18783</v>
      </c>
      <c r="XAF3" s="12" t="s">
        <v>18784</v>
      </c>
      <c r="XAG3" s="12" t="s">
        <v>18785</v>
      </c>
      <c r="XAH3" s="12" t="s">
        <v>18786</v>
      </c>
      <c r="XAI3" s="12" t="s">
        <v>18787</v>
      </c>
      <c r="XAJ3" s="12" t="s">
        <v>18788</v>
      </c>
      <c r="XAK3" s="12" t="s">
        <v>18789</v>
      </c>
      <c r="XAL3" s="12" t="s">
        <v>18790</v>
      </c>
      <c r="XAM3" s="12" t="s">
        <v>18791</v>
      </c>
      <c r="XAN3" s="12" t="s">
        <v>18792</v>
      </c>
      <c r="XAO3" s="12" t="s">
        <v>18793</v>
      </c>
      <c r="XAP3" s="12" t="s">
        <v>18794</v>
      </c>
      <c r="XAQ3" s="12" t="s">
        <v>18795</v>
      </c>
      <c r="XAR3" s="12" t="s">
        <v>18796</v>
      </c>
      <c r="XAS3" s="12" t="s">
        <v>18797</v>
      </c>
      <c r="XAT3" s="12" t="s">
        <v>18798</v>
      </c>
      <c r="XAU3" s="12" t="s">
        <v>18799</v>
      </c>
      <c r="XAV3" s="12" t="s">
        <v>18800</v>
      </c>
      <c r="XAW3" s="12" t="s">
        <v>18801</v>
      </c>
      <c r="XAX3" s="12" t="s">
        <v>18802</v>
      </c>
      <c r="XAY3" s="12" t="s">
        <v>18803</v>
      </c>
      <c r="XAZ3" s="12" t="s">
        <v>18804</v>
      </c>
      <c r="XBA3" s="12" t="s">
        <v>18805</v>
      </c>
      <c r="XBB3" s="12" t="s">
        <v>18806</v>
      </c>
      <c r="XBC3" s="12" t="s">
        <v>18807</v>
      </c>
      <c r="XBD3" s="12" t="s">
        <v>18808</v>
      </c>
      <c r="XBE3" s="12" t="s">
        <v>18809</v>
      </c>
      <c r="XBF3" s="12" t="s">
        <v>18810</v>
      </c>
      <c r="XBG3" s="12" t="s">
        <v>18811</v>
      </c>
      <c r="XBH3" s="12" t="s">
        <v>18812</v>
      </c>
      <c r="XBI3" s="12" t="s">
        <v>18813</v>
      </c>
      <c r="XBJ3" s="12" t="s">
        <v>18814</v>
      </c>
      <c r="XBK3" s="12" t="s">
        <v>18815</v>
      </c>
      <c r="XBL3" s="12" t="s">
        <v>18816</v>
      </c>
      <c r="XBM3" s="12" t="s">
        <v>18817</v>
      </c>
      <c r="XBN3" s="12" t="s">
        <v>18818</v>
      </c>
      <c r="XBO3" s="12" t="s">
        <v>18819</v>
      </c>
      <c r="XBP3" s="12" t="s">
        <v>18820</v>
      </c>
      <c r="XBQ3" s="12" t="s">
        <v>18821</v>
      </c>
      <c r="XBR3" s="12" t="s">
        <v>18822</v>
      </c>
      <c r="XBS3" s="12" t="s">
        <v>18823</v>
      </c>
      <c r="XBT3" s="12" t="s">
        <v>18824</v>
      </c>
      <c r="XBU3" s="12" t="s">
        <v>18825</v>
      </c>
      <c r="XBV3" s="12" t="s">
        <v>18826</v>
      </c>
      <c r="XBW3" s="12" t="s">
        <v>18827</v>
      </c>
      <c r="XBX3" s="12" t="s">
        <v>18828</v>
      </c>
      <c r="XBY3" s="12" t="s">
        <v>18829</v>
      </c>
      <c r="XBZ3" s="12" t="s">
        <v>18830</v>
      </c>
      <c r="XCA3" s="12" t="s">
        <v>18831</v>
      </c>
      <c r="XCB3" s="12" t="s">
        <v>18832</v>
      </c>
      <c r="XCC3" s="12" t="s">
        <v>18833</v>
      </c>
      <c r="XCD3" s="12" t="s">
        <v>18834</v>
      </c>
      <c r="XCE3" s="12" t="s">
        <v>18835</v>
      </c>
      <c r="XCF3" s="12" t="s">
        <v>18836</v>
      </c>
      <c r="XCG3" s="12" t="s">
        <v>18837</v>
      </c>
      <c r="XCH3" s="12" t="s">
        <v>18838</v>
      </c>
      <c r="XCI3" s="12" t="s">
        <v>18839</v>
      </c>
      <c r="XCJ3" s="12" t="s">
        <v>18840</v>
      </c>
      <c r="XCK3" s="12" t="s">
        <v>18841</v>
      </c>
      <c r="XCL3" s="12" t="s">
        <v>18842</v>
      </c>
      <c r="XCM3" s="12" t="s">
        <v>18843</v>
      </c>
      <c r="XCN3" s="12" t="s">
        <v>18844</v>
      </c>
      <c r="XCO3" s="12" t="s">
        <v>18845</v>
      </c>
      <c r="XCP3" s="12" t="s">
        <v>18846</v>
      </c>
      <c r="XCQ3" s="12" t="s">
        <v>18847</v>
      </c>
      <c r="XCR3" s="12" t="s">
        <v>18848</v>
      </c>
      <c r="XCS3" s="12" t="s">
        <v>18849</v>
      </c>
      <c r="XCT3" s="12" t="s">
        <v>18850</v>
      </c>
      <c r="XCU3" s="12" t="s">
        <v>18851</v>
      </c>
      <c r="XCV3" s="12" t="s">
        <v>18852</v>
      </c>
      <c r="XCW3" s="12" t="s">
        <v>18853</v>
      </c>
      <c r="XCX3" s="12" t="s">
        <v>18854</v>
      </c>
      <c r="XCY3" s="12" t="s">
        <v>18855</v>
      </c>
      <c r="XCZ3" s="12" t="s">
        <v>18856</v>
      </c>
      <c r="XDA3" s="12" t="s">
        <v>18857</v>
      </c>
      <c r="XDB3" s="12" t="s">
        <v>18858</v>
      </c>
      <c r="XDC3" s="12" t="s">
        <v>18859</v>
      </c>
      <c r="XDD3" s="12" t="s">
        <v>18860</v>
      </c>
      <c r="XDE3" s="12" t="s">
        <v>18861</v>
      </c>
      <c r="XDF3" s="12" t="s">
        <v>18862</v>
      </c>
      <c r="XDG3" s="12" t="s">
        <v>18863</v>
      </c>
      <c r="XDH3" s="12" t="s">
        <v>18864</v>
      </c>
      <c r="XDI3" s="12" t="s">
        <v>18865</v>
      </c>
      <c r="XDJ3" s="12" t="s">
        <v>18866</v>
      </c>
      <c r="XDK3" s="12" t="s">
        <v>18867</v>
      </c>
      <c r="XDL3" s="12" t="s">
        <v>18868</v>
      </c>
      <c r="XDM3" s="12" t="s">
        <v>18869</v>
      </c>
      <c r="XDN3" s="12" t="s">
        <v>18870</v>
      </c>
      <c r="XDO3" s="12" t="s">
        <v>18871</v>
      </c>
      <c r="XDP3" s="12" t="s">
        <v>18872</v>
      </c>
      <c r="XDQ3" s="12" t="s">
        <v>18873</v>
      </c>
      <c r="XDR3" s="12" t="s">
        <v>18874</v>
      </c>
      <c r="XDS3" s="12" t="s">
        <v>18875</v>
      </c>
      <c r="XDT3" s="12" t="s">
        <v>18876</v>
      </c>
      <c r="XDU3" s="12" t="s">
        <v>18877</v>
      </c>
      <c r="XDV3" s="12" t="s">
        <v>18878</v>
      </c>
      <c r="XDW3" s="12" t="s">
        <v>18879</v>
      </c>
      <c r="XDX3" s="12" t="s">
        <v>18880</v>
      </c>
      <c r="XDY3" s="12" t="s">
        <v>18881</v>
      </c>
      <c r="XDZ3" s="12" t="s">
        <v>18882</v>
      </c>
      <c r="XEA3" s="12" t="s">
        <v>18883</v>
      </c>
      <c r="XEB3" s="12" t="s">
        <v>18884</v>
      </c>
      <c r="XEC3" s="12" t="s">
        <v>18885</v>
      </c>
      <c r="XED3" s="12" t="s">
        <v>18886</v>
      </c>
      <c r="XEE3" s="12" t="s">
        <v>18887</v>
      </c>
      <c r="XEF3" s="12" t="s">
        <v>18888</v>
      </c>
      <c r="XEG3" s="12" t="s">
        <v>18889</v>
      </c>
      <c r="XEH3" s="12" t="s">
        <v>18890</v>
      </c>
      <c r="XEI3" s="12" t="s">
        <v>18891</v>
      </c>
      <c r="XEJ3" s="12" t="s">
        <v>18892</v>
      </c>
      <c r="XEK3" s="12" t="s">
        <v>18893</v>
      </c>
      <c r="XEL3" s="12" t="s">
        <v>18894</v>
      </c>
      <c r="XEM3" s="12" t="s">
        <v>18895</v>
      </c>
      <c r="XEN3" s="12" t="s">
        <v>18896</v>
      </c>
      <c r="XEO3" s="12" t="s">
        <v>18897</v>
      </c>
      <c r="XEP3" s="12" t="s">
        <v>18898</v>
      </c>
      <c r="XEQ3" s="12" t="s">
        <v>18899</v>
      </c>
      <c r="XER3" s="12" t="s">
        <v>18900</v>
      </c>
      <c r="XES3" s="12" t="s">
        <v>18901</v>
      </c>
      <c r="XET3" s="12" t="s">
        <v>18902</v>
      </c>
      <c r="XEU3" s="12" t="s">
        <v>18903</v>
      </c>
      <c r="XEV3" s="12" t="s">
        <v>18904</v>
      </c>
      <c r="XEW3" s="12" t="s">
        <v>18905</v>
      </c>
      <c r="XEX3" s="12" t="s">
        <v>18906</v>
      </c>
      <c r="XEY3" s="12" t="s">
        <v>18907</v>
      </c>
      <c r="XEZ3" s="12" t="s">
        <v>18908</v>
      </c>
      <c r="XFA3" s="12" t="s">
        <v>18909</v>
      </c>
      <c r="XFB3" s="12" t="s">
        <v>18910</v>
      </c>
      <c r="XFC3" s="12" t="s">
        <v>18911</v>
      </c>
      <c r="XFD3" s="12" t="s">
        <v>18912</v>
      </c>
    </row>
    <row r="4" spans="1:16384" s="69" customFormat="1" x14ac:dyDescent="0.3">
      <c r="A4" s="51" t="s">
        <v>894</v>
      </c>
      <c r="B4" s="51" t="s">
        <v>888</v>
      </c>
      <c r="C4" s="51" t="s">
        <v>8</v>
      </c>
      <c r="D4" s="12" t="s">
        <v>136</v>
      </c>
      <c r="E4" s="89">
        <v>1</v>
      </c>
      <c r="F4" s="12" t="s">
        <v>137</v>
      </c>
      <c r="G4" s="12" t="s">
        <v>138</v>
      </c>
      <c r="H4" s="12" t="s">
        <v>139</v>
      </c>
      <c r="I4" s="12">
        <v>1</v>
      </c>
      <c r="J4" s="89">
        <v>49.95</v>
      </c>
      <c r="K4" s="12" t="s">
        <v>1910</v>
      </c>
      <c r="L4" t="s">
        <v>1489</v>
      </c>
      <c r="M4">
        <f t="shared" ref="M4:M67" si="0">E4*J4</f>
        <v>49.95</v>
      </c>
      <c r="N4" s="69">
        <f t="shared" ref="N4:N67" si="1">IF($N3="List #",1,$N3+1)</f>
        <v>1</v>
      </c>
    </row>
    <row r="5" spans="1:16384" s="103" customFormat="1" x14ac:dyDescent="0.3">
      <c r="A5" s="102" t="s">
        <v>894</v>
      </c>
      <c r="B5" s="102" t="s">
        <v>888</v>
      </c>
      <c r="C5" s="102" t="s">
        <v>8</v>
      </c>
      <c r="D5" s="103" t="s">
        <v>148</v>
      </c>
      <c r="E5" s="104">
        <v>1</v>
      </c>
      <c r="F5" s="103" t="s">
        <v>149</v>
      </c>
      <c r="G5" s="103" t="s">
        <v>150</v>
      </c>
      <c r="H5" s="103" t="s">
        <v>151</v>
      </c>
      <c r="J5" s="104">
        <v>4.95</v>
      </c>
      <c r="K5" s="103" t="s">
        <v>1910</v>
      </c>
      <c r="L5" s="105"/>
      <c r="M5">
        <f t="shared" si="0"/>
        <v>4.95</v>
      </c>
      <c r="N5" s="103">
        <f t="shared" si="1"/>
        <v>2</v>
      </c>
    </row>
    <row r="6" spans="1:16384" s="103" customFormat="1" x14ac:dyDescent="0.3">
      <c r="A6" s="102" t="s">
        <v>894</v>
      </c>
      <c r="B6" s="102" t="s">
        <v>888</v>
      </c>
      <c r="C6" s="102" t="s">
        <v>8</v>
      </c>
      <c r="D6" s="103" t="s">
        <v>152</v>
      </c>
      <c r="E6" s="104">
        <v>2</v>
      </c>
      <c r="F6" s="103" t="s">
        <v>153</v>
      </c>
      <c r="G6" s="103" t="s">
        <v>154</v>
      </c>
      <c r="H6" s="103" t="s">
        <v>155</v>
      </c>
      <c r="I6" s="103">
        <v>1</v>
      </c>
      <c r="J6" s="104">
        <v>1.95</v>
      </c>
      <c r="K6" s="103" t="s">
        <v>1910</v>
      </c>
      <c r="L6" s="105"/>
      <c r="M6">
        <f t="shared" si="0"/>
        <v>3.9</v>
      </c>
      <c r="N6" s="103">
        <f t="shared" si="1"/>
        <v>3</v>
      </c>
    </row>
    <row r="7" spans="1:16384" s="103" customFormat="1" x14ac:dyDescent="0.3">
      <c r="A7" s="102" t="s">
        <v>894</v>
      </c>
      <c r="B7" s="102" t="s">
        <v>888</v>
      </c>
      <c r="C7" s="102" t="s">
        <v>8</v>
      </c>
      <c r="D7" s="103" t="s">
        <v>156</v>
      </c>
      <c r="E7" s="104">
        <v>1</v>
      </c>
      <c r="F7" s="103" t="s">
        <v>157</v>
      </c>
      <c r="G7" s="103" t="s">
        <v>158</v>
      </c>
      <c r="H7" s="103" t="s">
        <v>159</v>
      </c>
      <c r="J7" s="104">
        <v>0.75</v>
      </c>
      <c r="K7" s="103" t="s">
        <v>1910</v>
      </c>
      <c r="L7" s="105"/>
      <c r="M7">
        <f t="shared" si="0"/>
        <v>0.75</v>
      </c>
      <c r="N7" s="103">
        <f t="shared" si="1"/>
        <v>4</v>
      </c>
    </row>
    <row r="8" spans="1:16384" s="103" customFormat="1" x14ac:dyDescent="0.3">
      <c r="A8" s="102" t="s">
        <v>894</v>
      </c>
      <c r="B8" s="102" t="s">
        <v>888</v>
      </c>
      <c r="C8" s="102" t="s">
        <v>8</v>
      </c>
      <c r="D8" s="103" t="s">
        <v>667</v>
      </c>
      <c r="E8" s="104">
        <v>2</v>
      </c>
      <c r="F8" s="103" t="s">
        <v>668</v>
      </c>
      <c r="G8" s="103" t="s">
        <v>669</v>
      </c>
      <c r="H8" s="103" t="s">
        <v>670</v>
      </c>
      <c r="I8" s="103">
        <v>1</v>
      </c>
      <c r="J8" s="104">
        <v>4.95</v>
      </c>
      <c r="K8" s="103" t="s">
        <v>1910</v>
      </c>
      <c r="L8" s="105"/>
      <c r="M8">
        <f t="shared" si="0"/>
        <v>9.9</v>
      </c>
      <c r="N8" s="103">
        <f t="shared" si="1"/>
        <v>5</v>
      </c>
    </row>
    <row r="9" spans="1:16384" s="103" customFormat="1" x14ac:dyDescent="0.3">
      <c r="A9" s="102" t="s">
        <v>894</v>
      </c>
      <c r="B9" s="102" t="s">
        <v>888</v>
      </c>
      <c r="C9" s="102" t="s">
        <v>8</v>
      </c>
      <c r="D9" s="103" t="s">
        <v>140</v>
      </c>
      <c r="E9" s="104">
        <v>1</v>
      </c>
      <c r="F9" s="103" t="s">
        <v>141</v>
      </c>
      <c r="G9" s="103" t="s">
        <v>142</v>
      </c>
      <c r="H9" s="103" t="s">
        <v>143</v>
      </c>
      <c r="I9" s="103">
        <v>1</v>
      </c>
      <c r="J9" s="104">
        <v>59.95</v>
      </c>
      <c r="K9" s="103" t="s">
        <v>1910</v>
      </c>
      <c r="L9" s="105"/>
      <c r="M9">
        <f t="shared" si="0"/>
        <v>59.95</v>
      </c>
      <c r="N9" s="103">
        <f t="shared" si="1"/>
        <v>6</v>
      </c>
    </row>
    <row r="10" spans="1:16384" s="103" customFormat="1" x14ac:dyDescent="0.3">
      <c r="A10" s="102" t="s">
        <v>894</v>
      </c>
      <c r="B10" s="102" t="s">
        <v>888</v>
      </c>
      <c r="C10" s="102" t="s">
        <v>8</v>
      </c>
      <c r="D10" s="103" t="s">
        <v>1498</v>
      </c>
      <c r="E10" s="104">
        <v>1</v>
      </c>
      <c r="F10" s="103" t="s">
        <v>1499</v>
      </c>
      <c r="G10" s="103" t="s">
        <v>1500</v>
      </c>
      <c r="H10" s="103" t="s">
        <v>1501</v>
      </c>
      <c r="I10" s="103">
        <v>1</v>
      </c>
      <c r="J10" s="104">
        <v>9.9499999999999993</v>
      </c>
      <c r="K10" s="103" t="s">
        <v>1910</v>
      </c>
      <c r="L10" s="105"/>
      <c r="M10">
        <f t="shared" si="0"/>
        <v>9.9499999999999993</v>
      </c>
      <c r="N10" s="103">
        <f t="shared" si="1"/>
        <v>7</v>
      </c>
    </row>
    <row r="11" spans="1:16384" s="103" customFormat="1" x14ac:dyDescent="0.3">
      <c r="A11" s="102" t="s">
        <v>894</v>
      </c>
      <c r="B11" s="102" t="s">
        <v>888</v>
      </c>
      <c r="C11" s="102" t="s">
        <v>8</v>
      </c>
      <c r="D11" s="103" t="s">
        <v>1519</v>
      </c>
      <c r="E11" s="104">
        <v>1</v>
      </c>
      <c r="F11" s="103" t="s">
        <v>1520</v>
      </c>
      <c r="G11" s="103" t="s">
        <v>1521</v>
      </c>
      <c r="H11" s="103" t="s">
        <v>1522</v>
      </c>
      <c r="I11" s="103">
        <v>1</v>
      </c>
      <c r="J11" s="104">
        <v>0.95</v>
      </c>
      <c r="K11" s="103" t="s">
        <v>1910</v>
      </c>
      <c r="L11" s="105"/>
      <c r="M11">
        <f t="shared" si="0"/>
        <v>0.95</v>
      </c>
      <c r="N11" s="103">
        <f t="shared" si="1"/>
        <v>8</v>
      </c>
    </row>
    <row r="12" spans="1:16384" s="103" customFormat="1" x14ac:dyDescent="0.3">
      <c r="A12" s="102" t="s">
        <v>894</v>
      </c>
      <c r="B12" s="102" t="s">
        <v>888</v>
      </c>
      <c r="C12" s="102" t="s">
        <v>8</v>
      </c>
      <c r="D12" s="103" t="s">
        <v>1851</v>
      </c>
      <c r="E12" s="104">
        <v>1</v>
      </c>
      <c r="F12" s="103" t="s">
        <v>1852</v>
      </c>
      <c r="G12" s="103" t="s">
        <v>1853</v>
      </c>
      <c r="H12" s="103" t="s">
        <v>1854</v>
      </c>
      <c r="I12" s="103">
        <v>1</v>
      </c>
      <c r="J12" s="104">
        <v>5.95</v>
      </c>
      <c r="K12" s="103" t="s">
        <v>1910</v>
      </c>
      <c r="L12" s="105"/>
      <c r="M12">
        <f t="shared" si="0"/>
        <v>5.95</v>
      </c>
      <c r="N12" s="103">
        <f t="shared" si="1"/>
        <v>9</v>
      </c>
    </row>
    <row r="13" spans="1:16384" s="103" customFormat="1" hidden="1" x14ac:dyDescent="0.3">
      <c r="A13" s="102" t="s">
        <v>894</v>
      </c>
      <c r="B13" s="102" t="s">
        <v>888</v>
      </c>
      <c r="C13" s="102" t="s">
        <v>8</v>
      </c>
      <c r="D13" s="103" t="s">
        <v>144</v>
      </c>
      <c r="E13" s="104">
        <v>0</v>
      </c>
      <c r="F13" s="103" t="s">
        <v>145</v>
      </c>
      <c r="G13" s="103" t="s">
        <v>146</v>
      </c>
      <c r="H13" s="103" t="s">
        <v>147</v>
      </c>
      <c r="I13" s="103">
        <v>1</v>
      </c>
      <c r="J13" s="104">
        <v>10.95</v>
      </c>
      <c r="K13" s="103" t="s">
        <v>1910</v>
      </c>
      <c r="L13" s="105"/>
      <c r="M13">
        <f t="shared" si="0"/>
        <v>0</v>
      </c>
      <c r="N13" s="103">
        <f t="shared" si="1"/>
        <v>10</v>
      </c>
    </row>
    <row r="14" spans="1:16384" s="103" customFormat="1" hidden="1" x14ac:dyDescent="0.3">
      <c r="A14" s="103" t="s">
        <v>894</v>
      </c>
      <c r="B14" s="103" t="s">
        <v>888</v>
      </c>
      <c r="C14" s="103" t="s">
        <v>1898</v>
      </c>
      <c r="D14" s="103" t="s">
        <v>2251</v>
      </c>
      <c r="E14" s="104">
        <v>0</v>
      </c>
      <c r="H14" s="102" t="s">
        <v>2252</v>
      </c>
      <c r="I14" s="105"/>
      <c r="J14" s="111">
        <v>22</v>
      </c>
      <c r="K14" s="102" t="s">
        <v>1910</v>
      </c>
      <c r="L14" s="105"/>
      <c r="M14">
        <f t="shared" si="0"/>
        <v>0</v>
      </c>
      <c r="N14" s="103">
        <f t="shared" si="1"/>
        <v>11</v>
      </c>
    </row>
    <row r="15" spans="1:16384" s="103" customFormat="1" hidden="1" x14ac:dyDescent="0.3">
      <c r="A15" s="103" t="s">
        <v>894</v>
      </c>
      <c r="B15" s="103" t="s">
        <v>888</v>
      </c>
      <c r="C15" s="103" t="s">
        <v>1898</v>
      </c>
      <c r="D15" s="103" t="s">
        <v>2253</v>
      </c>
      <c r="E15" s="104">
        <v>0</v>
      </c>
      <c r="H15" s="102" t="s">
        <v>2254</v>
      </c>
      <c r="I15" s="105"/>
      <c r="J15" s="111">
        <v>12.5</v>
      </c>
      <c r="K15" s="102" t="s">
        <v>1910</v>
      </c>
      <c r="L15" s="105"/>
      <c r="M15">
        <f t="shared" si="0"/>
        <v>0</v>
      </c>
      <c r="N15" s="103">
        <f t="shared" si="1"/>
        <v>12</v>
      </c>
    </row>
    <row r="16" spans="1:16384" s="103" customFormat="1" hidden="1" x14ac:dyDescent="0.3">
      <c r="A16" s="103" t="s">
        <v>894</v>
      </c>
      <c r="B16" s="103" t="s">
        <v>888</v>
      </c>
      <c r="C16" s="103" t="s">
        <v>1898</v>
      </c>
      <c r="D16" s="103" t="s">
        <v>2255</v>
      </c>
      <c r="E16" s="104">
        <v>0</v>
      </c>
      <c r="H16" s="102" t="s">
        <v>2256</v>
      </c>
      <c r="I16" s="105"/>
      <c r="J16" s="111">
        <v>5.95</v>
      </c>
      <c r="K16" s="102" t="s">
        <v>1910</v>
      </c>
      <c r="L16" s="105"/>
      <c r="M16">
        <f t="shared" si="0"/>
        <v>0</v>
      </c>
      <c r="N16" s="103">
        <f t="shared" si="1"/>
        <v>13</v>
      </c>
    </row>
    <row r="17" spans="1:14" s="103" customFormat="1" hidden="1" x14ac:dyDescent="0.3">
      <c r="A17" s="103" t="s">
        <v>894</v>
      </c>
      <c r="B17" s="103" t="s">
        <v>888</v>
      </c>
      <c r="C17" s="103" t="s">
        <v>1898</v>
      </c>
      <c r="D17" s="103" t="s">
        <v>2257</v>
      </c>
      <c r="E17" s="104">
        <v>0</v>
      </c>
      <c r="H17" s="102" t="s">
        <v>2258</v>
      </c>
      <c r="I17" s="105"/>
      <c r="J17" s="111">
        <v>3.95</v>
      </c>
      <c r="K17" s="102" t="s">
        <v>1910</v>
      </c>
      <c r="L17" s="105"/>
      <c r="M17">
        <f t="shared" si="0"/>
        <v>0</v>
      </c>
      <c r="N17" s="103">
        <f t="shared" si="1"/>
        <v>14</v>
      </c>
    </row>
    <row r="18" spans="1:14" s="103" customFormat="1" hidden="1" x14ac:dyDescent="0.3">
      <c r="A18" s="103" t="s">
        <v>894</v>
      </c>
      <c r="B18" s="103" t="s">
        <v>888</v>
      </c>
      <c r="C18" s="103" t="s">
        <v>1898</v>
      </c>
      <c r="D18" s="103" t="s">
        <v>2259</v>
      </c>
      <c r="E18" s="104">
        <v>0</v>
      </c>
      <c r="H18" s="102" t="s">
        <v>2260</v>
      </c>
      <c r="I18" s="105"/>
      <c r="J18" s="111">
        <v>1.95</v>
      </c>
      <c r="K18" s="102" t="s">
        <v>1910</v>
      </c>
      <c r="L18" s="105"/>
      <c r="M18">
        <f t="shared" si="0"/>
        <v>0</v>
      </c>
      <c r="N18" s="103">
        <f t="shared" si="1"/>
        <v>15</v>
      </c>
    </row>
    <row r="19" spans="1:14" s="103" customFormat="1" hidden="1" x14ac:dyDescent="0.3">
      <c r="A19" s="103" t="s">
        <v>894</v>
      </c>
      <c r="B19" s="103" t="s">
        <v>888</v>
      </c>
      <c r="C19" s="103" t="s">
        <v>1898</v>
      </c>
      <c r="D19" s="103" t="s">
        <v>2261</v>
      </c>
      <c r="E19" s="104">
        <v>0</v>
      </c>
      <c r="H19" s="102" t="s">
        <v>2262</v>
      </c>
      <c r="I19" s="105"/>
      <c r="J19" s="111">
        <v>1.95</v>
      </c>
      <c r="K19" s="102" t="s">
        <v>1913</v>
      </c>
      <c r="L19" s="105"/>
      <c r="M19">
        <f t="shared" si="0"/>
        <v>0</v>
      </c>
      <c r="N19" s="103">
        <f t="shared" si="1"/>
        <v>16</v>
      </c>
    </row>
    <row r="20" spans="1:14" s="103" customFormat="1" hidden="1" x14ac:dyDescent="0.3">
      <c r="A20" s="103" t="s">
        <v>894</v>
      </c>
      <c r="B20" s="103" t="s">
        <v>888</v>
      </c>
      <c r="C20" s="103" t="s">
        <v>1898</v>
      </c>
      <c r="D20" s="103" t="s">
        <v>2263</v>
      </c>
      <c r="E20" s="104">
        <v>0</v>
      </c>
      <c r="H20" s="102" t="s">
        <v>2264</v>
      </c>
      <c r="I20" s="105"/>
      <c r="J20" s="111">
        <v>7.5</v>
      </c>
      <c r="K20" s="102" t="s">
        <v>1913</v>
      </c>
      <c r="L20" s="105"/>
      <c r="M20">
        <f t="shared" si="0"/>
        <v>0</v>
      </c>
      <c r="N20" s="103">
        <f t="shared" si="1"/>
        <v>17</v>
      </c>
    </row>
    <row r="21" spans="1:14" s="103" customFormat="1" hidden="1" x14ac:dyDescent="0.3">
      <c r="A21" s="103" t="s">
        <v>894</v>
      </c>
      <c r="B21" s="103" t="s">
        <v>888</v>
      </c>
      <c r="C21" s="103" t="s">
        <v>1898</v>
      </c>
      <c r="D21" s="103" t="s">
        <v>2265</v>
      </c>
      <c r="E21" s="104">
        <v>0</v>
      </c>
      <c r="H21" s="102" t="s">
        <v>2266</v>
      </c>
      <c r="I21" s="105"/>
      <c r="J21" s="111">
        <v>9.9499999999999993</v>
      </c>
      <c r="K21" s="102" t="s">
        <v>1910</v>
      </c>
      <c r="L21" s="105"/>
      <c r="M21">
        <f t="shared" si="0"/>
        <v>0</v>
      </c>
      <c r="N21" s="103">
        <f t="shared" si="1"/>
        <v>18</v>
      </c>
    </row>
    <row r="22" spans="1:14" s="103" customFormat="1" x14ac:dyDescent="0.3">
      <c r="A22" s="102" t="s">
        <v>894</v>
      </c>
      <c r="B22" s="102" t="s">
        <v>12</v>
      </c>
      <c r="C22" s="102" t="s">
        <v>8</v>
      </c>
      <c r="D22" s="103" t="s">
        <v>56</v>
      </c>
      <c r="E22" s="104">
        <f>FilterSpecs!$C$3</f>
        <v>5</v>
      </c>
      <c r="F22" s="103" t="s">
        <v>57</v>
      </c>
      <c r="G22" s="103" t="s">
        <v>58</v>
      </c>
      <c r="H22" s="103" t="s">
        <v>59</v>
      </c>
      <c r="I22" s="103">
        <v>1</v>
      </c>
      <c r="J22" s="104">
        <v>9.9499999999999993</v>
      </c>
      <c r="K22" s="103" t="s">
        <v>1911</v>
      </c>
      <c r="L22" s="105"/>
      <c r="M22">
        <f t="shared" si="0"/>
        <v>49.75</v>
      </c>
      <c r="N22" s="103">
        <f t="shared" si="1"/>
        <v>19</v>
      </c>
    </row>
    <row r="23" spans="1:14" s="103" customFormat="1" x14ac:dyDescent="0.3">
      <c r="A23" s="102" t="s">
        <v>894</v>
      </c>
      <c r="B23" s="102" t="s">
        <v>12</v>
      </c>
      <c r="C23" s="102" t="s">
        <v>8</v>
      </c>
      <c r="D23" s="103" t="s">
        <v>60</v>
      </c>
      <c r="E23" s="104">
        <f>FilterSpecs!$C$3</f>
        <v>5</v>
      </c>
      <c r="F23" s="103" t="s">
        <v>61</v>
      </c>
      <c r="G23" s="103" t="s">
        <v>62</v>
      </c>
      <c r="H23" s="103" t="s">
        <v>63</v>
      </c>
      <c r="I23" s="103">
        <v>1</v>
      </c>
      <c r="J23" s="104">
        <v>24.95</v>
      </c>
      <c r="K23" s="103" t="s">
        <v>1911</v>
      </c>
      <c r="L23" s="105"/>
      <c r="M23">
        <f t="shared" si="0"/>
        <v>124.75</v>
      </c>
      <c r="N23" s="103">
        <f t="shared" si="1"/>
        <v>20</v>
      </c>
    </row>
    <row r="24" spans="1:14" s="103" customFormat="1" x14ac:dyDescent="0.3">
      <c r="A24" s="102" t="s">
        <v>894</v>
      </c>
      <c r="B24" s="102" t="s">
        <v>12</v>
      </c>
      <c r="C24" s="102" t="s">
        <v>8</v>
      </c>
      <c r="D24" s="103" t="s">
        <v>64</v>
      </c>
      <c r="E24" s="104">
        <f>FilterSpecs!$C$3</f>
        <v>5</v>
      </c>
      <c r="F24" s="103" t="s">
        <v>65</v>
      </c>
      <c r="G24" s="103" t="s">
        <v>66</v>
      </c>
      <c r="H24" s="103" t="s">
        <v>67</v>
      </c>
      <c r="J24" s="104">
        <v>10.95</v>
      </c>
      <c r="K24" s="103" t="s">
        <v>1911</v>
      </c>
      <c r="L24" s="105"/>
      <c r="M24">
        <f t="shared" si="0"/>
        <v>54.75</v>
      </c>
      <c r="N24" s="103">
        <f t="shared" si="1"/>
        <v>21</v>
      </c>
    </row>
    <row r="25" spans="1:14" s="103" customFormat="1" x14ac:dyDescent="0.3">
      <c r="A25" s="102" t="s">
        <v>894</v>
      </c>
      <c r="B25" s="102" t="s">
        <v>12</v>
      </c>
      <c r="C25" s="102" t="s">
        <v>8</v>
      </c>
      <c r="D25" s="103" t="s">
        <v>68</v>
      </c>
      <c r="E25" s="104">
        <f>2*FilterSpecs!$C$3</f>
        <v>10</v>
      </c>
      <c r="F25" s="103" t="s">
        <v>69</v>
      </c>
      <c r="G25" s="103" t="s">
        <v>70</v>
      </c>
      <c r="H25" s="103" t="s">
        <v>71</v>
      </c>
      <c r="I25" s="103">
        <v>1</v>
      </c>
      <c r="J25" s="104">
        <v>24.95</v>
      </c>
      <c r="K25" s="103" t="s">
        <v>1911</v>
      </c>
      <c r="L25" s="105"/>
      <c r="M25">
        <f t="shared" si="0"/>
        <v>249.5</v>
      </c>
      <c r="N25" s="103">
        <f t="shared" si="1"/>
        <v>22</v>
      </c>
    </row>
    <row r="26" spans="1:14" s="103" customFormat="1" x14ac:dyDescent="0.3">
      <c r="A26" s="102" t="s">
        <v>894</v>
      </c>
      <c r="B26" s="102" t="s">
        <v>1896</v>
      </c>
      <c r="C26" s="102" t="s">
        <v>8</v>
      </c>
      <c r="D26" s="103" t="s">
        <v>230</v>
      </c>
      <c r="E26" s="104">
        <v>1</v>
      </c>
      <c r="F26" s="103" t="s">
        <v>231</v>
      </c>
      <c r="G26" s="103" t="s">
        <v>232</v>
      </c>
      <c r="H26" s="103" t="s">
        <v>198</v>
      </c>
      <c r="I26" s="103">
        <v>1</v>
      </c>
      <c r="J26" s="104">
        <v>54.95</v>
      </c>
      <c r="K26" s="103" t="s">
        <v>1910</v>
      </c>
      <c r="L26" s="105"/>
      <c r="M26">
        <f t="shared" si="0"/>
        <v>54.95</v>
      </c>
      <c r="N26" s="103">
        <f t="shared" si="1"/>
        <v>23</v>
      </c>
    </row>
    <row r="27" spans="1:14" s="103" customFormat="1" x14ac:dyDescent="0.3">
      <c r="A27" s="102" t="s">
        <v>894</v>
      </c>
      <c r="B27" s="102" t="s">
        <v>1896</v>
      </c>
      <c r="C27" s="102" t="s">
        <v>8</v>
      </c>
      <c r="D27" s="103" t="s">
        <v>1831</v>
      </c>
      <c r="E27" s="104">
        <v>1</v>
      </c>
      <c r="F27" s="103" t="s">
        <v>1832</v>
      </c>
      <c r="G27" s="103" t="s">
        <v>1833</v>
      </c>
      <c r="H27" s="103" t="s">
        <v>1834</v>
      </c>
      <c r="I27" s="103">
        <v>1</v>
      </c>
      <c r="J27" s="104">
        <v>14.95</v>
      </c>
      <c r="K27" s="103" t="s">
        <v>1910</v>
      </c>
      <c r="L27" s="105"/>
      <c r="M27">
        <f t="shared" si="0"/>
        <v>14.95</v>
      </c>
      <c r="N27" s="103">
        <f t="shared" si="1"/>
        <v>24</v>
      </c>
    </row>
    <row r="28" spans="1:14" s="12" customFormat="1" x14ac:dyDescent="0.3">
      <c r="A28" s="102" t="s">
        <v>894</v>
      </c>
      <c r="B28" s="102" t="s">
        <v>1896</v>
      </c>
      <c r="C28" s="102" t="s">
        <v>8</v>
      </c>
      <c r="D28" s="12" t="s">
        <v>2507</v>
      </c>
      <c r="E28" s="12">
        <v>1</v>
      </c>
      <c r="F28" s="12" t="s">
        <v>2508</v>
      </c>
      <c r="G28" s="12" t="s">
        <v>2509</v>
      </c>
      <c r="H28" s="12" t="s">
        <v>2510</v>
      </c>
      <c r="I28" s="12">
        <v>1</v>
      </c>
      <c r="J28" s="89">
        <v>14.95</v>
      </c>
      <c r="K28" s="12" t="s">
        <v>1911</v>
      </c>
      <c r="M28">
        <f t="shared" si="0"/>
        <v>14.95</v>
      </c>
      <c r="N28" s="12">
        <f t="shared" si="1"/>
        <v>25</v>
      </c>
    </row>
    <row r="29" spans="1:14" s="103" customFormat="1" x14ac:dyDescent="0.3">
      <c r="A29" s="102" t="s">
        <v>894</v>
      </c>
      <c r="B29" s="102" t="s">
        <v>1896</v>
      </c>
      <c r="C29" s="102" t="s">
        <v>8</v>
      </c>
      <c r="D29" s="103" t="s">
        <v>233</v>
      </c>
      <c r="E29" s="104">
        <v>1</v>
      </c>
      <c r="F29" s="103" t="s">
        <v>234</v>
      </c>
      <c r="G29" s="103" t="s">
        <v>235</v>
      </c>
      <c r="H29" s="103" t="s">
        <v>205</v>
      </c>
      <c r="I29" s="103">
        <v>1</v>
      </c>
      <c r="J29" s="104">
        <v>9.9499999999999993</v>
      </c>
      <c r="K29" s="103" t="s">
        <v>1914</v>
      </c>
      <c r="L29" s="105"/>
      <c r="M29">
        <f t="shared" si="0"/>
        <v>9.9499999999999993</v>
      </c>
      <c r="N29" s="103">
        <f t="shared" si="1"/>
        <v>26</v>
      </c>
    </row>
    <row r="30" spans="1:14" s="103" customFormat="1" hidden="1" x14ac:dyDescent="0.3">
      <c r="A30" s="102" t="s">
        <v>894</v>
      </c>
      <c r="B30" s="102" t="s">
        <v>1896</v>
      </c>
      <c r="C30" s="102" t="s">
        <v>8</v>
      </c>
      <c r="D30" s="103" t="s">
        <v>286</v>
      </c>
      <c r="E30" s="104">
        <v>0</v>
      </c>
      <c r="F30" s="103" t="s">
        <v>287</v>
      </c>
      <c r="G30" s="103" t="s">
        <v>288</v>
      </c>
      <c r="H30" s="103" t="s">
        <v>203</v>
      </c>
      <c r="I30" s="103">
        <v>1</v>
      </c>
      <c r="J30" s="104">
        <v>9.9499999999999993</v>
      </c>
      <c r="K30" s="103" t="s">
        <v>1911</v>
      </c>
      <c r="L30" s="105"/>
      <c r="M30">
        <f t="shared" si="0"/>
        <v>0</v>
      </c>
      <c r="N30" s="103">
        <f t="shared" si="1"/>
        <v>27</v>
      </c>
    </row>
    <row r="31" spans="1:14" s="103" customFormat="1" x14ac:dyDescent="0.3">
      <c r="A31" s="102" t="s">
        <v>894</v>
      </c>
      <c r="B31" s="102" t="s">
        <v>1896</v>
      </c>
      <c r="C31" s="102" t="s">
        <v>8</v>
      </c>
      <c r="D31" s="103" t="s">
        <v>414</v>
      </c>
      <c r="E31" s="104">
        <f>FilterSpecs!$C$3</f>
        <v>5</v>
      </c>
      <c r="F31" s="103" t="s">
        <v>415</v>
      </c>
      <c r="G31" s="103" t="s">
        <v>416</v>
      </c>
      <c r="H31" s="103" t="s">
        <v>223</v>
      </c>
      <c r="I31" s="103">
        <v>1</v>
      </c>
      <c r="J31" s="104">
        <v>4.95</v>
      </c>
      <c r="K31" s="103" t="s">
        <v>1911</v>
      </c>
      <c r="L31" s="105"/>
      <c r="M31">
        <f t="shared" si="0"/>
        <v>24.75</v>
      </c>
      <c r="N31" s="103">
        <f t="shared" si="1"/>
        <v>28</v>
      </c>
    </row>
    <row r="32" spans="1:14" s="103" customFormat="1" x14ac:dyDescent="0.3">
      <c r="A32" s="102" t="s">
        <v>894</v>
      </c>
      <c r="B32" s="102" t="s">
        <v>1896</v>
      </c>
      <c r="C32" s="102" t="s">
        <v>8</v>
      </c>
      <c r="D32" s="103" t="s">
        <v>635</v>
      </c>
      <c r="E32" s="104">
        <f>FilterSpecs!$C$3+1</f>
        <v>6</v>
      </c>
      <c r="F32" s="103" t="s">
        <v>636</v>
      </c>
      <c r="G32" s="103" t="s">
        <v>637</v>
      </c>
      <c r="H32" s="103" t="s">
        <v>638</v>
      </c>
      <c r="I32" s="103">
        <v>1</v>
      </c>
      <c r="J32" s="104">
        <v>19.95</v>
      </c>
      <c r="K32" s="103" t="s">
        <v>1911</v>
      </c>
      <c r="L32" s="105"/>
      <c r="M32">
        <f t="shared" si="0"/>
        <v>119.69999999999999</v>
      </c>
      <c r="N32" s="103">
        <f t="shared" si="1"/>
        <v>29</v>
      </c>
    </row>
    <row r="33" spans="1:14" s="103" customFormat="1" x14ac:dyDescent="0.3">
      <c r="A33" s="102" t="s">
        <v>894</v>
      </c>
      <c r="B33" s="102" t="s">
        <v>1896</v>
      </c>
      <c r="C33" s="102" t="s">
        <v>1898</v>
      </c>
      <c r="D33" s="103" t="s">
        <v>2267</v>
      </c>
      <c r="E33" s="104">
        <v>2</v>
      </c>
      <c r="H33" s="103" t="s">
        <v>2268</v>
      </c>
      <c r="J33" s="104">
        <v>7.95</v>
      </c>
      <c r="K33" s="103" t="s">
        <v>1910</v>
      </c>
      <c r="L33" s="105"/>
      <c r="M33">
        <f t="shared" si="0"/>
        <v>15.9</v>
      </c>
      <c r="N33" s="103">
        <f t="shared" si="1"/>
        <v>30</v>
      </c>
    </row>
    <row r="34" spans="1:14" s="103" customFormat="1" x14ac:dyDescent="0.3">
      <c r="A34" s="102" t="s">
        <v>894</v>
      </c>
      <c r="B34" s="102" t="s">
        <v>1896</v>
      </c>
      <c r="C34" s="102" t="s">
        <v>1898</v>
      </c>
      <c r="D34" s="103" t="s">
        <v>2079</v>
      </c>
      <c r="E34" s="104">
        <v>1</v>
      </c>
      <c r="H34" s="103" t="s">
        <v>2078</v>
      </c>
      <c r="J34" s="104">
        <v>2.95</v>
      </c>
      <c r="K34" s="103" t="s">
        <v>1910</v>
      </c>
      <c r="L34" s="105"/>
      <c r="M34">
        <f t="shared" si="0"/>
        <v>2.95</v>
      </c>
      <c r="N34" s="103">
        <f t="shared" si="1"/>
        <v>31</v>
      </c>
    </row>
    <row r="35" spans="1:14" s="103" customFormat="1" hidden="1" x14ac:dyDescent="0.3">
      <c r="A35" s="102" t="s">
        <v>894</v>
      </c>
      <c r="B35" s="102" t="s">
        <v>1896</v>
      </c>
      <c r="C35" s="102" t="s">
        <v>1898</v>
      </c>
      <c r="D35" s="103" t="s">
        <v>2269</v>
      </c>
      <c r="E35" s="104">
        <v>0</v>
      </c>
      <c r="H35" s="103" t="s">
        <v>2270</v>
      </c>
      <c r="J35" s="104">
        <v>19.95</v>
      </c>
      <c r="K35" s="103" t="s">
        <v>1913</v>
      </c>
      <c r="L35" s="105"/>
      <c r="M35">
        <f t="shared" si="0"/>
        <v>0</v>
      </c>
      <c r="N35" s="103">
        <f t="shared" si="1"/>
        <v>32</v>
      </c>
    </row>
    <row r="36" spans="1:14" s="103" customFormat="1" hidden="1" x14ac:dyDescent="0.3">
      <c r="A36" s="103" t="s">
        <v>894</v>
      </c>
      <c r="B36" s="103" t="s">
        <v>1896</v>
      </c>
      <c r="C36" s="103" t="s">
        <v>1898</v>
      </c>
      <c r="D36" s="103" t="s">
        <v>2271</v>
      </c>
      <c r="E36" s="104">
        <v>0</v>
      </c>
      <c r="H36" s="102" t="s">
        <v>2272</v>
      </c>
      <c r="I36" s="105"/>
      <c r="J36" s="111">
        <v>9.9499999999999993</v>
      </c>
      <c r="K36" s="102" t="s">
        <v>1910</v>
      </c>
      <c r="L36" s="105"/>
      <c r="M36">
        <f t="shared" si="0"/>
        <v>0</v>
      </c>
      <c r="N36" s="103">
        <f t="shared" si="1"/>
        <v>33</v>
      </c>
    </row>
    <row r="37" spans="1:14" s="103" customFormat="1" x14ac:dyDescent="0.3">
      <c r="A37" s="103" t="s">
        <v>894</v>
      </c>
      <c r="B37" s="103" t="s">
        <v>1896</v>
      </c>
      <c r="C37" s="103" t="s">
        <v>8</v>
      </c>
      <c r="D37" s="103" t="s">
        <v>332</v>
      </c>
      <c r="E37" s="104">
        <v>0</v>
      </c>
      <c r="F37" s="103" t="s">
        <v>333</v>
      </c>
      <c r="G37" s="103" t="s">
        <v>334</v>
      </c>
      <c r="H37" s="102" t="s">
        <v>335</v>
      </c>
      <c r="I37" s="105">
        <v>1</v>
      </c>
      <c r="J37" s="111">
        <v>54.95</v>
      </c>
      <c r="K37" s="102" t="s">
        <v>2490</v>
      </c>
      <c r="L37" s="105"/>
      <c r="M37">
        <f t="shared" si="0"/>
        <v>0</v>
      </c>
      <c r="N37" s="103">
        <f t="shared" si="1"/>
        <v>34</v>
      </c>
    </row>
    <row r="38" spans="1:14" s="103" customFormat="1" x14ac:dyDescent="0.3">
      <c r="A38" s="103" t="s">
        <v>894</v>
      </c>
      <c r="B38" s="103" t="s">
        <v>1896</v>
      </c>
      <c r="C38" s="103" t="s">
        <v>8</v>
      </c>
      <c r="D38" s="103" t="s">
        <v>347</v>
      </c>
      <c r="E38" s="104">
        <f>FilterSpecs!$C$3</f>
        <v>5</v>
      </c>
      <c r="F38" s="103" t="s">
        <v>348</v>
      </c>
      <c r="G38" s="103" t="s">
        <v>349</v>
      </c>
      <c r="H38" s="102" t="s">
        <v>350</v>
      </c>
      <c r="I38" s="105"/>
      <c r="J38" s="111">
        <v>4.95</v>
      </c>
      <c r="K38" s="102" t="s">
        <v>1911</v>
      </c>
      <c r="L38" s="105"/>
      <c r="M38">
        <f t="shared" si="0"/>
        <v>24.75</v>
      </c>
      <c r="N38" s="103">
        <f t="shared" si="1"/>
        <v>35</v>
      </c>
    </row>
    <row r="39" spans="1:14" s="103" customFormat="1" x14ac:dyDescent="0.3">
      <c r="A39" s="103" t="s">
        <v>894</v>
      </c>
      <c r="B39" s="103" t="s">
        <v>1896</v>
      </c>
      <c r="C39" s="103" t="s">
        <v>8</v>
      </c>
      <c r="D39" s="103" t="s">
        <v>925</v>
      </c>
      <c r="E39" s="104">
        <v>1</v>
      </c>
      <c r="F39" s="103" t="s">
        <v>926</v>
      </c>
      <c r="G39" s="103" t="s">
        <v>927</v>
      </c>
      <c r="H39" s="102" t="s">
        <v>928</v>
      </c>
      <c r="I39" s="105">
        <v>1</v>
      </c>
      <c r="J39" s="111">
        <v>19.95</v>
      </c>
      <c r="K39" s="102" t="s">
        <v>1914</v>
      </c>
      <c r="L39" s="105"/>
      <c r="M39">
        <f t="shared" si="0"/>
        <v>19.95</v>
      </c>
      <c r="N39" s="103">
        <f t="shared" si="1"/>
        <v>36</v>
      </c>
    </row>
    <row r="40" spans="1:14" s="103" customFormat="1" x14ac:dyDescent="0.3">
      <c r="A40" s="102" t="s">
        <v>894</v>
      </c>
      <c r="B40" s="102" t="s">
        <v>2030</v>
      </c>
      <c r="C40" s="102" t="s">
        <v>8</v>
      </c>
      <c r="D40" s="103" t="s">
        <v>1140</v>
      </c>
      <c r="E40" s="104">
        <v>1</v>
      </c>
      <c r="F40" s="103" t="s">
        <v>1141</v>
      </c>
      <c r="G40" s="103" t="s">
        <v>1142</v>
      </c>
      <c r="H40" s="103" t="s">
        <v>1143</v>
      </c>
      <c r="I40" s="103">
        <v>1</v>
      </c>
      <c r="J40" s="104">
        <v>3.95</v>
      </c>
      <c r="K40" s="103" t="s">
        <v>1910</v>
      </c>
      <c r="L40" s="105"/>
      <c r="M40">
        <f t="shared" si="0"/>
        <v>3.95</v>
      </c>
      <c r="N40" s="103">
        <f t="shared" si="1"/>
        <v>37</v>
      </c>
    </row>
    <row r="41" spans="1:14" s="103" customFormat="1" x14ac:dyDescent="0.3">
      <c r="A41" s="102" t="s">
        <v>894</v>
      </c>
      <c r="B41" s="102" t="s">
        <v>2030</v>
      </c>
      <c r="C41" s="102" t="s">
        <v>8</v>
      </c>
      <c r="D41" s="103" t="s">
        <v>1729</v>
      </c>
      <c r="E41" s="104">
        <v>1</v>
      </c>
      <c r="F41" s="103" t="s">
        <v>1730</v>
      </c>
      <c r="G41" s="103" t="s">
        <v>1731</v>
      </c>
      <c r="H41" s="103" t="s">
        <v>1732</v>
      </c>
      <c r="I41" s="103">
        <v>1</v>
      </c>
      <c r="J41" s="104">
        <v>2.95</v>
      </c>
      <c r="K41" s="103" t="s">
        <v>1910</v>
      </c>
      <c r="L41" s="105"/>
      <c r="M41">
        <f t="shared" si="0"/>
        <v>2.95</v>
      </c>
      <c r="N41" s="103">
        <f t="shared" si="1"/>
        <v>38</v>
      </c>
    </row>
    <row r="42" spans="1:14" s="103" customFormat="1" x14ac:dyDescent="0.3">
      <c r="A42" s="102" t="s">
        <v>894</v>
      </c>
      <c r="B42" s="102" t="s">
        <v>2030</v>
      </c>
      <c r="C42" s="102" t="s">
        <v>8</v>
      </c>
      <c r="D42" s="103" t="s">
        <v>1673</v>
      </c>
      <c r="E42" s="104">
        <v>1</v>
      </c>
      <c r="F42" s="103" t="s">
        <v>1674</v>
      </c>
      <c r="G42" s="103" t="s">
        <v>1675</v>
      </c>
      <c r="H42" s="103" t="s">
        <v>1676</v>
      </c>
      <c r="J42" s="104">
        <v>3.95</v>
      </c>
      <c r="K42" s="103" t="s">
        <v>1910</v>
      </c>
      <c r="L42" s="105"/>
      <c r="M42">
        <f t="shared" si="0"/>
        <v>3.95</v>
      </c>
      <c r="N42" s="103">
        <f t="shared" si="1"/>
        <v>39</v>
      </c>
    </row>
    <row r="43" spans="1:14" s="103" customFormat="1" x14ac:dyDescent="0.3">
      <c r="A43" s="102" t="s">
        <v>894</v>
      </c>
      <c r="B43" s="102" t="s">
        <v>2030</v>
      </c>
      <c r="C43" s="102" t="s">
        <v>8</v>
      </c>
      <c r="D43" s="103" t="s">
        <v>1445</v>
      </c>
      <c r="E43" s="104">
        <f>2*FilterSpecs!$C$3</f>
        <v>10</v>
      </c>
      <c r="F43" s="103" t="s">
        <v>1446</v>
      </c>
      <c r="G43" s="103" t="s">
        <v>1447</v>
      </c>
      <c r="H43" s="103" t="s">
        <v>1448</v>
      </c>
      <c r="I43" s="103">
        <v>1</v>
      </c>
      <c r="J43" s="104">
        <v>1.95</v>
      </c>
      <c r="K43" s="103" t="s">
        <v>1911</v>
      </c>
      <c r="L43" s="105"/>
      <c r="M43">
        <f t="shared" si="0"/>
        <v>19.5</v>
      </c>
      <c r="N43" s="103">
        <f t="shared" si="1"/>
        <v>40</v>
      </c>
    </row>
    <row r="44" spans="1:14" s="103" customFormat="1" x14ac:dyDescent="0.3">
      <c r="A44" s="102" t="s">
        <v>894</v>
      </c>
      <c r="B44" s="102" t="s">
        <v>2030</v>
      </c>
      <c r="C44" s="102" t="s">
        <v>8</v>
      </c>
      <c r="D44" s="103" t="s">
        <v>1136</v>
      </c>
      <c r="E44" s="104">
        <v>2</v>
      </c>
      <c r="F44" s="103" t="s">
        <v>1137</v>
      </c>
      <c r="G44" s="103" t="s">
        <v>1138</v>
      </c>
      <c r="H44" s="103" t="s">
        <v>1139</v>
      </c>
      <c r="I44" s="103">
        <v>1</v>
      </c>
      <c r="J44" s="104">
        <v>2.95</v>
      </c>
      <c r="K44" s="103" t="s">
        <v>1910</v>
      </c>
      <c r="L44" s="105"/>
      <c r="M44">
        <f t="shared" si="0"/>
        <v>5.9</v>
      </c>
      <c r="N44" s="103">
        <f t="shared" si="1"/>
        <v>41</v>
      </c>
    </row>
    <row r="45" spans="1:14" s="103" customFormat="1" x14ac:dyDescent="0.3">
      <c r="A45" s="102" t="s">
        <v>894</v>
      </c>
      <c r="B45" s="102" t="s">
        <v>2030</v>
      </c>
      <c r="C45" s="102" t="s">
        <v>8</v>
      </c>
      <c r="D45" s="103" t="s">
        <v>1132</v>
      </c>
      <c r="E45" s="104">
        <f>FilterSpecs!$C$3</f>
        <v>5</v>
      </c>
      <c r="F45" s="103" t="s">
        <v>1133</v>
      </c>
      <c r="G45" s="103" t="s">
        <v>1134</v>
      </c>
      <c r="H45" s="103" t="s">
        <v>1135</v>
      </c>
      <c r="I45" s="103">
        <v>1</v>
      </c>
      <c r="J45" s="104">
        <v>7.95</v>
      </c>
      <c r="K45" s="103" t="s">
        <v>1911</v>
      </c>
      <c r="L45" s="105"/>
      <c r="M45">
        <f t="shared" si="0"/>
        <v>39.75</v>
      </c>
      <c r="N45" s="103">
        <f t="shared" si="1"/>
        <v>42</v>
      </c>
    </row>
    <row r="46" spans="1:14" s="103" customFormat="1" x14ac:dyDescent="0.3">
      <c r="A46" s="102" t="s">
        <v>894</v>
      </c>
      <c r="B46" s="102" t="s">
        <v>2030</v>
      </c>
      <c r="C46" s="102" t="s">
        <v>8</v>
      </c>
      <c r="D46" s="103" t="s">
        <v>120</v>
      </c>
      <c r="E46" s="104">
        <v>1</v>
      </c>
      <c r="F46" s="103" t="s">
        <v>121</v>
      </c>
      <c r="G46" s="103" t="s">
        <v>122</v>
      </c>
      <c r="H46" s="103" t="s">
        <v>123</v>
      </c>
      <c r="I46" s="103">
        <v>1</v>
      </c>
      <c r="J46" s="104">
        <v>5.95</v>
      </c>
      <c r="K46" s="103" t="s">
        <v>1910</v>
      </c>
      <c r="L46" s="105"/>
      <c r="M46">
        <f t="shared" si="0"/>
        <v>5.95</v>
      </c>
      <c r="N46" s="103">
        <f t="shared" si="1"/>
        <v>43</v>
      </c>
    </row>
    <row r="47" spans="1:14" s="103" customFormat="1" x14ac:dyDescent="0.3">
      <c r="A47" s="102" t="s">
        <v>894</v>
      </c>
      <c r="B47" s="102" t="s">
        <v>2030</v>
      </c>
      <c r="C47" s="102" t="s">
        <v>8</v>
      </c>
      <c r="D47" s="103" t="s">
        <v>124</v>
      </c>
      <c r="E47" s="104">
        <v>3</v>
      </c>
      <c r="F47" s="103" t="s">
        <v>125</v>
      </c>
      <c r="G47" s="103" t="s">
        <v>126</v>
      </c>
      <c r="H47" s="103" t="s">
        <v>127</v>
      </c>
      <c r="I47" s="103">
        <v>1</v>
      </c>
      <c r="J47" s="104">
        <v>4.95</v>
      </c>
      <c r="K47" s="103" t="s">
        <v>1910</v>
      </c>
      <c r="L47" s="105"/>
      <c r="M47">
        <f t="shared" si="0"/>
        <v>14.850000000000001</v>
      </c>
      <c r="N47" s="103">
        <f t="shared" si="1"/>
        <v>44</v>
      </c>
    </row>
    <row r="48" spans="1:14" s="103" customFormat="1" hidden="1" x14ac:dyDescent="0.3">
      <c r="A48" s="103" t="s">
        <v>894</v>
      </c>
      <c r="B48" s="103" t="s">
        <v>2030</v>
      </c>
      <c r="C48" s="103" t="s">
        <v>1898</v>
      </c>
      <c r="D48" s="103" t="s">
        <v>2344</v>
      </c>
      <c r="E48" s="104">
        <v>0</v>
      </c>
      <c r="H48" s="102" t="s">
        <v>2345</v>
      </c>
      <c r="I48" s="105"/>
      <c r="J48" s="111">
        <v>2.95</v>
      </c>
      <c r="K48" s="102" t="s">
        <v>1910</v>
      </c>
      <c r="L48" s="105"/>
      <c r="M48">
        <f t="shared" si="0"/>
        <v>0</v>
      </c>
      <c r="N48" s="103">
        <f t="shared" si="1"/>
        <v>45</v>
      </c>
    </row>
    <row r="49" spans="1:14" s="103" customFormat="1" hidden="1" x14ac:dyDescent="0.3">
      <c r="A49" s="103" t="s">
        <v>894</v>
      </c>
      <c r="B49" s="103" t="s">
        <v>2030</v>
      </c>
      <c r="C49" s="103" t="s">
        <v>1898</v>
      </c>
      <c r="D49" s="103" t="s">
        <v>2346</v>
      </c>
      <c r="E49" s="104">
        <v>0</v>
      </c>
      <c r="H49" s="102" t="s">
        <v>2347</v>
      </c>
      <c r="I49" s="105"/>
      <c r="J49" s="111">
        <v>2.5</v>
      </c>
      <c r="K49" s="102" t="s">
        <v>1910</v>
      </c>
      <c r="L49" s="105"/>
      <c r="M49">
        <f t="shared" si="0"/>
        <v>0</v>
      </c>
      <c r="N49" s="103">
        <f t="shared" si="1"/>
        <v>46</v>
      </c>
    </row>
    <row r="50" spans="1:14" s="103" customFormat="1" x14ac:dyDescent="0.3">
      <c r="A50" s="102" t="s">
        <v>894</v>
      </c>
      <c r="B50" s="102" t="s">
        <v>1616</v>
      </c>
      <c r="C50" s="102" t="s">
        <v>8</v>
      </c>
      <c r="D50" s="103" t="s">
        <v>32</v>
      </c>
      <c r="E50" s="104">
        <f>FilterSpecs!$C$3</f>
        <v>5</v>
      </c>
      <c r="F50" s="103" t="s">
        <v>33</v>
      </c>
      <c r="G50" s="103" t="s">
        <v>34</v>
      </c>
      <c r="H50" s="103" t="s">
        <v>35</v>
      </c>
      <c r="I50" s="103">
        <v>1</v>
      </c>
      <c r="J50" s="104">
        <v>45.95</v>
      </c>
      <c r="K50" s="103" t="s">
        <v>1911</v>
      </c>
      <c r="L50" s="105"/>
      <c r="M50">
        <f t="shared" si="0"/>
        <v>229.75</v>
      </c>
      <c r="N50" s="103">
        <f t="shared" si="1"/>
        <v>47</v>
      </c>
    </row>
    <row r="51" spans="1:14" s="103" customFormat="1" hidden="1" x14ac:dyDescent="0.3">
      <c r="A51" s="102" t="s">
        <v>894</v>
      </c>
      <c r="B51" s="102" t="s">
        <v>2039</v>
      </c>
      <c r="C51" s="102" t="s">
        <v>8</v>
      </c>
      <c r="D51" s="103" t="s">
        <v>791</v>
      </c>
      <c r="E51" s="104">
        <v>0</v>
      </c>
      <c r="F51" s="103" t="s">
        <v>792</v>
      </c>
      <c r="G51" s="103" t="s">
        <v>793</v>
      </c>
      <c r="H51" s="103" t="s">
        <v>794</v>
      </c>
      <c r="I51" s="103">
        <v>1</v>
      </c>
      <c r="J51" s="104">
        <v>5.95</v>
      </c>
      <c r="K51" s="103" t="s">
        <v>1911</v>
      </c>
      <c r="L51" s="105"/>
      <c r="M51">
        <f t="shared" si="0"/>
        <v>0</v>
      </c>
      <c r="N51" s="103">
        <f t="shared" si="1"/>
        <v>48</v>
      </c>
    </row>
    <row r="52" spans="1:14" s="103" customFormat="1" hidden="1" x14ac:dyDescent="0.3">
      <c r="A52" s="102" t="s">
        <v>894</v>
      </c>
      <c r="B52" s="102" t="s">
        <v>2039</v>
      </c>
      <c r="C52" s="102" t="s">
        <v>8</v>
      </c>
      <c r="D52" s="103" t="s">
        <v>1779</v>
      </c>
      <c r="E52" s="104">
        <v>0</v>
      </c>
      <c r="F52" s="103" t="s">
        <v>1780</v>
      </c>
      <c r="G52" s="103" t="s">
        <v>1781</v>
      </c>
      <c r="H52" s="103" t="s">
        <v>1782</v>
      </c>
      <c r="I52" s="103">
        <v>1</v>
      </c>
      <c r="J52" s="104">
        <v>5.95</v>
      </c>
      <c r="K52" s="103" t="s">
        <v>1910</v>
      </c>
      <c r="L52" s="105"/>
      <c r="M52">
        <f t="shared" si="0"/>
        <v>0</v>
      </c>
      <c r="N52" s="103">
        <f t="shared" si="1"/>
        <v>49</v>
      </c>
    </row>
    <row r="53" spans="1:14" s="103" customFormat="1" hidden="1" x14ac:dyDescent="0.3">
      <c r="A53" s="102" t="s">
        <v>894</v>
      </c>
      <c r="B53" s="102" t="s">
        <v>2039</v>
      </c>
      <c r="C53" s="102" t="s">
        <v>1898</v>
      </c>
      <c r="D53" s="103" t="s">
        <v>2283</v>
      </c>
      <c r="E53" s="104">
        <v>0</v>
      </c>
      <c r="H53" s="103" t="s">
        <v>2284</v>
      </c>
      <c r="J53" s="104">
        <v>7.95</v>
      </c>
      <c r="K53" s="103" t="s">
        <v>1910</v>
      </c>
      <c r="L53" s="105"/>
      <c r="M53">
        <f t="shared" si="0"/>
        <v>0</v>
      </c>
      <c r="N53" s="103">
        <f t="shared" si="1"/>
        <v>50</v>
      </c>
    </row>
    <row r="54" spans="1:14" s="103" customFormat="1" hidden="1" x14ac:dyDescent="0.3">
      <c r="A54" s="102" t="s">
        <v>894</v>
      </c>
      <c r="B54" s="102" t="s">
        <v>2039</v>
      </c>
      <c r="C54" s="102" t="s">
        <v>1898</v>
      </c>
      <c r="D54" s="103" t="s">
        <v>2285</v>
      </c>
      <c r="E54" s="104">
        <v>0</v>
      </c>
      <c r="H54" s="103" t="s">
        <v>2286</v>
      </c>
      <c r="J54" s="104">
        <v>14.95</v>
      </c>
      <c r="K54" s="103" t="s">
        <v>1910</v>
      </c>
      <c r="L54" s="105"/>
      <c r="M54">
        <f t="shared" si="0"/>
        <v>0</v>
      </c>
      <c r="N54" s="103">
        <f t="shared" si="1"/>
        <v>51</v>
      </c>
    </row>
    <row r="55" spans="1:14" s="103" customFormat="1" x14ac:dyDescent="0.3">
      <c r="A55" s="102" t="s">
        <v>894</v>
      </c>
      <c r="B55" s="102" t="s">
        <v>2043</v>
      </c>
      <c r="C55" s="102" t="s">
        <v>8</v>
      </c>
      <c r="D55" s="103" t="s">
        <v>387</v>
      </c>
      <c r="E55" s="104">
        <f>FilterSpecs!$C$3</f>
        <v>5</v>
      </c>
      <c r="F55" s="103" t="s">
        <v>388</v>
      </c>
      <c r="G55" s="103" t="s">
        <v>389</v>
      </c>
      <c r="H55" s="103" t="s">
        <v>390</v>
      </c>
      <c r="J55" s="104">
        <v>1.95</v>
      </c>
      <c r="K55" s="103" t="s">
        <v>1910</v>
      </c>
      <c r="L55" s="105"/>
      <c r="M55">
        <f t="shared" si="0"/>
        <v>9.75</v>
      </c>
      <c r="N55" s="103">
        <f t="shared" si="1"/>
        <v>52</v>
      </c>
    </row>
    <row r="56" spans="1:14" s="103" customFormat="1" x14ac:dyDescent="0.3">
      <c r="A56" s="102" t="s">
        <v>894</v>
      </c>
      <c r="B56" s="102" t="s">
        <v>2043</v>
      </c>
      <c r="C56" s="102" t="s">
        <v>8</v>
      </c>
      <c r="D56" s="103" t="s">
        <v>803</v>
      </c>
      <c r="E56" s="104">
        <f>FilterSpecs!$C$3</f>
        <v>5</v>
      </c>
      <c r="F56" s="103" t="s">
        <v>804</v>
      </c>
      <c r="G56" s="103" t="s">
        <v>805</v>
      </c>
      <c r="H56" s="103" t="s">
        <v>806</v>
      </c>
      <c r="I56" s="103">
        <v>1</v>
      </c>
      <c r="J56" s="104">
        <v>2.95</v>
      </c>
      <c r="K56" s="103" t="s">
        <v>1911</v>
      </c>
      <c r="L56" s="105"/>
      <c r="M56">
        <f t="shared" si="0"/>
        <v>14.75</v>
      </c>
      <c r="N56" s="103">
        <f t="shared" si="1"/>
        <v>53</v>
      </c>
    </row>
    <row r="57" spans="1:14" s="103" customFormat="1" x14ac:dyDescent="0.3">
      <c r="A57" s="102" t="s">
        <v>894</v>
      </c>
      <c r="B57" s="102" t="s">
        <v>2043</v>
      </c>
      <c r="C57" s="102" t="s">
        <v>8</v>
      </c>
      <c r="D57" s="103" t="s">
        <v>461</v>
      </c>
      <c r="E57" s="104">
        <f>FilterSpecs!$C$3</f>
        <v>5</v>
      </c>
      <c r="F57" s="103" t="s">
        <v>462</v>
      </c>
      <c r="G57" s="103" t="s">
        <v>463</v>
      </c>
      <c r="H57" s="103" t="s">
        <v>464</v>
      </c>
      <c r="I57" s="103">
        <v>1</v>
      </c>
      <c r="J57" s="104">
        <v>2.95</v>
      </c>
      <c r="K57" s="103" t="s">
        <v>1910</v>
      </c>
      <c r="L57" s="105"/>
      <c r="M57">
        <f t="shared" si="0"/>
        <v>14.75</v>
      </c>
      <c r="N57" s="103">
        <f t="shared" si="1"/>
        <v>54</v>
      </c>
    </row>
    <row r="58" spans="1:14" s="103" customFormat="1" x14ac:dyDescent="0.3">
      <c r="A58" s="102" t="s">
        <v>894</v>
      </c>
      <c r="B58" s="102" t="s">
        <v>2043</v>
      </c>
      <c r="C58" s="102" t="s">
        <v>8</v>
      </c>
      <c r="D58" s="103" t="s">
        <v>811</v>
      </c>
      <c r="E58" s="104">
        <f>FilterSpecs!$C$3</f>
        <v>5</v>
      </c>
      <c r="F58" s="103" t="s">
        <v>812</v>
      </c>
      <c r="G58" s="103" t="s">
        <v>813</v>
      </c>
      <c r="H58" s="103" t="s">
        <v>814</v>
      </c>
      <c r="J58" s="104">
        <v>2.5</v>
      </c>
      <c r="K58" s="107" t="s">
        <v>1911</v>
      </c>
      <c r="L58" s="105"/>
      <c r="M58">
        <f t="shared" si="0"/>
        <v>12.5</v>
      </c>
      <c r="N58" s="103">
        <f t="shared" si="1"/>
        <v>55</v>
      </c>
    </row>
    <row r="59" spans="1:14" s="103" customFormat="1" hidden="1" x14ac:dyDescent="0.3">
      <c r="A59" s="103" t="s">
        <v>894</v>
      </c>
      <c r="B59" s="103" t="s">
        <v>2043</v>
      </c>
      <c r="C59" s="103" t="s">
        <v>1898</v>
      </c>
      <c r="D59" s="103" t="s">
        <v>2273</v>
      </c>
      <c r="E59" s="104">
        <v>0</v>
      </c>
      <c r="H59" s="102" t="s">
        <v>2274</v>
      </c>
      <c r="I59" s="105"/>
      <c r="J59" s="111">
        <v>2.95</v>
      </c>
      <c r="K59" s="102" t="s">
        <v>1910</v>
      </c>
      <c r="L59" s="105"/>
      <c r="M59">
        <f t="shared" si="0"/>
        <v>0</v>
      </c>
      <c r="N59" s="103">
        <f t="shared" si="1"/>
        <v>56</v>
      </c>
    </row>
    <row r="60" spans="1:14" s="103" customFormat="1" x14ac:dyDescent="0.3">
      <c r="A60" s="103" t="s">
        <v>894</v>
      </c>
      <c r="B60" s="103" t="s">
        <v>2043</v>
      </c>
      <c r="C60" s="103" t="s">
        <v>1898</v>
      </c>
      <c r="D60" s="103" t="s">
        <v>2275</v>
      </c>
      <c r="E60" s="104">
        <v>1</v>
      </c>
      <c r="H60" s="102" t="s">
        <v>2276</v>
      </c>
      <c r="I60" s="105"/>
      <c r="J60" s="111">
        <v>2.5</v>
      </c>
      <c r="K60" s="102" t="s">
        <v>1910</v>
      </c>
      <c r="L60" s="105"/>
      <c r="M60">
        <f t="shared" si="0"/>
        <v>2.5</v>
      </c>
      <c r="N60" s="103">
        <f t="shared" si="1"/>
        <v>57</v>
      </c>
    </row>
    <row r="61" spans="1:14" s="103" customFormat="1" x14ac:dyDescent="0.3">
      <c r="A61" s="103" t="s">
        <v>894</v>
      </c>
      <c r="B61" s="103" t="s">
        <v>2043</v>
      </c>
      <c r="C61" s="103" t="s">
        <v>1898</v>
      </c>
      <c r="D61" s="103" t="s">
        <v>2277</v>
      </c>
      <c r="E61" s="104">
        <v>1</v>
      </c>
      <c r="H61" s="102" t="s">
        <v>2278</v>
      </c>
      <c r="I61" s="105"/>
      <c r="J61" s="111">
        <v>0.95</v>
      </c>
      <c r="K61" s="102" t="s">
        <v>1910</v>
      </c>
      <c r="L61" s="105"/>
      <c r="M61">
        <f t="shared" si="0"/>
        <v>0.95</v>
      </c>
      <c r="N61" s="103">
        <f t="shared" si="1"/>
        <v>58</v>
      </c>
    </row>
    <row r="62" spans="1:14" s="103" customFormat="1" x14ac:dyDescent="0.3">
      <c r="A62" s="103" t="s">
        <v>894</v>
      </c>
      <c r="B62" s="103" t="s">
        <v>2043</v>
      </c>
      <c r="C62" s="103" t="s">
        <v>1898</v>
      </c>
      <c r="D62" s="103" t="s">
        <v>2279</v>
      </c>
      <c r="E62" s="104">
        <v>1</v>
      </c>
      <c r="H62" s="102" t="s">
        <v>2280</v>
      </c>
      <c r="I62" s="105"/>
      <c r="J62" s="111">
        <v>0.95</v>
      </c>
      <c r="K62" s="102" t="s">
        <v>1910</v>
      </c>
      <c r="L62" s="105"/>
      <c r="M62">
        <f t="shared" si="0"/>
        <v>0.95</v>
      </c>
      <c r="N62" s="103">
        <f t="shared" si="1"/>
        <v>59</v>
      </c>
    </row>
    <row r="63" spans="1:14" s="103" customFormat="1" hidden="1" x14ac:dyDescent="0.3">
      <c r="A63" s="103" t="s">
        <v>894</v>
      </c>
      <c r="B63" s="103" t="s">
        <v>2045</v>
      </c>
      <c r="C63" s="103" t="s">
        <v>8</v>
      </c>
      <c r="D63" s="103" t="s">
        <v>1112</v>
      </c>
      <c r="E63" s="104">
        <v>0</v>
      </c>
      <c r="F63" s="103" t="s">
        <v>1113</v>
      </c>
      <c r="G63" s="103" t="s">
        <v>1114</v>
      </c>
      <c r="H63" s="102" t="s">
        <v>1115</v>
      </c>
      <c r="I63" s="105">
        <v>1</v>
      </c>
      <c r="J63" s="111">
        <v>5.95</v>
      </c>
      <c r="K63" s="102" t="s">
        <v>1910</v>
      </c>
      <c r="L63" s="105"/>
      <c r="M63">
        <f t="shared" si="0"/>
        <v>0</v>
      </c>
      <c r="N63" s="103">
        <f t="shared" si="1"/>
        <v>60</v>
      </c>
    </row>
    <row r="64" spans="1:14" s="103" customFormat="1" hidden="1" x14ac:dyDescent="0.3">
      <c r="A64" s="103" t="s">
        <v>894</v>
      </c>
      <c r="B64" s="103" t="s">
        <v>2045</v>
      </c>
      <c r="C64" s="103" t="s">
        <v>1898</v>
      </c>
      <c r="D64" s="103" t="s">
        <v>2314</v>
      </c>
      <c r="E64" s="104">
        <v>0</v>
      </c>
      <c r="H64" s="102" t="s">
        <v>2315</v>
      </c>
      <c r="I64" s="105"/>
      <c r="J64" s="111">
        <v>5.95</v>
      </c>
      <c r="K64" s="102" t="s">
        <v>1910</v>
      </c>
      <c r="L64" s="105"/>
      <c r="M64">
        <f t="shared" si="0"/>
        <v>0</v>
      </c>
      <c r="N64" s="103">
        <f t="shared" si="1"/>
        <v>61</v>
      </c>
    </row>
    <row r="65" spans="1:14" s="103" customFormat="1" x14ac:dyDescent="0.3">
      <c r="A65" s="103" t="s">
        <v>894</v>
      </c>
      <c r="B65" s="103" t="s">
        <v>2045</v>
      </c>
      <c r="C65" s="103" t="s">
        <v>1898</v>
      </c>
      <c r="D65" s="103" t="s">
        <v>2316</v>
      </c>
      <c r="E65" s="104">
        <f>FilterSpecs!$C$3</f>
        <v>5</v>
      </c>
      <c r="H65" s="102" t="s">
        <v>2317</v>
      </c>
      <c r="I65" s="105"/>
      <c r="J65" s="111">
        <v>6.95</v>
      </c>
      <c r="K65" s="102" t="s">
        <v>1911</v>
      </c>
      <c r="L65" s="105"/>
      <c r="M65">
        <f t="shared" si="0"/>
        <v>34.75</v>
      </c>
      <c r="N65" s="103">
        <f t="shared" si="1"/>
        <v>62</v>
      </c>
    </row>
    <row r="66" spans="1:14" s="12" customFormat="1" x14ac:dyDescent="0.3">
      <c r="A66" s="51" t="s">
        <v>894</v>
      </c>
      <c r="B66" s="51" t="s">
        <v>2036</v>
      </c>
      <c r="C66" s="51" t="s">
        <v>8</v>
      </c>
      <c r="D66" s="12" t="s">
        <v>2491</v>
      </c>
      <c r="E66" s="104">
        <f>FilterSpecs!$C$3</f>
        <v>5</v>
      </c>
      <c r="F66" s="12" t="s">
        <v>2492</v>
      </c>
      <c r="G66" s="12" t="s">
        <v>2493</v>
      </c>
      <c r="H66" s="12" t="s">
        <v>2494</v>
      </c>
      <c r="I66" s="12">
        <v>1</v>
      </c>
      <c r="J66" s="89">
        <v>3.95</v>
      </c>
      <c r="K66" s="12" t="s">
        <v>1911</v>
      </c>
      <c r="M66">
        <f t="shared" si="0"/>
        <v>19.75</v>
      </c>
      <c r="N66" s="12">
        <f t="shared" si="1"/>
        <v>63</v>
      </c>
    </row>
    <row r="67" spans="1:14" s="12" customFormat="1" x14ac:dyDescent="0.3">
      <c r="A67" s="51" t="s">
        <v>894</v>
      </c>
      <c r="B67" s="51" t="s">
        <v>2036</v>
      </c>
      <c r="C67" s="51" t="s">
        <v>8</v>
      </c>
      <c r="D67" s="12" t="s">
        <v>2495</v>
      </c>
      <c r="E67" s="104">
        <f>FilterSpecs!$C$3</f>
        <v>5</v>
      </c>
      <c r="F67" s="12" t="s">
        <v>2496</v>
      </c>
      <c r="G67" s="12" t="s">
        <v>2497</v>
      </c>
      <c r="H67" s="12" t="s">
        <v>2498</v>
      </c>
      <c r="I67" s="12">
        <v>1</v>
      </c>
      <c r="J67" s="89">
        <v>3.95</v>
      </c>
      <c r="K67" s="12" t="s">
        <v>1911</v>
      </c>
      <c r="M67">
        <f t="shared" si="0"/>
        <v>19.75</v>
      </c>
      <c r="N67" s="12">
        <f t="shared" si="1"/>
        <v>64</v>
      </c>
    </row>
    <row r="68" spans="1:14" s="12" customFormat="1" hidden="1" x14ac:dyDescent="0.3">
      <c r="A68" s="51" t="s">
        <v>894</v>
      </c>
      <c r="B68" s="51" t="s">
        <v>2036</v>
      </c>
      <c r="C68" s="51" t="s">
        <v>8</v>
      </c>
      <c r="D68" s="12" t="s">
        <v>2499</v>
      </c>
      <c r="E68" s="12">
        <v>0</v>
      </c>
      <c r="F68" s="12" t="s">
        <v>2500</v>
      </c>
      <c r="G68" s="12" t="s">
        <v>2501</v>
      </c>
      <c r="H68" s="12" t="s">
        <v>2502</v>
      </c>
      <c r="I68" s="12">
        <v>1</v>
      </c>
      <c r="J68" s="89">
        <v>1.95</v>
      </c>
      <c r="K68" s="12" t="s">
        <v>1911</v>
      </c>
      <c r="M68">
        <f t="shared" ref="M68:M133" si="2">E68*J68</f>
        <v>0</v>
      </c>
      <c r="N68" s="12">
        <f t="shared" ref="N68:N133" si="3">IF($N67="List #",1,$N67+1)</f>
        <v>65</v>
      </c>
    </row>
    <row r="69" spans="1:14" s="12" customFormat="1" x14ac:dyDescent="0.3">
      <c r="A69" s="51" t="s">
        <v>894</v>
      </c>
      <c r="B69" s="51" t="s">
        <v>2036</v>
      </c>
      <c r="C69" s="51" t="s">
        <v>8</v>
      </c>
      <c r="D69" s="12" t="s">
        <v>2503</v>
      </c>
      <c r="E69" s="12">
        <v>1</v>
      </c>
      <c r="F69" s="12" t="s">
        <v>2504</v>
      </c>
      <c r="G69" s="12" t="s">
        <v>2505</v>
      </c>
      <c r="H69" s="12" t="s">
        <v>2506</v>
      </c>
      <c r="I69" s="12">
        <v>1</v>
      </c>
      <c r="J69" s="89">
        <v>2.95</v>
      </c>
      <c r="K69" s="12" t="s">
        <v>1910</v>
      </c>
      <c r="M69">
        <f t="shared" si="2"/>
        <v>2.95</v>
      </c>
      <c r="N69" s="12">
        <f t="shared" si="3"/>
        <v>66</v>
      </c>
    </row>
    <row r="70" spans="1:14" s="12" customFormat="1" x14ac:dyDescent="0.3">
      <c r="A70" s="51" t="s">
        <v>894</v>
      </c>
      <c r="B70" s="51" t="s">
        <v>2036</v>
      </c>
      <c r="C70" s="51" t="s">
        <v>8</v>
      </c>
      <c r="D70" s="12" t="s">
        <v>1507</v>
      </c>
      <c r="E70" s="104">
        <f>FilterSpecs!$C$3</f>
        <v>5</v>
      </c>
      <c r="F70" s="12" t="s">
        <v>1508</v>
      </c>
      <c r="G70" s="12" t="s">
        <v>1509</v>
      </c>
      <c r="H70" s="12" t="s">
        <v>1510</v>
      </c>
      <c r="I70" s="12">
        <v>1</v>
      </c>
      <c r="J70" s="89">
        <v>4.95</v>
      </c>
      <c r="K70" s="12" t="s">
        <v>1911</v>
      </c>
      <c r="M70">
        <f t="shared" si="2"/>
        <v>24.75</v>
      </c>
      <c r="N70" s="12">
        <f t="shared" si="3"/>
        <v>67</v>
      </c>
    </row>
    <row r="71" spans="1:14" s="12" customFormat="1" hidden="1" x14ac:dyDescent="0.3">
      <c r="A71" s="51" t="s">
        <v>894</v>
      </c>
      <c r="B71" s="51" t="s">
        <v>2036</v>
      </c>
      <c r="C71" s="51" t="s">
        <v>8</v>
      </c>
      <c r="D71" s="12" t="s">
        <v>1511</v>
      </c>
      <c r="E71" s="89">
        <v>0</v>
      </c>
      <c r="F71" s="12" t="s">
        <v>1512</v>
      </c>
      <c r="G71" s="12" t="s">
        <v>1513</v>
      </c>
      <c r="H71" s="12" t="s">
        <v>1514</v>
      </c>
      <c r="I71" s="12">
        <v>1</v>
      </c>
      <c r="J71" s="89">
        <v>1.95</v>
      </c>
      <c r="K71" s="12" t="s">
        <v>1913</v>
      </c>
      <c r="M71">
        <f t="shared" si="2"/>
        <v>0</v>
      </c>
      <c r="N71" s="12">
        <f t="shared" si="3"/>
        <v>68</v>
      </c>
    </row>
    <row r="72" spans="1:14" s="103" customFormat="1" x14ac:dyDescent="0.3">
      <c r="A72" s="103" t="s">
        <v>894</v>
      </c>
      <c r="B72" s="103" t="s">
        <v>2036</v>
      </c>
      <c r="C72" s="103" t="s">
        <v>8</v>
      </c>
      <c r="D72" s="103" t="s">
        <v>248</v>
      </c>
      <c r="E72" s="104">
        <v>1</v>
      </c>
      <c r="F72" s="103" t="s">
        <v>249</v>
      </c>
      <c r="G72" s="103" t="s">
        <v>250</v>
      </c>
      <c r="H72" s="102" t="s">
        <v>251</v>
      </c>
      <c r="I72" s="105">
        <v>1</v>
      </c>
      <c r="J72" s="111">
        <v>4.95</v>
      </c>
      <c r="K72" s="102" t="s">
        <v>1910</v>
      </c>
      <c r="L72" s="105"/>
      <c r="M72">
        <f t="shared" si="2"/>
        <v>4.95</v>
      </c>
      <c r="N72" s="103">
        <f t="shared" si="3"/>
        <v>69</v>
      </c>
    </row>
    <row r="73" spans="1:14" s="103" customFormat="1" hidden="1" x14ac:dyDescent="0.3">
      <c r="A73" s="103" t="s">
        <v>894</v>
      </c>
      <c r="B73" s="103" t="s">
        <v>2064</v>
      </c>
      <c r="C73" s="103" t="s">
        <v>1898</v>
      </c>
      <c r="D73" s="103" t="s">
        <v>2301</v>
      </c>
      <c r="E73" s="104">
        <v>0</v>
      </c>
      <c r="H73" s="102" t="s">
        <v>2302</v>
      </c>
      <c r="I73" s="105"/>
      <c r="J73" s="111">
        <v>1.95</v>
      </c>
      <c r="K73" s="102" t="s">
        <v>1910</v>
      </c>
      <c r="L73" s="105"/>
      <c r="M73">
        <f t="shared" si="2"/>
        <v>0</v>
      </c>
      <c r="N73" s="103">
        <f t="shared" si="3"/>
        <v>70</v>
      </c>
    </row>
    <row r="74" spans="1:14" s="103" customFormat="1" hidden="1" x14ac:dyDescent="0.3">
      <c r="A74" s="103" t="s">
        <v>894</v>
      </c>
      <c r="B74" s="103" t="s">
        <v>2064</v>
      </c>
      <c r="C74" s="103" t="s">
        <v>1898</v>
      </c>
      <c r="D74" s="103" t="s">
        <v>2303</v>
      </c>
      <c r="E74" s="104">
        <v>0</v>
      </c>
      <c r="H74" s="102" t="s">
        <v>2304</v>
      </c>
      <c r="I74" s="105"/>
      <c r="J74" s="111">
        <v>2.95</v>
      </c>
      <c r="K74" s="102" t="s">
        <v>1910</v>
      </c>
      <c r="L74" s="105"/>
      <c r="M74">
        <f t="shared" si="2"/>
        <v>0</v>
      </c>
      <c r="N74" s="103">
        <f t="shared" si="3"/>
        <v>71</v>
      </c>
    </row>
    <row r="75" spans="1:14" s="103" customFormat="1" x14ac:dyDescent="0.3">
      <c r="A75" s="103" t="s">
        <v>894</v>
      </c>
      <c r="B75" s="103" t="s">
        <v>2064</v>
      </c>
      <c r="C75" s="103" t="s">
        <v>1898</v>
      </c>
      <c r="D75" s="103" t="s">
        <v>2305</v>
      </c>
      <c r="E75" s="104">
        <v>2</v>
      </c>
      <c r="H75" s="102" t="s">
        <v>2306</v>
      </c>
      <c r="I75" s="105"/>
      <c r="J75" s="111">
        <v>6.5</v>
      </c>
      <c r="K75" s="102" t="s">
        <v>1910</v>
      </c>
      <c r="L75" s="105"/>
      <c r="M75">
        <f t="shared" si="2"/>
        <v>13</v>
      </c>
      <c r="N75" s="103">
        <f t="shared" si="3"/>
        <v>72</v>
      </c>
    </row>
    <row r="76" spans="1:14" s="103" customFormat="1" hidden="1" x14ac:dyDescent="0.3">
      <c r="A76" s="103" t="s">
        <v>894</v>
      </c>
      <c r="B76" s="103" t="s">
        <v>2064</v>
      </c>
      <c r="C76" s="103" t="s">
        <v>1898</v>
      </c>
      <c r="D76" s="103" t="s">
        <v>2307</v>
      </c>
      <c r="E76" s="104">
        <v>0</v>
      </c>
      <c r="H76" s="102" t="s">
        <v>2308</v>
      </c>
      <c r="I76" s="105"/>
      <c r="J76" s="111">
        <v>6.5</v>
      </c>
      <c r="K76" s="102" t="s">
        <v>1910</v>
      </c>
      <c r="L76" s="105"/>
      <c r="M76">
        <f t="shared" si="2"/>
        <v>0</v>
      </c>
      <c r="N76" s="103">
        <f t="shared" si="3"/>
        <v>73</v>
      </c>
    </row>
    <row r="77" spans="1:14" s="103" customFormat="1" hidden="1" x14ac:dyDescent="0.3">
      <c r="A77" s="103" t="s">
        <v>894</v>
      </c>
      <c r="B77" s="103" t="s">
        <v>2064</v>
      </c>
      <c r="C77" s="103" t="s">
        <v>1898</v>
      </c>
      <c r="D77" s="103" t="s">
        <v>2309</v>
      </c>
      <c r="E77" s="104">
        <v>0</v>
      </c>
      <c r="H77" s="102" t="s">
        <v>2310</v>
      </c>
      <c r="I77" s="105"/>
      <c r="J77" s="111">
        <v>2.75</v>
      </c>
      <c r="K77" s="102" t="s">
        <v>1910</v>
      </c>
      <c r="L77" s="105"/>
      <c r="M77">
        <f t="shared" si="2"/>
        <v>0</v>
      </c>
      <c r="N77" s="103">
        <f t="shared" si="3"/>
        <v>74</v>
      </c>
    </row>
    <row r="78" spans="1:14" s="103" customFormat="1" x14ac:dyDescent="0.3">
      <c r="A78" s="103" t="s">
        <v>894</v>
      </c>
      <c r="B78" s="103" t="s">
        <v>2064</v>
      </c>
      <c r="C78" s="103" t="s">
        <v>1898</v>
      </c>
      <c r="D78" s="103" t="s">
        <v>2312</v>
      </c>
      <c r="E78" s="104">
        <f>FilterSpecs!$C$3</f>
        <v>5</v>
      </c>
      <c r="H78" s="102" t="s">
        <v>2313</v>
      </c>
      <c r="I78" s="105"/>
      <c r="J78" s="111">
        <v>1.95</v>
      </c>
      <c r="K78" s="102" t="s">
        <v>1911</v>
      </c>
      <c r="L78" s="105"/>
      <c r="M78">
        <f t="shared" si="2"/>
        <v>9.75</v>
      </c>
      <c r="N78" s="103">
        <f t="shared" si="3"/>
        <v>75</v>
      </c>
    </row>
    <row r="79" spans="1:14" s="103" customFormat="1" x14ac:dyDescent="0.3">
      <c r="A79" s="103" t="s">
        <v>894</v>
      </c>
      <c r="B79" s="103" t="s">
        <v>2040</v>
      </c>
      <c r="C79" s="103" t="s">
        <v>8</v>
      </c>
      <c r="D79" s="103" t="s">
        <v>36</v>
      </c>
      <c r="E79" s="104">
        <f>FilterSpecs!$C$3</f>
        <v>5</v>
      </c>
      <c r="F79" s="103" t="s">
        <v>37</v>
      </c>
      <c r="G79" s="103" t="s">
        <v>38</v>
      </c>
      <c r="H79" s="102" t="s">
        <v>39</v>
      </c>
      <c r="I79" s="105">
        <v>1</v>
      </c>
      <c r="J79" s="111">
        <v>29.95</v>
      </c>
      <c r="K79" s="102" t="s">
        <v>1911</v>
      </c>
      <c r="L79" s="105"/>
      <c r="M79">
        <f t="shared" si="2"/>
        <v>149.75</v>
      </c>
      <c r="N79" s="103">
        <f t="shared" si="3"/>
        <v>76</v>
      </c>
    </row>
    <row r="80" spans="1:14" s="103" customFormat="1" x14ac:dyDescent="0.3">
      <c r="A80" s="103" t="s">
        <v>894</v>
      </c>
      <c r="B80" s="103" t="s">
        <v>2040</v>
      </c>
      <c r="C80" s="103" t="s">
        <v>8</v>
      </c>
      <c r="D80" s="103" t="s">
        <v>40</v>
      </c>
      <c r="E80" s="104">
        <f>FilterSpecs!$C$3</f>
        <v>5</v>
      </c>
      <c r="F80" s="103" t="s">
        <v>41</v>
      </c>
      <c r="G80" s="103" t="s">
        <v>42</v>
      </c>
      <c r="H80" s="102" t="s">
        <v>43</v>
      </c>
      <c r="I80" s="105">
        <v>1</v>
      </c>
      <c r="J80" s="111">
        <v>14.95</v>
      </c>
      <c r="K80" s="102" t="s">
        <v>1911</v>
      </c>
      <c r="L80" s="105"/>
      <c r="M80">
        <f t="shared" si="2"/>
        <v>74.75</v>
      </c>
      <c r="N80" s="103">
        <f t="shared" si="3"/>
        <v>77</v>
      </c>
    </row>
    <row r="81" spans="1:14" s="103" customFormat="1" x14ac:dyDescent="0.3">
      <c r="A81" s="103" t="s">
        <v>894</v>
      </c>
      <c r="B81" s="103" t="s">
        <v>2040</v>
      </c>
      <c r="C81" s="103" t="s">
        <v>8</v>
      </c>
      <c r="D81" s="103" t="s">
        <v>48</v>
      </c>
      <c r="E81" s="104">
        <v>1</v>
      </c>
      <c r="F81" s="103" t="s">
        <v>49</v>
      </c>
      <c r="G81" s="103" t="s">
        <v>50</v>
      </c>
      <c r="H81" s="102" t="s">
        <v>51</v>
      </c>
      <c r="I81" s="105">
        <v>1</v>
      </c>
      <c r="J81" s="111">
        <v>19.95</v>
      </c>
      <c r="K81" s="102" t="s">
        <v>1910</v>
      </c>
      <c r="L81" s="105"/>
      <c r="M81">
        <f t="shared" si="2"/>
        <v>19.95</v>
      </c>
      <c r="N81" s="103">
        <f t="shared" si="3"/>
        <v>78</v>
      </c>
    </row>
    <row r="82" spans="1:14" s="103" customFormat="1" x14ac:dyDescent="0.3">
      <c r="A82" s="103" t="s">
        <v>894</v>
      </c>
      <c r="B82" s="103" t="s">
        <v>2040</v>
      </c>
      <c r="C82" s="103" t="s">
        <v>8</v>
      </c>
      <c r="D82" s="103" t="s">
        <v>52</v>
      </c>
      <c r="E82" s="104">
        <f>FilterSpecs!$C$3</f>
        <v>5</v>
      </c>
      <c r="F82" s="103" t="s">
        <v>53</v>
      </c>
      <c r="G82" s="103" t="s">
        <v>54</v>
      </c>
      <c r="H82" s="102" t="s">
        <v>55</v>
      </c>
      <c r="I82" s="105">
        <v>1</v>
      </c>
      <c r="J82" s="111">
        <v>29.95</v>
      </c>
      <c r="K82" s="102" t="s">
        <v>1910</v>
      </c>
      <c r="L82" s="105"/>
      <c r="M82">
        <f t="shared" si="2"/>
        <v>149.75</v>
      </c>
      <c r="N82" s="103">
        <f t="shared" si="3"/>
        <v>79</v>
      </c>
    </row>
    <row r="83" spans="1:14" s="103" customFormat="1" x14ac:dyDescent="0.3">
      <c r="A83" s="103" t="s">
        <v>894</v>
      </c>
      <c r="B83" s="103" t="s">
        <v>2040</v>
      </c>
      <c r="C83" s="103" t="s">
        <v>8</v>
      </c>
      <c r="D83" s="103" t="s">
        <v>795</v>
      </c>
      <c r="E83" s="104">
        <v>2</v>
      </c>
      <c r="F83" s="103" t="s">
        <v>796</v>
      </c>
      <c r="G83" s="103" t="s">
        <v>797</v>
      </c>
      <c r="H83" s="102" t="s">
        <v>798</v>
      </c>
      <c r="I83" s="105">
        <v>1</v>
      </c>
      <c r="J83" s="111">
        <v>12.95</v>
      </c>
      <c r="K83" s="102" t="s">
        <v>1910</v>
      </c>
      <c r="L83" s="105"/>
      <c r="M83">
        <f t="shared" si="2"/>
        <v>25.9</v>
      </c>
      <c r="N83" s="103">
        <f t="shared" si="3"/>
        <v>80</v>
      </c>
    </row>
    <row r="84" spans="1:14" s="103" customFormat="1" x14ac:dyDescent="0.3">
      <c r="A84" s="103" t="s">
        <v>894</v>
      </c>
      <c r="B84" s="103" t="s">
        <v>2034</v>
      </c>
      <c r="C84" s="103" t="s">
        <v>8</v>
      </c>
      <c r="D84" s="103" t="s">
        <v>44</v>
      </c>
      <c r="E84" s="104">
        <f>FilterSpecs!$C$3</f>
        <v>5</v>
      </c>
      <c r="F84" s="103" t="s">
        <v>45</v>
      </c>
      <c r="G84" s="103" t="s">
        <v>46</v>
      </c>
      <c r="H84" s="102" t="s">
        <v>47</v>
      </c>
      <c r="I84" s="105">
        <v>1</v>
      </c>
      <c r="J84" s="111">
        <v>9.9499999999999993</v>
      </c>
      <c r="K84" s="102" t="s">
        <v>1911</v>
      </c>
      <c r="L84" s="105"/>
      <c r="M84">
        <f t="shared" si="2"/>
        <v>49.75</v>
      </c>
      <c r="N84" s="103">
        <f t="shared" si="3"/>
        <v>81</v>
      </c>
    </row>
    <row r="85" spans="1:14" s="103" customFormat="1" x14ac:dyDescent="0.3">
      <c r="A85" s="103" t="s">
        <v>894</v>
      </c>
      <c r="B85" s="103" t="s">
        <v>2034</v>
      </c>
      <c r="C85" s="103" t="s">
        <v>8</v>
      </c>
      <c r="D85" s="103" t="s">
        <v>1205</v>
      </c>
      <c r="E85" s="104">
        <v>2</v>
      </c>
      <c r="F85" s="103" t="s">
        <v>1206</v>
      </c>
      <c r="G85" s="103" t="s">
        <v>1207</v>
      </c>
      <c r="H85" s="102" t="s">
        <v>1208</v>
      </c>
      <c r="I85" s="105">
        <v>1</v>
      </c>
      <c r="J85" s="111">
        <v>9.9499999999999993</v>
      </c>
      <c r="K85" s="102" t="s">
        <v>1913</v>
      </c>
      <c r="L85" s="105"/>
      <c r="M85">
        <f t="shared" si="2"/>
        <v>19.899999999999999</v>
      </c>
      <c r="N85" s="103">
        <f t="shared" si="3"/>
        <v>82</v>
      </c>
    </row>
    <row r="86" spans="1:14" s="103" customFormat="1" hidden="1" x14ac:dyDescent="0.3">
      <c r="A86" s="102" t="s">
        <v>894</v>
      </c>
      <c r="B86" s="103" t="s">
        <v>2034</v>
      </c>
      <c r="C86" s="103" t="s">
        <v>1898</v>
      </c>
      <c r="D86" s="103" t="s">
        <v>2287</v>
      </c>
      <c r="E86" s="104">
        <v>0</v>
      </c>
      <c r="H86" s="102" t="s">
        <v>2288</v>
      </c>
      <c r="I86" s="105"/>
      <c r="J86" s="111">
        <v>14.95</v>
      </c>
      <c r="K86" s="102" t="s">
        <v>1910</v>
      </c>
      <c r="L86" s="105"/>
      <c r="M86">
        <f t="shared" si="2"/>
        <v>0</v>
      </c>
      <c r="N86" s="103">
        <f t="shared" si="3"/>
        <v>83</v>
      </c>
    </row>
    <row r="87" spans="1:14" s="103" customFormat="1" x14ac:dyDescent="0.3">
      <c r="A87" s="102" t="s">
        <v>894</v>
      </c>
      <c r="B87" s="103" t="s">
        <v>2034</v>
      </c>
      <c r="C87" s="103" t="s">
        <v>8</v>
      </c>
      <c r="D87" s="103" t="s">
        <v>571</v>
      </c>
      <c r="E87" s="104">
        <f>FilterSpecs!$C$3+1</f>
        <v>6</v>
      </c>
      <c r="F87" s="103" t="s">
        <v>572</v>
      </c>
      <c r="G87" s="103" t="s">
        <v>573</v>
      </c>
      <c r="H87" s="102" t="s">
        <v>574</v>
      </c>
      <c r="I87" s="105"/>
      <c r="J87" s="111">
        <v>0.95</v>
      </c>
      <c r="K87" s="102" t="s">
        <v>1911</v>
      </c>
      <c r="L87" s="105"/>
      <c r="M87">
        <f t="shared" si="2"/>
        <v>5.6999999999999993</v>
      </c>
      <c r="N87" s="103">
        <f t="shared" si="3"/>
        <v>84</v>
      </c>
    </row>
    <row r="88" spans="1:14" s="103" customFormat="1" hidden="1" x14ac:dyDescent="0.3">
      <c r="A88" s="102" t="s">
        <v>894</v>
      </c>
      <c r="B88" s="103" t="s">
        <v>2034</v>
      </c>
      <c r="C88" s="103" t="s">
        <v>1898</v>
      </c>
      <c r="D88" s="103" t="s">
        <v>2221</v>
      </c>
      <c r="E88" s="104">
        <v>0</v>
      </c>
      <c r="H88" s="102" t="s">
        <v>2222</v>
      </c>
      <c r="I88" s="105"/>
      <c r="J88" s="111">
        <v>0.95</v>
      </c>
      <c r="K88" s="102" t="s">
        <v>1910</v>
      </c>
      <c r="L88" s="105"/>
      <c r="M88">
        <f t="shared" si="2"/>
        <v>0</v>
      </c>
      <c r="N88" s="103">
        <f t="shared" si="3"/>
        <v>85</v>
      </c>
    </row>
    <row r="89" spans="1:14" s="103" customFormat="1" x14ac:dyDescent="0.3">
      <c r="A89" s="102" t="s">
        <v>894</v>
      </c>
      <c r="B89" s="82" t="s">
        <v>2035</v>
      </c>
      <c r="C89" s="102" t="s">
        <v>8</v>
      </c>
      <c r="D89" s="103" t="s">
        <v>807</v>
      </c>
      <c r="E89" s="104">
        <f>FilterSpecs!$C$3</f>
        <v>5</v>
      </c>
      <c r="F89" s="103" t="s">
        <v>808</v>
      </c>
      <c r="G89" s="103" t="s">
        <v>809</v>
      </c>
      <c r="H89" s="103" t="s">
        <v>810</v>
      </c>
      <c r="I89" s="103">
        <v>1</v>
      </c>
      <c r="J89" s="104">
        <v>6.95</v>
      </c>
      <c r="K89" s="103" t="s">
        <v>1911</v>
      </c>
      <c r="L89" s="105"/>
      <c r="M89">
        <f t="shared" si="2"/>
        <v>34.75</v>
      </c>
      <c r="N89" s="103">
        <f t="shared" si="3"/>
        <v>86</v>
      </c>
    </row>
    <row r="90" spans="1:14" s="103" customFormat="1" hidden="1" x14ac:dyDescent="0.3">
      <c r="A90" s="102" t="s">
        <v>894</v>
      </c>
      <c r="B90" s="51" t="s">
        <v>2035</v>
      </c>
      <c r="C90" s="102" t="s">
        <v>1898</v>
      </c>
      <c r="D90" s="103" t="s">
        <v>2281</v>
      </c>
      <c r="E90" s="104">
        <v>0</v>
      </c>
      <c r="H90" s="103" t="s">
        <v>2282</v>
      </c>
      <c r="J90" s="104">
        <v>2.5</v>
      </c>
      <c r="K90" s="103" t="s">
        <v>1910</v>
      </c>
      <c r="L90" s="105"/>
      <c r="M90">
        <f t="shared" si="2"/>
        <v>0</v>
      </c>
      <c r="N90" s="103">
        <f t="shared" si="3"/>
        <v>87</v>
      </c>
    </row>
    <row r="91" spans="1:14" s="103" customFormat="1" x14ac:dyDescent="0.3">
      <c r="A91" s="102" t="s">
        <v>894</v>
      </c>
      <c r="B91" s="102" t="s">
        <v>2037</v>
      </c>
      <c r="C91" s="102" t="s">
        <v>1898</v>
      </c>
      <c r="D91" s="103" t="s">
        <v>2089</v>
      </c>
      <c r="E91" s="104">
        <f>FilterSpecs!$C$3+1</f>
        <v>6</v>
      </c>
      <c r="H91" s="103" t="s">
        <v>2088</v>
      </c>
      <c r="J91" s="104">
        <v>2.5</v>
      </c>
      <c r="K91" s="103" t="s">
        <v>1911</v>
      </c>
      <c r="L91" s="105"/>
      <c r="M91">
        <f t="shared" si="2"/>
        <v>15</v>
      </c>
      <c r="N91" s="103">
        <f t="shared" si="3"/>
        <v>88</v>
      </c>
    </row>
    <row r="92" spans="1:14" s="103" customFormat="1" hidden="1" x14ac:dyDescent="0.3">
      <c r="A92" s="102" t="s">
        <v>894</v>
      </c>
      <c r="B92" s="102" t="s">
        <v>2037</v>
      </c>
      <c r="C92" s="102" t="s">
        <v>8</v>
      </c>
      <c r="D92" s="103" t="s">
        <v>1027</v>
      </c>
      <c r="E92" s="104">
        <v>0</v>
      </c>
      <c r="F92" s="103" t="s">
        <v>1028</v>
      </c>
      <c r="G92" s="103" t="s">
        <v>1029</v>
      </c>
      <c r="H92" s="103" t="s">
        <v>1030</v>
      </c>
      <c r="J92" s="104">
        <v>2.95</v>
      </c>
      <c r="K92" s="103" t="s">
        <v>1912</v>
      </c>
      <c r="M92">
        <f t="shared" si="2"/>
        <v>0</v>
      </c>
      <c r="N92" s="103">
        <f t="shared" si="3"/>
        <v>89</v>
      </c>
    </row>
    <row r="93" spans="1:14" s="103" customFormat="1" hidden="1" x14ac:dyDescent="0.3">
      <c r="A93" s="102" t="s">
        <v>894</v>
      </c>
      <c r="B93" s="102" t="s">
        <v>2037</v>
      </c>
      <c r="C93" s="102" t="s">
        <v>8</v>
      </c>
      <c r="D93" s="103" t="s">
        <v>815</v>
      </c>
      <c r="E93" s="104">
        <v>0</v>
      </c>
      <c r="F93" s="103" t="s">
        <v>816</v>
      </c>
      <c r="G93" s="103" t="s">
        <v>817</v>
      </c>
      <c r="H93" s="103" t="s">
        <v>818</v>
      </c>
      <c r="J93" s="104">
        <v>2.95</v>
      </c>
      <c r="K93" s="103" t="s">
        <v>1912</v>
      </c>
      <c r="M93">
        <f t="shared" si="2"/>
        <v>0</v>
      </c>
      <c r="N93" s="103">
        <f t="shared" si="3"/>
        <v>90</v>
      </c>
    </row>
    <row r="94" spans="1:14" s="103" customFormat="1" hidden="1" x14ac:dyDescent="0.3">
      <c r="A94" s="102" t="s">
        <v>894</v>
      </c>
      <c r="B94" s="102" t="s">
        <v>2037</v>
      </c>
      <c r="C94" s="102" t="s">
        <v>1898</v>
      </c>
      <c r="D94" s="103" t="s">
        <v>2223</v>
      </c>
      <c r="E94" s="104">
        <v>0</v>
      </c>
      <c r="H94" s="103" t="s">
        <v>2224</v>
      </c>
      <c r="J94" s="104">
        <v>2</v>
      </c>
      <c r="K94" s="103" t="s">
        <v>1910</v>
      </c>
      <c r="M94">
        <f t="shared" si="2"/>
        <v>0</v>
      </c>
      <c r="N94" s="103">
        <f t="shared" si="3"/>
        <v>91</v>
      </c>
    </row>
    <row r="95" spans="1:14" s="103" customFormat="1" hidden="1" x14ac:dyDescent="0.3">
      <c r="A95" s="102" t="s">
        <v>894</v>
      </c>
      <c r="B95" s="102" t="s">
        <v>2037</v>
      </c>
      <c r="C95" s="102" t="s">
        <v>1898</v>
      </c>
      <c r="D95" s="103" t="s">
        <v>2225</v>
      </c>
      <c r="E95" s="104">
        <v>0</v>
      </c>
      <c r="H95" s="103" t="s">
        <v>2226</v>
      </c>
      <c r="J95" s="104">
        <v>2</v>
      </c>
      <c r="K95" s="103" t="s">
        <v>1910</v>
      </c>
      <c r="M95">
        <f t="shared" si="2"/>
        <v>0</v>
      </c>
      <c r="N95" s="103">
        <f t="shared" si="3"/>
        <v>92</v>
      </c>
    </row>
    <row r="96" spans="1:14" s="103" customFormat="1" x14ac:dyDescent="0.3">
      <c r="A96" s="102" t="s">
        <v>894</v>
      </c>
      <c r="B96" s="102" t="s">
        <v>2037</v>
      </c>
      <c r="C96" s="102" t="s">
        <v>8</v>
      </c>
      <c r="D96" s="103" t="s">
        <v>965</v>
      </c>
      <c r="E96" s="104">
        <v>2</v>
      </c>
      <c r="F96" s="103" t="s">
        <v>966</v>
      </c>
      <c r="G96" s="103" t="s">
        <v>967</v>
      </c>
      <c r="H96" s="103" t="s">
        <v>968</v>
      </c>
      <c r="I96" s="103">
        <v>1</v>
      </c>
      <c r="J96" s="104">
        <v>0.95</v>
      </c>
      <c r="K96" s="103" t="s">
        <v>1911</v>
      </c>
      <c r="M96">
        <f t="shared" si="2"/>
        <v>1.9</v>
      </c>
      <c r="N96" s="103">
        <f t="shared" si="3"/>
        <v>93</v>
      </c>
    </row>
    <row r="97" spans="1:14" s="103" customFormat="1" x14ac:dyDescent="0.3">
      <c r="A97" s="102" t="s">
        <v>894</v>
      </c>
      <c r="B97" s="103" t="s">
        <v>2037</v>
      </c>
      <c r="C97" s="103" t="s">
        <v>8</v>
      </c>
      <c r="D97" s="103" t="s">
        <v>1023</v>
      </c>
      <c r="E97" s="104">
        <f>FilterSpecs!$C$3+1</f>
        <v>6</v>
      </c>
      <c r="F97" s="103" t="s">
        <v>1024</v>
      </c>
      <c r="G97" s="103" t="s">
        <v>1025</v>
      </c>
      <c r="H97" s="102" t="s">
        <v>1026</v>
      </c>
      <c r="I97" s="105">
        <v>1</v>
      </c>
      <c r="J97" s="111">
        <v>0.95</v>
      </c>
      <c r="K97" s="102" t="s">
        <v>1911</v>
      </c>
      <c r="L97" s="105"/>
      <c r="M97">
        <f t="shared" si="2"/>
        <v>5.6999999999999993</v>
      </c>
      <c r="N97" s="103">
        <f t="shared" si="3"/>
        <v>94</v>
      </c>
    </row>
    <row r="98" spans="1:14" s="103" customFormat="1" x14ac:dyDescent="0.3">
      <c r="A98" s="102" t="s">
        <v>894</v>
      </c>
      <c r="B98" s="103" t="s">
        <v>2037</v>
      </c>
      <c r="C98" s="103" t="s">
        <v>8</v>
      </c>
      <c r="D98" s="103" t="s">
        <v>2422</v>
      </c>
      <c r="E98" s="104">
        <v>4</v>
      </c>
      <c r="F98" s="103" t="s">
        <v>2423</v>
      </c>
      <c r="G98" s="103" t="s">
        <v>2424</v>
      </c>
      <c r="H98" s="102" t="s">
        <v>2425</v>
      </c>
      <c r="I98" s="105">
        <v>1</v>
      </c>
      <c r="J98" s="111">
        <v>0.3</v>
      </c>
      <c r="K98" s="102" t="s">
        <v>1910</v>
      </c>
      <c r="L98" s="105"/>
      <c r="M98">
        <f t="shared" si="2"/>
        <v>1.2</v>
      </c>
      <c r="N98" s="103">
        <f t="shared" si="3"/>
        <v>95</v>
      </c>
    </row>
    <row r="99" spans="1:14" s="103" customFormat="1" hidden="1" x14ac:dyDescent="0.3">
      <c r="A99" s="103" t="s">
        <v>894</v>
      </c>
      <c r="B99" s="103" t="s">
        <v>2037</v>
      </c>
      <c r="C99" s="103" t="s">
        <v>1898</v>
      </c>
      <c r="D99" s="103" t="s">
        <v>2289</v>
      </c>
      <c r="E99" s="104">
        <v>0</v>
      </c>
      <c r="H99" s="102" t="s">
        <v>2290</v>
      </c>
      <c r="I99" s="105"/>
      <c r="J99" s="111">
        <v>0.95</v>
      </c>
      <c r="K99" s="102" t="s">
        <v>1910</v>
      </c>
      <c r="L99" s="105"/>
      <c r="M99">
        <f t="shared" si="2"/>
        <v>0</v>
      </c>
      <c r="N99" s="103">
        <f t="shared" si="3"/>
        <v>96</v>
      </c>
    </row>
    <row r="100" spans="1:14" s="103" customFormat="1" hidden="1" x14ac:dyDescent="0.3">
      <c r="A100" s="102" t="s">
        <v>894</v>
      </c>
      <c r="B100" s="102" t="s">
        <v>2037</v>
      </c>
      <c r="C100" s="102" t="s">
        <v>1898</v>
      </c>
      <c r="D100" s="103" t="s">
        <v>2291</v>
      </c>
      <c r="E100" s="104">
        <v>0</v>
      </c>
      <c r="H100" s="103" t="s">
        <v>2292</v>
      </c>
      <c r="J100" s="104">
        <v>0.95</v>
      </c>
      <c r="K100" s="107" t="s">
        <v>1910</v>
      </c>
      <c r="M100">
        <f t="shared" si="2"/>
        <v>0</v>
      </c>
      <c r="N100" s="103">
        <f t="shared" si="3"/>
        <v>97</v>
      </c>
    </row>
    <row r="101" spans="1:14" s="103" customFormat="1" hidden="1" x14ac:dyDescent="0.3">
      <c r="A101" s="102" t="s">
        <v>894</v>
      </c>
      <c r="B101" s="102" t="s">
        <v>2037</v>
      </c>
      <c r="C101" s="102" t="s">
        <v>1898</v>
      </c>
      <c r="D101" s="103" t="s">
        <v>2293</v>
      </c>
      <c r="E101" s="104">
        <v>0</v>
      </c>
      <c r="H101" s="103" t="s">
        <v>2294</v>
      </c>
      <c r="J101" s="104">
        <v>0.95</v>
      </c>
      <c r="K101" s="107" t="s">
        <v>1910</v>
      </c>
      <c r="M101">
        <f t="shared" si="2"/>
        <v>0</v>
      </c>
      <c r="N101" s="103">
        <f t="shared" si="3"/>
        <v>98</v>
      </c>
    </row>
    <row r="102" spans="1:14" s="103" customFormat="1" hidden="1" x14ac:dyDescent="0.3">
      <c r="A102" s="102" t="s">
        <v>894</v>
      </c>
      <c r="B102" s="102" t="s">
        <v>2037</v>
      </c>
      <c r="C102" s="102" t="s">
        <v>1898</v>
      </c>
      <c r="D102" s="103" t="s">
        <v>2295</v>
      </c>
      <c r="E102" s="104">
        <v>0</v>
      </c>
      <c r="H102" s="103" t="s">
        <v>2296</v>
      </c>
      <c r="J102" s="104">
        <v>0.95</v>
      </c>
      <c r="K102" s="107" t="s">
        <v>1910</v>
      </c>
      <c r="M102">
        <f t="shared" si="2"/>
        <v>0</v>
      </c>
      <c r="N102" s="103">
        <f t="shared" si="3"/>
        <v>99</v>
      </c>
    </row>
    <row r="103" spans="1:14" s="103" customFormat="1" hidden="1" x14ac:dyDescent="0.3">
      <c r="A103" s="102" t="s">
        <v>894</v>
      </c>
      <c r="B103" s="102" t="s">
        <v>2037</v>
      </c>
      <c r="C103" s="102" t="s">
        <v>1898</v>
      </c>
      <c r="D103" s="103" t="s">
        <v>2297</v>
      </c>
      <c r="E103" s="104">
        <v>0</v>
      </c>
      <c r="H103" s="103" t="s">
        <v>2298</v>
      </c>
      <c r="J103" s="104">
        <v>0.95</v>
      </c>
      <c r="K103" s="107" t="s">
        <v>1910</v>
      </c>
      <c r="M103">
        <f t="shared" si="2"/>
        <v>0</v>
      </c>
      <c r="N103" s="103">
        <f t="shared" si="3"/>
        <v>100</v>
      </c>
    </row>
    <row r="104" spans="1:14" s="103" customFormat="1" hidden="1" x14ac:dyDescent="0.3">
      <c r="A104" s="102" t="s">
        <v>894</v>
      </c>
      <c r="B104" s="102" t="s">
        <v>2037</v>
      </c>
      <c r="C104" s="102" t="s">
        <v>1898</v>
      </c>
      <c r="D104" s="103" t="s">
        <v>2299</v>
      </c>
      <c r="E104" s="104">
        <v>0</v>
      </c>
      <c r="H104" s="103" t="s">
        <v>2300</v>
      </c>
      <c r="J104" s="104">
        <v>0.95</v>
      </c>
      <c r="K104" s="107" t="s">
        <v>1910</v>
      </c>
      <c r="M104">
        <f t="shared" si="2"/>
        <v>0</v>
      </c>
      <c r="N104" s="103">
        <f t="shared" si="3"/>
        <v>101</v>
      </c>
    </row>
    <row r="105" spans="1:14" s="103" customFormat="1" x14ac:dyDescent="0.3">
      <c r="A105" s="102" t="s">
        <v>894</v>
      </c>
      <c r="B105" s="102" t="s">
        <v>14</v>
      </c>
      <c r="C105" s="102" t="s">
        <v>8</v>
      </c>
      <c r="D105" s="103" t="s">
        <v>72</v>
      </c>
      <c r="E105" s="104">
        <f>FilterSpecs!$C$3</f>
        <v>5</v>
      </c>
      <c r="F105" s="103" t="s">
        <v>73</v>
      </c>
      <c r="G105" s="103" t="s">
        <v>74</v>
      </c>
      <c r="H105" s="103" t="s">
        <v>75</v>
      </c>
      <c r="I105" s="103">
        <v>1</v>
      </c>
      <c r="J105" s="104">
        <v>0.95</v>
      </c>
      <c r="K105" s="103" t="s">
        <v>1911</v>
      </c>
      <c r="L105" s="105"/>
      <c r="M105">
        <f t="shared" si="2"/>
        <v>4.75</v>
      </c>
      <c r="N105" s="103">
        <f t="shared" si="3"/>
        <v>102</v>
      </c>
    </row>
    <row r="106" spans="1:14" s="103" customFormat="1" x14ac:dyDescent="0.3">
      <c r="A106" s="102" t="s">
        <v>894</v>
      </c>
      <c r="B106" s="102" t="s">
        <v>14</v>
      </c>
      <c r="C106" s="102" t="s">
        <v>8</v>
      </c>
      <c r="D106" s="103" t="s">
        <v>76</v>
      </c>
      <c r="E106" s="104">
        <f>4*FilterSpecs!$C$3</f>
        <v>20</v>
      </c>
      <c r="F106" s="103" t="s">
        <v>77</v>
      </c>
      <c r="G106" s="103" t="s">
        <v>78</v>
      </c>
      <c r="H106" s="103" t="s">
        <v>79</v>
      </c>
      <c r="I106" s="103">
        <v>1</v>
      </c>
      <c r="J106" s="104">
        <v>1.95</v>
      </c>
      <c r="K106" s="103" t="s">
        <v>1911</v>
      </c>
      <c r="L106" s="105"/>
      <c r="M106">
        <f t="shared" si="2"/>
        <v>39</v>
      </c>
      <c r="N106" s="103">
        <f t="shared" si="3"/>
        <v>103</v>
      </c>
    </row>
    <row r="107" spans="1:14" s="103" customFormat="1" x14ac:dyDescent="0.3">
      <c r="A107" s="102" t="s">
        <v>894</v>
      </c>
      <c r="B107" s="102" t="s">
        <v>14</v>
      </c>
      <c r="C107" s="102" t="s">
        <v>8</v>
      </c>
      <c r="D107" s="103" t="s">
        <v>80</v>
      </c>
      <c r="E107" s="104">
        <f>FilterSpecs!$C$3</f>
        <v>5</v>
      </c>
      <c r="F107" s="103" t="s">
        <v>81</v>
      </c>
      <c r="G107" s="103" t="s">
        <v>82</v>
      </c>
      <c r="H107" s="103" t="s">
        <v>83</v>
      </c>
      <c r="J107" s="104">
        <v>14.95</v>
      </c>
      <c r="K107" s="116" t="s">
        <v>1911</v>
      </c>
      <c r="L107" s="105"/>
      <c r="M107">
        <f t="shared" si="2"/>
        <v>74.75</v>
      </c>
      <c r="N107" s="103">
        <f t="shared" si="3"/>
        <v>104</v>
      </c>
    </row>
    <row r="108" spans="1:14" s="103" customFormat="1" x14ac:dyDescent="0.3">
      <c r="A108" s="102" t="s">
        <v>894</v>
      </c>
      <c r="B108" s="102" t="s">
        <v>14</v>
      </c>
      <c r="C108" s="102" t="s">
        <v>8</v>
      </c>
      <c r="D108" s="103" t="s">
        <v>84</v>
      </c>
      <c r="E108" s="104">
        <f>2*FilterSpecs!$C$3</f>
        <v>10</v>
      </c>
      <c r="F108" s="103" t="s">
        <v>85</v>
      </c>
      <c r="G108" s="103" t="s">
        <v>86</v>
      </c>
      <c r="H108" s="103" t="s">
        <v>87</v>
      </c>
      <c r="I108" s="103">
        <v>1</v>
      </c>
      <c r="J108" s="104">
        <v>3.95</v>
      </c>
      <c r="K108" s="103" t="s">
        <v>1911</v>
      </c>
      <c r="L108" s="105"/>
      <c r="M108">
        <f t="shared" si="2"/>
        <v>39.5</v>
      </c>
      <c r="N108" s="103">
        <f t="shared" si="3"/>
        <v>105</v>
      </c>
    </row>
    <row r="109" spans="1:14" s="103" customFormat="1" hidden="1" x14ac:dyDescent="0.3">
      <c r="A109" s="102" t="s">
        <v>894</v>
      </c>
      <c r="B109" s="102" t="s">
        <v>14</v>
      </c>
      <c r="C109" s="102" t="s">
        <v>8</v>
      </c>
      <c r="D109" s="103" t="s">
        <v>88</v>
      </c>
      <c r="E109" s="104">
        <v>0</v>
      </c>
      <c r="F109" s="103" t="s">
        <v>89</v>
      </c>
      <c r="G109" s="103" t="s">
        <v>90</v>
      </c>
      <c r="H109" s="103" t="s">
        <v>91</v>
      </c>
      <c r="I109" s="103">
        <v>1</v>
      </c>
      <c r="J109" s="104">
        <v>24.95</v>
      </c>
      <c r="K109" s="103" t="s">
        <v>1911</v>
      </c>
      <c r="L109" s="105"/>
      <c r="M109">
        <f t="shared" si="2"/>
        <v>0</v>
      </c>
      <c r="N109" s="103">
        <f t="shared" si="3"/>
        <v>106</v>
      </c>
    </row>
    <row r="110" spans="1:14" s="103" customFormat="1" x14ac:dyDescent="0.3">
      <c r="A110" s="102" t="s">
        <v>894</v>
      </c>
      <c r="B110" s="102" t="s">
        <v>14</v>
      </c>
      <c r="C110" s="102" t="s">
        <v>8</v>
      </c>
      <c r="D110" s="103" t="s">
        <v>92</v>
      </c>
      <c r="E110" s="104">
        <f>FilterSpecs!$C$3</f>
        <v>5</v>
      </c>
      <c r="F110" s="103" t="s">
        <v>93</v>
      </c>
      <c r="G110" s="103" t="s">
        <v>94</v>
      </c>
      <c r="H110" s="103" t="s">
        <v>95</v>
      </c>
      <c r="J110" s="104">
        <v>24.95</v>
      </c>
      <c r="K110" s="103" t="s">
        <v>1911</v>
      </c>
      <c r="L110" s="105"/>
      <c r="M110">
        <f t="shared" si="2"/>
        <v>124.75</v>
      </c>
      <c r="N110" s="103">
        <f t="shared" si="3"/>
        <v>107</v>
      </c>
    </row>
    <row r="111" spans="1:14" s="103" customFormat="1" hidden="1" x14ac:dyDescent="0.3">
      <c r="A111" s="102" t="s">
        <v>894</v>
      </c>
      <c r="B111" s="102" t="s">
        <v>14</v>
      </c>
      <c r="C111" s="102" t="s">
        <v>8</v>
      </c>
      <c r="D111" s="103" t="s">
        <v>96</v>
      </c>
      <c r="E111" s="104">
        <v>0</v>
      </c>
      <c r="F111" s="103" t="s">
        <v>97</v>
      </c>
      <c r="G111" s="103" t="s">
        <v>98</v>
      </c>
      <c r="H111" s="103" t="s">
        <v>99</v>
      </c>
      <c r="I111" s="103">
        <v>1</v>
      </c>
      <c r="J111" s="104">
        <v>14.95</v>
      </c>
      <c r="K111" s="103" t="s">
        <v>1911</v>
      </c>
      <c r="L111" s="105"/>
      <c r="M111">
        <f t="shared" si="2"/>
        <v>0</v>
      </c>
      <c r="N111" s="103">
        <f t="shared" si="3"/>
        <v>108</v>
      </c>
    </row>
    <row r="112" spans="1:14" s="103" customFormat="1" x14ac:dyDescent="0.3">
      <c r="A112" s="102" t="s">
        <v>894</v>
      </c>
      <c r="B112" s="102" t="s">
        <v>14</v>
      </c>
      <c r="C112" s="102" t="s">
        <v>8</v>
      </c>
      <c r="D112" s="103" t="s">
        <v>100</v>
      </c>
      <c r="E112" s="104">
        <v>3</v>
      </c>
      <c r="F112" s="103" t="s">
        <v>101</v>
      </c>
      <c r="G112" s="103" t="s">
        <v>102</v>
      </c>
      <c r="H112" s="103" t="s">
        <v>103</v>
      </c>
      <c r="I112" s="103">
        <v>1</v>
      </c>
      <c r="J112" s="104">
        <v>19.95</v>
      </c>
      <c r="K112" s="103" t="s">
        <v>2487</v>
      </c>
      <c r="L112" s="105"/>
      <c r="M112">
        <f t="shared" si="2"/>
        <v>59.849999999999994</v>
      </c>
      <c r="N112" s="103">
        <f t="shared" si="3"/>
        <v>109</v>
      </c>
    </row>
    <row r="113" spans="1:15" s="12" customFormat="1" hidden="1" x14ac:dyDescent="0.3">
      <c r="A113" s="51" t="s">
        <v>894</v>
      </c>
      <c r="B113" s="51" t="s">
        <v>14</v>
      </c>
      <c r="C113" s="51" t="s">
        <v>8</v>
      </c>
      <c r="D113" s="12" t="s">
        <v>104</v>
      </c>
      <c r="E113" s="89">
        <v>0</v>
      </c>
      <c r="F113" s="12" t="s">
        <v>105</v>
      </c>
      <c r="G113" s="12" t="s">
        <v>106</v>
      </c>
      <c r="H113" s="12" t="s">
        <v>107</v>
      </c>
      <c r="I113" s="12">
        <v>1</v>
      </c>
      <c r="J113" s="89">
        <v>13.95</v>
      </c>
      <c r="K113" s="12" t="s">
        <v>1911</v>
      </c>
      <c r="L113"/>
      <c r="M113">
        <f t="shared" si="2"/>
        <v>0</v>
      </c>
      <c r="N113" s="12">
        <f t="shared" si="3"/>
        <v>110</v>
      </c>
    </row>
    <row r="114" spans="1:15" s="12" customFormat="1" hidden="1" x14ac:dyDescent="0.3">
      <c r="A114" s="51" t="s">
        <v>894</v>
      </c>
      <c r="B114" s="51" t="s">
        <v>14</v>
      </c>
      <c r="C114" s="51" t="s">
        <v>8</v>
      </c>
      <c r="D114" s="12" t="s">
        <v>1092</v>
      </c>
      <c r="E114" s="89">
        <v>0</v>
      </c>
      <c r="F114" s="12" t="s">
        <v>1093</v>
      </c>
      <c r="G114" s="12" t="s">
        <v>1094</v>
      </c>
      <c r="H114" s="12" t="s">
        <v>1095</v>
      </c>
      <c r="I114" s="12">
        <v>1</v>
      </c>
      <c r="J114" s="89">
        <v>1.5</v>
      </c>
      <c r="K114" s="12" t="s">
        <v>1911</v>
      </c>
      <c r="L114"/>
      <c r="M114">
        <f t="shared" si="2"/>
        <v>0</v>
      </c>
      <c r="N114" s="12">
        <f t="shared" si="3"/>
        <v>111</v>
      </c>
    </row>
    <row r="115" spans="1:15" s="12" customFormat="1" hidden="1" x14ac:dyDescent="0.3">
      <c r="A115" s="12" t="s">
        <v>894</v>
      </c>
      <c r="B115" s="12" t="s">
        <v>14</v>
      </c>
      <c r="C115" s="12" t="s">
        <v>1898</v>
      </c>
      <c r="D115" s="12" t="s">
        <v>2318</v>
      </c>
      <c r="E115" s="89">
        <v>0</v>
      </c>
      <c r="H115" s="51" t="s">
        <v>2319</v>
      </c>
      <c r="I115"/>
      <c r="J115" s="95">
        <v>39.950000000000003</v>
      </c>
      <c r="K115" s="51" t="s">
        <v>1910</v>
      </c>
      <c r="L115"/>
      <c r="M115">
        <f t="shared" si="2"/>
        <v>0</v>
      </c>
      <c r="N115" s="12">
        <f t="shared" si="3"/>
        <v>112</v>
      </c>
    </row>
    <row r="116" spans="1:15" s="12" customFormat="1" x14ac:dyDescent="0.3">
      <c r="A116" s="12" t="s">
        <v>894</v>
      </c>
      <c r="B116" s="12" t="s">
        <v>14</v>
      </c>
      <c r="C116" s="12" t="s">
        <v>1898</v>
      </c>
      <c r="D116" s="12" t="s">
        <v>2320</v>
      </c>
      <c r="E116" s="104">
        <f>2*FilterSpecs!$C$3</f>
        <v>10</v>
      </c>
      <c r="H116" s="51" t="s">
        <v>2321</v>
      </c>
      <c r="I116"/>
      <c r="J116" s="95">
        <v>14.95</v>
      </c>
      <c r="K116" s="51" t="s">
        <v>1911</v>
      </c>
      <c r="L116"/>
      <c r="M116">
        <f t="shared" si="2"/>
        <v>149.5</v>
      </c>
      <c r="N116" s="12">
        <f t="shared" si="3"/>
        <v>113</v>
      </c>
    </row>
    <row r="117" spans="1:15" s="12" customFormat="1" hidden="1" x14ac:dyDescent="0.3">
      <c r="A117" s="12" t="s">
        <v>894</v>
      </c>
      <c r="B117" s="12" t="s">
        <v>14</v>
      </c>
      <c r="C117" s="12" t="s">
        <v>1898</v>
      </c>
      <c r="D117" s="12" t="s">
        <v>2322</v>
      </c>
      <c r="E117" s="89">
        <v>0</v>
      </c>
      <c r="H117" s="51" t="s">
        <v>2323</v>
      </c>
      <c r="I117"/>
      <c r="J117" s="95">
        <v>13.95</v>
      </c>
      <c r="K117" s="51" t="s">
        <v>1910</v>
      </c>
      <c r="L117"/>
      <c r="M117">
        <f t="shared" si="2"/>
        <v>0</v>
      </c>
      <c r="N117" s="12">
        <f t="shared" si="3"/>
        <v>114</v>
      </c>
    </row>
    <row r="118" spans="1:15" s="12" customFormat="1" hidden="1" x14ac:dyDescent="0.3">
      <c r="A118" s="12" t="s">
        <v>894</v>
      </c>
      <c r="B118" s="12" t="s">
        <v>14</v>
      </c>
      <c r="C118" s="12" t="s">
        <v>1898</v>
      </c>
      <c r="D118" s="12" t="s">
        <v>2324</v>
      </c>
      <c r="E118" s="89">
        <v>0</v>
      </c>
      <c r="H118" s="51" t="s">
        <v>2325</v>
      </c>
      <c r="I118"/>
      <c r="J118" s="95">
        <v>24.95</v>
      </c>
      <c r="K118" s="51" t="s">
        <v>1910</v>
      </c>
      <c r="L118"/>
      <c r="M118">
        <f t="shared" si="2"/>
        <v>0</v>
      </c>
      <c r="N118" s="12">
        <f t="shared" si="3"/>
        <v>115</v>
      </c>
    </row>
    <row r="119" spans="1:15" s="12" customFormat="1" hidden="1" x14ac:dyDescent="0.3">
      <c r="A119" s="12" t="s">
        <v>894</v>
      </c>
      <c r="B119" s="12" t="s">
        <v>14</v>
      </c>
      <c r="C119" s="12" t="s">
        <v>1898</v>
      </c>
      <c r="D119" s="12" t="s">
        <v>2326</v>
      </c>
      <c r="E119" s="89">
        <v>0</v>
      </c>
      <c r="H119" s="51" t="s">
        <v>2327</v>
      </c>
      <c r="I119"/>
      <c r="J119" s="95">
        <v>14.95</v>
      </c>
      <c r="K119" s="51" t="s">
        <v>1910</v>
      </c>
      <c r="L119"/>
      <c r="M119">
        <f t="shared" si="2"/>
        <v>0</v>
      </c>
      <c r="N119" s="12">
        <f t="shared" si="3"/>
        <v>116</v>
      </c>
    </row>
    <row r="120" spans="1:15" s="12" customFormat="1" hidden="1" x14ac:dyDescent="0.3">
      <c r="A120" s="12" t="s">
        <v>894</v>
      </c>
      <c r="B120" s="12" t="s">
        <v>14</v>
      </c>
      <c r="C120" s="12" t="s">
        <v>1898</v>
      </c>
      <c r="D120" s="12" t="s">
        <v>2328</v>
      </c>
      <c r="E120" s="89">
        <v>0</v>
      </c>
      <c r="H120" s="51" t="s">
        <v>2329</v>
      </c>
      <c r="I120"/>
      <c r="J120" s="95">
        <v>15.95</v>
      </c>
      <c r="K120" s="51" t="s">
        <v>1910</v>
      </c>
      <c r="L120"/>
      <c r="M120">
        <f t="shared" si="2"/>
        <v>0</v>
      </c>
      <c r="N120" s="12">
        <f t="shared" si="3"/>
        <v>117</v>
      </c>
    </row>
    <row r="121" spans="1:15" s="103" customFormat="1" x14ac:dyDescent="0.3">
      <c r="A121" s="106" t="s">
        <v>894</v>
      </c>
      <c r="B121" s="106" t="s">
        <v>14</v>
      </c>
      <c r="C121" s="106" t="s">
        <v>1906</v>
      </c>
      <c r="D121" s="106" t="s">
        <v>2553</v>
      </c>
      <c r="E121" s="103">
        <f>FilterSpecs!$C$3</f>
        <v>5</v>
      </c>
      <c r="H121" s="107" t="s">
        <v>2556</v>
      </c>
      <c r="I121" s="105"/>
      <c r="J121" s="102">
        <v>18.5</v>
      </c>
      <c r="K121" s="107" t="s">
        <v>1911</v>
      </c>
      <c r="L121" s="105"/>
      <c r="M121" s="105">
        <f>E121*J121</f>
        <v>92.5</v>
      </c>
      <c r="N121" s="105"/>
    </row>
    <row r="122" spans="1:15" s="103" customFormat="1" hidden="1" x14ac:dyDescent="0.3">
      <c r="A122" s="106" t="s">
        <v>894</v>
      </c>
      <c r="B122" s="106" t="s">
        <v>14</v>
      </c>
      <c r="C122" s="106" t="s">
        <v>2555</v>
      </c>
      <c r="D122" s="106" t="s">
        <v>2554</v>
      </c>
      <c r="E122" s="103">
        <v>0</v>
      </c>
      <c r="H122" s="107" t="s">
        <v>2556</v>
      </c>
      <c r="I122" s="105"/>
      <c r="J122" s="102">
        <v>18.13</v>
      </c>
      <c r="K122" s="107" t="s">
        <v>1910</v>
      </c>
      <c r="L122" s="105"/>
      <c r="M122" s="105">
        <f t="shared" si="2"/>
        <v>0</v>
      </c>
      <c r="N122" s="105"/>
      <c r="O122" s="103">
        <f t="shared" ref="O122" si="4">E122*J122</f>
        <v>0</v>
      </c>
    </row>
    <row r="123" spans="1:15" s="103" customFormat="1" x14ac:dyDescent="0.3">
      <c r="A123" s="103" t="s">
        <v>894</v>
      </c>
      <c r="B123" s="103" t="s">
        <v>15</v>
      </c>
      <c r="C123" s="103" t="s">
        <v>8</v>
      </c>
      <c r="D123" s="103" t="s">
        <v>108</v>
      </c>
      <c r="E123" s="104">
        <f>FilterSpecs!$C$3</f>
        <v>5</v>
      </c>
      <c r="F123" s="103" t="s">
        <v>109</v>
      </c>
      <c r="G123" s="103" t="s">
        <v>110</v>
      </c>
      <c r="H123" s="102" t="s">
        <v>111</v>
      </c>
      <c r="I123" s="105">
        <v>1</v>
      </c>
      <c r="J123" s="111">
        <v>2.95</v>
      </c>
      <c r="K123" s="102" t="s">
        <v>1911</v>
      </c>
      <c r="L123" s="105"/>
      <c r="M123">
        <f t="shared" si="2"/>
        <v>14.75</v>
      </c>
      <c r="N123" s="103">
        <f>IF($N120="List #",1,$N120+1)</f>
        <v>118</v>
      </c>
    </row>
    <row r="124" spans="1:15" s="103" customFormat="1" hidden="1" x14ac:dyDescent="0.3">
      <c r="A124" s="103" t="s">
        <v>894</v>
      </c>
      <c r="B124" s="103" t="s">
        <v>15</v>
      </c>
      <c r="C124" s="103" t="s">
        <v>8</v>
      </c>
      <c r="D124" s="103" t="s">
        <v>1338</v>
      </c>
      <c r="E124" s="104">
        <v>0</v>
      </c>
      <c r="F124" s="103" t="s">
        <v>1339</v>
      </c>
      <c r="G124" s="103" t="s">
        <v>1340</v>
      </c>
      <c r="H124" s="102" t="s">
        <v>1341</v>
      </c>
      <c r="I124" s="105">
        <v>1</v>
      </c>
      <c r="J124" s="111">
        <v>2.95</v>
      </c>
      <c r="K124" s="102" t="s">
        <v>1910</v>
      </c>
      <c r="L124" s="105"/>
      <c r="M124">
        <f t="shared" si="2"/>
        <v>0</v>
      </c>
      <c r="N124" s="103">
        <f t="shared" si="3"/>
        <v>119</v>
      </c>
    </row>
    <row r="125" spans="1:15" s="103" customFormat="1" hidden="1" x14ac:dyDescent="0.3">
      <c r="A125" s="103" t="s">
        <v>894</v>
      </c>
      <c r="B125" s="103" t="s">
        <v>15</v>
      </c>
      <c r="C125" s="103" t="s">
        <v>8</v>
      </c>
      <c r="D125" s="103" t="s">
        <v>1342</v>
      </c>
      <c r="E125" s="104">
        <v>0</v>
      </c>
      <c r="F125" s="103" t="s">
        <v>1343</v>
      </c>
      <c r="G125" s="103" t="s">
        <v>1344</v>
      </c>
      <c r="H125" s="102" t="s">
        <v>1345</v>
      </c>
      <c r="I125" s="105">
        <v>1</v>
      </c>
      <c r="J125" s="111">
        <v>2.95</v>
      </c>
      <c r="K125" s="102" t="s">
        <v>1910</v>
      </c>
      <c r="L125" s="105"/>
      <c r="M125">
        <f t="shared" si="2"/>
        <v>0</v>
      </c>
      <c r="N125" s="103">
        <f t="shared" si="3"/>
        <v>120</v>
      </c>
    </row>
    <row r="126" spans="1:15" s="103" customFormat="1" hidden="1" x14ac:dyDescent="0.3">
      <c r="A126" s="103" t="s">
        <v>894</v>
      </c>
      <c r="B126" s="103" t="s">
        <v>15</v>
      </c>
      <c r="C126" s="103" t="s">
        <v>8</v>
      </c>
      <c r="D126" s="103" t="s">
        <v>1346</v>
      </c>
      <c r="E126" s="104">
        <v>0</v>
      </c>
      <c r="F126" s="103" t="s">
        <v>1347</v>
      </c>
      <c r="G126" s="103" t="s">
        <v>1348</v>
      </c>
      <c r="H126" s="102" t="s">
        <v>1349</v>
      </c>
      <c r="I126" s="105">
        <v>1</v>
      </c>
      <c r="J126" s="111">
        <v>2.95</v>
      </c>
      <c r="K126" s="102" t="s">
        <v>1910</v>
      </c>
      <c r="L126" s="105"/>
      <c r="M126">
        <f t="shared" si="2"/>
        <v>0</v>
      </c>
      <c r="N126" s="103">
        <f t="shared" si="3"/>
        <v>121</v>
      </c>
    </row>
    <row r="127" spans="1:15" s="103" customFormat="1" hidden="1" x14ac:dyDescent="0.3">
      <c r="A127" s="103" t="s">
        <v>894</v>
      </c>
      <c r="B127" s="103" t="s">
        <v>15</v>
      </c>
      <c r="C127" s="103" t="s">
        <v>1898</v>
      </c>
      <c r="D127" s="103" t="s">
        <v>2332</v>
      </c>
      <c r="E127" s="104">
        <v>0</v>
      </c>
      <c r="H127" s="102" t="s">
        <v>2333</v>
      </c>
      <c r="I127" s="105"/>
      <c r="J127" s="111">
        <v>17.95</v>
      </c>
      <c r="K127" s="102" t="s">
        <v>1910</v>
      </c>
      <c r="L127" s="105"/>
      <c r="M127">
        <f t="shared" si="2"/>
        <v>0</v>
      </c>
      <c r="N127" s="103">
        <f t="shared" si="3"/>
        <v>122</v>
      </c>
    </row>
    <row r="128" spans="1:15" s="103" customFormat="1" hidden="1" x14ac:dyDescent="0.3">
      <c r="A128" s="103" t="s">
        <v>894</v>
      </c>
      <c r="B128" s="103" t="s">
        <v>15</v>
      </c>
      <c r="C128" s="103" t="s">
        <v>8</v>
      </c>
      <c r="D128" s="103" t="s">
        <v>1429</v>
      </c>
      <c r="E128" s="104">
        <v>0</v>
      </c>
      <c r="F128" s="103" t="s">
        <v>1430</v>
      </c>
      <c r="G128" s="103" t="s">
        <v>1431</v>
      </c>
      <c r="H128" s="102" t="s">
        <v>1432</v>
      </c>
      <c r="I128" s="105">
        <v>1</v>
      </c>
      <c r="J128" s="111">
        <v>20.95</v>
      </c>
      <c r="K128" s="102" t="s">
        <v>1910</v>
      </c>
      <c r="L128" s="105"/>
      <c r="M128">
        <f t="shared" si="2"/>
        <v>0</v>
      </c>
      <c r="N128" s="103">
        <f t="shared" si="3"/>
        <v>123</v>
      </c>
    </row>
    <row r="129" spans="1:14" s="103" customFormat="1" hidden="1" x14ac:dyDescent="0.3">
      <c r="A129" s="102" t="s">
        <v>894</v>
      </c>
      <c r="B129" s="102" t="s">
        <v>15</v>
      </c>
      <c r="C129" s="102" t="s">
        <v>8</v>
      </c>
      <c r="D129" s="103" t="s">
        <v>1433</v>
      </c>
      <c r="E129" s="104">
        <v>0</v>
      </c>
      <c r="F129" s="103" t="s">
        <v>1434</v>
      </c>
      <c r="G129" s="103" t="s">
        <v>1435</v>
      </c>
      <c r="H129" s="103" t="s">
        <v>1436</v>
      </c>
      <c r="I129" s="103">
        <v>1</v>
      </c>
      <c r="J129" s="104">
        <v>5.95</v>
      </c>
      <c r="K129" s="103" t="s">
        <v>1910</v>
      </c>
      <c r="L129" s="105"/>
      <c r="M129">
        <f t="shared" si="2"/>
        <v>0</v>
      </c>
      <c r="N129" s="103">
        <f t="shared" si="3"/>
        <v>124</v>
      </c>
    </row>
    <row r="130" spans="1:14" s="103" customFormat="1" hidden="1" x14ac:dyDescent="0.3">
      <c r="A130" s="102" t="s">
        <v>894</v>
      </c>
      <c r="B130" s="102" t="s">
        <v>15</v>
      </c>
      <c r="C130" s="102" t="s">
        <v>8</v>
      </c>
      <c r="D130" s="103" t="s">
        <v>675</v>
      </c>
      <c r="E130" s="104">
        <v>0</v>
      </c>
      <c r="F130" s="103" t="s">
        <v>676</v>
      </c>
      <c r="G130" s="103" t="s">
        <v>677</v>
      </c>
      <c r="H130" s="103" t="s">
        <v>678</v>
      </c>
      <c r="I130" s="103">
        <v>1</v>
      </c>
      <c r="J130" s="104">
        <v>9.9499999999999993</v>
      </c>
      <c r="K130" s="103" t="s">
        <v>1910</v>
      </c>
      <c r="L130" s="105"/>
      <c r="M130">
        <f t="shared" si="2"/>
        <v>0</v>
      </c>
      <c r="N130" s="103">
        <f t="shared" si="3"/>
        <v>125</v>
      </c>
    </row>
    <row r="131" spans="1:14" s="103" customFormat="1" x14ac:dyDescent="0.3">
      <c r="A131" s="102" t="s">
        <v>894</v>
      </c>
      <c r="B131" s="102" t="s">
        <v>15</v>
      </c>
      <c r="C131" s="102" t="s">
        <v>1898</v>
      </c>
      <c r="D131" s="103" t="s">
        <v>2338</v>
      </c>
      <c r="E131" s="104">
        <v>4</v>
      </c>
      <c r="H131" s="103" t="s">
        <v>2339</v>
      </c>
      <c r="J131" s="104">
        <v>7.95</v>
      </c>
      <c r="K131" s="103" t="s">
        <v>1910</v>
      </c>
      <c r="L131" s="105"/>
      <c r="M131">
        <f t="shared" si="2"/>
        <v>31.8</v>
      </c>
      <c r="N131" s="103">
        <f t="shared" si="3"/>
        <v>126</v>
      </c>
    </row>
    <row r="132" spans="1:14" s="103" customFormat="1" hidden="1" x14ac:dyDescent="0.3">
      <c r="A132" s="102" t="s">
        <v>894</v>
      </c>
      <c r="B132" s="102" t="s">
        <v>15</v>
      </c>
      <c r="C132" s="102" t="s">
        <v>8</v>
      </c>
      <c r="D132" s="103" t="s">
        <v>1421</v>
      </c>
      <c r="E132" s="104">
        <v>0</v>
      </c>
      <c r="F132" s="103" t="s">
        <v>1422</v>
      </c>
      <c r="G132" s="103" t="s">
        <v>1423</v>
      </c>
      <c r="H132" s="103" t="s">
        <v>1424</v>
      </c>
      <c r="I132" s="103">
        <v>1</v>
      </c>
      <c r="J132" s="104">
        <v>6.95</v>
      </c>
      <c r="K132" s="103" t="s">
        <v>1910</v>
      </c>
      <c r="L132" s="105"/>
      <c r="M132">
        <f t="shared" si="2"/>
        <v>0</v>
      </c>
      <c r="N132" s="103">
        <f t="shared" si="3"/>
        <v>127</v>
      </c>
    </row>
    <row r="133" spans="1:14" s="103" customFormat="1" hidden="1" x14ac:dyDescent="0.3">
      <c r="A133" s="102" t="s">
        <v>894</v>
      </c>
      <c r="B133" s="102" t="s">
        <v>15</v>
      </c>
      <c r="C133" s="102" t="s">
        <v>8</v>
      </c>
      <c r="D133" s="103" t="s">
        <v>1425</v>
      </c>
      <c r="E133" s="104">
        <v>0</v>
      </c>
      <c r="F133" s="103" t="s">
        <v>1426</v>
      </c>
      <c r="G133" s="103" t="s">
        <v>1427</v>
      </c>
      <c r="H133" s="103" t="s">
        <v>1428</v>
      </c>
      <c r="I133" s="103">
        <v>1</v>
      </c>
      <c r="J133" s="104">
        <v>12.95</v>
      </c>
      <c r="K133" s="103" t="s">
        <v>1910</v>
      </c>
      <c r="L133" s="105"/>
      <c r="M133">
        <f t="shared" si="2"/>
        <v>0</v>
      </c>
      <c r="N133" s="103">
        <f t="shared" si="3"/>
        <v>128</v>
      </c>
    </row>
    <row r="134" spans="1:14" s="103" customFormat="1" hidden="1" x14ac:dyDescent="0.3">
      <c r="A134" s="102" t="s">
        <v>894</v>
      </c>
      <c r="B134" s="102" t="s">
        <v>15</v>
      </c>
      <c r="C134" s="102" t="s">
        <v>8</v>
      </c>
      <c r="D134" s="103" t="s">
        <v>719</v>
      </c>
      <c r="E134" s="104">
        <v>0</v>
      </c>
      <c r="F134" s="103" t="s">
        <v>720</v>
      </c>
      <c r="G134" s="103" t="s">
        <v>721</v>
      </c>
      <c r="H134" s="103" t="s">
        <v>722</v>
      </c>
      <c r="I134" s="103">
        <v>1</v>
      </c>
      <c r="J134" s="104">
        <v>1.5</v>
      </c>
      <c r="K134" s="103" t="s">
        <v>1910</v>
      </c>
      <c r="L134" s="105"/>
      <c r="M134">
        <f t="shared" ref="M134:M197" si="5">E134*J134</f>
        <v>0</v>
      </c>
      <c r="N134" s="103">
        <f t="shared" ref="N134:N197" si="6">IF($N133="List #",1,$N133+1)</f>
        <v>129</v>
      </c>
    </row>
    <row r="135" spans="1:14" s="103" customFormat="1" hidden="1" x14ac:dyDescent="0.3">
      <c r="A135" s="102" t="s">
        <v>894</v>
      </c>
      <c r="B135" s="102" t="s">
        <v>15</v>
      </c>
      <c r="C135" s="102" t="s">
        <v>1898</v>
      </c>
      <c r="D135" s="103" t="s">
        <v>2334</v>
      </c>
      <c r="E135" s="104">
        <v>0</v>
      </c>
      <c r="H135" s="103" t="s">
        <v>2335</v>
      </c>
      <c r="J135" s="104">
        <v>0.95</v>
      </c>
      <c r="K135" s="103" t="s">
        <v>1910</v>
      </c>
      <c r="L135" s="105"/>
      <c r="M135">
        <f t="shared" si="5"/>
        <v>0</v>
      </c>
      <c r="N135" s="103">
        <f t="shared" si="6"/>
        <v>130</v>
      </c>
    </row>
    <row r="136" spans="1:14" s="103" customFormat="1" x14ac:dyDescent="0.3">
      <c r="A136" s="102" t="s">
        <v>894</v>
      </c>
      <c r="B136" s="102" t="s">
        <v>15</v>
      </c>
      <c r="C136" s="102" t="s">
        <v>8</v>
      </c>
      <c r="D136" s="103" t="s">
        <v>289</v>
      </c>
      <c r="E136" s="104">
        <f>FilterSpecs!$C$3</f>
        <v>5</v>
      </c>
      <c r="F136" s="103" t="s">
        <v>290</v>
      </c>
      <c r="G136" s="103" t="s">
        <v>291</v>
      </c>
      <c r="H136" s="103" t="s">
        <v>292</v>
      </c>
      <c r="I136" s="103">
        <v>1</v>
      </c>
      <c r="J136" s="104">
        <v>1.95</v>
      </c>
      <c r="K136" s="103" t="s">
        <v>1911</v>
      </c>
      <c r="L136" s="105"/>
      <c r="M136">
        <f t="shared" si="5"/>
        <v>9.75</v>
      </c>
      <c r="N136" s="103">
        <f t="shared" si="6"/>
        <v>131</v>
      </c>
    </row>
    <row r="137" spans="1:14" s="103" customFormat="1" hidden="1" x14ac:dyDescent="0.3">
      <c r="A137" s="102" t="s">
        <v>894</v>
      </c>
      <c r="B137" s="102" t="s">
        <v>15</v>
      </c>
      <c r="C137" s="102" t="s">
        <v>1898</v>
      </c>
      <c r="D137" s="103" t="s">
        <v>2330</v>
      </c>
      <c r="E137" s="104">
        <v>0</v>
      </c>
      <c r="H137" s="103" t="s">
        <v>2331</v>
      </c>
      <c r="J137" s="104">
        <v>18</v>
      </c>
      <c r="K137" s="103" t="s">
        <v>1910</v>
      </c>
      <c r="L137" s="105"/>
      <c r="M137">
        <f t="shared" si="5"/>
        <v>0</v>
      </c>
      <c r="N137" s="103">
        <f t="shared" si="6"/>
        <v>132</v>
      </c>
    </row>
    <row r="138" spans="1:14" s="103" customFormat="1" x14ac:dyDescent="0.3">
      <c r="A138" s="102" t="s">
        <v>894</v>
      </c>
      <c r="B138" s="102" t="s">
        <v>15</v>
      </c>
      <c r="C138" s="102" t="s">
        <v>1898</v>
      </c>
      <c r="D138" s="103" t="s">
        <v>2336</v>
      </c>
      <c r="E138" s="104">
        <v>1</v>
      </c>
      <c r="H138" s="103" t="s">
        <v>2337</v>
      </c>
      <c r="J138" s="104">
        <v>3.95</v>
      </c>
      <c r="K138" s="103" t="s">
        <v>1910</v>
      </c>
      <c r="L138" s="105"/>
      <c r="M138">
        <f t="shared" si="5"/>
        <v>3.95</v>
      </c>
      <c r="N138" s="103">
        <f t="shared" si="6"/>
        <v>133</v>
      </c>
    </row>
    <row r="139" spans="1:14" s="103" customFormat="1" x14ac:dyDescent="0.3">
      <c r="A139" s="102" t="s">
        <v>894</v>
      </c>
      <c r="B139" s="102" t="s">
        <v>15</v>
      </c>
      <c r="C139" s="102" t="s">
        <v>8</v>
      </c>
      <c r="D139" s="103" t="s">
        <v>112</v>
      </c>
      <c r="E139" s="104">
        <v>2</v>
      </c>
      <c r="F139" s="103" t="s">
        <v>113</v>
      </c>
      <c r="G139" s="103" t="s">
        <v>114</v>
      </c>
      <c r="H139" s="103" t="s">
        <v>115</v>
      </c>
      <c r="I139" s="103">
        <v>1</v>
      </c>
      <c r="J139" s="104">
        <v>24.95</v>
      </c>
      <c r="K139" s="103" t="s">
        <v>1910</v>
      </c>
      <c r="L139" s="105"/>
      <c r="M139">
        <f t="shared" si="5"/>
        <v>49.9</v>
      </c>
      <c r="N139" s="103">
        <f t="shared" si="6"/>
        <v>134</v>
      </c>
    </row>
    <row r="140" spans="1:14" s="103" customFormat="1" x14ac:dyDescent="0.3">
      <c r="A140" s="102" t="s">
        <v>894</v>
      </c>
      <c r="B140" s="102" t="s">
        <v>15</v>
      </c>
      <c r="C140" s="102" t="s">
        <v>1898</v>
      </c>
      <c r="D140" s="103" t="s">
        <v>2340</v>
      </c>
      <c r="E140" s="104">
        <v>1</v>
      </c>
      <c r="H140" s="103" t="s">
        <v>2341</v>
      </c>
      <c r="J140" s="104">
        <v>4.95</v>
      </c>
      <c r="K140" s="103" t="s">
        <v>1910</v>
      </c>
      <c r="L140" s="105"/>
      <c r="M140">
        <f t="shared" si="5"/>
        <v>4.95</v>
      </c>
      <c r="N140" s="103">
        <f t="shared" si="6"/>
        <v>135</v>
      </c>
    </row>
    <row r="141" spans="1:14" s="103" customFormat="1" x14ac:dyDescent="0.3">
      <c r="A141" s="102" t="s">
        <v>894</v>
      </c>
      <c r="B141" s="102" t="s">
        <v>2031</v>
      </c>
      <c r="C141" s="102" t="s">
        <v>8</v>
      </c>
      <c r="D141" s="103" t="s">
        <v>116</v>
      </c>
      <c r="E141" s="104">
        <f>FilterSpecs!$C$3</f>
        <v>5</v>
      </c>
      <c r="F141" s="103" t="s">
        <v>117</v>
      </c>
      <c r="G141" s="103" t="s">
        <v>118</v>
      </c>
      <c r="H141" s="103" t="s">
        <v>119</v>
      </c>
      <c r="I141" s="103">
        <v>1</v>
      </c>
      <c r="J141" s="104">
        <v>12.95</v>
      </c>
      <c r="K141" s="103" t="s">
        <v>1913</v>
      </c>
      <c r="L141" s="105"/>
      <c r="M141">
        <f t="shared" si="5"/>
        <v>64.75</v>
      </c>
      <c r="N141" s="103">
        <f t="shared" si="6"/>
        <v>136</v>
      </c>
    </row>
    <row r="142" spans="1:14" s="103" customFormat="1" x14ac:dyDescent="0.3">
      <c r="A142" s="102" t="s">
        <v>894</v>
      </c>
      <c r="B142" s="102" t="s">
        <v>2031</v>
      </c>
      <c r="C142" s="102" t="s">
        <v>8</v>
      </c>
      <c r="D142" s="103" t="s">
        <v>1181</v>
      </c>
      <c r="E142" s="104">
        <v>1</v>
      </c>
      <c r="F142" s="103" t="s">
        <v>1182</v>
      </c>
      <c r="G142" s="103" t="s">
        <v>1183</v>
      </c>
      <c r="H142" s="103" t="s">
        <v>1184</v>
      </c>
      <c r="I142" s="103">
        <v>1</v>
      </c>
      <c r="J142" s="104">
        <v>19.95</v>
      </c>
      <c r="K142" s="103" t="s">
        <v>1910</v>
      </c>
      <c r="L142" s="105"/>
      <c r="M142">
        <f t="shared" si="5"/>
        <v>19.95</v>
      </c>
      <c r="N142" s="103">
        <f t="shared" si="6"/>
        <v>137</v>
      </c>
    </row>
    <row r="143" spans="1:14" s="103" customFormat="1" hidden="1" x14ac:dyDescent="0.3">
      <c r="A143" s="102" t="s">
        <v>894</v>
      </c>
      <c r="B143" s="102" t="s">
        <v>2031</v>
      </c>
      <c r="C143" s="102" t="s">
        <v>8</v>
      </c>
      <c r="D143" s="103" t="s">
        <v>1523</v>
      </c>
      <c r="E143" s="104">
        <v>0</v>
      </c>
      <c r="F143" s="103" t="s">
        <v>1524</v>
      </c>
      <c r="G143" s="103" t="s">
        <v>1525</v>
      </c>
      <c r="H143" s="103" t="s">
        <v>1526</v>
      </c>
      <c r="I143" s="103">
        <v>1</v>
      </c>
      <c r="J143" s="104">
        <v>29.95</v>
      </c>
      <c r="K143" s="103" t="s">
        <v>1910</v>
      </c>
      <c r="L143" s="105"/>
      <c r="M143">
        <f t="shared" si="5"/>
        <v>0</v>
      </c>
      <c r="N143" s="103">
        <f t="shared" si="6"/>
        <v>138</v>
      </c>
    </row>
    <row r="144" spans="1:14" s="103" customFormat="1" hidden="1" x14ac:dyDescent="0.3">
      <c r="A144" s="103" t="s">
        <v>894</v>
      </c>
      <c r="B144" s="103" t="s">
        <v>2031</v>
      </c>
      <c r="C144" s="103" t="s">
        <v>1898</v>
      </c>
      <c r="D144" s="103" t="s">
        <v>2075</v>
      </c>
      <c r="E144" s="104">
        <v>0</v>
      </c>
      <c r="H144" s="102" t="s">
        <v>2074</v>
      </c>
      <c r="I144" s="105"/>
      <c r="J144" s="111">
        <v>17.95</v>
      </c>
      <c r="K144" s="102" t="s">
        <v>1910</v>
      </c>
      <c r="L144" s="105"/>
      <c r="M144">
        <f t="shared" si="5"/>
        <v>0</v>
      </c>
      <c r="N144" s="103">
        <f t="shared" si="6"/>
        <v>139</v>
      </c>
    </row>
    <row r="145" spans="1:14" s="103" customFormat="1" hidden="1" x14ac:dyDescent="0.3">
      <c r="A145" s="103" t="s">
        <v>894</v>
      </c>
      <c r="B145" s="103" t="s">
        <v>2031</v>
      </c>
      <c r="C145" s="103" t="s">
        <v>1898</v>
      </c>
      <c r="D145" s="103" t="s">
        <v>2342</v>
      </c>
      <c r="E145" s="104">
        <v>0</v>
      </c>
      <c r="H145" s="102" t="s">
        <v>2343</v>
      </c>
      <c r="I145" s="105"/>
      <c r="J145" s="111">
        <v>7.5</v>
      </c>
      <c r="K145" s="102" t="s">
        <v>1910</v>
      </c>
      <c r="L145" s="105"/>
      <c r="M145">
        <f t="shared" si="5"/>
        <v>0</v>
      </c>
      <c r="N145" s="103">
        <f t="shared" si="6"/>
        <v>140</v>
      </c>
    </row>
    <row r="146" spans="1:14" s="103" customFormat="1" x14ac:dyDescent="0.3">
      <c r="A146" s="103" t="s">
        <v>894</v>
      </c>
      <c r="B146" s="103" t="s">
        <v>2031</v>
      </c>
      <c r="C146" s="103" t="s">
        <v>1898</v>
      </c>
      <c r="D146" s="103" t="s">
        <v>2372</v>
      </c>
      <c r="E146" s="104">
        <f>FilterSpecs!$C$3</f>
        <v>5</v>
      </c>
      <c r="H146" s="102" t="s">
        <v>2373</v>
      </c>
      <c r="I146" s="105"/>
      <c r="J146" s="111">
        <v>2.95</v>
      </c>
      <c r="K146" s="102" t="s">
        <v>1911</v>
      </c>
      <c r="L146" s="105"/>
      <c r="M146">
        <f t="shared" si="5"/>
        <v>14.75</v>
      </c>
      <c r="N146" s="103">
        <f t="shared" si="6"/>
        <v>141</v>
      </c>
    </row>
    <row r="147" spans="1:14" s="103" customFormat="1" x14ac:dyDescent="0.3">
      <c r="A147" s="103" t="s">
        <v>894</v>
      </c>
      <c r="B147" s="103" t="s">
        <v>2031</v>
      </c>
      <c r="C147" s="103" t="s">
        <v>1898</v>
      </c>
      <c r="D147" s="103" t="s">
        <v>2374</v>
      </c>
      <c r="E147" s="104">
        <v>1</v>
      </c>
      <c r="H147" s="102" t="s">
        <v>2375</v>
      </c>
      <c r="I147" s="105"/>
      <c r="J147" s="111">
        <v>3.95</v>
      </c>
      <c r="K147" s="102" t="s">
        <v>1910</v>
      </c>
      <c r="L147" s="105"/>
      <c r="M147">
        <f t="shared" si="5"/>
        <v>3.95</v>
      </c>
      <c r="N147" s="103">
        <f t="shared" si="6"/>
        <v>142</v>
      </c>
    </row>
    <row r="148" spans="1:14" s="103" customFormat="1" x14ac:dyDescent="0.3">
      <c r="A148" s="102" t="s">
        <v>894</v>
      </c>
      <c r="B148" s="102" t="s">
        <v>898</v>
      </c>
      <c r="C148" s="102" t="s">
        <v>8</v>
      </c>
      <c r="D148" s="103" t="s">
        <v>683</v>
      </c>
      <c r="E148" s="104">
        <v>1</v>
      </c>
      <c r="F148" s="103" t="s">
        <v>684</v>
      </c>
      <c r="G148" s="103" t="s">
        <v>685</v>
      </c>
      <c r="H148" s="103" t="s">
        <v>686</v>
      </c>
      <c r="I148" s="103">
        <v>1</v>
      </c>
      <c r="J148" s="104">
        <v>34.950000000000003</v>
      </c>
      <c r="K148" s="103" t="s">
        <v>1910</v>
      </c>
      <c r="L148" s="105"/>
      <c r="M148">
        <f t="shared" si="5"/>
        <v>34.950000000000003</v>
      </c>
      <c r="N148" s="103">
        <f t="shared" si="6"/>
        <v>143</v>
      </c>
    </row>
    <row r="149" spans="1:14" s="103" customFormat="1" x14ac:dyDescent="0.3">
      <c r="A149" s="102" t="s">
        <v>894</v>
      </c>
      <c r="B149" s="102" t="s">
        <v>898</v>
      </c>
      <c r="C149" s="102" t="s">
        <v>8</v>
      </c>
      <c r="D149" s="103" t="s">
        <v>687</v>
      </c>
      <c r="E149" s="104">
        <v>1</v>
      </c>
      <c r="F149" s="103" t="s">
        <v>688</v>
      </c>
      <c r="G149" s="103" t="s">
        <v>689</v>
      </c>
      <c r="H149" s="103" t="s">
        <v>690</v>
      </c>
      <c r="J149" s="104">
        <v>12.95</v>
      </c>
      <c r="K149" s="103" t="s">
        <v>1910</v>
      </c>
      <c r="L149" s="105"/>
      <c r="M149">
        <f t="shared" si="5"/>
        <v>12.95</v>
      </c>
      <c r="N149" s="103">
        <f t="shared" si="6"/>
        <v>144</v>
      </c>
    </row>
    <row r="150" spans="1:14" s="103" customFormat="1" x14ac:dyDescent="0.3">
      <c r="A150" s="102" t="s">
        <v>894</v>
      </c>
      <c r="B150" s="102" t="s">
        <v>898</v>
      </c>
      <c r="C150" s="102" t="s">
        <v>8</v>
      </c>
      <c r="D150" s="103" t="s">
        <v>691</v>
      </c>
      <c r="E150" s="104">
        <v>1</v>
      </c>
      <c r="F150" s="103" t="s">
        <v>692</v>
      </c>
      <c r="G150" s="103" t="s">
        <v>693</v>
      </c>
      <c r="H150" s="103" t="s">
        <v>694</v>
      </c>
      <c r="I150" s="103">
        <v>1</v>
      </c>
      <c r="J150" s="104">
        <v>0.95</v>
      </c>
      <c r="K150" s="103" t="s">
        <v>1910</v>
      </c>
      <c r="L150" s="105"/>
      <c r="M150">
        <f t="shared" si="5"/>
        <v>0.95</v>
      </c>
      <c r="N150" s="103">
        <f t="shared" si="6"/>
        <v>145</v>
      </c>
    </row>
    <row r="151" spans="1:14" s="103" customFormat="1" x14ac:dyDescent="0.3">
      <c r="A151" s="102" t="s">
        <v>894</v>
      </c>
      <c r="B151" s="102" t="s">
        <v>898</v>
      </c>
      <c r="C151" s="102" t="s">
        <v>8</v>
      </c>
      <c r="D151" s="103" t="s">
        <v>695</v>
      </c>
      <c r="E151" s="104">
        <v>1</v>
      </c>
      <c r="F151" s="103" t="s">
        <v>696</v>
      </c>
      <c r="G151" s="103" t="s">
        <v>697</v>
      </c>
      <c r="H151" s="103" t="s">
        <v>698</v>
      </c>
      <c r="I151" s="103">
        <v>1</v>
      </c>
      <c r="J151" s="104">
        <v>7.25</v>
      </c>
      <c r="K151" s="103" t="s">
        <v>1910</v>
      </c>
      <c r="L151" s="105"/>
      <c r="M151">
        <f t="shared" si="5"/>
        <v>7.25</v>
      </c>
      <c r="N151" s="103">
        <f t="shared" si="6"/>
        <v>146</v>
      </c>
    </row>
    <row r="152" spans="1:14" s="103" customFormat="1" hidden="1" x14ac:dyDescent="0.3">
      <c r="A152" s="102" t="s">
        <v>894</v>
      </c>
      <c r="B152" s="102" t="s">
        <v>898</v>
      </c>
      <c r="C152" s="102" t="s">
        <v>8</v>
      </c>
      <c r="D152" s="103" t="s">
        <v>827</v>
      </c>
      <c r="E152" s="104">
        <v>0</v>
      </c>
      <c r="F152" s="103" t="s">
        <v>828</v>
      </c>
      <c r="G152" s="103" t="s">
        <v>829</v>
      </c>
      <c r="H152" s="103" t="s">
        <v>212</v>
      </c>
      <c r="I152" s="103">
        <v>1</v>
      </c>
      <c r="J152" s="104">
        <v>5.95</v>
      </c>
      <c r="K152" s="103" t="s">
        <v>2487</v>
      </c>
      <c r="L152" s="105"/>
      <c r="M152">
        <f t="shared" si="5"/>
        <v>0</v>
      </c>
      <c r="N152" s="103">
        <f t="shared" si="6"/>
        <v>147</v>
      </c>
    </row>
    <row r="153" spans="1:14" s="103" customFormat="1" x14ac:dyDescent="0.3">
      <c r="A153" s="102" t="s">
        <v>894</v>
      </c>
      <c r="B153" s="102" t="s">
        <v>898</v>
      </c>
      <c r="C153" s="102" t="s">
        <v>8</v>
      </c>
      <c r="D153" s="103" t="s">
        <v>830</v>
      </c>
      <c r="E153" s="104">
        <v>2</v>
      </c>
      <c r="F153" s="103" t="s">
        <v>831</v>
      </c>
      <c r="G153" s="103" t="s">
        <v>832</v>
      </c>
      <c r="H153" s="103" t="s">
        <v>220</v>
      </c>
      <c r="I153" s="103">
        <v>1</v>
      </c>
      <c r="J153" s="104">
        <v>3.95</v>
      </c>
      <c r="K153" s="103" t="s">
        <v>1910</v>
      </c>
      <c r="L153" s="105"/>
      <c r="M153">
        <f t="shared" si="5"/>
        <v>7.9</v>
      </c>
      <c r="N153" s="103">
        <f t="shared" si="6"/>
        <v>148</v>
      </c>
    </row>
    <row r="154" spans="1:14" s="103" customFormat="1" x14ac:dyDescent="0.3">
      <c r="A154" s="102" t="s">
        <v>894</v>
      </c>
      <c r="B154" s="102" t="s">
        <v>13</v>
      </c>
      <c r="C154" s="102" t="s">
        <v>8</v>
      </c>
      <c r="D154" s="103" t="s">
        <v>256</v>
      </c>
      <c r="E154" s="104">
        <v>3</v>
      </c>
      <c r="F154" s="103" t="s">
        <v>257</v>
      </c>
      <c r="G154" s="103" t="s">
        <v>258</v>
      </c>
      <c r="H154" s="103" t="s">
        <v>259</v>
      </c>
      <c r="I154" s="103">
        <v>1</v>
      </c>
      <c r="J154" s="104">
        <v>14.95</v>
      </c>
      <c r="K154" s="103" t="s">
        <v>1910</v>
      </c>
      <c r="L154" s="105"/>
      <c r="M154">
        <f t="shared" si="5"/>
        <v>44.849999999999994</v>
      </c>
      <c r="N154" s="103">
        <f t="shared" si="6"/>
        <v>149</v>
      </c>
    </row>
    <row r="155" spans="1:14" s="103" customFormat="1" hidden="1" x14ac:dyDescent="0.3">
      <c r="A155" s="102" t="s">
        <v>894</v>
      </c>
      <c r="B155" s="102" t="s">
        <v>13</v>
      </c>
      <c r="C155" s="102" t="s">
        <v>8</v>
      </c>
      <c r="D155" s="103" t="s">
        <v>260</v>
      </c>
      <c r="E155" s="104">
        <v>0</v>
      </c>
      <c r="F155" s="103" t="s">
        <v>261</v>
      </c>
      <c r="G155" s="103" t="s">
        <v>262</v>
      </c>
      <c r="H155" s="103" t="s">
        <v>263</v>
      </c>
      <c r="I155" s="103">
        <v>1</v>
      </c>
      <c r="J155" s="104">
        <v>6.95</v>
      </c>
      <c r="K155" s="103" t="s">
        <v>1911</v>
      </c>
      <c r="L155" s="105"/>
      <c r="M155">
        <f t="shared" si="5"/>
        <v>0</v>
      </c>
      <c r="N155" s="103">
        <f t="shared" si="6"/>
        <v>150</v>
      </c>
    </row>
    <row r="156" spans="1:14" s="12" customFormat="1" hidden="1" x14ac:dyDescent="0.3">
      <c r="A156" s="51" t="s">
        <v>894</v>
      </c>
      <c r="B156" s="51" t="s">
        <v>13</v>
      </c>
      <c r="C156" s="102" t="s">
        <v>8</v>
      </c>
      <c r="D156" s="12" t="s">
        <v>2531</v>
      </c>
      <c r="E156" s="12">
        <v>0</v>
      </c>
      <c r="F156" s="12" t="s">
        <v>2532</v>
      </c>
      <c r="G156" s="12" t="s">
        <v>2533</v>
      </c>
      <c r="H156" s="12" t="s">
        <v>2534</v>
      </c>
      <c r="I156" s="20">
        <v>1</v>
      </c>
      <c r="J156" s="142">
        <v>34.950000000000003</v>
      </c>
      <c r="K156" s="12" t="s">
        <v>1910</v>
      </c>
      <c r="M156">
        <f t="shared" si="5"/>
        <v>0</v>
      </c>
      <c r="N156" s="12">
        <f t="shared" si="6"/>
        <v>151</v>
      </c>
    </row>
    <row r="157" spans="1:14" s="12" customFormat="1" hidden="1" x14ac:dyDescent="0.3">
      <c r="A157" s="51" t="s">
        <v>894</v>
      </c>
      <c r="B157" s="51" t="s">
        <v>13</v>
      </c>
      <c r="C157" s="102" t="s">
        <v>8</v>
      </c>
      <c r="D157" s="12" t="s">
        <v>2535</v>
      </c>
      <c r="E157" s="12">
        <v>0</v>
      </c>
      <c r="F157" s="12" t="s">
        <v>2536</v>
      </c>
      <c r="G157" s="12" t="s">
        <v>2537</v>
      </c>
      <c r="H157" s="12" t="s">
        <v>2538</v>
      </c>
      <c r="I157" s="20">
        <v>1</v>
      </c>
      <c r="J157" s="142">
        <v>34.950000000000003</v>
      </c>
      <c r="K157" s="12" t="s">
        <v>1910</v>
      </c>
      <c r="M157">
        <f t="shared" si="5"/>
        <v>0</v>
      </c>
      <c r="N157" s="12">
        <f t="shared" si="6"/>
        <v>152</v>
      </c>
    </row>
    <row r="158" spans="1:14" s="12" customFormat="1" x14ac:dyDescent="0.3">
      <c r="A158" s="51" t="s">
        <v>894</v>
      </c>
      <c r="B158" s="51" t="s">
        <v>13</v>
      </c>
      <c r="C158" s="102" t="s">
        <v>8</v>
      </c>
      <c r="D158" s="12" t="s">
        <v>2539</v>
      </c>
      <c r="E158" s="104">
        <f>FilterSpecs!$C$3</f>
        <v>5</v>
      </c>
      <c r="F158" s="12" t="s">
        <v>2540</v>
      </c>
      <c r="G158" s="12" t="s">
        <v>2541</v>
      </c>
      <c r="H158" s="12" t="s">
        <v>2542</v>
      </c>
      <c r="I158" s="20"/>
      <c r="J158" s="142">
        <v>4.95</v>
      </c>
      <c r="K158" s="51" t="s">
        <v>1911</v>
      </c>
      <c r="L158"/>
      <c r="M158">
        <f t="shared" si="5"/>
        <v>24.75</v>
      </c>
      <c r="N158" s="12">
        <f t="shared" si="6"/>
        <v>153</v>
      </c>
    </row>
    <row r="159" spans="1:14" s="12" customFormat="1" x14ac:dyDescent="0.3">
      <c r="A159" s="51" t="s">
        <v>894</v>
      </c>
      <c r="B159" s="51" t="s">
        <v>13</v>
      </c>
      <c r="C159" s="102" t="s">
        <v>8</v>
      </c>
      <c r="D159" s="12" t="s">
        <v>2543</v>
      </c>
      <c r="E159" s="104">
        <f>FilterSpecs!$C$3</f>
        <v>5</v>
      </c>
      <c r="F159" s="12" t="s">
        <v>2544</v>
      </c>
      <c r="G159" s="12" t="s">
        <v>2545</v>
      </c>
      <c r="H159" s="86" t="s">
        <v>2546</v>
      </c>
      <c r="I159" s="86">
        <v>1</v>
      </c>
      <c r="J159" s="89">
        <v>14.95</v>
      </c>
      <c r="K159" s="51" t="s">
        <v>1911</v>
      </c>
      <c r="L159"/>
      <c r="M159">
        <f t="shared" si="5"/>
        <v>74.75</v>
      </c>
      <c r="N159" s="12">
        <f t="shared" si="6"/>
        <v>154</v>
      </c>
    </row>
    <row r="160" spans="1:14" s="103" customFormat="1" hidden="1" x14ac:dyDescent="0.3">
      <c r="A160" s="102" t="s">
        <v>895</v>
      </c>
      <c r="B160" s="102" t="s">
        <v>1606</v>
      </c>
      <c r="C160" s="102" t="s">
        <v>8</v>
      </c>
      <c r="D160" s="103" t="s">
        <v>1547</v>
      </c>
      <c r="E160" s="104">
        <v>1</v>
      </c>
      <c r="F160" s="103" t="s">
        <v>1548</v>
      </c>
      <c r="G160" s="103" t="s">
        <v>1549</v>
      </c>
      <c r="H160" s="103" t="s">
        <v>1550</v>
      </c>
      <c r="I160" s="103">
        <v>1</v>
      </c>
      <c r="J160" s="104">
        <v>9.9499999999999993</v>
      </c>
      <c r="K160" s="103" t="s">
        <v>1913</v>
      </c>
      <c r="L160" s="105"/>
      <c r="M160">
        <f t="shared" si="5"/>
        <v>9.9499999999999993</v>
      </c>
      <c r="N160" s="103">
        <f t="shared" si="6"/>
        <v>155</v>
      </c>
    </row>
    <row r="161" spans="1:14" s="103" customFormat="1" hidden="1" x14ac:dyDescent="0.3">
      <c r="A161" s="102" t="s">
        <v>895</v>
      </c>
      <c r="B161" s="102" t="s">
        <v>1606</v>
      </c>
      <c r="C161" s="102" t="s">
        <v>8</v>
      </c>
      <c r="D161" s="103" t="s">
        <v>1543</v>
      </c>
      <c r="E161" s="104">
        <v>1</v>
      </c>
      <c r="F161" s="103" t="s">
        <v>1544</v>
      </c>
      <c r="G161" s="103" t="s">
        <v>1545</v>
      </c>
      <c r="H161" s="103" t="s">
        <v>1546</v>
      </c>
      <c r="I161" s="103">
        <v>1</v>
      </c>
      <c r="J161" s="104">
        <v>1.95</v>
      </c>
      <c r="K161" s="103" t="s">
        <v>1910</v>
      </c>
      <c r="L161" s="105"/>
      <c r="M161">
        <f t="shared" si="5"/>
        <v>1.95</v>
      </c>
      <c r="N161" s="103">
        <f t="shared" si="6"/>
        <v>156</v>
      </c>
    </row>
    <row r="162" spans="1:14" s="103" customFormat="1" x14ac:dyDescent="0.3">
      <c r="A162" s="102" t="s">
        <v>895</v>
      </c>
      <c r="B162" s="102" t="s">
        <v>16</v>
      </c>
      <c r="C162" s="102" t="s">
        <v>8</v>
      </c>
      <c r="D162" s="103" t="s">
        <v>264</v>
      </c>
      <c r="E162" s="104">
        <f>2*FilterSpecs!$C$3</f>
        <v>10</v>
      </c>
      <c r="F162" s="103" t="s">
        <v>265</v>
      </c>
      <c r="G162" s="103" t="s">
        <v>266</v>
      </c>
      <c r="H162" s="103" t="s">
        <v>267</v>
      </c>
      <c r="I162" s="103">
        <v>1</v>
      </c>
      <c r="J162" s="104">
        <v>2.8</v>
      </c>
      <c r="K162" s="103" t="s">
        <v>1911</v>
      </c>
      <c r="M162">
        <f t="shared" si="5"/>
        <v>28</v>
      </c>
      <c r="N162" s="103">
        <f t="shared" si="6"/>
        <v>157</v>
      </c>
    </row>
    <row r="163" spans="1:14" s="103" customFormat="1" x14ac:dyDescent="0.3">
      <c r="A163" s="102" t="s">
        <v>895</v>
      </c>
      <c r="B163" s="102" t="s">
        <v>16</v>
      </c>
      <c r="C163" s="102" t="s">
        <v>8</v>
      </c>
      <c r="D163" s="103" t="s">
        <v>293</v>
      </c>
      <c r="E163" s="104">
        <v>2</v>
      </c>
      <c r="F163" s="103" t="s">
        <v>294</v>
      </c>
      <c r="G163" s="103" t="s">
        <v>295</v>
      </c>
      <c r="H163" s="103" t="s">
        <v>296</v>
      </c>
      <c r="I163" s="103">
        <v>1</v>
      </c>
      <c r="J163" s="104">
        <v>6.95</v>
      </c>
      <c r="K163" s="103" t="s">
        <v>1910</v>
      </c>
      <c r="M163">
        <f t="shared" si="5"/>
        <v>13.9</v>
      </c>
      <c r="N163" s="103">
        <f t="shared" si="6"/>
        <v>158</v>
      </c>
    </row>
    <row r="164" spans="1:14" s="103" customFormat="1" x14ac:dyDescent="0.3">
      <c r="A164" s="102" t="s">
        <v>895</v>
      </c>
      <c r="B164" s="102" t="s">
        <v>16</v>
      </c>
      <c r="C164" s="102" t="s">
        <v>8</v>
      </c>
      <c r="D164" s="103" t="s">
        <v>297</v>
      </c>
      <c r="E164" s="104">
        <v>3</v>
      </c>
      <c r="F164" s="103" t="s">
        <v>298</v>
      </c>
      <c r="G164" s="103" t="s">
        <v>299</v>
      </c>
      <c r="H164" s="103" t="s">
        <v>216</v>
      </c>
      <c r="I164" s="103">
        <v>1</v>
      </c>
      <c r="J164" s="104">
        <v>3.95</v>
      </c>
      <c r="K164" s="103" t="s">
        <v>1910</v>
      </c>
      <c r="M164">
        <f t="shared" si="5"/>
        <v>11.850000000000001</v>
      </c>
      <c r="N164" s="103">
        <f t="shared" si="6"/>
        <v>159</v>
      </c>
    </row>
    <row r="165" spans="1:14" s="103" customFormat="1" x14ac:dyDescent="0.3">
      <c r="A165" s="102" t="s">
        <v>895</v>
      </c>
      <c r="B165" s="102" t="s">
        <v>16</v>
      </c>
      <c r="C165" s="102" t="s">
        <v>8</v>
      </c>
      <c r="D165" s="103" t="s">
        <v>344</v>
      </c>
      <c r="E165" s="104">
        <f>FilterSpecs!$C$3</f>
        <v>5</v>
      </c>
      <c r="F165" s="103" t="s">
        <v>345</v>
      </c>
      <c r="G165" s="103" t="s">
        <v>346</v>
      </c>
      <c r="H165" s="103" t="s">
        <v>213</v>
      </c>
      <c r="I165" s="103">
        <v>1</v>
      </c>
      <c r="J165" s="104">
        <v>4.95</v>
      </c>
      <c r="K165" s="103" t="s">
        <v>1911</v>
      </c>
      <c r="M165">
        <f t="shared" si="5"/>
        <v>24.75</v>
      </c>
      <c r="N165" s="103">
        <f t="shared" si="6"/>
        <v>160</v>
      </c>
    </row>
    <row r="166" spans="1:14" s="103" customFormat="1" hidden="1" x14ac:dyDescent="0.3">
      <c r="A166" s="102" t="s">
        <v>895</v>
      </c>
      <c r="B166" s="102" t="s">
        <v>16</v>
      </c>
      <c r="C166" s="86" t="s">
        <v>1898</v>
      </c>
      <c r="D166" s="86" t="s">
        <v>2155</v>
      </c>
      <c r="E166" s="89">
        <v>0</v>
      </c>
      <c r="F166" s="12"/>
      <c r="G166" s="12"/>
      <c r="H166" s="82" t="s">
        <v>2156</v>
      </c>
      <c r="I166"/>
      <c r="J166" s="95">
        <v>4.95</v>
      </c>
      <c r="K166" s="82" t="s">
        <v>1910</v>
      </c>
      <c r="L166"/>
      <c r="M166">
        <f t="shared" si="5"/>
        <v>0</v>
      </c>
      <c r="N166" s="103">
        <f t="shared" si="6"/>
        <v>161</v>
      </c>
    </row>
    <row r="167" spans="1:14" s="12" customFormat="1" hidden="1" x14ac:dyDescent="0.3">
      <c r="A167" s="12" t="s">
        <v>895</v>
      </c>
      <c r="B167" s="102" t="s">
        <v>16</v>
      </c>
      <c r="C167" s="12" t="s">
        <v>1898</v>
      </c>
      <c r="D167" s="12" t="s">
        <v>2356</v>
      </c>
      <c r="E167" s="89">
        <v>0</v>
      </c>
      <c r="H167" s="51" t="s">
        <v>2357</v>
      </c>
      <c r="I167"/>
      <c r="J167" s="95">
        <v>9.9499999999999993</v>
      </c>
      <c r="K167" s="51" t="s">
        <v>1910</v>
      </c>
      <c r="L167"/>
      <c r="M167">
        <f t="shared" si="5"/>
        <v>0</v>
      </c>
      <c r="N167" s="12">
        <f t="shared" si="6"/>
        <v>162</v>
      </c>
    </row>
    <row r="168" spans="1:14" s="12" customFormat="1" hidden="1" x14ac:dyDescent="0.3">
      <c r="A168" s="12" t="s">
        <v>895</v>
      </c>
      <c r="B168" s="102" t="s">
        <v>16</v>
      </c>
      <c r="C168" s="12" t="s">
        <v>1898</v>
      </c>
      <c r="D168" s="12" t="s">
        <v>2358</v>
      </c>
      <c r="E168" s="89">
        <v>0</v>
      </c>
      <c r="H168" s="51" t="s">
        <v>2359</v>
      </c>
      <c r="I168"/>
      <c r="J168" s="95">
        <v>5.95</v>
      </c>
      <c r="K168" s="51" t="s">
        <v>1910</v>
      </c>
      <c r="L168"/>
      <c r="M168">
        <f t="shared" si="5"/>
        <v>0</v>
      </c>
      <c r="N168" s="12">
        <f t="shared" si="6"/>
        <v>163</v>
      </c>
    </row>
    <row r="169" spans="1:14" s="103" customFormat="1" x14ac:dyDescent="0.3">
      <c r="A169" s="102" t="s">
        <v>895</v>
      </c>
      <c r="B169" s="102" t="s">
        <v>899</v>
      </c>
      <c r="C169" s="102" t="s">
        <v>8</v>
      </c>
      <c r="D169" s="103" t="s">
        <v>236</v>
      </c>
      <c r="E169" s="104">
        <f>3*FilterSpecs!$C$3</f>
        <v>15</v>
      </c>
      <c r="F169" s="103" t="s">
        <v>237</v>
      </c>
      <c r="G169" s="103" t="s">
        <v>238</v>
      </c>
      <c r="H169" s="103" t="s">
        <v>239</v>
      </c>
      <c r="J169" s="104">
        <v>1.5</v>
      </c>
      <c r="K169" s="103" t="s">
        <v>1911</v>
      </c>
      <c r="M169">
        <f t="shared" si="5"/>
        <v>22.5</v>
      </c>
      <c r="N169" s="103">
        <f t="shared" si="6"/>
        <v>164</v>
      </c>
    </row>
    <row r="170" spans="1:14" s="103" customFormat="1" x14ac:dyDescent="0.3">
      <c r="A170" s="102" t="s">
        <v>895</v>
      </c>
      <c r="B170" s="102" t="s">
        <v>899</v>
      </c>
      <c r="C170" s="102" t="s">
        <v>8</v>
      </c>
      <c r="D170" s="103" t="s">
        <v>240</v>
      </c>
      <c r="E170" s="104">
        <v>1</v>
      </c>
      <c r="F170" s="103" t="s">
        <v>241</v>
      </c>
      <c r="G170" s="103" t="s">
        <v>242</v>
      </c>
      <c r="H170" s="103" t="s">
        <v>243</v>
      </c>
      <c r="I170" s="103">
        <v>1</v>
      </c>
      <c r="J170" s="104">
        <v>14.95</v>
      </c>
      <c r="K170" s="103" t="s">
        <v>1912</v>
      </c>
      <c r="M170">
        <f t="shared" si="5"/>
        <v>14.95</v>
      </c>
      <c r="N170" s="103">
        <f t="shared" si="6"/>
        <v>165</v>
      </c>
    </row>
    <row r="171" spans="1:14" s="103" customFormat="1" hidden="1" x14ac:dyDescent="0.3">
      <c r="A171" s="102" t="s">
        <v>895</v>
      </c>
      <c r="B171" s="102" t="s">
        <v>899</v>
      </c>
      <c r="C171" s="102" t="s">
        <v>8</v>
      </c>
      <c r="D171" s="103" t="s">
        <v>363</v>
      </c>
      <c r="E171" s="104">
        <v>0</v>
      </c>
      <c r="F171" s="103" t="s">
        <v>364</v>
      </c>
      <c r="G171" s="103" t="s">
        <v>365</v>
      </c>
      <c r="H171" s="103" t="s">
        <v>366</v>
      </c>
      <c r="I171" s="103">
        <v>1</v>
      </c>
      <c r="J171" s="104">
        <v>2.95</v>
      </c>
      <c r="K171" s="103" t="s">
        <v>2487</v>
      </c>
      <c r="M171">
        <f t="shared" si="5"/>
        <v>0</v>
      </c>
      <c r="N171" s="103">
        <f t="shared" si="6"/>
        <v>166</v>
      </c>
    </row>
    <row r="172" spans="1:14" s="103" customFormat="1" hidden="1" x14ac:dyDescent="0.3">
      <c r="A172" s="102" t="s">
        <v>895</v>
      </c>
      <c r="B172" s="102" t="s">
        <v>899</v>
      </c>
      <c r="C172" s="102" t="s">
        <v>8</v>
      </c>
      <c r="D172" s="103" t="s">
        <v>1185</v>
      </c>
      <c r="E172" s="104">
        <v>0</v>
      </c>
      <c r="F172" s="103" t="s">
        <v>1186</v>
      </c>
      <c r="G172" s="103" t="s">
        <v>1187</v>
      </c>
      <c r="H172" s="103" t="s">
        <v>1188</v>
      </c>
      <c r="I172" s="103">
        <v>1</v>
      </c>
      <c r="J172" s="104">
        <v>9.9499999999999993</v>
      </c>
      <c r="K172" s="103" t="s">
        <v>2487</v>
      </c>
      <c r="L172" s="105"/>
      <c r="M172">
        <f t="shared" si="5"/>
        <v>0</v>
      </c>
      <c r="N172" s="103">
        <f t="shared" si="6"/>
        <v>167</v>
      </c>
    </row>
    <row r="173" spans="1:14" s="103" customFormat="1" x14ac:dyDescent="0.3">
      <c r="A173" s="102" t="s">
        <v>895</v>
      </c>
      <c r="B173" s="102" t="s">
        <v>899</v>
      </c>
      <c r="C173" s="102" t="s">
        <v>8</v>
      </c>
      <c r="D173" s="103" t="s">
        <v>1189</v>
      </c>
      <c r="E173" s="104">
        <v>1</v>
      </c>
      <c r="F173" s="103" t="s">
        <v>1190</v>
      </c>
      <c r="G173" s="103" t="s">
        <v>1191</v>
      </c>
      <c r="H173" s="103" t="s">
        <v>1192</v>
      </c>
      <c r="I173" s="103">
        <v>1</v>
      </c>
      <c r="J173" s="104">
        <v>14.95</v>
      </c>
      <c r="K173" s="103" t="s">
        <v>1912</v>
      </c>
      <c r="L173" s="105"/>
      <c r="M173">
        <f t="shared" si="5"/>
        <v>14.95</v>
      </c>
      <c r="N173" s="103">
        <f t="shared" si="6"/>
        <v>168</v>
      </c>
    </row>
    <row r="174" spans="1:14" s="103" customFormat="1" hidden="1" x14ac:dyDescent="0.3">
      <c r="A174" s="102" t="s">
        <v>895</v>
      </c>
      <c r="B174" s="102" t="s">
        <v>899</v>
      </c>
      <c r="C174" s="102" t="s">
        <v>8</v>
      </c>
      <c r="D174" s="103" t="s">
        <v>1827</v>
      </c>
      <c r="E174" s="104">
        <v>0</v>
      </c>
      <c r="F174" s="103" t="s">
        <v>1828</v>
      </c>
      <c r="G174" s="103" t="s">
        <v>1829</v>
      </c>
      <c r="H174" s="103" t="s">
        <v>1830</v>
      </c>
      <c r="I174" s="103">
        <v>1</v>
      </c>
      <c r="J174" s="104">
        <v>39.950000000000003</v>
      </c>
      <c r="K174" s="103" t="s">
        <v>2487</v>
      </c>
      <c r="L174" s="105"/>
      <c r="M174">
        <f t="shared" si="5"/>
        <v>0</v>
      </c>
      <c r="N174" s="103">
        <f t="shared" si="6"/>
        <v>169</v>
      </c>
    </row>
    <row r="175" spans="1:14" s="103" customFormat="1" hidden="1" x14ac:dyDescent="0.3">
      <c r="A175" s="102" t="s">
        <v>895</v>
      </c>
      <c r="B175" s="102" t="s">
        <v>899</v>
      </c>
      <c r="C175" s="102" t="s">
        <v>8</v>
      </c>
      <c r="D175" s="103" t="s">
        <v>1787</v>
      </c>
      <c r="E175" s="104">
        <v>0</v>
      </c>
      <c r="F175" s="103" t="s">
        <v>1788</v>
      </c>
      <c r="G175" s="103" t="s">
        <v>1789</v>
      </c>
      <c r="H175" s="103" t="s">
        <v>1790</v>
      </c>
      <c r="I175" s="103">
        <v>1</v>
      </c>
      <c r="J175" s="104">
        <v>14.95</v>
      </c>
      <c r="K175" s="103" t="s">
        <v>2487</v>
      </c>
      <c r="L175" s="105"/>
      <c r="M175">
        <f t="shared" si="5"/>
        <v>0</v>
      </c>
      <c r="N175" s="103">
        <f t="shared" si="6"/>
        <v>170</v>
      </c>
    </row>
    <row r="176" spans="1:14" s="103" customFormat="1" x14ac:dyDescent="0.3">
      <c r="A176" s="102" t="s">
        <v>895</v>
      </c>
      <c r="B176" s="102" t="s">
        <v>899</v>
      </c>
      <c r="C176" s="102" t="s">
        <v>8</v>
      </c>
      <c r="D176" s="103" t="s">
        <v>272</v>
      </c>
      <c r="E176" s="104">
        <f>2*FilterSpecs!$C$3</f>
        <v>10</v>
      </c>
      <c r="F176" s="103" t="s">
        <v>273</v>
      </c>
      <c r="G176" s="103" t="s">
        <v>274</v>
      </c>
      <c r="H176" s="103" t="s">
        <v>275</v>
      </c>
      <c r="J176" s="104">
        <v>0.95</v>
      </c>
      <c r="K176" s="103" t="s">
        <v>1911</v>
      </c>
      <c r="M176">
        <f t="shared" si="5"/>
        <v>9.5</v>
      </c>
      <c r="N176" s="103">
        <f t="shared" si="6"/>
        <v>171</v>
      </c>
    </row>
    <row r="177" spans="1:14" s="103" customFormat="1" x14ac:dyDescent="0.3">
      <c r="A177" s="102" t="s">
        <v>895</v>
      </c>
      <c r="B177" s="102" t="s">
        <v>899</v>
      </c>
      <c r="C177" s="102" t="s">
        <v>8</v>
      </c>
      <c r="D177" s="103" t="s">
        <v>276</v>
      </c>
      <c r="E177" s="104">
        <f>FilterSpecs!$C$3</f>
        <v>5</v>
      </c>
      <c r="F177" s="103" t="s">
        <v>277</v>
      </c>
      <c r="G177" s="103" t="s">
        <v>278</v>
      </c>
      <c r="H177" s="103" t="s">
        <v>279</v>
      </c>
      <c r="J177" s="104">
        <v>1.5</v>
      </c>
      <c r="K177" s="103" t="s">
        <v>1911</v>
      </c>
      <c r="M177">
        <f t="shared" si="5"/>
        <v>7.5</v>
      </c>
      <c r="N177" s="103">
        <f t="shared" si="6"/>
        <v>172</v>
      </c>
    </row>
    <row r="178" spans="1:14" s="103" customFormat="1" x14ac:dyDescent="0.3">
      <c r="A178" s="102" t="s">
        <v>895</v>
      </c>
      <c r="B178" s="102" t="s">
        <v>899</v>
      </c>
      <c r="C178" s="102" t="s">
        <v>8</v>
      </c>
      <c r="D178" s="103" t="s">
        <v>268</v>
      </c>
      <c r="E178" s="104">
        <f>FilterSpecs!$C$3</f>
        <v>5</v>
      </c>
      <c r="F178" s="103" t="s">
        <v>269</v>
      </c>
      <c r="G178" s="103" t="s">
        <v>270</v>
      </c>
      <c r="H178" s="103" t="s">
        <v>271</v>
      </c>
      <c r="J178" s="104">
        <v>1.5</v>
      </c>
      <c r="K178" s="103" t="s">
        <v>1911</v>
      </c>
      <c r="M178">
        <f t="shared" si="5"/>
        <v>7.5</v>
      </c>
      <c r="N178" s="103">
        <f t="shared" si="6"/>
        <v>173</v>
      </c>
    </row>
    <row r="179" spans="1:14" s="103" customFormat="1" x14ac:dyDescent="0.3">
      <c r="A179" s="102" t="s">
        <v>895</v>
      </c>
      <c r="B179" s="102" t="s">
        <v>899</v>
      </c>
      <c r="C179" s="102" t="s">
        <v>8</v>
      </c>
      <c r="D179" s="103" t="s">
        <v>1823</v>
      </c>
      <c r="E179" s="104">
        <v>1</v>
      </c>
      <c r="F179" s="103" t="s">
        <v>1824</v>
      </c>
      <c r="G179" s="103" t="s">
        <v>1825</v>
      </c>
      <c r="H179" s="103" t="s">
        <v>1826</v>
      </c>
      <c r="J179" s="104">
        <v>1.95</v>
      </c>
      <c r="K179" s="103" t="s">
        <v>1910</v>
      </c>
      <c r="L179" s="105"/>
      <c r="M179">
        <f t="shared" si="5"/>
        <v>1.95</v>
      </c>
      <c r="N179" s="103">
        <f t="shared" si="6"/>
        <v>174</v>
      </c>
    </row>
    <row r="180" spans="1:14" s="103" customFormat="1" x14ac:dyDescent="0.3">
      <c r="A180" s="102" t="s">
        <v>895</v>
      </c>
      <c r="B180" s="102" t="s">
        <v>899</v>
      </c>
      <c r="C180" s="102" t="s">
        <v>8</v>
      </c>
      <c r="D180" s="103" t="s">
        <v>735</v>
      </c>
      <c r="E180" s="104">
        <v>2</v>
      </c>
      <c r="F180" s="103" t="s">
        <v>736</v>
      </c>
      <c r="G180" s="103" t="s">
        <v>737</v>
      </c>
      <c r="H180" s="103" t="s">
        <v>738</v>
      </c>
      <c r="J180" s="104">
        <v>2.95</v>
      </c>
      <c r="K180" s="103" t="s">
        <v>2487</v>
      </c>
      <c r="M180">
        <f t="shared" si="5"/>
        <v>5.9</v>
      </c>
      <c r="N180" s="103">
        <f t="shared" si="6"/>
        <v>175</v>
      </c>
    </row>
    <row r="181" spans="1:14" s="12" customFormat="1" x14ac:dyDescent="0.3">
      <c r="A181" s="51" t="s">
        <v>895</v>
      </c>
      <c r="B181" s="51" t="s">
        <v>899</v>
      </c>
      <c r="C181" s="51" t="s">
        <v>8</v>
      </c>
      <c r="D181" s="12" t="s">
        <v>1807</v>
      </c>
      <c r="E181" s="89">
        <v>1</v>
      </c>
      <c r="F181" s="12" t="s">
        <v>1808</v>
      </c>
      <c r="G181" s="12" t="s">
        <v>1809</v>
      </c>
      <c r="H181" s="12" t="s">
        <v>1810</v>
      </c>
      <c r="J181" s="89">
        <v>2.95</v>
      </c>
      <c r="K181" s="12" t="s">
        <v>1910</v>
      </c>
      <c r="L181"/>
      <c r="M181">
        <f t="shared" si="5"/>
        <v>2.95</v>
      </c>
      <c r="N181" s="12">
        <f t="shared" si="6"/>
        <v>176</v>
      </c>
    </row>
    <row r="182" spans="1:14" s="12" customFormat="1" x14ac:dyDescent="0.3">
      <c r="A182" s="51" t="s">
        <v>895</v>
      </c>
      <c r="B182" s="51" t="s">
        <v>1607</v>
      </c>
      <c r="C182" s="51" t="s">
        <v>8</v>
      </c>
      <c r="D182" s="12" t="s">
        <v>1108</v>
      </c>
      <c r="E182" s="89">
        <v>0</v>
      </c>
      <c r="F182" s="12" t="s">
        <v>1109</v>
      </c>
      <c r="G182" s="12" t="s">
        <v>1110</v>
      </c>
      <c r="H182" s="12" t="s">
        <v>1111</v>
      </c>
      <c r="J182" s="89">
        <v>24.95</v>
      </c>
      <c r="K182" s="12" t="s">
        <v>1910</v>
      </c>
      <c r="L182"/>
      <c r="M182">
        <f t="shared" si="5"/>
        <v>0</v>
      </c>
      <c r="N182" s="12">
        <f t="shared" si="6"/>
        <v>177</v>
      </c>
    </row>
    <row r="183" spans="1:14" s="12" customFormat="1" x14ac:dyDescent="0.3">
      <c r="A183" s="51" t="s">
        <v>895</v>
      </c>
      <c r="B183" s="51" t="s">
        <v>1607</v>
      </c>
      <c r="C183" s="51" t="s">
        <v>8</v>
      </c>
      <c r="D183" s="12" t="s">
        <v>493</v>
      </c>
      <c r="E183" s="104">
        <f>FilterSpecs!$C$3+1</f>
        <v>6</v>
      </c>
      <c r="F183" s="12" t="s">
        <v>494</v>
      </c>
      <c r="G183" s="12" t="s">
        <v>495</v>
      </c>
      <c r="H183" s="12" t="s">
        <v>218</v>
      </c>
      <c r="I183" s="12">
        <v>1</v>
      </c>
      <c r="J183" s="89">
        <v>4.95</v>
      </c>
      <c r="K183" s="12" t="s">
        <v>1910</v>
      </c>
      <c r="M183">
        <f t="shared" si="5"/>
        <v>29.700000000000003</v>
      </c>
      <c r="N183" s="12">
        <f t="shared" si="6"/>
        <v>178</v>
      </c>
    </row>
    <row r="184" spans="1:14" s="12" customFormat="1" hidden="1" x14ac:dyDescent="0.3">
      <c r="A184" s="12" t="s">
        <v>895</v>
      </c>
      <c r="B184" s="12" t="s">
        <v>1607</v>
      </c>
      <c r="C184" s="12" t="s">
        <v>1898</v>
      </c>
      <c r="D184" s="12" t="s">
        <v>2364</v>
      </c>
      <c r="E184" s="89">
        <v>0</v>
      </c>
      <c r="H184" s="51" t="s">
        <v>2365</v>
      </c>
      <c r="I184"/>
      <c r="J184" s="95">
        <v>6.95</v>
      </c>
      <c r="K184" s="51" t="s">
        <v>1910</v>
      </c>
      <c r="L184"/>
      <c r="M184">
        <f t="shared" si="5"/>
        <v>0</v>
      </c>
      <c r="N184" s="12">
        <f t="shared" si="6"/>
        <v>179</v>
      </c>
    </row>
    <row r="185" spans="1:14" s="12" customFormat="1" x14ac:dyDescent="0.3">
      <c r="A185" s="51" t="s">
        <v>895</v>
      </c>
      <c r="B185" s="51" t="s">
        <v>1607</v>
      </c>
      <c r="C185" s="51" t="s">
        <v>8</v>
      </c>
      <c r="D185" s="12" t="s">
        <v>496</v>
      </c>
      <c r="E185" s="104">
        <f>FilterSpecs!$C$3+3</f>
        <v>8</v>
      </c>
      <c r="F185" s="12" t="s">
        <v>497</v>
      </c>
      <c r="G185" s="12" t="s">
        <v>498</v>
      </c>
      <c r="H185" s="12" t="s">
        <v>214</v>
      </c>
      <c r="I185" s="12">
        <v>1</v>
      </c>
      <c r="J185" s="89">
        <v>4.95</v>
      </c>
      <c r="K185" s="12" t="s">
        <v>1910</v>
      </c>
      <c r="M185">
        <f t="shared" si="5"/>
        <v>39.6</v>
      </c>
      <c r="N185" s="12">
        <f t="shared" si="6"/>
        <v>180</v>
      </c>
    </row>
    <row r="186" spans="1:14" s="12" customFormat="1" hidden="1" x14ac:dyDescent="0.3">
      <c r="A186" s="12" t="s">
        <v>895</v>
      </c>
      <c r="B186" s="12" t="s">
        <v>1607</v>
      </c>
      <c r="C186" s="12" t="s">
        <v>1898</v>
      </c>
      <c r="D186" s="12" t="s">
        <v>2360</v>
      </c>
      <c r="E186" s="89">
        <v>0</v>
      </c>
      <c r="H186" s="51" t="s">
        <v>2361</v>
      </c>
      <c r="I186"/>
      <c r="J186" s="95">
        <v>14.95</v>
      </c>
      <c r="K186" s="51" t="s">
        <v>1910</v>
      </c>
      <c r="L186"/>
      <c r="M186">
        <f t="shared" si="5"/>
        <v>0</v>
      </c>
      <c r="N186" s="12">
        <f t="shared" si="6"/>
        <v>181</v>
      </c>
    </row>
    <row r="187" spans="1:14" s="12" customFormat="1" hidden="1" x14ac:dyDescent="0.3">
      <c r="A187" s="12" t="s">
        <v>895</v>
      </c>
      <c r="B187" s="12" t="s">
        <v>1607</v>
      </c>
      <c r="C187" s="12" t="s">
        <v>1898</v>
      </c>
      <c r="D187" s="12" t="s">
        <v>2362</v>
      </c>
      <c r="E187" s="89">
        <v>0</v>
      </c>
      <c r="H187" s="51" t="s">
        <v>2363</v>
      </c>
      <c r="I187"/>
      <c r="J187" s="95">
        <v>3.75</v>
      </c>
      <c r="K187" s="51" t="s">
        <v>1910</v>
      </c>
      <c r="L187"/>
      <c r="M187">
        <f t="shared" si="5"/>
        <v>0</v>
      </c>
      <c r="N187" s="12">
        <f t="shared" si="6"/>
        <v>182</v>
      </c>
    </row>
    <row r="188" spans="1:14" s="12" customFormat="1" hidden="1" x14ac:dyDescent="0.3">
      <c r="A188" s="51" t="s">
        <v>895</v>
      </c>
      <c r="B188" s="51" t="s">
        <v>2041</v>
      </c>
      <c r="C188" s="51" t="s">
        <v>8</v>
      </c>
      <c r="D188" s="12" t="s">
        <v>1503</v>
      </c>
      <c r="E188" s="89">
        <v>0</v>
      </c>
      <c r="F188" s="12" t="s">
        <v>1504</v>
      </c>
      <c r="G188" s="12" t="s">
        <v>1505</v>
      </c>
      <c r="H188" s="12" t="s">
        <v>1506</v>
      </c>
      <c r="I188" s="12">
        <v>1</v>
      </c>
      <c r="J188" s="89">
        <v>2.95</v>
      </c>
      <c r="K188" s="12" t="s">
        <v>1910</v>
      </c>
      <c r="L188"/>
      <c r="M188">
        <f t="shared" si="5"/>
        <v>0</v>
      </c>
      <c r="N188" s="12">
        <f t="shared" si="6"/>
        <v>183</v>
      </c>
    </row>
    <row r="189" spans="1:14" s="12" customFormat="1" hidden="1" x14ac:dyDescent="0.3">
      <c r="A189" s="51" t="s">
        <v>895</v>
      </c>
      <c r="B189" s="51" t="s">
        <v>2041</v>
      </c>
      <c r="C189" s="51" t="s">
        <v>8</v>
      </c>
      <c r="D189" s="12" t="s">
        <v>1515</v>
      </c>
      <c r="E189" s="89">
        <v>0</v>
      </c>
      <c r="F189" s="12" t="s">
        <v>1516</v>
      </c>
      <c r="G189" s="12" t="s">
        <v>1517</v>
      </c>
      <c r="H189" s="12" t="s">
        <v>1518</v>
      </c>
      <c r="J189" s="89">
        <v>2.95</v>
      </c>
      <c r="K189" s="12" t="s">
        <v>1910</v>
      </c>
      <c r="L189"/>
      <c r="M189">
        <f t="shared" si="5"/>
        <v>0</v>
      </c>
      <c r="N189" s="12">
        <f t="shared" si="6"/>
        <v>184</v>
      </c>
    </row>
    <row r="190" spans="1:14" s="12" customFormat="1" hidden="1" x14ac:dyDescent="0.3">
      <c r="A190" s="51" t="s">
        <v>895</v>
      </c>
      <c r="B190" s="51" t="s">
        <v>2041</v>
      </c>
      <c r="C190" s="51" t="s">
        <v>1898</v>
      </c>
      <c r="D190" s="12" t="s">
        <v>2370</v>
      </c>
      <c r="E190" s="89">
        <v>0</v>
      </c>
      <c r="H190" s="12" t="s">
        <v>2371</v>
      </c>
      <c r="J190" s="89">
        <v>2.5</v>
      </c>
      <c r="K190" s="12" t="s">
        <v>1910</v>
      </c>
      <c r="L190"/>
      <c r="M190">
        <f t="shared" si="5"/>
        <v>0</v>
      </c>
      <c r="N190" s="12">
        <f t="shared" si="6"/>
        <v>185</v>
      </c>
    </row>
    <row r="191" spans="1:14" s="12" customFormat="1" x14ac:dyDescent="0.3">
      <c r="A191" s="51" t="s">
        <v>895</v>
      </c>
      <c r="B191" s="51" t="s">
        <v>2041</v>
      </c>
      <c r="C191" s="51" t="s">
        <v>1898</v>
      </c>
      <c r="D191" s="12" t="s">
        <v>2366</v>
      </c>
      <c r="E191" s="104">
        <f>FilterSpecs!$C$3</f>
        <v>5</v>
      </c>
      <c r="H191" s="12" t="s">
        <v>2367</v>
      </c>
      <c r="J191" s="89">
        <v>2.95</v>
      </c>
      <c r="K191" s="12" t="s">
        <v>1911</v>
      </c>
      <c r="L191"/>
      <c r="M191">
        <f t="shared" si="5"/>
        <v>14.75</v>
      </c>
      <c r="N191" s="12">
        <f t="shared" si="6"/>
        <v>186</v>
      </c>
    </row>
    <row r="192" spans="1:14" s="12" customFormat="1" x14ac:dyDescent="0.3">
      <c r="A192" s="51" t="s">
        <v>895</v>
      </c>
      <c r="B192" s="51" t="s">
        <v>2041</v>
      </c>
      <c r="C192" s="51" t="s">
        <v>8</v>
      </c>
      <c r="D192" s="12" t="s">
        <v>244</v>
      </c>
      <c r="E192" s="89">
        <v>1</v>
      </c>
      <c r="F192" s="12" t="s">
        <v>245</v>
      </c>
      <c r="G192" s="12" t="s">
        <v>246</v>
      </c>
      <c r="H192" s="12" t="s">
        <v>247</v>
      </c>
      <c r="J192" s="89">
        <v>9.9499999999999993</v>
      </c>
      <c r="K192" s="12" t="s">
        <v>1910</v>
      </c>
      <c r="M192">
        <f t="shared" si="5"/>
        <v>9.9499999999999993</v>
      </c>
      <c r="N192" s="12">
        <f t="shared" si="6"/>
        <v>187</v>
      </c>
    </row>
    <row r="193" spans="1:14" s="12" customFormat="1" hidden="1" x14ac:dyDescent="0.3">
      <c r="A193" s="12" t="s">
        <v>895</v>
      </c>
      <c r="B193" s="12" t="s">
        <v>2041</v>
      </c>
      <c r="C193" s="12" t="s">
        <v>1898</v>
      </c>
      <c r="D193" s="12" t="s">
        <v>2368</v>
      </c>
      <c r="E193" s="89">
        <v>0</v>
      </c>
      <c r="H193" s="51" t="s">
        <v>2369</v>
      </c>
      <c r="I193"/>
      <c r="J193" s="95">
        <v>2.95</v>
      </c>
      <c r="K193" s="51" t="s">
        <v>1910</v>
      </c>
      <c r="L193"/>
      <c r="M193">
        <f t="shared" si="5"/>
        <v>0</v>
      </c>
      <c r="N193" s="12">
        <f t="shared" si="6"/>
        <v>188</v>
      </c>
    </row>
    <row r="194" spans="1:14" s="103" customFormat="1" x14ac:dyDescent="0.3">
      <c r="A194" s="103" t="s">
        <v>895</v>
      </c>
      <c r="B194" s="103" t="s">
        <v>2041</v>
      </c>
      <c r="C194" s="103" t="s">
        <v>8</v>
      </c>
      <c r="D194" s="103" t="s">
        <v>252</v>
      </c>
      <c r="E194" s="104">
        <v>1</v>
      </c>
      <c r="F194" s="103" t="s">
        <v>253</v>
      </c>
      <c r="G194" s="103" t="s">
        <v>254</v>
      </c>
      <c r="H194" s="102" t="s">
        <v>255</v>
      </c>
      <c r="I194" s="105"/>
      <c r="J194" s="111">
        <v>6.97</v>
      </c>
      <c r="K194" s="102" t="s">
        <v>1910</v>
      </c>
      <c r="L194" s="105"/>
      <c r="M194">
        <f t="shared" si="5"/>
        <v>6.97</v>
      </c>
      <c r="N194" s="103">
        <f t="shared" si="6"/>
        <v>189</v>
      </c>
    </row>
    <row r="195" spans="1:14" s="103" customFormat="1" x14ac:dyDescent="0.3">
      <c r="A195" s="102" t="s">
        <v>895</v>
      </c>
      <c r="B195" s="102" t="s">
        <v>1604</v>
      </c>
      <c r="C195" s="102" t="s">
        <v>8</v>
      </c>
      <c r="D195" s="103" t="s">
        <v>280</v>
      </c>
      <c r="E195" s="104">
        <f>FilterSpecs!$C$3</f>
        <v>5</v>
      </c>
      <c r="F195" s="103" t="s">
        <v>281</v>
      </c>
      <c r="G195" s="103" t="s">
        <v>282</v>
      </c>
      <c r="H195" s="103" t="s">
        <v>224</v>
      </c>
      <c r="J195" s="104">
        <v>6.95</v>
      </c>
      <c r="K195" s="103" t="s">
        <v>1911</v>
      </c>
      <c r="M195">
        <f t="shared" si="5"/>
        <v>34.75</v>
      </c>
      <c r="N195" s="103">
        <f t="shared" si="6"/>
        <v>190</v>
      </c>
    </row>
    <row r="196" spans="1:14" s="103" customFormat="1" x14ac:dyDescent="0.3">
      <c r="A196" s="102" t="s">
        <v>895</v>
      </c>
      <c r="B196" s="102" t="s">
        <v>1604</v>
      </c>
      <c r="C196" s="102" t="s">
        <v>8</v>
      </c>
      <c r="D196" s="103" t="s">
        <v>283</v>
      </c>
      <c r="E196" s="104">
        <f>FilterSpecs!$C$3</f>
        <v>5</v>
      </c>
      <c r="F196" s="103" t="s">
        <v>284</v>
      </c>
      <c r="G196" s="103" t="s">
        <v>285</v>
      </c>
      <c r="H196" s="103" t="s">
        <v>210</v>
      </c>
      <c r="I196" s="103">
        <v>1</v>
      </c>
      <c r="J196" s="104">
        <v>12.95</v>
      </c>
      <c r="K196" s="103" t="s">
        <v>1911</v>
      </c>
      <c r="M196">
        <f t="shared" si="5"/>
        <v>64.75</v>
      </c>
      <c r="N196" s="103">
        <f t="shared" si="6"/>
        <v>191</v>
      </c>
    </row>
    <row r="197" spans="1:14" s="103" customFormat="1" hidden="1" x14ac:dyDescent="0.3">
      <c r="A197" s="102" t="s">
        <v>895</v>
      </c>
      <c r="B197" s="102" t="s">
        <v>1604</v>
      </c>
      <c r="C197" s="102" t="s">
        <v>8</v>
      </c>
      <c r="D197" s="103" t="s">
        <v>929</v>
      </c>
      <c r="E197" s="104">
        <v>0</v>
      </c>
      <c r="F197" s="103" t="s">
        <v>930</v>
      </c>
      <c r="G197" s="103" t="s">
        <v>931</v>
      </c>
      <c r="H197" s="103" t="s">
        <v>932</v>
      </c>
      <c r="I197" s="103">
        <v>1</v>
      </c>
      <c r="J197" s="104">
        <v>14.95</v>
      </c>
      <c r="K197" s="103" t="s">
        <v>1910</v>
      </c>
      <c r="M197">
        <f t="shared" si="5"/>
        <v>0</v>
      </c>
      <c r="N197" s="103">
        <f t="shared" si="6"/>
        <v>192</v>
      </c>
    </row>
    <row r="198" spans="1:14" s="103" customFormat="1" x14ac:dyDescent="0.3">
      <c r="A198" s="102" t="s">
        <v>895</v>
      </c>
      <c r="B198" s="102" t="s">
        <v>1604</v>
      </c>
      <c r="C198" s="102" t="s">
        <v>8</v>
      </c>
      <c r="D198" s="103" t="s">
        <v>1015</v>
      </c>
      <c r="E198" s="104">
        <v>1</v>
      </c>
      <c r="F198" s="103" t="s">
        <v>1016</v>
      </c>
      <c r="G198" s="103" t="s">
        <v>1017</v>
      </c>
      <c r="H198" s="103" t="s">
        <v>1018</v>
      </c>
      <c r="I198" s="103">
        <v>1</v>
      </c>
      <c r="J198" s="104">
        <v>11.95</v>
      </c>
      <c r="K198" s="103" t="s">
        <v>1910</v>
      </c>
      <c r="M198">
        <f t="shared" ref="M198:M261" si="7">E198*J198</f>
        <v>11.95</v>
      </c>
      <c r="N198" s="103">
        <f t="shared" ref="N198:N261" si="8">IF($N197="List #",1,$N197+1)</f>
        <v>193</v>
      </c>
    </row>
    <row r="199" spans="1:14" s="103" customFormat="1" x14ac:dyDescent="0.3">
      <c r="A199" s="102" t="s">
        <v>895</v>
      </c>
      <c r="B199" s="102" t="s">
        <v>1604</v>
      </c>
      <c r="C199" s="102" t="s">
        <v>8</v>
      </c>
      <c r="D199" s="103" t="s">
        <v>1019</v>
      </c>
      <c r="E199" s="104">
        <v>1</v>
      </c>
      <c r="F199" s="103" t="s">
        <v>1020</v>
      </c>
      <c r="G199" s="103" t="s">
        <v>1021</v>
      </c>
      <c r="H199" s="103" t="s">
        <v>1022</v>
      </c>
      <c r="I199" s="103">
        <v>1</v>
      </c>
      <c r="J199" s="104">
        <v>19.95</v>
      </c>
      <c r="K199" s="103" t="s">
        <v>1910</v>
      </c>
      <c r="M199">
        <f t="shared" si="7"/>
        <v>19.95</v>
      </c>
      <c r="N199" s="103">
        <f t="shared" si="8"/>
        <v>194</v>
      </c>
    </row>
    <row r="200" spans="1:14" s="103" customFormat="1" hidden="1" x14ac:dyDescent="0.3">
      <c r="A200" s="102" t="s">
        <v>1070</v>
      </c>
      <c r="B200" s="102" t="s">
        <v>1603</v>
      </c>
      <c r="C200" s="102" t="s">
        <v>8</v>
      </c>
      <c r="D200" s="103" t="s">
        <v>1527</v>
      </c>
      <c r="E200" s="104">
        <v>1</v>
      </c>
      <c r="F200" s="103" t="s">
        <v>1528</v>
      </c>
      <c r="G200" s="103" t="s">
        <v>1529</v>
      </c>
      <c r="H200" s="103" t="s">
        <v>1530</v>
      </c>
      <c r="I200" s="103">
        <v>1</v>
      </c>
      <c r="J200" s="104">
        <v>24.95</v>
      </c>
      <c r="K200" s="103" t="s">
        <v>1914</v>
      </c>
      <c r="L200" s="105"/>
      <c r="M200">
        <f t="shared" si="7"/>
        <v>24.95</v>
      </c>
      <c r="N200" s="103">
        <f t="shared" si="8"/>
        <v>195</v>
      </c>
    </row>
    <row r="201" spans="1:14" s="103" customFormat="1" hidden="1" x14ac:dyDescent="0.3">
      <c r="A201" s="102" t="s">
        <v>1070</v>
      </c>
      <c r="B201" s="102" t="s">
        <v>1013</v>
      </c>
      <c r="C201" s="102" t="s">
        <v>8</v>
      </c>
      <c r="D201" s="103" t="s">
        <v>949</v>
      </c>
      <c r="E201" s="104">
        <v>1</v>
      </c>
      <c r="F201" s="103" t="s">
        <v>950</v>
      </c>
      <c r="G201" s="103" t="s">
        <v>951</v>
      </c>
      <c r="H201" s="103" t="s">
        <v>952</v>
      </c>
      <c r="J201" s="104">
        <v>11.95</v>
      </c>
      <c r="K201" s="103" t="s">
        <v>1914</v>
      </c>
      <c r="L201" s="103" t="s">
        <v>1063</v>
      </c>
      <c r="M201">
        <f t="shared" si="7"/>
        <v>11.95</v>
      </c>
      <c r="N201" s="103">
        <f t="shared" si="8"/>
        <v>196</v>
      </c>
    </row>
    <row r="202" spans="1:14" s="69" customFormat="1" hidden="1" x14ac:dyDescent="0.3">
      <c r="A202" s="99" t="s">
        <v>1070</v>
      </c>
      <c r="B202" s="99" t="s">
        <v>1013</v>
      </c>
      <c r="C202" s="99" t="s">
        <v>8</v>
      </c>
      <c r="D202" s="69" t="s">
        <v>969</v>
      </c>
      <c r="E202" s="98">
        <v>1</v>
      </c>
      <c r="F202" s="69" t="s">
        <v>970</v>
      </c>
      <c r="G202" s="69" t="s">
        <v>971</v>
      </c>
      <c r="H202" s="69" t="s">
        <v>972</v>
      </c>
      <c r="I202" s="69">
        <v>1</v>
      </c>
      <c r="J202" s="98">
        <v>49.95</v>
      </c>
      <c r="K202" s="69" t="s">
        <v>1914</v>
      </c>
      <c r="L202" s="69" t="s">
        <v>1056</v>
      </c>
      <c r="M202">
        <f t="shared" si="7"/>
        <v>49.95</v>
      </c>
      <c r="N202" s="69">
        <f t="shared" si="8"/>
        <v>197</v>
      </c>
    </row>
    <row r="203" spans="1:14" s="69" customFormat="1" hidden="1" x14ac:dyDescent="0.3">
      <c r="A203" s="99" t="s">
        <v>1070</v>
      </c>
      <c r="B203" s="100" t="s">
        <v>1013</v>
      </c>
      <c r="C203" s="100" t="s">
        <v>8</v>
      </c>
      <c r="D203" s="69" t="s">
        <v>989</v>
      </c>
      <c r="E203" s="98">
        <v>0</v>
      </c>
      <c r="F203" s="69" t="s">
        <v>990</v>
      </c>
      <c r="G203" s="69" t="s">
        <v>991</v>
      </c>
      <c r="H203" s="69" t="s">
        <v>992</v>
      </c>
      <c r="I203" s="69">
        <v>1</v>
      </c>
      <c r="J203" s="98">
        <v>44.95</v>
      </c>
      <c r="K203" s="69" t="s">
        <v>1914</v>
      </c>
      <c r="L203" s="69" t="s">
        <v>1057</v>
      </c>
      <c r="M203">
        <f t="shared" si="7"/>
        <v>0</v>
      </c>
      <c r="N203" s="69">
        <f t="shared" si="8"/>
        <v>198</v>
      </c>
    </row>
    <row r="204" spans="1:14" s="69" customFormat="1" hidden="1" x14ac:dyDescent="0.3">
      <c r="A204" s="99" t="s">
        <v>1070</v>
      </c>
      <c r="B204" s="99" t="s">
        <v>1013</v>
      </c>
      <c r="C204" s="99" t="s">
        <v>8</v>
      </c>
      <c r="D204" s="69" t="s">
        <v>953</v>
      </c>
      <c r="E204" s="98">
        <v>1</v>
      </c>
      <c r="F204" s="69" t="s">
        <v>954</v>
      </c>
      <c r="G204" s="69" t="s">
        <v>955</v>
      </c>
      <c r="H204" s="69" t="s">
        <v>956</v>
      </c>
      <c r="I204" s="69">
        <v>1</v>
      </c>
      <c r="J204" s="98">
        <v>59.95</v>
      </c>
      <c r="K204" s="69" t="s">
        <v>1914</v>
      </c>
      <c r="L204" s="69" t="s">
        <v>1057</v>
      </c>
      <c r="M204">
        <f t="shared" si="7"/>
        <v>59.95</v>
      </c>
      <c r="N204" s="69">
        <f t="shared" si="8"/>
        <v>199</v>
      </c>
    </row>
    <row r="205" spans="1:14" s="12" customFormat="1" hidden="1" x14ac:dyDescent="0.3">
      <c r="A205" s="12" t="s">
        <v>1070</v>
      </c>
      <c r="B205" s="12" t="s">
        <v>1013</v>
      </c>
      <c r="C205" s="12" t="s">
        <v>1898</v>
      </c>
      <c r="D205" s="12" t="s">
        <v>2094</v>
      </c>
      <c r="E205" s="89">
        <v>0</v>
      </c>
      <c r="H205" s="12" t="s">
        <v>2095</v>
      </c>
      <c r="J205" s="89">
        <v>44.95</v>
      </c>
      <c r="K205" s="12" t="s">
        <v>1910</v>
      </c>
      <c r="L205"/>
      <c r="M205">
        <f t="shared" si="7"/>
        <v>0</v>
      </c>
      <c r="N205" s="12">
        <f t="shared" si="8"/>
        <v>200</v>
      </c>
    </row>
    <row r="206" spans="1:14" s="12" customFormat="1" hidden="1" x14ac:dyDescent="0.3">
      <c r="A206" s="12" t="s">
        <v>1070</v>
      </c>
      <c r="B206" s="12" t="s">
        <v>2065</v>
      </c>
      <c r="C206" s="12" t="s">
        <v>1898</v>
      </c>
      <c r="D206" s="12" t="s">
        <v>2073</v>
      </c>
      <c r="E206" s="89">
        <v>1</v>
      </c>
      <c r="H206" s="12" t="s">
        <v>2072</v>
      </c>
      <c r="J206" s="89">
        <v>39.950000000000003</v>
      </c>
      <c r="K206" s="12" t="s">
        <v>1910</v>
      </c>
      <c r="L206"/>
      <c r="M206">
        <f t="shared" si="7"/>
        <v>39.950000000000003</v>
      </c>
      <c r="N206" s="12">
        <f t="shared" si="8"/>
        <v>201</v>
      </c>
    </row>
    <row r="207" spans="1:14" s="12" customFormat="1" hidden="1" x14ac:dyDescent="0.3">
      <c r="A207" s="12" t="s">
        <v>1070</v>
      </c>
      <c r="B207" s="12" t="s">
        <v>2065</v>
      </c>
      <c r="C207" s="12" t="s">
        <v>1898</v>
      </c>
      <c r="D207" s="12" t="s">
        <v>2071</v>
      </c>
      <c r="E207" s="89">
        <v>1</v>
      </c>
      <c r="H207" s="51" t="s">
        <v>2070</v>
      </c>
      <c r="I207"/>
      <c r="J207" s="95">
        <v>9</v>
      </c>
      <c r="K207" s="51" t="s">
        <v>1910</v>
      </c>
      <c r="L207"/>
      <c r="M207">
        <f t="shared" si="7"/>
        <v>9</v>
      </c>
      <c r="N207" s="12">
        <f t="shared" si="8"/>
        <v>202</v>
      </c>
    </row>
    <row r="208" spans="1:14" s="12" customFormat="1" hidden="1" x14ac:dyDescent="0.3">
      <c r="A208" s="12" t="s">
        <v>1070</v>
      </c>
      <c r="B208" s="12" t="s">
        <v>2065</v>
      </c>
      <c r="C208" s="12" t="s">
        <v>1898</v>
      </c>
      <c r="D208" s="12" t="s">
        <v>2069</v>
      </c>
      <c r="E208" s="89">
        <v>1</v>
      </c>
      <c r="H208" s="51" t="s">
        <v>2068</v>
      </c>
      <c r="I208"/>
      <c r="J208" s="95">
        <v>2.95</v>
      </c>
      <c r="K208" s="51" t="s">
        <v>1910</v>
      </c>
      <c r="L208"/>
      <c r="M208">
        <f t="shared" si="7"/>
        <v>2.95</v>
      </c>
      <c r="N208" s="12">
        <f t="shared" si="8"/>
        <v>203</v>
      </c>
    </row>
    <row r="209" spans="1:14" s="69" customFormat="1" hidden="1" x14ac:dyDescent="0.3">
      <c r="A209" s="99" t="s">
        <v>1070</v>
      </c>
      <c r="B209" s="101" t="s">
        <v>1439</v>
      </c>
      <c r="C209" s="101" t="s">
        <v>8</v>
      </c>
      <c r="D209" s="69" t="s">
        <v>1405</v>
      </c>
      <c r="E209" s="98">
        <v>1</v>
      </c>
      <c r="F209" s="69" t="s">
        <v>1406</v>
      </c>
      <c r="G209" s="69" t="s">
        <v>1407</v>
      </c>
      <c r="H209" s="69" t="s">
        <v>1408</v>
      </c>
      <c r="J209" s="98">
        <v>149.94999999999999</v>
      </c>
      <c r="K209" s="69" t="s">
        <v>1914</v>
      </c>
      <c r="L209" s="70"/>
      <c r="M209">
        <f t="shared" si="7"/>
        <v>149.94999999999999</v>
      </c>
      <c r="N209" s="69">
        <f t="shared" si="8"/>
        <v>204</v>
      </c>
    </row>
    <row r="210" spans="1:14" s="69" customFormat="1" hidden="1" x14ac:dyDescent="0.3">
      <c r="A210" s="99" t="s">
        <v>1070</v>
      </c>
      <c r="B210" s="100" t="s">
        <v>1014</v>
      </c>
      <c r="C210" s="100" t="s">
        <v>8</v>
      </c>
      <c r="D210" s="69" t="s">
        <v>957</v>
      </c>
      <c r="E210" s="98">
        <v>1</v>
      </c>
      <c r="F210" s="69" t="s">
        <v>958</v>
      </c>
      <c r="G210" s="69" t="s">
        <v>959</v>
      </c>
      <c r="H210" s="69" t="s">
        <v>960</v>
      </c>
      <c r="I210" s="69">
        <v>1</v>
      </c>
      <c r="J210" s="98">
        <v>4.95</v>
      </c>
      <c r="K210" s="69" t="s">
        <v>1914</v>
      </c>
      <c r="L210" s="69" t="s">
        <v>1065</v>
      </c>
      <c r="M210">
        <f t="shared" si="7"/>
        <v>4.95</v>
      </c>
      <c r="N210" s="69">
        <f t="shared" si="8"/>
        <v>205</v>
      </c>
    </row>
    <row r="211" spans="1:14" s="69" customFormat="1" hidden="1" x14ac:dyDescent="0.3">
      <c r="A211" s="99" t="s">
        <v>1070</v>
      </c>
      <c r="B211" s="100" t="s">
        <v>1014</v>
      </c>
      <c r="C211" s="100" t="s">
        <v>8</v>
      </c>
      <c r="D211" s="69" t="s">
        <v>973</v>
      </c>
      <c r="E211" s="98">
        <v>1</v>
      </c>
      <c r="F211" s="69" t="s">
        <v>974</v>
      </c>
      <c r="G211" s="69" t="s">
        <v>975</v>
      </c>
      <c r="H211" s="69" t="s">
        <v>976</v>
      </c>
      <c r="I211" s="69">
        <v>1</v>
      </c>
      <c r="J211" s="98">
        <v>349</v>
      </c>
      <c r="K211" s="69" t="s">
        <v>1914</v>
      </c>
      <c r="L211" s="69" t="s">
        <v>1058</v>
      </c>
      <c r="M211">
        <f t="shared" si="7"/>
        <v>349</v>
      </c>
      <c r="N211" s="69">
        <f t="shared" si="8"/>
        <v>206</v>
      </c>
    </row>
    <row r="212" spans="1:14" s="12" customFormat="1" hidden="1" x14ac:dyDescent="0.3">
      <c r="A212" s="51" t="s">
        <v>1070</v>
      </c>
      <c r="B212" s="92" t="s">
        <v>1014</v>
      </c>
      <c r="C212" s="92" t="s">
        <v>8</v>
      </c>
      <c r="D212" s="52" t="s">
        <v>1032</v>
      </c>
      <c r="E212" s="89">
        <v>1</v>
      </c>
      <c r="F212" s="12" t="s">
        <v>1034</v>
      </c>
      <c r="G212" s="12" t="s">
        <v>1033</v>
      </c>
      <c r="H212" s="12" t="s">
        <v>1031</v>
      </c>
      <c r="I212" s="12">
        <v>1</v>
      </c>
      <c r="J212" s="89">
        <v>14.95</v>
      </c>
      <c r="K212" s="12" t="s">
        <v>1914</v>
      </c>
      <c r="L212" s="12" t="s">
        <v>1064</v>
      </c>
      <c r="M212">
        <f t="shared" si="7"/>
        <v>14.95</v>
      </c>
      <c r="N212" s="12">
        <f t="shared" si="8"/>
        <v>207</v>
      </c>
    </row>
    <row r="213" spans="1:14" s="69" customFormat="1" hidden="1" x14ac:dyDescent="0.3">
      <c r="A213" s="99" t="s">
        <v>1070</v>
      </c>
      <c r="B213" s="101" t="s">
        <v>993</v>
      </c>
      <c r="C213" s="101" t="s">
        <v>8</v>
      </c>
      <c r="D213" s="69" t="s">
        <v>917</v>
      </c>
      <c r="E213" s="98">
        <v>1</v>
      </c>
      <c r="F213" s="69" t="s">
        <v>918</v>
      </c>
      <c r="G213" s="69" t="s">
        <v>919</v>
      </c>
      <c r="H213" s="69" t="s">
        <v>920</v>
      </c>
      <c r="I213" s="69">
        <v>1</v>
      </c>
      <c r="J213" s="98">
        <v>24.95</v>
      </c>
      <c r="K213" s="69" t="s">
        <v>1914</v>
      </c>
      <c r="L213" s="69" t="s">
        <v>1059</v>
      </c>
      <c r="M213">
        <f t="shared" si="7"/>
        <v>24.95</v>
      </c>
      <c r="N213" s="69">
        <f t="shared" si="8"/>
        <v>208</v>
      </c>
    </row>
    <row r="214" spans="1:14" s="69" customFormat="1" hidden="1" x14ac:dyDescent="0.3">
      <c r="A214" s="99" t="s">
        <v>1070</v>
      </c>
      <c r="B214" s="99" t="s">
        <v>993</v>
      </c>
      <c r="C214" s="99" t="s">
        <v>8</v>
      </c>
      <c r="D214" s="69" t="s">
        <v>921</v>
      </c>
      <c r="E214" s="98">
        <v>1</v>
      </c>
      <c r="F214" s="69" t="s">
        <v>922</v>
      </c>
      <c r="G214" s="69" t="s">
        <v>923</v>
      </c>
      <c r="H214" s="69" t="s">
        <v>924</v>
      </c>
      <c r="I214" s="69">
        <v>1</v>
      </c>
      <c r="J214" s="98">
        <v>14.95</v>
      </c>
      <c r="K214" s="69" t="s">
        <v>1914</v>
      </c>
      <c r="L214" s="69" t="s">
        <v>1059</v>
      </c>
      <c r="M214">
        <f t="shared" si="7"/>
        <v>14.95</v>
      </c>
      <c r="N214" s="69">
        <f t="shared" si="8"/>
        <v>209</v>
      </c>
    </row>
    <row r="215" spans="1:14" s="69" customFormat="1" hidden="1" x14ac:dyDescent="0.3">
      <c r="A215" s="99" t="s">
        <v>1070</v>
      </c>
      <c r="B215" s="100" t="s">
        <v>2028</v>
      </c>
      <c r="C215" s="100" t="s">
        <v>8</v>
      </c>
      <c r="D215" s="69" t="s">
        <v>985</v>
      </c>
      <c r="E215" s="98">
        <v>0</v>
      </c>
      <c r="F215" s="69" t="s">
        <v>986</v>
      </c>
      <c r="G215" s="69" t="s">
        <v>987</v>
      </c>
      <c r="H215" s="69" t="s">
        <v>988</v>
      </c>
      <c r="I215" s="69">
        <v>1</v>
      </c>
      <c r="J215" s="98">
        <v>179.95</v>
      </c>
      <c r="K215" s="69" t="s">
        <v>1914</v>
      </c>
      <c r="L215" s="69" t="s">
        <v>1060</v>
      </c>
      <c r="M215">
        <f t="shared" si="7"/>
        <v>0</v>
      </c>
      <c r="N215" s="69">
        <f t="shared" si="8"/>
        <v>210</v>
      </c>
    </row>
    <row r="216" spans="1:14" s="12" customFormat="1" hidden="1" x14ac:dyDescent="0.3">
      <c r="A216" s="96" t="s">
        <v>1070</v>
      </c>
      <c r="B216" s="92" t="s">
        <v>2028</v>
      </c>
      <c r="C216" s="92" t="s">
        <v>8</v>
      </c>
      <c r="D216" s="12" t="s">
        <v>1783</v>
      </c>
      <c r="E216" s="89">
        <v>1</v>
      </c>
      <c r="F216" s="12" t="s">
        <v>1784</v>
      </c>
      <c r="G216" s="12" t="s">
        <v>1785</v>
      </c>
      <c r="H216" s="12" t="s">
        <v>1786</v>
      </c>
      <c r="J216" s="89">
        <v>84.95</v>
      </c>
      <c r="K216" s="12" t="s">
        <v>1914</v>
      </c>
      <c r="L216"/>
      <c r="M216">
        <f t="shared" si="7"/>
        <v>84.95</v>
      </c>
      <c r="N216" s="12">
        <f t="shared" si="8"/>
        <v>211</v>
      </c>
    </row>
    <row r="217" spans="1:14" s="12" customFormat="1" hidden="1" x14ac:dyDescent="0.3">
      <c r="A217" s="96" t="s">
        <v>1070</v>
      </c>
      <c r="B217" s="92" t="s">
        <v>2028</v>
      </c>
      <c r="C217" s="92" t="s">
        <v>8</v>
      </c>
      <c r="D217" s="12" t="s">
        <v>1747</v>
      </c>
      <c r="E217" s="89">
        <v>0</v>
      </c>
      <c r="F217" s="12" t="s">
        <v>1748</v>
      </c>
      <c r="G217" s="12" t="s">
        <v>1749</v>
      </c>
      <c r="H217" s="12" t="s">
        <v>1750</v>
      </c>
      <c r="I217" s="12">
        <v>1</v>
      </c>
      <c r="J217" s="89">
        <v>84.95</v>
      </c>
      <c r="K217" s="12" t="s">
        <v>1914</v>
      </c>
      <c r="L217"/>
      <c r="M217">
        <f t="shared" si="7"/>
        <v>0</v>
      </c>
      <c r="N217" s="12">
        <f t="shared" si="8"/>
        <v>212</v>
      </c>
    </row>
    <row r="218" spans="1:14" s="12" customFormat="1" hidden="1" x14ac:dyDescent="0.3">
      <c r="A218" s="96" t="s">
        <v>1070</v>
      </c>
      <c r="B218" s="92" t="s">
        <v>2028</v>
      </c>
      <c r="C218" s="92" t="s">
        <v>1898</v>
      </c>
      <c r="D218" s="12" t="s">
        <v>2096</v>
      </c>
      <c r="E218" s="89">
        <v>0</v>
      </c>
      <c r="H218" s="12" t="s">
        <v>2097</v>
      </c>
      <c r="J218" s="89">
        <v>39.950000000000003</v>
      </c>
      <c r="K218" s="12" t="s">
        <v>1910</v>
      </c>
      <c r="L218"/>
      <c r="M218">
        <f t="shared" si="7"/>
        <v>0</v>
      </c>
      <c r="N218" s="12">
        <f t="shared" si="8"/>
        <v>213</v>
      </c>
    </row>
    <row r="219" spans="1:14" s="12" customFormat="1" hidden="1" x14ac:dyDescent="0.3">
      <c r="A219" s="12" t="s">
        <v>1070</v>
      </c>
      <c r="B219" s="92" t="s">
        <v>2028</v>
      </c>
      <c r="C219" s="12" t="s">
        <v>1898</v>
      </c>
      <c r="D219" s="12" t="s">
        <v>2098</v>
      </c>
      <c r="E219" s="89">
        <v>0</v>
      </c>
      <c r="H219" s="51" t="s">
        <v>2099</v>
      </c>
      <c r="I219"/>
      <c r="J219" s="95">
        <v>44.95</v>
      </c>
      <c r="K219" s="51" t="s">
        <v>1910</v>
      </c>
      <c r="L219"/>
      <c r="M219">
        <f t="shared" si="7"/>
        <v>0</v>
      </c>
      <c r="N219" s="12">
        <f t="shared" si="8"/>
        <v>214</v>
      </c>
    </row>
    <row r="220" spans="1:14" s="103" customFormat="1" hidden="1" x14ac:dyDescent="0.3">
      <c r="A220" s="103" t="s">
        <v>1070</v>
      </c>
      <c r="B220" s="92" t="s">
        <v>2028</v>
      </c>
      <c r="C220" s="103" t="s">
        <v>8</v>
      </c>
      <c r="D220" s="103" t="s">
        <v>1743</v>
      </c>
      <c r="E220" s="104">
        <v>1</v>
      </c>
      <c r="F220" s="103" t="s">
        <v>1744</v>
      </c>
      <c r="G220" s="103" t="s">
        <v>1745</v>
      </c>
      <c r="H220" s="102" t="s">
        <v>1746</v>
      </c>
      <c r="I220" s="105">
        <v>1</v>
      </c>
      <c r="J220" s="111">
        <v>24.95</v>
      </c>
      <c r="K220" s="102" t="s">
        <v>1914</v>
      </c>
      <c r="L220" s="105"/>
      <c r="M220">
        <f t="shared" si="7"/>
        <v>24.95</v>
      </c>
      <c r="N220" s="103">
        <f t="shared" si="8"/>
        <v>215</v>
      </c>
    </row>
    <row r="221" spans="1:14" s="103" customFormat="1" hidden="1" x14ac:dyDescent="0.3">
      <c r="A221" s="102" t="s">
        <v>1070</v>
      </c>
      <c r="B221" s="117" t="s">
        <v>1071</v>
      </c>
      <c r="C221" s="117" t="s">
        <v>8</v>
      </c>
      <c r="D221" s="103" t="s">
        <v>981</v>
      </c>
      <c r="E221" s="104">
        <v>1</v>
      </c>
      <c r="F221" s="103" t="s">
        <v>982</v>
      </c>
      <c r="G221" s="103" t="s">
        <v>983</v>
      </c>
      <c r="H221" s="103" t="s">
        <v>984</v>
      </c>
      <c r="J221" s="104">
        <v>209.95</v>
      </c>
      <c r="K221" s="103" t="s">
        <v>1914</v>
      </c>
      <c r="L221" s="103" t="s">
        <v>1062</v>
      </c>
      <c r="M221">
        <f t="shared" si="7"/>
        <v>209.95</v>
      </c>
      <c r="N221" s="103">
        <f t="shared" si="8"/>
        <v>216</v>
      </c>
    </row>
    <row r="222" spans="1:14" s="103" customFormat="1" hidden="1" x14ac:dyDescent="0.3">
      <c r="A222" s="102" t="s">
        <v>1070</v>
      </c>
      <c r="B222" s="117" t="s">
        <v>1437</v>
      </c>
      <c r="C222" s="117" t="s">
        <v>8</v>
      </c>
      <c r="D222" s="103" t="s">
        <v>977</v>
      </c>
      <c r="E222" s="104">
        <v>1</v>
      </c>
      <c r="F222" s="103" t="s">
        <v>978</v>
      </c>
      <c r="G222" s="103" t="s">
        <v>979</v>
      </c>
      <c r="H222" s="103" t="s">
        <v>980</v>
      </c>
      <c r="I222" s="103">
        <v>1</v>
      </c>
      <c r="J222" s="104">
        <v>49.95</v>
      </c>
      <c r="K222" s="103" t="s">
        <v>1910</v>
      </c>
      <c r="L222" s="103" t="s">
        <v>1061</v>
      </c>
      <c r="M222">
        <f t="shared" si="7"/>
        <v>49.95</v>
      </c>
      <c r="N222" s="103">
        <f t="shared" si="8"/>
        <v>217</v>
      </c>
    </row>
    <row r="223" spans="1:14" s="103" customFormat="1" hidden="1" x14ac:dyDescent="0.3">
      <c r="A223" s="103" t="s">
        <v>1070</v>
      </c>
      <c r="B223" s="103" t="s">
        <v>2023</v>
      </c>
      <c r="C223" s="103" t="s">
        <v>1898</v>
      </c>
      <c r="D223" s="103" t="s">
        <v>2348</v>
      </c>
      <c r="E223" s="104">
        <v>0</v>
      </c>
      <c r="H223" s="102" t="s">
        <v>2349</v>
      </c>
      <c r="I223" s="105"/>
      <c r="J223" s="111">
        <v>9.9499999999999993</v>
      </c>
      <c r="K223" s="102" t="s">
        <v>1910</v>
      </c>
      <c r="L223" s="105"/>
      <c r="M223">
        <f t="shared" si="7"/>
        <v>0</v>
      </c>
      <c r="N223" s="103">
        <f t="shared" si="8"/>
        <v>218</v>
      </c>
    </row>
    <row r="224" spans="1:14" s="103" customFormat="1" hidden="1" x14ac:dyDescent="0.3">
      <c r="A224" s="103" t="s">
        <v>1070</v>
      </c>
      <c r="B224" s="103" t="s">
        <v>2023</v>
      </c>
      <c r="C224" s="103" t="s">
        <v>1898</v>
      </c>
      <c r="D224" s="103" t="s">
        <v>2350</v>
      </c>
      <c r="E224" s="104">
        <v>0</v>
      </c>
      <c r="H224" s="102" t="s">
        <v>2351</v>
      </c>
      <c r="I224" s="105"/>
      <c r="J224" s="111">
        <v>24.95</v>
      </c>
      <c r="K224" s="102" t="s">
        <v>1910</v>
      </c>
      <c r="L224" s="105"/>
      <c r="M224">
        <f t="shared" si="7"/>
        <v>0</v>
      </c>
      <c r="N224" s="103">
        <f t="shared" si="8"/>
        <v>219</v>
      </c>
    </row>
    <row r="225" spans="1:14" s="103" customFormat="1" hidden="1" x14ac:dyDescent="0.3">
      <c r="A225" s="103" t="s">
        <v>1070</v>
      </c>
      <c r="B225" s="103" t="s">
        <v>2023</v>
      </c>
      <c r="C225" s="103" t="s">
        <v>1898</v>
      </c>
      <c r="D225" s="103" t="s">
        <v>2352</v>
      </c>
      <c r="E225" s="104">
        <v>0</v>
      </c>
      <c r="H225" s="102" t="s">
        <v>2353</v>
      </c>
      <c r="I225" s="105"/>
      <c r="J225" s="111">
        <v>26.95</v>
      </c>
      <c r="K225" s="102" t="s">
        <v>1913</v>
      </c>
      <c r="L225" s="105"/>
      <c r="M225">
        <f t="shared" si="7"/>
        <v>0</v>
      </c>
      <c r="N225" s="103">
        <f t="shared" si="8"/>
        <v>220</v>
      </c>
    </row>
    <row r="226" spans="1:14" s="103" customFormat="1" hidden="1" x14ac:dyDescent="0.3">
      <c r="A226" s="103" t="s">
        <v>1070</v>
      </c>
      <c r="B226" s="103" t="s">
        <v>2023</v>
      </c>
      <c r="C226" s="103" t="s">
        <v>1898</v>
      </c>
      <c r="D226" s="103" t="s">
        <v>2354</v>
      </c>
      <c r="E226" s="104">
        <v>0</v>
      </c>
      <c r="H226" s="102" t="s">
        <v>2355</v>
      </c>
      <c r="I226" s="105"/>
      <c r="J226" s="111">
        <v>14.95</v>
      </c>
      <c r="K226" s="102" t="s">
        <v>1910</v>
      </c>
      <c r="L226" s="105"/>
      <c r="M226">
        <f t="shared" si="7"/>
        <v>0</v>
      </c>
      <c r="N226" s="103">
        <f t="shared" si="8"/>
        <v>221</v>
      </c>
    </row>
    <row r="227" spans="1:14" s="103" customFormat="1" hidden="1" x14ac:dyDescent="0.3">
      <c r="A227" s="102" t="s">
        <v>1046</v>
      </c>
      <c r="B227" s="102" t="s">
        <v>1068</v>
      </c>
      <c r="C227" s="102" t="s">
        <v>8</v>
      </c>
      <c r="D227" s="103" t="s">
        <v>359</v>
      </c>
      <c r="E227" s="104">
        <v>1</v>
      </c>
      <c r="F227" s="103" t="s">
        <v>360</v>
      </c>
      <c r="G227" s="103" t="s">
        <v>361</v>
      </c>
      <c r="H227" s="103" t="s">
        <v>362</v>
      </c>
      <c r="I227" s="103">
        <v>1</v>
      </c>
      <c r="J227" s="104">
        <v>94.95</v>
      </c>
      <c r="K227" s="103" t="s">
        <v>1913</v>
      </c>
      <c r="L227" s="103" t="s">
        <v>1054</v>
      </c>
      <c r="M227">
        <f t="shared" si="7"/>
        <v>94.95</v>
      </c>
      <c r="N227" s="103">
        <f t="shared" si="8"/>
        <v>222</v>
      </c>
    </row>
    <row r="228" spans="1:14" s="103" customFormat="1" hidden="1" x14ac:dyDescent="0.3">
      <c r="A228" s="102" t="s">
        <v>1046</v>
      </c>
      <c r="B228" s="102" t="s">
        <v>1409</v>
      </c>
      <c r="C228" s="102" t="s">
        <v>8</v>
      </c>
      <c r="D228" s="103" t="s">
        <v>1330</v>
      </c>
      <c r="E228" s="104">
        <v>1</v>
      </c>
      <c r="F228" s="103" t="s">
        <v>1331</v>
      </c>
      <c r="G228" s="103" t="s">
        <v>1332</v>
      </c>
      <c r="H228" s="103" t="s">
        <v>1333</v>
      </c>
      <c r="I228" s="103">
        <v>1</v>
      </c>
      <c r="J228" s="104">
        <v>69.95</v>
      </c>
      <c r="K228" s="103" t="s">
        <v>1914</v>
      </c>
      <c r="L228" s="103" t="s">
        <v>1350</v>
      </c>
      <c r="M228">
        <f t="shared" si="7"/>
        <v>69.95</v>
      </c>
      <c r="N228" s="103">
        <f t="shared" si="8"/>
        <v>223</v>
      </c>
    </row>
    <row r="229" spans="1:14" s="103" customFormat="1" hidden="1" x14ac:dyDescent="0.3">
      <c r="A229" s="102" t="s">
        <v>1046</v>
      </c>
      <c r="B229" s="102" t="s">
        <v>1409</v>
      </c>
      <c r="C229" s="102" t="s">
        <v>8</v>
      </c>
      <c r="D229" s="103" t="s">
        <v>1318</v>
      </c>
      <c r="E229" s="104">
        <v>0</v>
      </c>
      <c r="F229" s="103" t="s">
        <v>1319</v>
      </c>
      <c r="G229" s="103" t="s">
        <v>1320</v>
      </c>
      <c r="H229" s="103" t="s">
        <v>1321</v>
      </c>
      <c r="J229" s="104">
        <v>9.9499999999999993</v>
      </c>
      <c r="K229" s="103" t="s">
        <v>1914</v>
      </c>
      <c r="L229" s="103" t="s">
        <v>1350</v>
      </c>
      <c r="M229">
        <f t="shared" si="7"/>
        <v>0</v>
      </c>
      <c r="N229" s="103">
        <f t="shared" si="8"/>
        <v>224</v>
      </c>
    </row>
    <row r="230" spans="1:14" s="103" customFormat="1" hidden="1" x14ac:dyDescent="0.3">
      <c r="A230" s="102" t="s">
        <v>1046</v>
      </c>
      <c r="B230" s="102" t="s">
        <v>1409</v>
      </c>
      <c r="C230" s="102" t="s">
        <v>8</v>
      </c>
      <c r="D230" s="103" t="s">
        <v>1322</v>
      </c>
      <c r="E230" s="104">
        <v>0</v>
      </c>
      <c r="F230" s="103" t="s">
        <v>1323</v>
      </c>
      <c r="G230" s="103" t="s">
        <v>1324</v>
      </c>
      <c r="H230" s="103" t="s">
        <v>1325</v>
      </c>
      <c r="I230" s="103">
        <v>1</v>
      </c>
      <c r="J230" s="104">
        <v>99.95</v>
      </c>
      <c r="K230" s="103" t="s">
        <v>1914</v>
      </c>
      <c r="L230" s="103" t="s">
        <v>1350</v>
      </c>
      <c r="M230">
        <f t="shared" si="7"/>
        <v>0</v>
      </c>
      <c r="N230" s="103">
        <f t="shared" si="8"/>
        <v>225</v>
      </c>
    </row>
    <row r="231" spans="1:14" s="103" customFormat="1" hidden="1" x14ac:dyDescent="0.3">
      <c r="A231" s="102" t="s">
        <v>1046</v>
      </c>
      <c r="B231" s="102" t="s">
        <v>1409</v>
      </c>
      <c r="C231" s="102" t="s">
        <v>8</v>
      </c>
      <c r="D231" s="103" t="s">
        <v>1326</v>
      </c>
      <c r="E231" s="104">
        <v>0</v>
      </c>
      <c r="F231" s="103" t="s">
        <v>1327</v>
      </c>
      <c r="G231" s="103" t="s">
        <v>1328</v>
      </c>
      <c r="H231" s="103" t="s">
        <v>1329</v>
      </c>
      <c r="I231" s="103">
        <v>1</v>
      </c>
      <c r="J231" s="104">
        <v>65.95</v>
      </c>
      <c r="K231" s="103" t="s">
        <v>1914</v>
      </c>
      <c r="L231" s="103" t="s">
        <v>1350</v>
      </c>
      <c r="M231">
        <f t="shared" si="7"/>
        <v>0</v>
      </c>
      <c r="N231" s="103">
        <f t="shared" si="8"/>
        <v>226</v>
      </c>
    </row>
    <row r="232" spans="1:14" s="103" customFormat="1" hidden="1" x14ac:dyDescent="0.3">
      <c r="A232" s="102" t="s">
        <v>1046</v>
      </c>
      <c r="B232" s="102" t="s">
        <v>1409</v>
      </c>
      <c r="C232" s="102" t="s">
        <v>8</v>
      </c>
      <c r="D232" s="103" t="s">
        <v>1314</v>
      </c>
      <c r="E232" s="104">
        <v>0</v>
      </c>
      <c r="F232" s="103" t="s">
        <v>1315</v>
      </c>
      <c r="G232" s="103" t="s">
        <v>1316</v>
      </c>
      <c r="H232" s="103" t="s">
        <v>1317</v>
      </c>
      <c r="J232" s="104">
        <v>7.95</v>
      </c>
      <c r="K232" s="103" t="s">
        <v>1914</v>
      </c>
      <c r="L232" s="103" t="s">
        <v>1350</v>
      </c>
      <c r="M232">
        <f t="shared" si="7"/>
        <v>0</v>
      </c>
      <c r="N232" s="103">
        <f t="shared" si="8"/>
        <v>227</v>
      </c>
    </row>
    <row r="233" spans="1:14" s="103" customFormat="1" hidden="1" x14ac:dyDescent="0.3">
      <c r="A233" s="103" t="s">
        <v>1046</v>
      </c>
      <c r="B233" s="103" t="s">
        <v>1409</v>
      </c>
      <c r="C233" s="103" t="s">
        <v>1898</v>
      </c>
      <c r="D233" s="103" t="s">
        <v>2376</v>
      </c>
      <c r="E233" s="104">
        <v>1</v>
      </c>
      <c r="H233" s="102" t="s">
        <v>2377</v>
      </c>
      <c r="I233" s="105"/>
      <c r="J233" s="111">
        <v>49.95</v>
      </c>
      <c r="K233" s="102" t="s">
        <v>1914</v>
      </c>
      <c r="L233" s="105"/>
      <c r="M233">
        <f t="shared" si="7"/>
        <v>49.95</v>
      </c>
      <c r="N233" s="103">
        <f t="shared" si="8"/>
        <v>228</v>
      </c>
    </row>
    <row r="234" spans="1:14" s="103" customFormat="1" hidden="1" x14ac:dyDescent="0.3">
      <c r="A234" s="103" t="s">
        <v>1046</v>
      </c>
      <c r="B234" s="103" t="s">
        <v>1409</v>
      </c>
      <c r="C234" s="103" t="s">
        <v>1898</v>
      </c>
      <c r="D234" s="103" t="s">
        <v>2378</v>
      </c>
      <c r="E234" s="104">
        <v>0</v>
      </c>
      <c r="H234" s="102" t="s">
        <v>2379</v>
      </c>
      <c r="I234" s="105"/>
      <c r="J234" s="111">
        <v>9.9499999999999993</v>
      </c>
      <c r="K234" s="102" t="s">
        <v>1914</v>
      </c>
      <c r="L234" s="105"/>
      <c r="M234">
        <f t="shared" si="7"/>
        <v>0</v>
      </c>
      <c r="N234" s="103">
        <f t="shared" si="8"/>
        <v>229</v>
      </c>
    </row>
    <row r="235" spans="1:14" s="103" customFormat="1" hidden="1" x14ac:dyDescent="0.3">
      <c r="A235" s="103" t="s">
        <v>1046</v>
      </c>
      <c r="B235" s="103" t="s">
        <v>1409</v>
      </c>
      <c r="C235" s="103" t="s">
        <v>1898</v>
      </c>
      <c r="D235" s="103" t="s">
        <v>2380</v>
      </c>
      <c r="E235" s="104">
        <v>0</v>
      </c>
      <c r="H235" s="102" t="s">
        <v>2381</v>
      </c>
      <c r="I235" s="105"/>
      <c r="J235" s="111">
        <v>19.95</v>
      </c>
      <c r="K235" s="102" t="s">
        <v>1914</v>
      </c>
      <c r="L235" s="105"/>
      <c r="M235">
        <f t="shared" si="7"/>
        <v>0</v>
      </c>
      <c r="N235" s="103">
        <f t="shared" si="8"/>
        <v>230</v>
      </c>
    </row>
    <row r="236" spans="1:14" s="103" customFormat="1" hidden="1" x14ac:dyDescent="0.3">
      <c r="A236" s="103" t="s">
        <v>1046</v>
      </c>
      <c r="B236" s="103" t="s">
        <v>1409</v>
      </c>
      <c r="C236" s="103" t="s">
        <v>1898</v>
      </c>
      <c r="D236" s="103" t="s">
        <v>2382</v>
      </c>
      <c r="E236" s="104">
        <v>1</v>
      </c>
      <c r="H236" s="102" t="s">
        <v>2383</v>
      </c>
      <c r="I236" s="105"/>
      <c r="J236" s="111">
        <v>9.9499999999999993</v>
      </c>
      <c r="K236" s="102" t="s">
        <v>1914</v>
      </c>
      <c r="L236" s="105"/>
      <c r="M236">
        <f t="shared" si="7"/>
        <v>9.9499999999999993</v>
      </c>
      <c r="N236" s="103">
        <f t="shared" si="8"/>
        <v>231</v>
      </c>
    </row>
    <row r="237" spans="1:14" s="103" customFormat="1" hidden="1" x14ac:dyDescent="0.3">
      <c r="A237" s="103" t="s">
        <v>1046</v>
      </c>
      <c r="B237" s="103" t="s">
        <v>1409</v>
      </c>
      <c r="C237" s="103" t="s">
        <v>1898</v>
      </c>
      <c r="D237" s="103" t="s">
        <v>2384</v>
      </c>
      <c r="E237" s="104">
        <v>0</v>
      </c>
      <c r="H237" s="102" t="s">
        <v>2385</v>
      </c>
      <c r="I237" s="105"/>
      <c r="J237" s="111">
        <v>7.95</v>
      </c>
      <c r="K237" s="102" t="s">
        <v>1914</v>
      </c>
      <c r="L237" s="105"/>
      <c r="M237">
        <f t="shared" si="7"/>
        <v>0</v>
      </c>
      <c r="N237" s="103">
        <f t="shared" si="8"/>
        <v>232</v>
      </c>
    </row>
    <row r="238" spans="1:14" s="103" customFormat="1" hidden="1" x14ac:dyDescent="0.3">
      <c r="A238" s="103" t="s">
        <v>1046</v>
      </c>
      <c r="B238" s="103" t="s">
        <v>1409</v>
      </c>
      <c r="C238" s="103" t="s">
        <v>1898</v>
      </c>
      <c r="D238" s="103" t="s">
        <v>2386</v>
      </c>
      <c r="E238" s="104">
        <v>1</v>
      </c>
      <c r="H238" s="102" t="s">
        <v>2387</v>
      </c>
      <c r="I238" s="105"/>
      <c r="J238" s="111">
        <v>39.950000000000003</v>
      </c>
      <c r="K238" s="102" t="s">
        <v>1914</v>
      </c>
      <c r="L238" s="105"/>
      <c r="M238">
        <f t="shared" si="7"/>
        <v>39.950000000000003</v>
      </c>
      <c r="N238" s="103">
        <f t="shared" si="8"/>
        <v>233</v>
      </c>
    </row>
    <row r="239" spans="1:14" s="103" customFormat="1" hidden="1" x14ac:dyDescent="0.3">
      <c r="A239" s="103" t="s">
        <v>1046</v>
      </c>
      <c r="B239" s="103" t="s">
        <v>1409</v>
      </c>
      <c r="C239" s="103" t="s">
        <v>1898</v>
      </c>
      <c r="D239" s="103" t="s">
        <v>2388</v>
      </c>
      <c r="E239" s="104">
        <v>0</v>
      </c>
      <c r="H239" s="102" t="s">
        <v>2389</v>
      </c>
      <c r="I239" s="105"/>
      <c r="J239" s="111">
        <v>39.950000000000003</v>
      </c>
      <c r="K239" s="102" t="s">
        <v>1914</v>
      </c>
      <c r="L239" s="105"/>
      <c r="M239">
        <f t="shared" si="7"/>
        <v>0</v>
      </c>
      <c r="N239" s="103">
        <f t="shared" si="8"/>
        <v>234</v>
      </c>
    </row>
    <row r="240" spans="1:14" s="103" customFormat="1" hidden="1" x14ac:dyDescent="0.3">
      <c r="A240" s="103" t="s">
        <v>1046</v>
      </c>
      <c r="B240" s="103" t="s">
        <v>1409</v>
      </c>
      <c r="C240" s="103" t="s">
        <v>1898</v>
      </c>
      <c r="D240" s="103" t="s">
        <v>2390</v>
      </c>
      <c r="E240" s="104">
        <v>0</v>
      </c>
      <c r="H240" s="102" t="s">
        <v>2391</v>
      </c>
      <c r="I240" s="105"/>
      <c r="J240" s="111">
        <v>49.95</v>
      </c>
      <c r="K240" s="102" t="s">
        <v>1914</v>
      </c>
      <c r="L240" s="105"/>
      <c r="M240">
        <f t="shared" si="7"/>
        <v>0</v>
      </c>
      <c r="N240" s="103">
        <f t="shared" si="8"/>
        <v>235</v>
      </c>
    </row>
    <row r="241" spans="1:14" s="103" customFormat="1" hidden="1" x14ac:dyDescent="0.3">
      <c r="A241" s="102" t="s">
        <v>1046</v>
      </c>
      <c r="B241" s="102" t="s">
        <v>1042</v>
      </c>
      <c r="C241" s="102" t="s">
        <v>8</v>
      </c>
      <c r="D241" s="103" t="s">
        <v>340</v>
      </c>
      <c r="E241" s="104">
        <v>1</v>
      </c>
      <c r="F241" s="103" t="s">
        <v>341</v>
      </c>
      <c r="G241" s="103" t="s">
        <v>342</v>
      </c>
      <c r="H241" s="103" t="s">
        <v>343</v>
      </c>
      <c r="I241" s="103">
        <v>1</v>
      </c>
      <c r="J241" s="104">
        <v>54.95</v>
      </c>
      <c r="K241" s="103" t="s">
        <v>1914</v>
      </c>
      <c r="L241" s="103" t="s">
        <v>1045</v>
      </c>
      <c r="M241">
        <f t="shared" si="7"/>
        <v>54.95</v>
      </c>
      <c r="N241" s="103">
        <f t="shared" si="8"/>
        <v>236</v>
      </c>
    </row>
    <row r="242" spans="1:14" s="103" customFormat="1" hidden="1" x14ac:dyDescent="0.3">
      <c r="A242" s="102" t="s">
        <v>1046</v>
      </c>
      <c r="B242" s="102" t="s">
        <v>1042</v>
      </c>
      <c r="C242" s="102" t="s">
        <v>8</v>
      </c>
      <c r="D242" s="103" t="s">
        <v>336</v>
      </c>
      <c r="E242" s="104">
        <v>0</v>
      </c>
      <c r="F242" s="103" t="s">
        <v>337</v>
      </c>
      <c r="G242" s="103" t="s">
        <v>338</v>
      </c>
      <c r="H242" s="103" t="s">
        <v>339</v>
      </c>
      <c r="J242" s="104">
        <v>59.95</v>
      </c>
      <c r="K242" s="103" t="s">
        <v>1913</v>
      </c>
      <c r="L242" s="103" t="s">
        <v>1045</v>
      </c>
      <c r="M242">
        <f t="shared" si="7"/>
        <v>0</v>
      </c>
      <c r="N242" s="103">
        <f t="shared" si="8"/>
        <v>237</v>
      </c>
    </row>
    <row r="243" spans="1:14" s="103" customFormat="1" hidden="1" x14ac:dyDescent="0.3">
      <c r="A243" s="102" t="s">
        <v>1046</v>
      </c>
      <c r="B243" s="102" t="s">
        <v>1043</v>
      </c>
      <c r="C243" s="102" t="s">
        <v>8</v>
      </c>
      <c r="D243" s="103" t="s">
        <v>300</v>
      </c>
      <c r="E243" s="104">
        <v>1</v>
      </c>
      <c r="F243" s="103" t="s">
        <v>301</v>
      </c>
      <c r="G243" s="103" t="s">
        <v>302</v>
      </c>
      <c r="H243" s="103" t="s">
        <v>303</v>
      </c>
      <c r="I243" s="103">
        <v>1</v>
      </c>
      <c r="J243" s="104">
        <v>99.95</v>
      </c>
      <c r="K243" s="103" t="s">
        <v>1914</v>
      </c>
      <c r="L243" s="103" t="s">
        <v>1052</v>
      </c>
      <c r="M243">
        <f t="shared" si="7"/>
        <v>99.95</v>
      </c>
      <c r="N243" s="103">
        <f t="shared" si="8"/>
        <v>238</v>
      </c>
    </row>
    <row r="244" spans="1:14" s="103" customFormat="1" hidden="1" x14ac:dyDescent="0.3">
      <c r="A244" s="102" t="s">
        <v>1046</v>
      </c>
      <c r="B244" s="102" t="s">
        <v>1043</v>
      </c>
      <c r="C244" s="102" t="s">
        <v>8</v>
      </c>
      <c r="D244" s="103" t="s">
        <v>320</v>
      </c>
      <c r="E244" s="104">
        <v>1</v>
      </c>
      <c r="F244" s="103" t="s">
        <v>321</v>
      </c>
      <c r="G244" s="103" t="s">
        <v>322</v>
      </c>
      <c r="H244" s="103" t="s">
        <v>323</v>
      </c>
      <c r="I244" s="103">
        <v>1</v>
      </c>
      <c r="J244" s="104">
        <v>19.95</v>
      </c>
      <c r="K244" s="103" t="s">
        <v>1914</v>
      </c>
      <c r="L244" s="103" t="s">
        <v>1052</v>
      </c>
      <c r="M244">
        <f t="shared" si="7"/>
        <v>19.95</v>
      </c>
      <c r="N244" s="103">
        <f t="shared" si="8"/>
        <v>239</v>
      </c>
    </row>
    <row r="245" spans="1:14" s="103" customFormat="1" hidden="1" x14ac:dyDescent="0.3">
      <c r="A245" s="102" t="s">
        <v>1046</v>
      </c>
      <c r="B245" s="102" t="s">
        <v>1043</v>
      </c>
      <c r="C245" s="102" t="s">
        <v>8</v>
      </c>
      <c r="D245" s="103" t="s">
        <v>308</v>
      </c>
      <c r="E245" s="104">
        <v>1</v>
      </c>
      <c r="F245" s="103" t="s">
        <v>309</v>
      </c>
      <c r="G245" s="103" t="s">
        <v>310</v>
      </c>
      <c r="H245" s="103" t="s">
        <v>311</v>
      </c>
      <c r="I245" s="103">
        <v>1</v>
      </c>
      <c r="J245" s="104">
        <v>9.9499999999999993</v>
      </c>
      <c r="K245" s="103" t="s">
        <v>1914</v>
      </c>
      <c r="L245" s="103" t="s">
        <v>1052</v>
      </c>
      <c r="M245">
        <f t="shared" si="7"/>
        <v>9.9499999999999993</v>
      </c>
      <c r="N245" s="103">
        <f t="shared" si="8"/>
        <v>240</v>
      </c>
    </row>
    <row r="246" spans="1:14" s="103" customFormat="1" hidden="1" x14ac:dyDescent="0.3">
      <c r="A246" s="102" t="s">
        <v>1046</v>
      </c>
      <c r="B246" s="102" t="s">
        <v>1043</v>
      </c>
      <c r="C246" s="102" t="s">
        <v>8</v>
      </c>
      <c r="D246" s="103" t="s">
        <v>312</v>
      </c>
      <c r="E246" s="104">
        <v>1</v>
      </c>
      <c r="F246" s="103" t="s">
        <v>313</v>
      </c>
      <c r="G246" s="103" t="s">
        <v>314</v>
      </c>
      <c r="H246" s="103" t="s">
        <v>315</v>
      </c>
      <c r="I246" s="103">
        <v>1</v>
      </c>
      <c r="J246" s="104">
        <v>9.9499999999999993</v>
      </c>
      <c r="K246" s="103" t="s">
        <v>1914</v>
      </c>
      <c r="L246" s="103" t="s">
        <v>1052</v>
      </c>
      <c r="M246">
        <f t="shared" si="7"/>
        <v>9.9499999999999993</v>
      </c>
      <c r="N246" s="103">
        <f t="shared" si="8"/>
        <v>241</v>
      </c>
    </row>
    <row r="247" spans="1:14" s="69" customFormat="1" hidden="1" x14ac:dyDescent="0.3">
      <c r="A247" s="99" t="s">
        <v>1046</v>
      </c>
      <c r="B247" s="99" t="s">
        <v>1043</v>
      </c>
      <c r="C247" s="99" t="s">
        <v>8</v>
      </c>
      <c r="D247" s="69" t="s">
        <v>316</v>
      </c>
      <c r="E247" s="98">
        <v>1</v>
      </c>
      <c r="F247" s="69" t="s">
        <v>317</v>
      </c>
      <c r="G247" s="69" t="s">
        <v>318</v>
      </c>
      <c r="H247" s="69" t="s">
        <v>319</v>
      </c>
      <c r="I247" s="69">
        <v>1</v>
      </c>
      <c r="J247" s="98">
        <v>9.9499999999999993</v>
      </c>
      <c r="K247" s="69" t="s">
        <v>1914</v>
      </c>
      <c r="L247" s="69" t="s">
        <v>1052</v>
      </c>
      <c r="M247">
        <f t="shared" si="7"/>
        <v>9.9499999999999993</v>
      </c>
      <c r="N247" s="69">
        <f t="shared" si="8"/>
        <v>242</v>
      </c>
    </row>
    <row r="248" spans="1:14" s="69" customFormat="1" hidden="1" x14ac:dyDescent="0.3">
      <c r="A248" s="99" t="s">
        <v>1046</v>
      </c>
      <c r="B248" s="99" t="s">
        <v>1043</v>
      </c>
      <c r="C248" s="99" t="s">
        <v>8</v>
      </c>
      <c r="D248" s="69" t="s">
        <v>304</v>
      </c>
      <c r="E248" s="98">
        <v>1</v>
      </c>
      <c r="F248" s="69" t="s">
        <v>305</v>
      </c>
      <c r="G248" s="69" t="s">
        <v>306</v>
      </c>
      <c r="H248" s="69" t="s">
        <v>307</v>
      </c>
      <c r="I248" s="69">
        <v>1</v>
      </c>
      <c r="J248" s="98">
        <v>9.9499999999999993</v>
      </c>
      <c r="K248" s="69" t="s">
        <v>1914</v>
      </c>
      <c r="L248" s="69" t="s">
        <v>1052</v>
      </c>
      <c r="M248">
        <f t="shared" si="7"/>
        <v>9.9499999999999993</v>
      </c>
      <c r="N248" s="69">
        <f t="shared" si="8"/>
        <v>243</v>
      </c>
    </row>
    <row r="249" spans="1:14" s="69" customFormat="1" hidden="1" x14ac:dyDescent="0.3">
      <c r="A249" s="99" t="s">
        <v>1046</v>
      </c>
      <c r="B249" s="99" t="s">
        <v>1043</v>
      </c>
      <c r="C249" s="99" t="s">
        <v>8</v>
      </c>
      <c r="D249" s="69" t="s">
        <v>1128</v>
      </c>
      <c r="E249" s="98">
        <v>1</v>
      </c>
      <c r="F249" s="69" t="s">
        <v>1129</v>
      </c>
      <c r="G249" s="69" t="s">
        <v>1130</v>
      </c>
      <c r="H249" s="69" t="s">
        <v>1131</v>
      </c>
      <c r="I249" s="69">
        <v>1</v>
      </c>
      <c r="J249" s="98">
        <v>14.95</v>
      </c>
      <c r="K249" s="69" t="s">
        <v>1914</v>
      </c>
      <c r="L249" s="69" t="s">
        <v>1052</v>
      </c>
      <c r="M249">
        <f t="shared" si="7"/>
        <v>14.95</v>
      </c>
      <c r="N249" s="69">
        <f t="shared" si="8"/>
        <v>244</v>
      </c>
    </row>
    <row r="250" spans="1:14" s="69" customFormat="1" hidden="1" x14ac:dyDescent="0.3">
      <c r="A250" s="99" t="s">
        <v>1046</v>
      </c>
      <c r="B250" s="99" t="s">
        <v>1043</v>
      </c>
      <c r="C250" s="99" t="s">
        <v>8</v>
      </c>
      <c r="D250" s="69" t="s">
        <v>1148</v>
      </c>
      <c r="E250" s="98">
        <v>1</v>
      </c>
      <c r="F250" s="69" t="s">
        <v>1149</v>
      </c>
      <c r="G250" s="69" t="s">
        <v>1150</v>
      </c>
      <c r="H250" s="69" t="s">
        <v>1151</v>
      </c>
      <c r="I250" s="69">
        <v>1</v>
      </c>
      <c r="J250" s="98">
        <v>9.9499999999999993</v>
      </c>
      <c r="K250" s="69" t="s">
        <v>1914</v>
      </c>
      <c r="L250" s="69" t="s">
        <v>1052</v>
      </c>
      <c r="M250">
        <f t="shared" si="7"/>
        <v>9.9499999999999993</v>
      </c>
      <c r="N250" s="69">
        <f t="shared" si="8"/>
        <v>245</v>
      </c>
    </row>
    <row r="251" spans="1:14" s="69" customFormat="1" hidden="1" x14ac:dyDescent="0.3">
      <c r="A251" s="99" t="s">
        <v>1046</v>
      </c>
      <c r="B251" s="99" t="s">
        <v>1043</v>
      </c>
      <c r="C251" s="99" t="s">
        <v>8</v>
      </c>
      <c r="D251" s="69" t="s">
        <v>799</v>
      </c>
      <c r="E251" s="98">
        <v>4</v>
      </c>
      <c r="F251" s="69" t="s">
        <v>800</v>
      </c>
      <c r="G251" s="69" t="s">
        <v>801</v>
      </c>
      <c r="H251" s="69" t="s">
        <v>802</v>
      </c>
      <c r="I251" s="69">
        <v>1</v>
      </c>
      <c r="J251" s="98">
        <v>2.95</v>
      </c>
      <c r="K251" s="69" t="s">
        <v>1914</v>
      </c>
      <c r="L251" s="69" t="s">
        <v>1052</v>
      </c>
      <c r="M251">
        <f t="shared" si="7"/>
        <v>11.8</v>
      </c>
      <c r="N251" s="69">
        <f t="shared" si="8"/>
        <v>246</v>
      </c>
    </row>
    <row r="252" spans="1:14" s="69" customFormat="1" ht="16.2" hidden="1" x14ac:dyDescent="0.3">
      <c r="A252" s="99" t="s">
        <v>1046</v>
      </c>
      <c r="B252" s="99" t="s">
        <v>1737</v>
      </c>
      <c r="C252" s="99" t="s">
        <v>8</v>
      </c>
      <c r="D252" s="69" t="s">
        <v>1172</v>
      </c>
      <c r="E252" s="98">
        <v>1</v>
      </c>
      <c r="F252" s="69" t="s">
        <v>1173</v>
      </c>
      <c r="G252" s="69" t="s">
        <v>1174</v>
      </c>
      <c r="H252" s="69" t="s">
        <v>1175</v>
      </c>
      <c r="J252" s="98">
        <v>20</v>
      </c>
      <c r="K252" s="69" t="s">
        <v>1914</v>
      </c>
      <c r="L252" s="71" t="s">
        <v>1050</v>
      </c>
      <c r="M252">
        <f t="shared" si="7"/>
        <v>20</v>
      </c>
      <c r="N252" s="69">
        <f t="shared" si="8"/>
        <v>247</v>
      </c>
    </row>
    <row r="253" spans="1:14" s="69" customFormat="1" ht="16.2" hidden="1" x14ac:dyDescent="0.3">
      <c r="A253" s="99" t="s">
        <v>1046</v>
      </c>
      <c r="B253" s="99" t="s">
        <v>1737</v>
      </c>
      <c r="C253" s="99" t="s">
        <v>8</v>
      </c>
      <c r="D253" s="69" t="s">
        <v>1152</v>
      </c>
      <c r="E253" s="98">
        <v>1</v>
      </c>
      <c r="F253" s="69" t="s">
        <v>1153</v>
      </c>
      <c r="G253" s="69" t="s">
        <v>1154</v>
      </c>
      <c r="H253" s="69" t="s">
        <v>1155</v>
      </c>
      <c r="J253" s="98">
        <v>9</v>
      </c>
      <c r="K253" s="69" t="s">
        <v>1914</v>
      </c>
      <c r="L253" s="71" t="s">
        <v>1050</v>
      </c>
      <c r="M253">
        <f t="shared" si="7"/>
        <v>9</v>
      </c>
      <c r="N253" s="69">
        <f t="shared" si="8"/>
        <v>248</v>
      </c>
    </row>
    <row r="254" spans="1:14" s="69" customFormat="1" ht="16.2" hidden="1" x14ac:dyDescent="0.3">
      <c r="A254" s="99" t="s">
        <v>1046</v>
      </c>
      <c r="B254" s="99" t="s">
        <v>1737</v>
      </c>
      <c r="C254" s="99" t="s">
        <v>8</v>
      </c>
      <c r="D254" s="69" t="s">
        <v>1156</v>
      </c>
      <c r="E254" s="98">
        <v>1</v>
      </c>
      <c r="F254" s="69" t="s">
        <v>1157</v>
      </c>
      <c r="G254" s="69" t="s">
        <v>1158</v>
      </c>
      <c r="H254" s="69" t="s">
        <v>1159</v>
      </c>
      <c r="J254" s="98">
        <v>5</v>
      </c>
      <c r="K254" s="69" t="s">
        <v>1914</v>
      </c>
      <c r="L254" s="71" t="s">
        <v>1050</v>
      </c>
      <c r="M254">
        <f t="shared" si="7"/>
        <v>5</v>
      </c>
      <c r="N254" s="69">
        <f t="shared" si="8"/>
        <v>249</v>
      </c>
    </row>
    <row r="255" spans="1:14" s="69" customFormat="1" ht="16.2" hidden="1" x14ac:dyDescent="0.3">
      <c r="A255" s="99" t="s">
        <v>1046</v>
      </c>
      <c r="B255" s="99" t="s">
        <v>1737</v>
      </c>
      <c r="C255" s="99" t="s">
        <v>8</v>
      </c>
      <c r="D255" s="69" t="s">
        <v>1164</v>
      </c>
      <c r="E255" s="98">
        <v>1</v>
      </c>
      <c r="F255" s="69" t="s">
        <v>1165</v>
      </c>
      <c r="G255" s="69" t="s">
        <v>1166</v>
      </c>
      <c r="H255" s="69" t="s">
        <v>1167</v>
      </c>
      <c r="J255" s="98">
        <v>15</v>
      </c>
      <c r="K255" s="69" t="s">
        <v>1914</v>
      </c>
      <c r="L255" s="71" t="s">
        <v>1050</v>
      </c>
      <c r="M255">
        <f t="shared" si="7"/>
        <v>15</v>
      </c>
      <c r="N255" s="69">
        <f t="shared" si="8"/>
        <v>250</v>
      </c>
    </row>
    <row r="256" spans="1:14" s="69" customFormat="1" ht="16.2" hidden="1" x14ac:dyDescent="0.3">
      <c r="A256" s="99" t="s">
        <v>1046</v>
      </c>
      <c r="B256" s="99" t="s">
        <v>1737</v>
      </c>
      <c r="C256" s="99" t="s">
        <v>8</v>
      </c>
      <c r="D256" s="69" t="s">
        <v>1168</v>
      </c>
      <c r="E256" s="98">
        <v>1</v>
      </c>
      <c r="F256" s="69" t="s">
        <v>1169</v>
      </c>
      <c r="G256" s="69" t="s">
        <v>1170</v>
      </c>
      <c r="H256" s="69" t="s">
        <v>1171</v>
      </c>
      <c r="J256" s="98">
        <v>15</v>
      </c>
      <c r="K256" s="69" t="s">
        <v>1914</v>
      </c>
      <c r="L256" s="71" t="s">
        <v>1050</v>
      </c>
      <c r="M256">
        <f t="shared" si="7"/>
        <v>15</v>
      </c>
      <c r="N256" s="69">
        <f t="shared" si="8"/>
        <v>251</v>
      </c>
    </row>
    <row r="257" spans="1:14" s="12" customFormat="1" hidden="1" x14ac:dyDescent="0.3">
      <c r="A257" s="51" t="s">
        <v>1046</v>
      </c>
      <c r="B257" s="51" t="s">
        <v>1180</v>
      </c>
      <c r="C257" s="51" t="s">
        <v>8</v>
      </c>
      <c r="D257" s="12" t="s">
        <v>2437</v>
      </c>
      <c r="E257" s="89">
        <v>1</v>
      </c>
      <c r="F257" s="12" t="s">
        <v>2438</v>
      </c>
      <c r="G257" s="12" t="s">
        <v>2439</v>
      </c>
      <c r="H257" s="12" t="s">
        <v>2440</v>
      </c>
      <c r="J257" s="89">
        <v>15</v>
      </c>
      <c r="K257" s="12" t="s">
        <v>1914</v>
      </c>
      <c r="L257" s="12" t="s">
        <v>1050</v>
      </c>
      <c r="M257">
        <f t="shared" si="7"/>
        <v>15</v>
      </c>
      <c r="N257" s="12">
        <f t="shared" si="8"/>
        <v>252</v>
      </c>
    </row>
    <row r="258" spans="1:14" s="12" customFormat="1" hidden="1" x14ac:dyDescent="0.3">
      <c r="A258" s="51" t="s">
        <v>1046</v>
      </c>
      <c r="B258" s="51" t="s">
        <v>1180</v>
      </c>
      <c r="C258" s="51" t="s">
        <v>8</v>
      </c>
      <c r="D258" s="12" t="s">
        <v>2441</v>
      </c>
      <c r="E258" s="89">
        <v>1</v>
      </c>
      <c r="F258" s="12" t="s">
        <v>2442</v>
      </c>
      <c r="G258" s="12" t="s">
        <v>2443</v>
      </c>
      <c r="H258" s="12" t="s">
        <v>2444</v>
      </c>
      <c r="J258" s="89">
        <v>10</v>
      </c>
      <c r="K258" s="12" t="s">
        <v>1914</v>
      </c>
      <c r="L258" s="12" t="s">
        <v>1050</v>
      </c>
      <c r="M258">
        <f t="shared" si="7"/>
        <v>10</v>
      </c>
      <c r="N258" s="12">
        <f t="shared" si="8"/>
        <v>253</v>
      </c>
    </row>
    <row r="259" spans="1:14" s="69" customFormat="1" ht="16.2" hidden="1" x14ac:dyDescent="0.3">
      <c r="A259" s="99" t="s">
        <v>1047</v>
      </c>
      <c r="B259" s="99" t="s">
        <v>1738</v>
      </c>
      <c r="C259" s="99" t="s">
        <v>8</v>
      </c>
      <c r="D259" s="69" t="s">
        <v>1076</v>
      </c>
      <c r="E259" s="98">
        <v>1</v>
      </c>
      <c r="F259" s="69" t="s">
        <v>1077</v>
      </c>
      <c r="G259" s="69" t="s">
        <v>1078</v>
      </c>
      <c r="H259" s="69" t="s">
        <v>1079</v>
      </c>
      <c r="J259" s="98">
        <v>15</v>
      </c>
      <c r="K259" s="69" t="s">
        <v>1914</v>
      </c>
      <c r="L259" s="71" t="s">
        <v>1050</v>
      </c>
      <c r="M259">
        <f t="shared" si="7"/>
        <v>15</v>
      </c>
      <c r="N259" s="69">
        <f t="shared" si="8"/>
        <v>254</v>
      </c>
    </row>
    <row r="260" spans="1:14" s="69" customFormat="1" ht="16.2" hidden="1" x14ac:dyDescent="0.3">
      <c r="A260" s="99" t="s">
        <v>1047</v>
      </c>
      <c r="B260" s="99" t="s">
        <v>1738</v>
      </c>
      <c r="C260" s="99" t="s">
        <v>8</v>
      </c>
      <c r="D260" s="69" t="s">
        <v>1152</v>
      </c>
      <c r="E260" s="98">
        <v>1</v>
      </c>
      <c r="F260" s="69" t="s">
        <v>1153</v>
      </c>
      <c r="G260" s="69" t="s">
        <v>1154</v>
      </c>
      <c r="H260" s="69" t="s">
        <v>1155</v>
      </c>
      <c r="J260" s="98">
        <v>9</v>
      </c>
      <c r="K260" s="69" t="s">
        <v>1914</v>
      </c>
      <c r="L260" s="71" t="s">
        <v>1050</v>
      </c>
      <c r="M260">
        <f t="shared" si="7"/>
        <v>9</v>
      </c>
      <c r="N260" s="69">
        <f t="shared" si="8"/>
        <v>255</v>
      </c>
    </row>
    <row r="261" spans="1:14" s="69" customFormat="1" ht="16.2" hidden="1" x14ac:dyDescent="0.3">
      <c r="A261" s="99" t="s">
        <v>1047</v>
      </c>
      <c r="B261" s="99" t="s">
        <v>1738</v>
      </c>
      <c r="C261" s="99" t="s">
        <v>8</v>
      </c>
      <c r="D261" s="69" t="s">
        <v>1160</v>
      </c>
      <c r="E261" s="98">
        <v>1</v>
      </c>
      <c r="F261" s="69" t="s">
        <v>1161</v>
      </c>
      <c r="G261" s="69" t="s">
        <v>1162</v>
      </c>
      <c r="H261" s="69" t="s">
        <v>1163</v>
      </c>
      <c r="J261" s="98">
        <v>30</v>
      </c>
      <c r="K261" s="69" t="s">
        <v>1914</v>
      </c>
      <c r="L261" s="71" t="s">
        <v>1050</v>
      </c>
      <c r="M261">
        <f t="shared" si="7"/>
        <v>30</v>
      </c>
      <c r="N261" s="69">
        <f t="shared" si="8"/>
        <v>256</v>
      </c>
    </row>
    <row r="262" spans="1:14" s="69" customFormat="1" ht="16.2" hidden="1" x14ac:dyDescent="0.3">
      <c r="A262" s="99" t="s">
        <v>1047</v>
      </c>
      <c r="B262" s="99" t="s">
        <v>1738</v>
      </c>
      <c r="C262" s="99" t="s">
        <v>8</v>
      </c>
      <c r="D262" s="69" t="s">
        <v>1156</v>
      </c>
      <c r="E262" s="98">
        <v>1</v>
      </c>
      <c r="F262" s="69" t="s">
        <v>1157</v>
      </c>
      <c r="G262" s="69" t="s">
        <v>1158</v>
      </c>
      <c r="H262" s="69" t="s">
        <v>1159</v>
      </c>
      <c r="J262" s="98">
        <v>5</v>
      </c>
      <c r="K262" s="69" t="s">
        <v>1914</v>
      </c>
      <c r="L262" s="71" t="s">
        <v>1050</v>
      </c>
      <c r="M262">
        <f t="shared" ref="M262:M325" si="9">E262*J262</f>
        <v>5</v>
      </c>
      <c r="N262" s="69">
        <f t="shared" ref="N262:N325" si="10">IF($N261="List #",1,$N261+1)</f>
        <v>257</v>
      </c>
    </row>
    <row r="263" spans="1:14" s="69" customFormat="1" ht="16.2" hidden="1" x14ac:dyDescent="0.3">
      <c r="A263" s="99" t="s">
        <v>1047</v>
      </c>
      <c r="B263" s="99" t="s">
        <v>1738</v>
      </c>
      <c r="C263" s="99" t="s">
        <v>8</v>
      </c>
      <c r="D263" s="69" t="s">
        <v>1164</v>
      </c>
      <c r="E263" s="98">
        <v>1</v>
      </c>
      <c r="F263" s="69" t="s">
        <v>1165</v>
      </c>
      <c r="G263" s="69" t="s">
        <v>1166</v>
      </c>
      <c r="H263" s="69" t="s">
        <v>1167</v>
      </c>
      <c r="J263" s="98">
        <v>15</v>
      </c>
      <c r="K263" s="69" t="s">
        <v>1914</v>
      </c>
      <c r="L263" s="71" t="s">
        <v>1050</v>
      </c>
      <c r="M263">
        <f t="shared" si="9"/>
        <v>15</v>
      </c>
      <c r="N263" s="69">
        <f t="shared" si="10"/>
        <v>258</v>
      </c>
    </row>
    <row r="264" spans="1:14" s="69" customFormat="1" hidden="1" x14ac:dyDescent="0.3">
      <c r="A264" s="99" t="s">
        <v>1047</v>
      </c>
      <c r="B264" s="99" t="s">
        <v>1067</v>
      </c>
      <c r="C264" s="99" t="s">
        <v>8</v>
      </c>
      <c r="D264" s="69" t="s">
        <v>351</v>
      </c>
      <c r="E264" s="98">
        <v>1</v>
      </c>
      <c r="F264" s="69" t="s">
        <v>352</v>
      </c>
      <c r="G264" s="69" t="s">
        <v>353</v>
      </c>
      <c r="H264" s="69" t="s">
        <v>354</v>
      </c>
      <c r="J264" s="98">
        <v>24.95</v>
      </c>
      <c r="K264" s="69" t="s">
        <v>1914</v>
      </c>
      <c r="L264" s="69" t="s">
        <v>1051</v>
      </c>
      <c r="M264">
        <f t="shared" si="9"/>
        <v>24.95</v>
      </c>
      <c r="N264" s="69">
        <f t="shared" si="10"/>
        <v>259</v>
      </c>
    </row>
    <row r="265" spans="1:14" s="69" customFormat="1" hidden="1" x14ac:dyDescent="0.3">
      <c r="A265" s="99" t="s">
        <v>1047</v>
      </c>
      <c r="B265" s="99" t="s">
        <v>1618</v>
      </c>
      <c r="C265" s="99" t="s">
        <v>8</v>
      </c>
      <c r="D265" s="69" t="s">
        <v>355</v>
      </c>
      <c r="E265" s="98">
        <v>1</v>
      </c>
      <c r="F265" s="69" t="s">
        <v>356</v>
      </c>
      <c r="G265" s="69" t="s">
        <v>357</v>
      </c>
      <c r="H265" s="69" t="s">
        <v>358</v>
      </c>
      <c r="I265" s="69">
        <v>1</v>
      </c>
      <c r="J265" s="98">
        <v>39.950000000000003</v>
      </c>
      <c r="K265" s="69" t="s">
        <v>1914</v>
      </c>
      <c r="L265" s="69" t="s">
        <v>1044</v>
      </c>
      <c r="M265">
        <f t="shared" si="9"/>
        <v>39.950000000000003</v>
      </c>
      <c r="N265" s="69">
        <f t="shared" si="10"/>
        <v>260</v>
      </c>
    </row>
    <row r="266" spans="1:14" s="69" customFormat="1" hidden="1" x14ac:dyDescent="0.3">
      <c r="A266" s="99" t="s">
        <v>1047</v>
      </c>
      <c r="B266" s="99" t="s">
        <v>1066</v>
      </c>
      <c r="C266" s="99" t="s">
        <v>8</v>
      </c>
      <c r="D266" s="69" t="s">
        <v>324</v>
      </c>
      <c r="E266" s="98">
        <v>1</v>
      </c>
      <c r="F266" s="69" t="s">
        <v>325</v>
      </c>
      <c r="G266" s="69" t="s">
        <v>326</v>
      </c>
      <c r="H266" s="69" t="s">
        <v>327</v>
      </c>
      <c r="I266" s="69">
        <v>1</v>
      </c>
      <c r="J266" s="98">
        <v>39.950000000000003</v>
      </c>
      <c r="K266" s="69" t="s">
        <v>1914</v>
      </c>
      <c r="L266" s="69" t="s">
        <v>1055</v>
      </c>
      <c r="M266">
        <f t="shared" si="9"/>
        <v>39.950000000000003</v>
      </c>
      <c r="N266" s="69">
        <f t="shared" si="10"/>
        <v>261</v>
      </c>
    </row>
    <row r="267" spans="1:14" s="69" customFormat="1" hidden="1" x14ac:dyDescent="0.3">
      <c r="A267" s="99" t="s">
        <v>1047</v>
      </c>
      <c r="B267" s="99" t="s">
        <v>1066</v>
      </c>
      <c r="C267" s="99" t="s">
        <v>8</v>
      </c>
      <c r="D267" s="69" t="s">
        <v>328</v>
      </c>
      <c r="E267" s="98">
        <v>1</v>
      </c>
      <c r="F267" s="69" t="s">
        <v>329</v>
      </c>
      <c r="G267" s="69" t="s">
        <v>330</v>
      </c>
      <c r="H267" s="69" t="s">
        <v>331</v>
      </c>
      <c r="I267" s="69">
        <v>1</v>
      </c>
      <c r="J267" s="98">
        <v>14.95</v>
      </c>
      <c r="K267" s="69" t="s">
        <v>1914</v>
      </c>
      <c r="L267" s="69" t="s">
        <v>1055</v>
      </c>
      <c r="M267">
        <f t="shared" si="9"/>
        <v>14.95</v>
      </c>
      <c r="N267" s="69">
        <f t="shared" si="10"/>
        <v>262</v>
      </c>
    </row>
    <row r="268" spans="1:14" s="12" customFormat="1" x14ac:dyDescent="0.3">
      <c r="A268" s="90" t="s">
        <v>896</v>
      </c>
      <c r="B268" s="90" t="s">
        <v>994</v>
      </c>
      <c r="C268" s="90" t="s">
        <v>8</v>
      </c>
      <c r="D268" s="85" t="s">
        <v>787</v>
      </c>
      <c r="E268" s="64">
        <v>1</v>
      </c>
      <c r="F268" s="64" t="s">
        <v>788</v>
      </c>
      <c r="G268" s="64" t="s">
        <v>789</v>
      </c>
      <c r="H268" s="64" t="s">
        <v>790</v>
      </c>
      <c r="I268" s="64"/>
      <c r="J268" s="145">
        <v>19.95</v>
      </c>
      <c r="K268" s="64" t="s">
        <v>1910</v>
      </c>
      <c r="L268" s="5"/>
      <c r="M268">
        <f t="shared" si="9"/>
        <v>19.95</v>
      </c>
      <c r="N268" s="12">
        <f t="shared" si="10"/>
        <v>263</v>
      </c>
    </row>
    <row r="269" spans="1:14" s="103" customFormat="1" hidden="1" x14ac:dyDescent="0.3">
      <c r="A269" s="90" t="s">
        <v>896</v>
      </c>
      <c r="B269" s="90" t="s">
        <v>994</v>
      </c>
      <c r="C269" s="90" t="s">
        <v>8</v>
      </c>
      <c r="D269" s="85" t="s">
        <v>1100</v>
      </c>
      <c r="E269" s="64">
        <v>0</v>
      </c>
      <c r="F269" s="64" t="s">
        <v>1101</v>
      </c>
      <c r="G269" s="64" t="s">
        <v>1102</v>
      </c>
      <c r="H269" s="64" t="s">
        <v>1103</v>
      </c>
      <c r="I269" s="64">
        <v>1</v>
      </c>
      <c r="J269" s="145">
        <v>3.95</v>
      </c>
      <c r="K269" s="64" t="s">
        <v>1910</v>
      </c>
      <c r="L269" s="64" t="s">
        <v>1309</v>
      </c>
      <c r="M269">
        <f t="shared" si="9"/>
        <v>0</v>
      </c>
      <c r="N269" s="103">
        <f t="shared" si="10"/>
        <v>264</v>
      </c>
    </row>
    <row r="270" spans="1:14" s="103" customFormat="1" x14ac:dyDescent="0.3">
      <c r="A270" s="90" t="s">
        <v>896</v>
      </c>
      <c r="B270" s="90" t="s">
        <v>994</v>
      </c>
      <c r="C270" s="90" t="s">
        <v>8</v>
      </c>
      <c r="D270" s="85" t="s">
        <v>1310</v>
      </c>
      <c r="E270" s="64">
        <f>4*FilterSpecs!$C$3</f>
        <v>20</v>
      </c>
      <c r="F270" s="64" t="s">
        <v>1311</v>
      </c>
      <c r="G270" s="64" t="s">
        <v>1312</v>
      </c>
      <c r="H270" s="64" t="s">
        <v>1313</v>
      </c>
      <c r="I270" s="64">
        <v>1</v>
      </c>
      <c r="J270" s="145">
        <v>3.95</v>
      </c>
      <c r="K270" s="64" t="s">
        <v>1910</v>
      </c>
      <c r="L270" s="64" t="s">
        <v>1309</v>
      </c>
      <c r="M270">
        <f t="shared" si="9"/>
        <v>79</v>
      </c>
      <c r="N270" s="103">
        <f t="shared" si="10"/>
        <v>265</v>
      </c>
    </row>
    <row r="271" spans="1:14" s="103" customFormat="1" hidden="1" x14ac:dyDescent="0.3">
      <c r="A271" s="12" t="s">
        <v>896</v>
      </c>
      <c r="B271" s="12" t="s">
        <v>994</v>
      </c>
      <c r="C271" s="12" t="s">
        <v>1898</v>
      </c>
      <c r="D271" s="86" t="s">
        <v>2114</v>
      </c>
      <c r="E271" s="12">
        <v>0</v>
      </c>
      <c r="F271" s="12"/>
      <c r="G271" s="12"/>
      <c r="H271" s="51" t="s">
        <v>2115</v>
      </c>
      <c r="I271"/>
      <c r="J271" s="95">
        <v>4</v>
      </c>
      <c r="K271" s="51" t="s">
        <v>1910</v>
      </c>
      <c r="L271"/>
      <c r="M271">
        <f t="shared" si="9"/>
        <v>0</v>
      </c>
      <c r="N271" s="103">
        <f t="shared" si="10"/>
        <v>266</v>
      </c>
    </row>
    <row r="272" spans="1:14" s="103" customFormat="1" x14ac:dyDescent="0.3">
      <c r="A272" s="90" t="s">
        <v>896</v>
      </c>
      <c r="B272" s="90" t="s">
        <v>994</v>
      </c>
      <c r="C272" s="90" t="s">
        <v>8</v>
      </c>
      <c r="D272" s="85" t="s">
        <v>933</v>
      </c>
      <c r="E272" s="64">
        <f>3*FilterSpecs!$C$3</f>
        <v>15</v>
      </c>
      <c r="F272" s="64" t="s">
        <v>934</v>
      </c>
      <c r="G272" s="64" t="s">
        <v>935</v>
      </c>
      <c r="H272" s="64" t="s">
        <v>936</v>
      </c>
      <c r="I272" s="64">
        <v>1</v>
      </c>
      <c r="J272" s="145">
        <v>8.5</v>
      </c>
      <c r="K272" s="64" t="s">
        <v>1911</v>
      </c>
      <c r="L272" s="5"/>
      <c r="M272">
        <f t="shared" si="9"/>
        <v>127.5</v>
      </c>
      <c r="N272" s="103">
        <f t="shared" si="10"/>
        <v>267</v>
      </c>
    </row>
    <row r="273" spans="1:14" s="103" customFormat="1" x14ac:dyDescent="0.3">
      <c r="A273" s="90" t="s">
        <v>896</v>
      </c>
      <c r="B273" s="90" t="s">
        <v>994</v>
      </c>
      <c r="C273" s="90" t="s">
        <v>8</v>
      </c>
      <c r="D273" s="85" t="s">
        <v>1839</v>
      </c>
      <c r="E273" s="64">
        <v>1</v>
      </c>
      <c r="F273" s="64" t="s">
        <v>1840</v>
      </c>
      <c r="G273" s="64" t="s">
        <v>1841</v>
      </c>
      <c r="H273" s="64" t="s">
        <v>1842</v>
      </c>
      <c r="I273" s="64">
        <v>1</v>
      </c>
      <c r="J273" s="145">
        <v>4.95</v>
      </c>
      <c r="K273" s="64" t="s">
        <v>1910</v>
      </c>
      <c r="L273" s="5"/>
      <c r="M273">
        <f t="shared" si="9"/>
        <v>4.95</v>
      </c>
      <c r="N273" s="103">
        <f t="shared" si="10"/>
        <v>268</v>
      </c>
    </row>
    <row r="274" spans="1:14" s="103" customFormat="1" hidden="1" x14ac:dyDescent="0.3">
      <c r="A274" s="90" t="s">
        <v>896</v>
      </c>
      <c r="B274" s="90" t="s">
        <v>994</v>
      </c>
      <c r="C274" s="90" t="s">
        <v>8</v>
      </c>
      <c r="D274" s="85" t="s">
        <v>1847</v>
      </c>
      <c r="E274" s="64">
        <v>0</v>
      </c>
      <c r="F274" s="64" t="s">
        <v>1848</v>
      </c>
      <c r="G274" s="64" t="s">
        <v>1849</v>
      </c>
      <c r="H274" s="64" t="s">
        <v>1850</v>
      </c>
      <c r="I274" s="64"/>
      <c r="J274" s="145">
        <v>2.95</v>
      </c>
      <c r="K274" s="64" t="s">
        <v>1910</v>
      </c>
      <c r="L274" s="5"/>
      <c r="M274">
        <f t="shared" si="9"/>
        <v>0</v>
      </c>
      <c r="N274" s="103">
        <f t="shared" si="10"/>
        <v>269</v>
      </c>
    </row>
    <row r="275" spans="1:14" s="103" customFormat="1" x14ac:dyDescent="0.3">
      <c r="A275" s="90" t="s">
        <v>896</v>
      </c>
      <c r="B275" s="90" t="s">
        <v>994</v>
      </c>
      <c r="C275" s="90" t="s">
        <v>8</v>
      </c>
      <c r="D275" s="85" t="s">
        <v>1771</v>
      </c>
      <c r="E275" s="64">
        <v>1</v>
      </c>
      <c r="F275" s="64" t="s">
        <v>1772</v>
      </c>
      <c r="G275" s="64" t="s">
        <v>1773</v>
      </c>
      <c r="H275" s="64" t="s">
        <v>1774</v>
      </c>
      <c r="I275" s="64">
        <v>1</v>
      </c>
      <c r="J275" s="145">
        <v>9.9499999999999993</v>
      </c>
      <c r="K275" s="64" t="s">
        <v>1910</v>
      </c>
      <c r="L275" s="5"/>
      <c r="M275">
        <f t="shared" si="9"/>
        <v>9.9499999999999993</v>
      </c>
      <c r="N275" s="103">
        <f t="shared" si="10"/>
        <v>270</v>
      </c>
    </row>
    <row r="276" spans="1:14" s="103" customFormat="1" hidden="1" x14ac:dyDescent="0.3">
      <c r="A276" s="12" t="s">
        <v>896</v>
      </c>
      <c r="B276" s="12" t="s">
        <v>994</v>
      </c>
      <c r="C276" s="12" t="s">
        <v>1898</v>
      </c>
      <c r="D276" s="86" t="s">
        <v>2100</v>
      </c>
      <c r="E276" s="12">
        <v>0</v>
      </c>
      <c r="F276" s="12"/>
      <c r="G276" s="12"/>
      <c r="H276" s="51" t="s">
        <v>2101</v>
      </c>
      <c r="I276"/>
      <c r="J276" s="95">
        <v>9.9499999999999993</v>
      </c>
      <c r="K276" s="51" t="s">
        <v>1910</v>
      </c>
      <c r="L276"/>
      <c r="M276">
        <f t="shared" si="9"/>
        <v>0</v>
      </c>
      <c r="N276" s="103">
        <f t="shared" si="10"/>
        <v>271</v>
      </c>
    </row>
    <row r="277" spans="1:14" s="103" customFormat="1" hidden="1" x14ac:dyDescent="0.3">
      <c r="A277" s="12" t="s">
        <v>896</v>
      </c>
      <c r="B277" s="12" t="s">
        <v>994</v>
      </c>
      <c r="C277" s="12" t="s">
        <v>1898</v>
      </c>
      <c r="D277" s="86" t="s">
        <v>2112</v>
      </c>
      <c r="E277" s="12">
        <v>0</v>
      </c>
      <c r="F277" s="12"/>
      <c r="G277" s="12"/>
      <c r="H277" s="51" t="s">
        <v>2113</v>
      </c>
      <c r="I277"/>
      <c r="J277" s="95">
        <v>14.95</v>
      </c>
      <c r="K277" s="51" t="s">
        <v>1910</v>
      </c>
      <c r="L277"/>
      <c r="M277">
        <f t="shared" si="9"/>
        <v>0</v>
      </c>
      <c r="N277" s="103">
        <f t="shared" si="10"/>
        <v>272</v>
      </c>
    </row>
    <row r="278" spans="1:14" s="103" customFormat="1" hidden="1" x14ac:dyDescent="0.3">
      <c r="A278" s="12" t="s">
        <v>896</v>
      </c>
      <c r="B278" s="12" t="s">
        <v>994</v>
      </c>
      <c r="C278" s="12" t="s">
        <v>1898</v>
      </c>
      <c r="D278" s="86" t="s">
        <v>2104</v>
      </c>
      <c r="E278" s="12">
        <v>0</v>
      </c>
      <c r="F278" s="12"/>
      <c r="G278" s="12"/>
      <c r="H278" s="51" t="s">
        <v>2105</v>
      </c>
      <c r="I278"/>
      <c r="J278" s="95">
        <v>14.95</v>
      </c>
      <c r="K278" s="51" t="s">
        <v>1910</v>
      </c>
      <c r="L278"/>
      <c r="M278">
        <f t="shared" si="9"/>
        <v>0</v>
      </c>
      <c r="N278" s="103">
        <f t="shared" si="10"/>
        <v>273</v>
      </c>
    </row>
    <row r="279" spans="1:14" s="103" customFormat="1" hidden="1" x14ac:dyDescent="0.3">
      <c r="A279" s="12" t="s">
        <v>896</v>
      </c>
      <c r="B279" s="12" t="s">
        <v>994</v>
      </c>
      <c r="C279" s="12" t="s">
        <v>1898</v>
      </c>
      <c r="D279" s="86" t="s">
        <v>2102</v>
      </c>
      <c r="E279" s="12">
        <v>0</v>
      </c>
      <c r="F279" s="12"/>
      <c r="G279" s="12"/>
      <c r="H279" s="51" t="s">
        <v>2103</v>
      </c>
      <c r="I279"/>
      <c r="J279" s="95">
        <v>19.95</v>
      </c>
      <c r="K279" s="51" t="s">
        <v>1910</v>
      </c>
      <c r="L279"/>
      <c r="M279">
        <f t="shared" si="9"/>
        <v>0</v>
      </c>
      <c r="N279" s="103">
        <f t="shared" si="10"/>
        <v>274</v>
      </c>
    </row>
    <row r="280" spans="1:14" s="103" customFormat="1" hidden="1" x14ac:dyDescent="0.3">
      <c r="A280" s="12" t="s">
        <v>896</v>
      </c>
      <c r="B280" s="12" t="s">
        <v>994</v>
      </c>
      <c r="C280" s="12" t="s">
        <v>1898</v>
      </c>
      <c r="D280" s="86" t="s">
        <v>2106</v>
      </c>
      <c r="E280" s="12">
        <v>0</v>
      </c>
      <c r="F280" s="12"/>
      <c r="G280" s="12"/>
      <c r="H280" s="51" t="s">
        <v>2107</v>
      </c>
      <c r="I280"/>
      <c r="J280" s="95">
        <v>0.75</v>
      </c>
      <c r="K280" s="51" t="s">
        <v>1910</v>
      </c>
      <c r="L280"/>
      <c r="M280">
        <f t="shared" si="9"/>
        <v>0</v>
      </c>
      <c r="N280" s="103">
        <f t="shared" si="10"/>
        <v>275</v>
      </c>
    </row>
    <row r="281" spans="1:14" s="103" customFormat="1" hidden="1" x14ac:dyDescent="0.3">
      <c r="A281" s="12" t="s">
        <v>896</v>
      </c>
      <c r="B281" s="12" t="s">
        <v>994</v>
      </c>
      <c r="C281" s="12" t="s">
        <v>1898</v>
      </c>
      <c r="D281" s="86" t="s">
        <v>2108</v>
      </c>
      <c r="E281" s="12">
        <v>0</v>
      </c>
      <c r="F281" s="12"/>
      <c r="G281" s="12"/>
      <c r="H281" s="51" t="s">
        <v>2109</v>
      </c>
      <c r="I281"/>
      <c r="J281" s="95">
        <v>0.95</v>
      </c>
      <c r="K281" s="51" t="s">
        <v>1910</v>
      </c>
      <c r="L281"/>
      <c r="M281">
        <f t="shared" si="9"/>
        <v>0</v>
      </c>
      <c r="N281" s="103">
        <f t="shared" si="10"/>
        <v>276</v>
      </c>
    </row>
    <row r="282" spans="1:14" s="103" customFormat="1" hidden="1" x14ac:dyDescent="0.3">
      <c r="A282" s="12" t="s">
        <v>896</v>
      </c>
      <c r="B282" s="12" t="s">
        <v>994</v>
      </c>
      <c r="C282" s="12" t="s">
        <v>1898</v>
      </c>
      <c r="D282" s="86" t="s">
        <v>2110</v>
      </c>
      <c r="E282" s="12">
        <v>0</v>
      </c>
      <c r="F282" s="12"/>
      <c r="G282" s="12"/>
      <c r="H282" s="51" t="s">
        <v>2111</v>
      </c>
      <c r="I282"/>
      <c r="J282" s="95">
        <v>0.95</v>
      </c>
      <c r="K282" s="51" t="s">
        <v>1910</v>
      </c>
      <c r="L282"/>
      <c r="M282">
        <f t="shared" si="9"/>
        <v>0</v>
      </c>
      <c r="N282" s="103">
        <f t="shared" si="10"/>
        <v>277</v>
      </c>
    </row>
    <row r="283" spans="1:14" s="103" customFormat="1" x14ac:dyDescent="0.3">
      <c r="A283" s="90" t="s">
        <v>896</v>
      </c>
      <c r="B283" s="90" t="s">
        <v>994</v>
      </c>
      <c r="C283" s="90" t="s">
        <v>8</v>
      </c>
      <c r="D283" s="85" t="s">
        <v>945</v>
      </c>
      <c r="E283" s="104">
        <f>FilterSpecs!$C$3</f>
        <v>5</v>
      </c>
      <c r="F283" s="64" t="s">
        <v>946</v>
      </c>
      <c r="G283" s="64" t="s">
        <v>947</v>
      </c>
      <c r="H283" s="64" t="s">
        <v>948</v>
      </c>
      <c r="I283" s="64">
        <v>1</v>
      </c>
      <c r="J283" s="145">
        <v>7.95</v>
      </c>
      <c r="K283" s="64" t="s">
        <v>1910</v>
      </c>
      <c r="L283" s="5"/>
      <c r="M283">
        <f t="shared" si="9"/>
        <v>39.75</v>
      </c>
      <c r="N283" s="103">
        <f t="shared" si="10"/>
        <v>278</v>
      </c>
    </row>
    <row r="284" spans="1:14" s="103" customFormat="1" x14ac:dyDescent="0.3">
      <c r="A284" s="90" t="s">
        <v>896</v>
      </c>
      <c r="B284" s="90" t="s">
        <v>994</v>
      </c>
      <c r="C284" s="90" t="s">
        <v>8</v>
      </c>
      <c r="D284" s="85" t="s">
        <v>941</v>
      </c>
      <c r="E284" s="64">
        <f>2*FilterSpecs!$C$3</f>
        <v>10</v>
      </c>
      <c r="F284" s="64" t="s">
        <v>942</v>
      </c>
      <c r="G284" s="64" t="s">
        <v>943</v>
      </c>
      <c r="H284" s="64" t="s">
        <v>944</v>
      </c>
      <c r="I284" s="64">
        <v>1</v>
      </c>
      <c r="J284" s="145">
        <v>7.95</v>
      </c>
      <c r="K284" s="64" t="s">
        <v>1911</v>
      </c>
      <c r="L284" s="5"/>
      <c r="M284">
        <f t="shared" si="9"/>
        <v>79.5</v>
      </c>
      <c r="N284" s="103">
        <f t="shared" si="10"/>
        <v>279</v>
      </c>
    </row>
    <row r="285" spans="1:14" s="103" customFormat="1" x14ac:dyDescent="0.3">
      <c r="A285" s="90" t="s">
        <v>896</v>
      </c>
      <c r="B285" s="90" t="s">
        <v>1301</v>
      </c>
      <c r="C285" s="90" t="s">
        <v>8</v>
      </c>
      <c r="D285" s="85" t="s">
        <v>639</v>
      </c>
      <c r="E285" s="64">
        <f>FilterSpecs!$C$3</f>
        <v>5</v>
      </c>
      <c r="F285" s="64" t="s">
        <v>640</v>
      </c>
      <c r="G285" s="64" t="s">
        <v>641</v>
      </c>
      <c r="H285" s="64" t="s">
        <v>642</v>
      </c>
      <c r="I285" s="64"/>
      <c r="J285" s="145">
        <v>8.9499999999999993</v>
      </c>
      <c r="K285" s="64" t="s">
        <v>1911</v>
      </c>
      <c r="L285" s="5"/>
      <c r="M285">
        <f t="shared" si="9"/>
        <v>44.75</v>
      </c>
      <c r="N285" s="103">
        <f t="shared" si="10"/>
        <v>280</v>
      </c>
    </row>
    <row r="286" spans="1:14" s="103" customFormat="1" x14ac:dyDescent="0.3">
      <c r="A286" s="90" t="s">
        <v>896</v>
      </c>
      <c r="B286" s="90" t="s">
        <v>1301</v>
      </c>
      <c r="C286" s="90" t="s">
        <v>8</v>
      </c>
      <c r="D286" s="85" t="s">
        <v>659</v>
      </c>
      <c r="E286" s="64">
        <f>FilterSpecs!$C$3</f>
        <v>5</v>
      </c>
      <c r="F286" s="64" t="s">
        <v>660</v>
      </c>
      <c r="G286" s="64" t="s">
        <v>661</v>
      </c>
      <c r="H286" s="64" t="s">
        <v>662</v>
      </c>
      <c r="I286" s="64"/>
      <c r="J286" s="145">
        <v>11.95</v>
      </c>
      <c r="K286" s="64" t="s">
        <v>1911</v>
      </c>
      <c r="L286" s="5"/>
      <c r="M286">
        <f t="shared" si="9"/>
        <v>59.75</v>
      </c>
      <c r="N286" s="103">
        <f t="shared" si="10"/>
        <v>281</v>
      </c>
    </row>
    <row r="287" spans="1:14" s="103" customFormat="1" x14ac:dyDescent="0.3">
      <c r="A287" s="90" t="s">
        <v>896</v>
      </c>
      <c r="B287" s="90" t="s">
        <v>1301</v>
      </c>
      <c r="C287" s="90" t="s">
        <v>8</v>
      </c>
      <c r="D287" s="85" t="s">
        <v>1104</v>
      </c>
      <c r="E287" s="64">
        <v>1</v>
      </c>
      <c r="F287" s="64" t="s">
        <v>1105</v>
      </c>
      <c r="G287" s="64" t="s">
        <v>1106</v>
      </c>
      <c r="H287" s="64" t="s">
        <v>1107</v>
      </c>
      <c r="I287" s="64">
        <v>1</v>
      </c>
      <c r="J287" s="145">
        <v>0.1</v>
      </c>
      <c r="K287" s="64" t="s">
        <v>1910</v>
      </c>
      <c r="L287" s="5"/>
      <c r="M287">
        <f t="shared" si="9"/>
        <v>0.1</v>
      </c>
      <c r="N287" s="103">
        <f t="shared" si="10"/>
        <v>282</v>
      </c>
    </row>
    <row r="288" spans="1:14" s="103" customFormat="1" hidden="1" x14ac:dyDescent="0.3">
      <c r="A288" s="86" t="s">
        <v>17</v>
      </c>
      <c r="B288" s="86" t="s">
        <v>1301</v>
      </c>
      <c r="C288" s="86" t="s">
        <v>1898</v>
      </c>
      <c r="D288" s="86" t="s">
        <v>2093</v>
      </c>
      <c r="E288" s="89">
        <v>0</v>
      </c>
      <c r="F288" s="12"/>
      <c r="G288" s="12"/>
      <c r="H288" s="51" t="s">
        <v>2092</v>
      </c>
      <c r="I288"/>
      <c r="J288" s="95">
        <v>7.5</v>
      </c>
      <c r="K288" s="82" t="s">
        <v>1910</v>
      </c>
      <c r="L288"/>
      <c r="M288">
        <f t="shared" si="9"/>
        <v>0</v>
      </c>
      <c r="N288" s="103">
        <f t="shared" si="10"/>
        <v>283</v>
      </c>
    </row>
    <row r="289" spans="1:14" s="103" customFormat="1" hidden="1" x14ac:dyDescent="0.3">
      <c r="A289" s="86" t="s">
        <v>17</v>
      </c>
      <c r="B289" s="86" t="s">
        <v>1301</v>
      </c>
      <c r="C289" s="86" t="s">
        <v>1898</v>
      </c>
      <c r="D289" s="86" t="s">
        <v>2091</v>
      </c>
      <c r="E289" s="89">
        <v>0</v>
      </c>
      <c r="F289" s="12"/>
      <c r="G289" s="12"/>
      <c r="H289" s="51" t="s">
        <v>2090</v>
      </c>
      <c r="I289"/>
      <c r="J289" s="95">
        <v>5.95</v>
      </c>
      <c r="K289" s="82" t="s">
        <v>1910</v>
      </c>
      <c r="L289"/>
      <c r="M289">
        <f t="shared" si="9"/>
        <v>0</v>
      </c>
      <c r="N289" s="103">
        <f t="shared" si="10"/>
        <v>284</v>
      </c>
    </row>
    <row r="290" spans="1:14" s="103" customFormat="1" x14ac:dyDescent="0.3">
      <c r="A290" s="90" t="s">
        <v>896</v>
      </c>
      <c r="B290" s="90" t="s">
        <v>890</v>
      </c>
      <c r="C290" s="90" t="s">
        <v>8</v>
      </c>
      <c r="D290" s="85" t="s">
        <v>647</v>
      </c>
      <c r="E290" s="64">
        <f>FilterSpecs!$C$3</f>
        <v>5</v>
      </c>
      <c r="F290" s="64" t="s">
        <v>648</v>
      </c>
      <c r="G290" s="64" t="s">
        <v>649</v>
      </c>
      <c r="H290" s="64" t="s">
        <v>650</v>
      </c>
      <c r="I290" s="64">
        <v>1</v>
      </c>
      <c r="J290" s="145">
        <v>0.95</v>
      </c>
      <c r="K290" s="64" t="s">
        <v>1911</v>
      </c>
      <c r="L290" s="5"/>
      <c r="M290">
        <f t="shared" si="9"/>
        <v>4.75</v>
      </c>
      <c r="N290" s="103">
        <f t="shared" si="10"/>
        <v>285</v>
      </c>
    </row>
    <row r="291" spans="1:14" s="103" customFormat="1" x14ac:dyDescent="0.3">
      <c r="A291" s="90" t="s">
        <v>896</v>
      </c>
      <c r="B291" s="90" t="s">
        <v>890</v>
      </c>
      <c r="C291" s="90" t="s">
        <v>8</v>
      </c>
      <c r="D291" s="85" t="s">
        <v>655</v>
      </c>
      <c r="E291" s="64">
        <f>FilterSpecs!$C$3</f>
        <v>5</v>
      </c>
      <c r="F291" s="64" t="s">
        <v>656</v>
      </c>
      <c r="G291" s="64" t="s">
        <v>657</v>
      </c>
      <c r="H291" s="64" t="s">
        <v>658</v>
      </c>
      <c r="I291" s="64">
        <v>1</v>
      </c>
      <c r="J291" s="145">
        <v>0.95</v>
      </c>
      <c r="K291" s="64" t="s">
        <v>1911</v>
      </c>
      <c r="L291" s="5"/>
      <c r="M291">
        <f t="shared" si="9"/>
        <v>4.75</v>
      </c>
      <c r="N291" s="103">
        <f t="shared" si="10"/>
        <v>286</v>
      </c>
    </row>
    <row r="292" spans="1:14" s="103" customFormat="1" hidden="1" x14ac:dyDescent="0.3">
      <c r="A292" s="12" t="s">
        <v>896</v>
      </c>
      <c r="B292" s="12" t="s">
        <v>890</v>
      </c>
      <c r="C292" s="12" t="s">
        <v>1898</v>
      </c>
      <c r="D292" s="86" t="s">
        <v>2116</v>
      </c>
      <c r="E292" s="12">
        <v>0</v>
      </c>
      <c r="F292" s="12"/>
      <c r="G292" s="12"/>
      <c r="H292" s="51" t="s">
        <v>2117</v>
      </c>
      <c r="I292"/>
      <c r="J292" s="95">
        <v>0.95</v>
      </c>
      <c r="K292" s="51" t="s">
        <v>1910</v>
      </c>
      <c r="L292"/>
      <c r="M292">
        <f t="shared" si="9"/>
        <v>0</v>
      </c>
      <c r="N292" s="103">
        <f t="shared" si="10"/>
        <v>287</v>
      </c>
    </row>
    <row r="293" spans="1:14" s="103" customFormat="1" x14ac:dyDescent="0.3">
      <c r="A293" s="90" t="s">
        <v>896</v>
      </c>
      <c r="B293" s="90" t="s">
        <v>890</v>
      </c>
      <c r="C293" s="90" t="s">
        <v>8</v>
      </c>
      <c r="D293" s="85" t="s">
        <v>1248</v>
      </c>
      <c r="E293" s="64">
        <v>2</v>
      </c>
      <c r="F293" s="64" t="s">
        <v>1249</v>
      </c>
      <c r="G293" s="64" t="s">
        <v>1250</v>
      </c>
      <c r="H293" s="64" t="s">
        <v>1251</v>
      </c>
      <c r="I293" s="64">
        <v>1</v>
      </c>
      <c r="J293" s="145">
        <v>7.95</v>
      </c>
      <c r="K293" s="64" t="s">
        <v>1910</v>
      </c>
      <c r="L293" s="5"/>
      <c r="M293">
        <f t="shared" si="9"/>
        <v>15.9</v>
      </c>
      <c r="N293" s="103">
        <f t="shared" si="10"/>
        <v>288</v>
      </c>
    </row>
    <row r="294" spans="1:14" s="12" customFormat="1" hidden="1" x14ac:dyDescent="0.3">
      <c r="A294" s="112" t="s">
        <v>896</v>
      </c>
      <c r="B294" s="112" t="s">
        <v>890</v>
      </c>
      <c r="C294" s="112" t="s">
        <v>1898</v>
      </c>
      <c r="D294" s="112" t="s">
        <v>2479</v>
      </c>
      <c r="E294" s="112">
        <v>0</v>
      </c>
      <c r="F294"/>
      <c r="G294"/>
      <c r="H294" s="112" t="s">
        <v>2478</v>
      </c>
      <c r="I294" s="113">
        <v>115</v>
      </c>
      <c r="J294" s="114">
        <v>4.95</v>
      </c>
      <c r="K294" s="51" t="s">
        <v>1910</v>
      </c>
      <c r="L294"/>
      <c r="M294">
        <f t="shared" si="9"/>
        <v>0</v>
      </c>
      <c r="N294" s="12">
        <f t="shared" si="10"/>
        <v>289</v>
      </c>
    </row>
    <row r="295" spans="1:14" s="12" customFormat="1" x14ac:dyDescent="0.3">
      <c r="A295" s="90" t="s">
        <v>896</v>
      </c>
      <c r="B295" s="90" t="s">
        <v>2026</v>
      </c>
      <c r="C295" s="90" t="s">
        <v>8</v>
      </c>
      <c r="D295" s="85" t="s">
        <v>1256</v>
      </c>
      <c r="E295" s="64">
        <v>1</v>
      </c>
      <c r="F295" s="64" t="s">
        <v>1257</v>
      </c>
      <c r="G295" s="64" t="s">
        <v>1258</v>
      </c>
      <c r="H295" s="64" t="s">
        <v>1259</v>
      </c>
      <c r="I295" s="64"/>
      <c r="J295" s="145">
        <v>34.950000000000003</v>
      </c>
      <c r="K295" s="64" t="s">
        <v>1910</v>
      </c>
      <c r="L295" s="5"/>
      <c r="M295">
        <f t="shared" si="9"/>
        <v>34.950000000000003</v>
      </c>
      <c r="N295" s="12">
        <f t="shared" si="10"/>
        <v>290</v>
      </c>
    </row>
    <row r="296" spans="1:14" s="12" customFormat="1" hidden="1" x14ac:dyDescent="0.3">
      <c r="A296" s="90" t="s">
        <v>896</v>
      </c>
      <c r="B296" s="90" t="s">
        <v>2026</v>
      </c>
      <c r="C296" s="90" t="s">
        <v>8</v>
      </c>
      <c r="D296" s="85" t="s">
        <v>1260</v>
      </c>
      <c r="E296" s="64">
        <v>0</v>
      </c>
      <c r="F296" s="64" t="s">
        <v>1261</v>
      </c>
      <c r="G296" s="64" t="s">
        <v>1262</v>
      </c>
      <c r="H296" s="64" t="s">
        <v>1263</v>
      </c>
      <c r="I296" s="64">
        <v>1</v>
      </c>
      <c r="J296" s="145">
        <v>9.9499999999999993</v>
      </c>
      <c r="K296" s="64" t="s">
        <v>1910</v>
      </c>
      <c r="L296" s="5"/>
      <c r="M296">
        <f t="shared" si="9"/>
        <v>0</v>
      </c>
      <c r="N296" s="12">
        <f t="shared" si="10"/>
        <v>291</v>
      </c>
    </row>
    <row r="297" spans="1:14" s="12" customFormat="1" x14ac:dyDescent="0.3">
      <c r="A297" s="12" t="s">
        <v>896</v>
      </c>
      <c r="B297" s="12" t="s">
        <v>2026</v>
      </c>
      <c r="C297" s="12" t="s">
        <v>1898</v>
      </c>
      <c r="D297" s="86" t="s">
        <v>2120</v>
      </c>
      <c r="E297" s="12">
        <v>3</v>
      </c>
      <c r="H297" s="51" t="s">
        <v>2121</v>
      </c>
      <c r="I297"/>
      <c r="J297" s="95">
        <v>4.95</v>
      </c>
      <c r="K297" s="51" t="s">
        <v>1910</v>
      </c>
      <c r="L297"/>
      <c r="M297">
        <f t="shared" si="9"/>
        <v>14.850000000000001</v>
      </c>
      <c r="N297" s="12">
        <f t="shared" si="10"/>
        <v>292</v>
      </c>
    </row>
    <row r="298" spans="1:14" s="12" customFormat="1" x14ac:dyDescent="0.3">
      <c r="A298" s="12" t="s">
        <v>896</v>
      </c>
      <c r="B298" s="12" t="s">
        <v>2026</v>
      </c>
      <c r="C298" s="12" t="s">
        <v>1898</v>
      </c>
      <c r="D298" s="86" t="s">
        <v>2122</v>
      </c>
      <c r="E298" s="12">
        <v>1</v>
      </c>
      <c r="H298" s="51" t="s">
        <v>2123</v>
      </c>
      <c r="I298"/>
      <c r="J298" s="95">
        <v>17.95</v>
      </c>
      <c r="K298" s="51" t="s">
        <v>1910</v>
      </c>
      <c r="L298"/>
      <c r="M298">
        <f t="shared" si="9"/>
        <v>17.95</v>
      </c>
      <c r="N298" s="12">
        <f t="shared" si="10"/>
        <v>293</v>
      </c>
    </row>
    <row r="299" spans="1:14" s="12" customFormat="1" x14ac:dyDescent="0.3">
      <c r="A299" s="90" t="s">
        <v>896</v>
      </c>
      <c r="B299" s="90" t="s">
        <v>1302</v>
      </c>
      <c r="C299" s="90" t="s">
        <v>8</v>
      </c>
      <c r="D299" s="85" t="s">
        <v>1088</v>
      </c>
      <c r="E299" s="64">
        <v>3</v>
      </c>
      <c r="F299" s="64" t="s">
        <v>1089</v>
      </c>
      <c r="G299" s="64" t="s">
        <v>1090</v>
      </c>
      <c r="H299" s="64" t="s">
        <v>1091</v>
      </c>
      <c r="I299" s="64">
        <v>1</v>
      </c>
      <c r="J299" s="145">
        <v>1.95</v>
      </c>
      <c r="K299" s="64" t="s">
        <v>1910</v>
      </c>
      <c r="L299" s="64" t="s">
        <v>1210</v>
      </c>
      <c r="M299">
        <f t="shared" si="9"/>
        <v>5.85</v>
      </c>
      <c r="N299" s="12">
        <f t="shared" si="10"/>
        <v>294</v>
      </c>
    </row>
    <row r="300" spans="1:14" s="12" customFormat="1" x14ac:dyDescent="0.3">
      <c r="A300" s="90" t="s">
        <v>896</v>
      </c>
      <c r="B300" s="90" t="s">
        <v>1302</v>
      </c>
      <c r="C300" s="90" t="s">
        <v>8</v>
      </c>
      <c r="D300" s="85" t="s">
        <v>1268</v>
      </c>
      <c r="E300" s="64">
        <v>3</v>
      </c>
      <c r="F300" s="64" t="s">
        <v>1269</v>
      </c>
      <c r="G300" s="64" t="s">
        <v>1270</v>
      </c>
      <c r="H300" s="64" t="s">
        <v>1271</v>
      </c>
      <c r="I300" s="64"/>
      <c r="J300" s="145">
        <v>1.5</v>
      </c>
      <c r="K300" s="64" t="s">
        <v>1910</v>
      </c>
      <c r="L300" s="5"/>
      <c r="M300">
        <f t="shared" si="9"/>
        <v>4.5</v>
      </c>
      <c r="N300" s="12">
        <f t="shared" si="10"/>
        <v>295</v>
      </c>
    </row>
    <row r="301" spans="1:14" s="12" customFormat="1" x14ac:dyDescent="0.3">
      <c r="A301" s="90" t="s">
        <v>896</v>
      </c>
      <c r="B301" s="90" t="s">
        <v>1302</v>
      </c>
      <c r="C301" s="90" t="s">
        <v>8</v>
      </c>
      <c r="D301" s="85" t="s">
        <v>1084</v>
      </c>
      <c r="E301" s="64">
        <v>3</v>
      </c>
      <c r="F301" s="64" t="s">
        <v>1085</v>
      </c>
      <c r="G301" s="64" t="s">
        <v>1086</v>
      </c>
      <c r="H301" s="64" t="s">
        <v>1087</v>
      </c>
      <c r="I301" s="64">
        <v>1</v>
      </c>
      <c r="J301" s="145">
        <v>0.95</v>
      </c>
      <c r="K301" s="64" t="s">
        <v>1910</v>
      </c>
      <c r="L301" s="64" t="s">
        <v>1210</v>
      </c>
      <c r="M301">
        <f t="shared" si="9"/>
        <v>2.8499999999999996</v>
      </c>
      <c r="N301" s="12">
        <f t="shared" si="10"/>
        <v>296</v>
      </c>
    </row>
    <row r="302" spans="1:14" s="12" customFormat="1" x14ac:dyDescent="0.3">
      <c r="A302" s="12" t="s">
        <v>896</v>
      </c>
      <c r="B302" s="12" t="s">
        <v>1302</v>
      </c>
      <c r="C302" s="12" t="s">
        <v>1898</v>
      </c>
      <c r="D302" s="86" t="s">
        <v>2118</v>
      </c>
      <c r="E302" s="104">
        <f>2*FilterSpecs!$C$3</f>
        <v>10</v>
      </c>
      <c r="H302" s="51" t="s">
        <v>2119</v>
      </c>
      <c r="I302"/>
      <c r="J302" s="95">
        <v>0.75</v>
      </c>
      <c r="K302" s="51" t="s">
        <v>1910</v>
      </c>
      <c r="L302"/>
      <c r="M302">
        <f t="shared" si="9"/>
        <v>7.5</v>
      </c>
      <c r="N302" s="12">
        <f t="shared" si="10"/>
        <v>297</v>
      </c>
    </row>
    <row r="303" spans="1:14" s="12" customFormat="1" x14ac:dyDescent="0.3">
      <c r="A303" s="90" t="s">
        <v>896</v>
      </c>
      <c r="B303" s="90" t="s">
        <v>1302</v>
      </c>
      <c r="C303" s="90" t="s">
        <v>8</v>
      </c>
      <c r="D303" s="85" t="s">
        <v>1264</v>
      </c>
      <c r="E303" s="64">
        <v>2</v>
      </c>
      <c r="F303" s="64" t="s">
        <v>1265</v>
      </c>
      <c r="G303" s="64" t="s">
        <v>1266</v>
      </c>
      <c r="H303" s="64" t="s">
        <v>1267</v>
      </c>
      <c r="I303" s="64">
        <v>1</v>
      </c>
      <c r="J303" s="145">
        <v>1.95</v>
      </c>
      <c r="K303" s="64" t="s">
        <v>1910</v>
      </c>
      <c r="L303" s="5"/>
      <c r="M303">
        <f t="shared" si="9"/>
        <v>3.9</v>
      </c>
      <c r="N303" s="12">
        <f t="shared" si="10"/>
        <v>298</v>
      </c>
    </row>
    <row r="304" spans="1:14" s="12" customFormat="1" x14ac:dyDescent="0.3">
      <c r="A304" s="90" t="s">
        <v>896</v>
      </c>
      <c r="B304" s="90" t="s">
        <v>1302</v>
      </c>
      <c r="C304" s="90" t="s">
        <v>8</v>
      </c>
      <c r="D304" s="85" t="s">
        <v>1080</v>
      </c>
      <c r="E304" s="64">
        <v>3</v>
      </c>
      <c r="F304" s="64" t="s">
        <v>1081</v>
      </c>
      <c r="G304" s="64" t="s">
        <v>1082</v>
      </c>
      <c r="H304" s="64" t="s">
        <v>1083</v>
      </c>
      <c r="I304" s="64"/>
      <c r="J304" s="145">
        <v>3.95</v>
      </c>
      <c r="K304" s="64" t="s">
        <v>1910</v>
      </c>
      <c r="L304" s="5"/>
      <c r="M304">
        <f t="shared" si="9"/>
        <v>11.850000000000001</v>
      </c>
      <c r="N304" s="12">
        <f t="shared" si="10"/>
        <v>299</v>
      </c>
    </row>
    <row r="305" spans="1:14" s="12" customFormat="1" x14ac:dyDescent="0.3">
      <c r="A305" s="90" t="s">
        <v>896</v>
      </c>
      <c r="B305" s="90" t="s">
        <v>995</v>
      </c>
      <c r="C305" s="90" t="s">
        <v>8</v>
      </c>
      <c r="D305" s="85" t="s">
        <v>643</v>
      </c>
      <c r="E305" s="64">
        <v>3</v>
      </c>
      <c r="F305" s="64" t="s">
        <v>644</v>
      </c>
      <c r="G305" s="64" t="s">
        <v>645</v>
      </c>
      <c r="H305" s="64" t="s">
        <v>646</v>
      </c>
      <c r="I305" s="64"/>
      <c r="J305" s="145">
        <v>3.95</v>
      </c>
      <c r="K305" s="64" t="s">
        <v>1910</v>
      </c>
      <c r="L305" s="5"/>
      <c r="M305">
        <f t="shared" si="9"/>
        <v>11.850000000000001</v>
      </c>
      <c r="N305" s="12">
        <f t="shared" si="10"/>
        <v>300</v>
      </c>
    </row>
    <row r="306" spans="1:14" s="12" customFormat="1" x14ac:dyDescent="0.3">
      <c r="A306" s="90" t="s">
        <v>896</v>
      </c>
      <c r="B306" s="90" t="s">
        <v>995</v>
      </c>
      <c r="C306" s="90" t="s">
        <v>8</v>
      </c>
      <c r="D306" s="85" t="s">
        <v>651</v>
      </c>
      <c r="E306" s="104">
        <f>FilterSpecs!$C$3</f>
        <v>5</v>
      </c>
      <c r="F306" s="64" t="s">
        <v>652</v>
      </c>
      <c r="G306" s="64" t="s">
        <v>653</v>
      </c>
      <c r="H306" s="64" t="s">
        <v>654</v>
      </c>
      <c r="I306" s="64">
        <v>1</v>
      </c>
      <c r="J306" s="145">
        <v>2.95</v>
      </c>
      <c r="K306" s="64" t="s">
        <v>1910</v>
      </c>
      <c r="L306" s="5"/>
      <c r="M306">
        <f t="shared" si="9"/>
        <v>14.75</v>
      </c>
      <c r="N306" s="12">
        <f t="shared" si="10"/>
        <v>301</v>
      </c>
    </row>
    <row r="307" spans="1:14" s="12" customFormat="1" x14ac:dyDescent="0.3">
      <c r="A307" s="90" t="s">
        <v>896</v>
      </c>
      <c r="B307" s="90" t="s">
        <v>995</v>
      </c>
      <c r="C307" s="90" t="s">
        <v>8</v>
      </c>
      <c r="D307" s="85" t="s">
        <v>707</v>
      </c>
      <c r="E307" s="104">
        <f>FilterSpecs!$C$3</f>
        <v>5</v>
      </c>
      <c r="F307" s="64" t="s">
        <v>708</v>
      </c>
      <c r="G307" s="64" t="s">
        <v>709</v>
      </c>
      <c r="H307" s="64" t="s">
        <v>710</v>
      </c>
      <c r="I307" s="64">
        <v>1</v>
      </c>
      <c r="J307" s="145">
        <v>1.5</v>
      </c>
      <c r="K307" s="64" t="s">
        <v>1910</v>
      </c>
      <c r="L307" s="5"/>
      <c r="M307">
        <f t="shared" si="9"/>
        <v>7.5</v>
      </c>
      <c r="N307" s="12">
        <f t="shared" si="10"/>
        <v>302</v>
      </c>
    </row>
    <row r="308" spans="1:14" s="12" customFormat="1" x14ac:dyDescent="0.3">
      <c r="A308" s="90" t="s">
        <v>896</v>
      </c>
      <c r="B308" s="90" t="s">
        <v>995</v>
      </c>
      <c r="C308" s="90" t="s">
        <v>8</v>
      </c>
      <c r="D308" s="85" t="s">
        <v>909</v>
      </c>
      <c r="E308" s="64">
        <v>3</v>
      </c>
      <c r="F308" s="64" t="s">
        <v>910</v>
      </c>
      <c r="G308" s="64" t="s">
        <v>911</v>
      </c>
      <c r="H308" s="64" t="s">
        <v>912</v>
      </c>
      <c r="I308" s="64">
        <v>1</v>
      </c>
      <c r="J308" s="145">
        <v>3.95</v>
      </c>
      <c r="K308" s="64" t="s">
        <v>1910</v>
      </c>
      <c r="L308" s="5"/>
      <c r="M308">
        <f t="shared" si="9"/>
        <v>11.850000000000001</v>
      </c>
      <c r="N308" s="12">
        <f t="shared" si="10"/>
        <v>303</v>
      </c>
    </row>
    <row r="309" spans="1:14" s="12" customFormat="1" x14ac:dyDescent="0.3">
      <c r="A309" s="90" t="s">
        <v>896</v>
      </c>
      <c r="B309" s="90" t="s">
        <v>995</v>
      </c>
      <c r="C309" s="90" t="s">
        <v>8</v>
      </c>
      <c r="D309" s="85" t="s">
        <v>913</v>
      </c>
      <c r="E309" s="104">
        <f>FilterSpecs!$C$3</f>
        <v>5</v>
      </c>
      <c r="F309" s="64" t="s">
        <v>914</v>
      </c>
      <c r="G309" s="64" t="s">
        <v>915</v>
      </c>
      <c r="H309" s="64" t="s">
        <v>916</v>
      </c>
      <c r="I309" s="64">
        <v>1</v>
      </c>
      <c r="J309" s="145">
        <v>0.46</v>
      </c>
      <c r="K309" s="64" t="s">
        <v>1910</v>
      </c>
      <c r="L309" s="5"/>
      <c r="M309">
        <f t="shared" si="9"/>
        <v>2.3000000000000003</v>
      </c>
      <c r="N309" s="12">
        <f t="shared" si="10"/>
        <v>304</v>
      </c>
    </row>
    <row r="310" spans="1:14" s="12" customFormat="1" x14ac:dyDescent="0.3">
      <c r="A310" s="90" t="s">
        <v>896</v>
      </c>
      <c r="B310" s="90" t="s">
        <v>995</v>
      </c>
      <c r="C310" s="90" t="s">
        <v>8</v>
      </c>
      <c r="D310" s="85" t="s">
        <v>937</v>
      </c>
      <c r="E310" s="104">
        <f>2*FilterSpecs!$C$3</f>
        <v>10</v>
      </c>
      <c r="F310" s="64" t="s">
        <v>938</v>
      </c>
      <c r="G310" s="64" t="s">
        <v>939</v>
      </c>
      <c r="H310" s="64" t="s">
        <v>940</v>
      </c>
      <c r="I310" s="64">
        <v>1</v>
      </c>
      <c r="J310" s="145">
        <v>3.95</v>
      </c>
      <c r="K310" s="64" t="s">
        <v>1910</v>
      </c>
      <c r="L310" s="5"/>
      <c r="M310">
        <f t="shared" si="9"/>
        <v>39.5</v>
      </c>
      <c r="N310" s="12">
        <f t="shared" si="10"/>
        <v>305</v>
      </c>
    </row>
    <row r="311" spans="1:14" s="103" customFormat="1" x14ac:dyDescent="0.3">
      <c r="A311" s="90" t="s">
        <v>896</v>
      </c>
      <c r="B311" s="90" t="s">
        <v>1303</v>
      </c>
      <c r="C311" s="90" t="s">
        <v>8</v>
      </c>
      <c r="D311" s="85" t="s">
        <v>1240</v>
      </c>
      <c r="E311" s="64">
        <v>1</v>
      </c>
      <c r="F311" s="64" t="s">
        <v>1241</v>
      </c>
      <c r="G311" s="64" t="s">
        <v>1242</v>
      </c>
      <c r="H311" s="64" t="s">
        <v>1243</v>
      </c>
      <c r="I311" s="64">
        <v>1</v>
      </c>
      <c r="J311" s="145">
        <v>2.95</v>
      </c>
      <c r="K311" s="64" t="s">
        <v>1910</v>
      </c>
      <c r="L311" s="5"/>
      <c r="M311">
        <f t="shared" si="9"/>
        <v>2.95</v>
      </c>
      <c r="N311" s="103">
        <f t="shared" si="10"/>
        <v>306</v>
      </c>
    </row>
    <row r="312" spans="1:14" s="103" customFormat="1" x14ac:dyDescent="0.3">
      <c r="A312" s="90" t="s">
        <v>896</v>
      </c>
      <c r="B312" s="90" t="s">
        <v>1303</v>
      </c>
      <c r="C312" s="90" t="s">
        <v>8</v>
      </c>
      <c r="D312" s="85" t="s">
        <v>1244</v>
      </c>
      <c r="E312" s="64">
        <v>1</v>
      </c>
      <c r="F312" s="64" t="s">
        <v>1245</v>
      </c>
      <c r="G312" s="64" t="s">
        <v>1246</v>
      </c>
      <c r="H312" s="64" t="s">
        <v>1247</v>
      </c>
      <c r="I312" s="64">
        <v>1</v>
      </c>
      <c r="J312" s="145">
        <v>3.95</v>
      </c>
      <c r="K312" s="64" t="s">
        <v>1910</v>
      </c>
      <c r="L312" s="5"/>
      <c r="M312">
        <f t="shared" si="9"/>
        <v>3.95</v>
      </c>
      <c r="N312" s="103">
        <f t="shared" si="10"/>
        <v>307</v>
      </c>
    </row>
    <row r="313" spans="1:14" s="103" customFormat="1" x14ac:dyDescent="0.3">
      <c r="A313" s="102" t="s">
        <v>897</v>
      </c>
      <c r="B313" s="102" t="s">
        <v>891</v>
      </c>
      <c r="C313" s="102" t="s">
        <v>8</v>
      </c>
      <c r="D313" s="103" t="s">
        <v>1295</v>
      </c>
      <c r="E313" s="104">
        <f>SUM(E314:E318)</f>
        <v>4</v>
      </c>
      <c r="F313" s="103" t="s">
        <v>1296</v>
      </c>
      <c r="G313" s="103" t="s">
        <v>1297</v>
      </c>
      <c r="H313" s="103" t="s">
        <v>1298</v>
      </c>
      <c r="I313" s="103">
        <v>1</v>
      </c>
      <c r="J313" s="104">
        <v>1.5</v>
      </c>
      <c r="K313" s="107" t="s">
        <v>1911</v>
      </c>
      <c r="M313">
        <f t="shared" si="9"/>
        <v>6</v>
      </c>
      <c r="N313" s="103">
        <f t="shared" si="10"/>
        <v>308</v>
      </c>
    </row>
    <row r="314" spans="1:14" s="103" customFormat="1" x14ac:dyDescent="0.3">
      <c r="A314" s="102" t="s">
        <v>897</v>
      </c>
      <c r="B314" s="102" t="s">
        <v>891</v>
      </c>
      <c r="C314" s="102" t="s">
        <v>8</v>
      </c>
      <c r="D314" s="103" t="s">
        <v>603</v>
      </c>
      <c r="E314" s="104">
        <v>1</v>
      </c>
      <c r="F314" s="103" t="s">
        <v>604</v>
      </c>
      <c r="G314" s="103" t="s">
        <v>605</v>
      </c>
      <c r="H314" s="103" t="s">
        <v>606</v>
      </c>
      <c r="J314" s="104">
        <v>1.95</v>
      </c>
      <c r="K314" s="103" t="s">
        <v>1910</v>
      </c>
      <c r="M314">
        <f t="shared" si="9"/>
        <v>1.95</v>
      </c>
      <c r="N314" s="103">
        <f t="shared" si="10"/>
        <v>309</v>
      </c>
    </row>
    <row r="315" spans="1:14" s="103" customFormat="1" x14ac:dyDescent="0.3">
      <c r="A315" s="102" t="s">
        <v>897</v>
      </c>
      <c r="B315" s="102" t="s">
        <v>891</v>
      </c>
      <c r="C315" s="102" t="s">
        <v>8</v>
      </c>
      <c r="D315" s="103" t="s">
        <v>607</v>
      </c>
      <c r="E315" s="104">
        <v>1</v>
      </c>
      <c r="F315" s="103" t="s">
        <v>608</v>
      </c>
      <c r="G315" s="103" t="s">
        <v>609</v>
      </c>
      <c r="H315" s="103" t="s">
        <v>610</v>
      </c>
      <c r="J315" s="104">
        <v>1.95</v>
      </c>
      <c r="K315" s="103" t="s">
        <v>1910</v>
      </c>
      <c r="M315">
        <f t="shared" si="9"/>
        <v>1.95</v>
      </c>
      <c r="N315" s="103">
        <f t="shared" si="10"/>
        <v>310</v>
      </c>
    </row>
    <row r="316" spans="1:14" s="103" customFormat="1" x14ac:dyDescent="0.3">
      <c r="A316" s="102" t="s">
        <v>897</v>
      </c>
      <c r="B316" s="102" t="s">
        <v>891</v>
      </c>
      <c r="C316" s="102" t="s">
        <v>8</v>
      </c>
      <c r="D316" s="103" t="s">
        <v>1293</v>
      </c>
      <c r="E316" s="104">
        <v>1</v>
      </c>
      <c r="F316" s="103" t="s">
        <v>1299</v>
      </c>
      <c r="G316" s="103" t="s">
        <v>1300</v>
      </c>
      <c r="H316" s="103" t="s">
        <v>1294</v>
      </c>
      <c r="J316" s="104">
        <v>1.95</v>
      </c>
      <c r="K316" s="103" t="s">
        <v>1910</v>
      </c>
      <c r="M316">
        <f t="shared" si="9"/>
        <v>1.95</v>
      </c>
      <c r="N316" s="103">
        <f t="shared" si="10"/>
        <v>311</v>
      </c>
    </row>
    <row r="317" spans="1:14" s="12" customFormat="1" hidden="1" x14ac:dyDescent="0.3">
      <c r="A317" s="51" t="s">
        <v>897</v>
      </c>
      <c r="B317" s="51" t="s">
        <v>891</v>
      </c>
      <c r="C317" s="51" t="s">
        <v>8</v>
      </c>
      <c r="D317" s="12" t="s">
        <v>1709</v>
      </c>
      <c r="E317" s="89">
        <v>0</v>
      </c>
      <c r="F317" s="12" t="s">
        <v>1710</v>
      </c>
      <c r="G317" s="12" t="s">
        <v>1711</v>
      </c>
      <c r="H317" s="12" t="s">
        <v>1712</v>
      </c>
      <c r="J317" s="89">
        <v>1.95</v>
      </c>
      <c r="K317" s="12" t="s">
        <v>1910</v>
      </c>
      <c r="M317">
        <f t="shared" si="9"/>
        <v>0</v>
      </c>
      <c r="N317" s="12">
        <f t="shared" si="10"/>
        <v>312</v>
      </c>
    </row>
    <row r="318" spans="1:14" s="12" customFormat="1" x14ac:dyDescent="0.3">
      <c r="A318" s="51" t="s">
        <v>897</v>
      </c>
      <c r="B318" s="51" t="s">
        <v>891</v>
      </c>
      <c r="C318" s="51" t="s">
        <v>8</v>
      </c>
      <c r="D318" s="12" t="s">
        <v>1713</v>
      </c>
      <c r="E318" s="89">
        <v>1</v>
      </c>
      <c r="F318" s="12" t="s">
        <v>1714</v>
      </c>
      <c r="G318" s="12" t="s">
        <v>1715</v>
      </c>
      <c r="H318" s="12" t="s">
        <v>1716</v>
      </c>
      <c r="J318" s="89">
        <v>1.95</v>
      </c>
      <c r="K318" s="12" t="s">
        <v>1910</v>
      </c>
      <c r="M318">
        <f t="shared" si="9"/>
        <v>1.95</v>
      </c>
      <c r="N318" s="12">
        <f t="shared" si="10"/>
        <v>313</v>
      </c>
    </row>
    <row r="319" spans="1:14" s="12" customFormat="1" hidden="1" x14ac:dyDescent="0.3">
      <c r="A319" s="12" t="s">
        <v>897</v>
      </c>
      <c r="B319" s="12" t="s">
        <v>891</v>
      </c>
      <c r="C319" s="12" t="s">
        <v>1898</v>
      </c>
      <c r="D319" s="12" t="s">
        <v>2136</v>
      </c>
      <c r="E319" s="89">
        <v>0</v>
      </c>
      <c r="H319" s="51" t="s">
        <v>2137</v>
      </c>
      <c r="I319"/>
      <c r="J319" s="95">
        <v>2.5</v>
      </c>
      <c r="K319" s="51" t="s">
        <v>1910</v>
      </c>
      <c r="L319"/>
      <c r="M319">
        <f t="shared" si="9"/>
        <v>0</v>
      </c>
      <c r="N319" s="12">
        <f t="shared" si="10"/>
        <v>314</v>
      </c>
    </row>
    <row r="320" spans="1:14" s="12" customFormat="1" x14ac:dyDescent="0.3">
      <c r="A320" s="51" t="s">
        <v>897</v>
      </c>
      <c r="B320" s="51" t="s">
        <v>891</v>
      </c>
      <c r="C320" s="51" t="s">
        <v>8</v>
      </c>
      <c r="D320" s="12" t="s">
        <v>615</v>
      </c>
      <c r="E320" s="89">
        <v>2</v>
      </c>
      <c r="F320" s="12" t="s">
        <v>616</v>
      </c>
      <c r="G320" s="12" t="s">
        <v>617</v>
      </c>
      <c r="H320" s="12" t="s">
        <v>618</v>
      </c>
      <c r="I320" s="12">
        <v>1</v>
      </c>
      <c r="J320" s="89">
        <v>0.35</v>
      </c>
      <c r="K320" s="12" t="s">
        <v>1910</v>
      </c>
      <c r="M320">
        <f t="shared" si="9"/>
        <v>0.7</v>
      </c>
      <c r="N320" s="12">
        <f t="shared" si="10"/>
        <v>315</v>
      </c>
    </row>
    <row r="321" spans="1:14" s="12" customFormat="1" x14ac:dyDescent="0.3">
      <c r="A321" s="51" t="s">
        <v>897</v>
      </c>
      <c r="B321" s="51" t="s">
        <v>891</v>
      </c>
      <c r="C321" s="51" t="s">
        <v>8</v>
      </c>
      <c r="D321" s="12" t="s">
        <v>627</v>
      </c>
      <c r="E321" s="89">
        <v>2</v>
      </c>
      <c r="F321" s="12" t="s">
        <v>628</v>
      </c>
      <c r="G321" s="12" t="s">
        <v>629</v>
      </c>
      <c r="H321" s="12" t="s">
        <v>630</v>
      </c>
      <c r="I321" s="12">
        <v>1</v>
      </c>
      <c r="J321" s="89">
        <v>0.5</v>
      </c>
      <c r="K321" s="12" t="s">
        <v>1910</v>
      </c>
      <c r="M321">
        <f t="shared" si="9"/>
        <v>1</v>
      </c>
      <c r="N321" s="12">
        <f t="shared" si="10"/>
        <v>316</v>
      </c>
    </row>
    <row r="322" spans="1:14" s="12" customFormat="1" x14ac:dyDescent="0.3">
      <c r="A322" s="51" t="s">
        <v>897</v>
      </c>
      <c r="B322" s="51" t="s">
        <v>891</v>
      </c>
      <c r="C322" s="51" t="s">
        <v>8</v>
      </c>
      <c r="D322" s="12" t="s">
        <v>623</v>
      </c>
      <c r="E322" s="89">
        <v>2</v>
      </c>
      <c r="F322" s="12" t="s">
        <v>624</v>
      </c>
      <c r="G322" s="12" t="s">
        <v>625</v>
      </c>
      <c r="H322" s="12" t="s">
        <v>626</v>
      </c>
      <c r="I322" s="12">
        <v>1</v>
      </c>
      <c r="J322" s="89">
        <v>0.5</v>
      </c>
      <c r="K322" s="12" t="s">
        <v>1910</v>
      </c>
      <c r="M322">
        <f t="shared" si="9"/>
        <v>1</v>
      </c>
      <c r="N322" s="12">
        <f t="shared" si="10"/>
        <v>317</v>
      </c>
    </row>
    <row r="323" spans="1:14" s="12" customFormat="1" hidden="1" x14ac:dyDescent="0.3">
      <c r="A323" s="12" t="s">
        <v>897</v>
      </c>
      <c r="B323" s="12" t="s">
        <v>891</v>
      </c>
      <c r="C323" s="12" t="s">
        <v>1898</v>
      </c>
      <c r="D323" s="12" t="s">
        <v>2124</v>
      </c>
      <c r="E323" s="89">
        <v>0</v>
      </c>
      <c r="H323" s="51" t="s">
        <v>2125</v>
      </c>
      <c r="I323"/>
      <c r="J323" s="95">
        <v>1.95</v>
      </c>
      <c r="K323" s="51" t="s">
        <v>1910</v>
      </c>
      <c r="L323"/>
      <c r="M323">
        <f t="shared" si="9"/>
        <v>0</v>
      </c>
      <c r="N323" s="12">
        <f t="shared" si="10"/>
        <v>318</v>
      </c>
    </row>
    <row r="324" spans="1:14" s="103" customFormat="1" hidden="1" x14ac:dyDescent="0.3">
      <c r="A324" s="103" t="s">
        <v>897</v>
      </c>
      <c r="B324" s="103" t="s">
        <v>891</v>
      </c>
      <c r="C324" s="103" t="s">
        <v>1898</v>
      </c>
      <c r="D324" s="103" t="s">
        <v>2126</v>
      </c>
      <c r="E324" s="104">
        <v>0</v>
      </c>
      <c r="H324" s="102" t="s">
        <v>2127</v>
      </c>
      <c r="I324" s="105"/>
      <c r="J324" s="111">
        <v>1.95</v>
      </c>
      <c r="K324" s="102" t="s">
        <v>1910</v>
      </c>
      <c r="L324" s="105"/>
      <c r="M324">
        <f t="shared" si="9"/>
        <v>0</v>
      </c>
      <c r="N324" s="103">
        <f t="shared" si="10"/>
        <v>319</v>
      </c>
    </row>
    <row r="325" spans="1:14" s="103" customFormat="1" x14ac:dyDescent="0.3">
      <c r="A325" s="102" t="s">
        <v>897</v>
      </c>
      <c r="B325" s="102" t="s">
        <v>891</v>
      </c>
      <c r="C325" s="102" t="s">
        <v>8</v>
      </c>
      <c r="D325" s="103" t="s">
        <v>619</v>
      </c>
      <c r="E325" s="104">
        <f>FilterSpecs!$C$3</f>
        <v>5</v>
      </c>
      <c r="F325" s="103" t="s">
        <v>620</v>
      </c>
      <c r="G325" s="103" t="s">
        <v>621</v>
      </c>
      <c r="H325" s="103" t="s">
        <v>622</v>
      </c>
      <c r="I325" s="103">
        <v>1</v>
      </c>
      <c r="J325" s="104">
        <v>0.5</v>
      </c>
      <c r="K325" s="103" t="s">
        <v>1911</v>
      </c>
      <c r="M325">
        <f t="shared" si="9"/>
        <v>2.5</v>
      </c>
      <c r="N325" s="103">
        <f t="shared" si="10"/>
        <v>320</v>
      </c>
    </row>
    <row r="326" spans="1:14" s="103" customFormat="1" x14ac:dyDescent="0.3">
      <c r="A326" s="102" t="s">
        <v>897</v>
      </c>
      <c r="B326" s="102" t="s">
        <v>891</v>
      </c>
      <c r="C326" s="102" t="s">
        <v>8</v>
      </c>
      <c r="D326" s="103" t="s">
        <v>531</v>
      </c>
      <c r="E326" s="104">
        <f>FilterSpecs!$C$3+2</f>
        <v>7</v>
      </c>
      <c r="F326" s="103" t="s">
        <v>532</v>
      </c>
      <c r="G326" s="103" t="s">
        <v>533</v>
      </c>
      <c r="H326" s="103" t="s">
        <v>534</v>
      </c>
      <c r="I326" s="103">
        <v>1</v>
      </c>
      <c r="J326" s="104">
        <v>0.95</v>
      </c>
      <c r="K326" s="107" t="s">
        <v>1911</v>
      </c>
      <c r="M326">
        <f t="shared" ref="M326:M389" si="11">E326*J326</f>
        <v>6.6499999999999995</v>
      </c>
      <c r="N326" s="103">
        <f t="shared" ref="N326:N389" si="12">IF($N325="List #",1,$N325+1)</f>
        <v>321</v>
      </c>
    </row>
    <row r="327" spans="1:14" s="103" customFormat="1" x14ac:dyDescent="0.3">
      <c r="A327" s="102" t="s">
        <v>897</v>
      </c>
      <c r="B327" s="102" t="s">
        <v>891</v>
      </c>
      <c r="C327" s="102" t="s">
        <v>8</v>
      </c>
      <c r="D327" s="103" t="s">
        <v>631</v>
      </c>
      <c r="E327" s="104">
        <v>2</v>
      </c>
      <c r="F327" s="103" t="s">
        <v>632</v>
      </c>
      <c r="G327" s="103" t="s">
        <v>633</v>
      </c>
      <c r="H327" s="103" t="s">
        <v>634</v>
      </c>
      <c r="I327" s="103">
        <v>1</v>
      </c>
      <c r="J327" s="104">
        <v>1.5</v>
      </c>
      <c r="K327" s="103" t="s">
        <v>1910</v>
      </c>
      <c r="M327">
        <f t="shared" si="11"/>
        <v>3</v>
      </c>
      <c r="N327" s="103">
        <f t="shared" si="12"/>
        <v>322</v>
      </c>
    </row>
    <row r="328" spans="1:14" s="103" customFormat="1" x14ac:dyDescent="0.3">
      <c r="A328" s="102" t="s">
        <v>897</v>
      </c>
      <c r="B328" s="102" t="s">
        <v>891</v>
      </c>
      <c r="C328" s="102" t="s">
        <v>8</v>
      </c>
      <c r="D328" s="103" t="s">
        <v>1334</v>
      </c>
      <c r="E328" s="104">
        <f>FilterSpecs!$C$3</f>
        <v>5</v>
      </c>
      <c r="F328" s="103" t="s">
        <v>1335</v>
      </c>
      <c r="G328" s="103" t="s">
        <v>1336</v>
      </c>
      <c r="H328" s="103" t="s">
        <v>1337</v>
      </c>
      <c r="I328" s="103">
        <v>1</v>
      </c>
      <c r="J328" s="104">
        <v>0.75</v>
      </c>
      <c r="K328" s="103" t="s">
        <v>1911</v>
      </c>
      <c r="M328">
        <f t="shared" si="11"/>
        <v>3.75</v>
      </c>
      <c r="N328" s="103">
        <f t="shared" si="12"/>
        <v>323</v>
      </c>
    </row>
    <row r="329" spans="1:14" s="12" customFormat="1" x14ac:dyDescent="0.3">
      <c r="A329" s="51" t="s">
        <v>897</v>
      </c>
      <c r="B329" s="51" t="s">
        <v>891</v>
      </c>
      <c r="C329" s="51" t="s">
        <v>8</v>
      </c>
      <c r="D329" s="12" t="s">
        <v>1677</v>
      </c>
      <c r="E329" s="89">
        <v>1</v>
      </c>
      <c r="F329" s="12" t="s">
        <v>1678</v>
      </c>
      <c r="G329" s="12" t="s">
        <v>1679</v>
      </c>
      <c r="H329" s="12" t="s">
        <v>1680</v>
      </c>
      <c r="I329" s="12">
        <v>1</v>
      </c>
      <c r="J329" s="89">
        <v>0.95</v>
      </c>
      <c r="K329" s="12" t="s">
        <v>1910</v>
      </c>
      <c r="M329">
        <f t="shared" si="11"/>
        <v>0.95</v>
      </c>
      <c r="N329" s="12">
        <f t="shared" si="12"/>
        <v>324</v>
      </c>
    </row>
    <row r="330" spans="1:14" s="12" customFormat="1" x14ac:dyDescent="0.3">
      <c r="A330" s="51" t="s">
        <v>897</v>
      </c>
      <c r="B330" s="51" t="s">
        <v>891</v>
      </c>
      <c r="C330" s="51" t="s">
        <v>8</v>
      </c>
      <c r="D330" s="12" t="s">
        <v>1693</v>
      </c>
      <c r="E330" s="89">
        <v>1</v>
      </c>
      <c r="F330" s="12" t="s">
        <v>1694</v>
      </c>
      <c r="G330" s="12" t="s">
        <v>1695</v>
      </c>
      <c r="H330" s="12" t="s">
        <v>1696</v>
      </c>
      <c r="I330" s="12">
        <v>1</v>
      </c>
      <c r="J330" s="89">
        <v>1.95</v>
      </c>
      <c r="K330" s="12" t="s">
        <v>1910</v>
      </c>
      <c r="M330">
        <f t="shared" si="11"/>
        <v>1.95</v>
      </c>
      <c r="N330" s="12">
        <f t="shared" si="12"/>
        <v>325</v>
      </c>
    </row>
    <row r="331" spans="1:14" s="12" customFormat="1" x14ac:dyDescent="0.3">
      <c r="A331" s="51" t="s">
        <v>897</v>
      </c>
      <c r="B331" s="51" t="s">
        <v>891</v>
      </c>
      <c r="C331" s="51" t="s">
        <v>8</v>
      </c>
      <c r="D331" s="12" t="s">
        <v>1689</v>
      </c>
      <c r="E331" s="89">
        <v>1</v>
      </c>
      <c r="F331" s="12" t="s">
        <v>1690</v>
      </c>
      <c r="G331" s="12" t="s">
        <v>1691</v>
      </c>
      <c r="H331" s="12" t="s">
        <v>1692</v>
      </c>
      <c r="I331" s="12">
        <v>1</v>
      </c>
      <c r="J331" s="89">
        <v>3.5</v>
      </c>
      <c r="K331" s="12" t="s">
        <v>1910</v>
      </c>
      <c r="M331">
        <f t="shared" si="11"/>
        <v>3.5</v>
      </c>
      <c r="N331" s="12">
        <f t="shared" si="12"/>
        <v>326</v>
      </c>
    </row>
    <row r="332" spans="1:14" s="103" customFormat="1" x14ac:dyDescent="0.3">
      <c r="A332" s="12" t="s">
        <v>897</v>
      </c>
      <c r="B332" s="12" t="s">
        <v>891</v>
      </c>
      <c r="C332" s="90" t="s">
        <v>8</v>
      </c>
      <c r="D332" s="85" t="s">
        <v>731</v>
      </c>
      <c r="E332" s="64">
        <v>3</v>
      </c>
      <c r="F332" s="64" t="s">
        <v>732</v>
      </c>
      <c r="G332" s="64" t="s">
        <v>733</v>
      </c>
      <c r="H332" s="64" t="s">
        <v>734</v>
      </c>
      <c r="I332" s="64"/>
      <c r="J332" s="145">
        <v>1.5</v>
      </c>
      <c r="K332" s="64" t="s">
        <v>1910</v>
      </c>
      <c r="L332" s="5"/>
      <c r="M332">
        <f t="shared" si="11"/>
        <v>4.5</v>
      </c>
      <c r="N332" s="103">
        <f t="shared" si="12"/>
        <v>327</v>
      </c>
    </row>
    <row r="333" spans="1:14" s="103" customFormat="1" hidden="1" x14ac:dyDescent="0.3">
      <c r="A333" s="12" t="s">
        <v>897</v>
      </c>
      <c r="B333" s="12" t="s">
        <v>891</v>
      </c>
      <c r="C333" s="90" t="s">
        <v>8</v>
      </c>
      <c r="D333" s="85" t="s">
        <v>1668</v>
      </c>
      <c r="E333" s="64">
        <v>0</v>
      </c>
      <c r="F333" s="64" t="s">
        <v>732</v>
      </c>
      <c r="G333" s="64" t="s">
        <v>733</v>
      </c>
      <c r="H333" s="64" t="s">
        <v>1667</v>
      </c>
      <c r="I333" s="64"/>
      <c r="J333" s="145">
        <v>1.5</v>
      </c>
      <c r="K333" s="64" t="s">
        <v>1910</v>
      </c>
      <c r="L333" s="5"/>
      <c r="M333">
        <f t="shared" si="11"/>
        <v>0</v>
      </c>
      <c r="N333" s="103">
        <f t="shared" si="12"/>
        <v>328</v>
      </c>
    </row>
    <row r="334" spans="1:14" s="12" customFormat="1" hidden="1" x14ac:dyDescent="0.3">
      <c r="A334" s="12" t="s">
        <v>897</v>
      </c>
      <c r="B334" s="12" t="s">
        <v>891</v>
      </c>
      <c r="C334" s="12" t="s">
        <v>1898</v>
      </c>
      <c r="D334" s="12" t="s">
        <v>2128</v>
      </c>
      <c r="E334" s="89">
        <v>0</v>
      </c>
      <c r="H334" s="51" t="s">
        <v>2129</v>
      </c>
      <c r="I334"/>
      <c r="J334" s="95">
        <v>0.5</v>
      </c>
      <c r="K334" s="51" t="s">
        <v>1910</v>
      </c>
      <c r="L334"/>
      <c r="M334">
        <f t="shared" si="11"/>
        <v>0</v>
      </c>
      <c r="N334" s="12">
        <f t="shared" si="12"/>
        <v>329</v>
      </c>
    </row>
    <row r="335" spans="1:14" s="12" customFormat="1" hidden="1" x14ac:dyDescent="0.3">
      <c r="A335" s="12" t="s">
        <v>897</v>
      </c>
      <c r="B335" s="12" t="s">
        <v>891</v>
      </c>
      <c r="C335" s="12" t="s">
        <v>1898</v>
      </c>
      <c r="D335" s="12" t="s">
        <v>2130</v>
      </c>
      <c r="E335" s="89">
        <v>0</v>
      </c>
      <c r="H335" s="51" t="s">
        <v>2131</v>
      </c>
      <c r="I335"/>
      <c r="J335" s="95">
        <v>0.95</v>
      </c>
      <c r="K335" s="51" t="s">
        <v>1910</v>
      </c>
      <c r="L335"/>
      <c r="M335">
        <f t="shared" si="11"/>
        <v>0</v>
      </c>
      <c r="N335" s="12">
        <f t="shared" si="12"/>
        <v>330</v>
      </c>
    </row>
    <row r="336" spans="1:14" s="12" customFormat="1" hidden="1" x14ac:dyDescent="0.3">
      <c r="A336" s="12" t="s">
        <v>897</v>
      </c>
      <c r="B336" s="12" t="s">
        <v>891</v>
      </c>
      <c r="C336" s="12" t="s">
        <v>1898</v>
      </c>
      <c r="D336" s="12" t="s">
        <v>2132</v>
      </c>
      <c r="E336" s="89">
        <v>0</v>
      </c>
      <c r="H336" s="51" t="s">
        <v>2133</v>
      </c>
      <c r="I336"/>
      <c r="J336" s="95">
        <v>0.95</v>
      </c>
      <c r="K336" s="51" t="s">
        <v>1910</v>
      </c>
      <c r="L336"/>
      <c r="M336">
        <f t="shared" si="11"/>
        <v>0</v>
      </c>
      <c r="N336" s="12">
        <f t="shared" si="12"/>
        <v>331</v>
      </c>
    </row>
    <row r="337" spans="1:14" s="12" customFormat="1" hidden="1" x14ac:dyDescent="0.3">
      <c r="A337" s="12" t="s">
        <v>897</v>
      </c>
      <c r="B337" s="12" t="s">
        <v>891</v>
      </c>
      <c r="C337" s="12" t="s">
        <v>1898</v>
      </c>
      <c r="D337" s="12" t="s">
        <v>2134</v>
      </c>
      <c r="E337" s="89">
        <v>0</v>
      </c>
      <c r="H337" s="51" t="s">
        <v>2135</v>
      </c>
      <c r="I337"/>
      <c r="J337" s="95">
        <v>3.95</v>
      </c>
      <c r="K337" s="51" t="s">
        <v>1910</v>
      </c>
      <c r="L337"/>
      <c r="M337">
        <f t="shared" si="11"/>
        <v>0</v>
      </c>
      <c r="N337" s="12">
        <f t="shared" si="12"/>
        <v>332</v>
      </c>
    </row>
    <row r="338" spans="1:14" s="12" customFormat="1" hidden="1" x14ac:dyDescent="0.3">
      <c r="A338" s="86" t="s">
        <v>897</v>
      </c>
      <c r="B338" s="86" t="s">
        <v>2027</v>
      </c>
      <c r="C338" s="86" t="s">
        <v>1898</v>
      </c>
      <c r="D338" s="86" t="s">
        <v>2138</v>
      </c>
      <c r="E338" s="89">
        <v>0</v>
      </c>
      <c r="H338" s="82" t="s">
        <v>2139</v>
      </c>
      <c r="I338"/>
      <c r="J338" s="95">
        <v>1.95</v>
      </c>
      <c r="K338" s="82" t="s">
        <v>1910</v>
      </c>
      <c r="L338"/>
      <c r="M338">
        <f t="shared" si="11"/>
        <v>0</v>
      </c>
      <c r="N338" s="12">
        <f t="shared" si="12"/>
        <v>333</v>
      </c>
    </row>
    <row r="339" spans="1:14" s="12" customFormat="1" hidden="1" x14ac:dyDescent="0.3">
      <c r="A339" s="86" t="s">
        <v>897</v>
      </c>
      <c r="B339" s="86" t="s">
        <v>2027</v>
      </c>
      <c r="C339" s="86" t="s">
        <v>1898</v>
      </c>
      <c r="D339" s="86" t="s">
        <v>2140</v>
      </c>
      <c r="E339" s="89">
        <v>0</v>
      </c>
      <c r="H339" s="82" t="s">
        <v>2141</v>
      </c>
      <c r="I339"/>
      <c r="J339" s="95">
        <v>2.25</v>
      </c>
      <c r="K339" s="82" t="s">
        <v>1910</v>
      </c>
      <c r="L339"/>
      <c r="M339">
        <f t="shared" si="11"/>
        <v>0</v>
      </c>
      <c r="N339" s="12">
        <f t="shared" si="12"/>
        <v>334</v>
      </c>
    </row>
    <row r="340" spans="1:14" s="12" customFormat="1" x14ac:dyDescent="0.3">
      <c r="A340" s="86" t="s">
        <v>897</v>
      </c>
      <c r="B340" s="86" t="s">
        <v>2027</v>
      </c>
      <c r="C340" s="86" t="s">
        <v>1898</v>
      </c>
      <c r="D340" s="86" t="s">
        <v>2142</v>
      </c>
      <c r="E340" s="89">
        <f>2*FilterSpecs!$C$3</f>
        <v>10</v>
      </c>
      <c r="H340" s="82" t="s">
        <v>2143</v>
      </c>
      <c r="I340"/>
      <c r="J340" s="95">
        <v>0.95</v>
      </c>
      <c r="K340" s="82" t="s">
        <v>1910</v>
      </c>
      <c r="L340"/>
      <c r="M340">
        <f t="shared" si="11"/>
        <v>9.5</v>
      </c>
      <c r="N340" s="12">
        <f t="shared" si="12"/>
        <v>335</v>
      </c>
    </row>
    <row r="341" spans="1:14" s="12" customFormat="1" x14ac:dyDescent="0.3">
      <c r="A341" s="82" t="s">
        <v>897</v>
      </c>
      <c r="B341" s="82" t="s">
        <v>1884</v>
      </c>
      <c r="C341" s="82" t="s">
        <v>8</v>
      </c>
      <c r="D341" s="86" t="s">
        <v>445</v>
      </c>
      <c r="E341" s="89">
        <f>2*FilterSpecs!$C$3</f>
        <v>10</v>
      </c>
      <c r="F341" s="12" t="s">
        <v>446</v>
      </c>
      <c r="G341" s="12" t="s">
        <v>447</v>
      </c>
      <c r="H341" s="86" t="s">
        <v>448</v>
      </c>
      <c r="I341" s="12">
        <v>1</v>
      </c>
      <c r="J341" s="89">
        <v>0.95</v>
      </c>
      <c r="K341" s="86" t="s">
        <v>1911</v>
      </c>
      <c r="M341">
        <f t="shared" si="11"/>
        <v>9.5</v>
      </c>
      <c r="N341" s="12">
        <f t="shared" si="12"/>
        <v>336</v>
      </c>
    </row>
    <row r="342" spans="1:14" s="12" customFormat="1" x14ac:dyDescent="0.3">
      <c r="A342" s="82" t="s">
        <v>897</v>
      </c>
      <c r="B342" s="82" t="s">
        <v>1884</v>
      </c>
      <c r="C342" s="82" t="s">
        <v>8</v>
      </c>
      <c r="D342" s="86" t="s">
        <v>1855</v>
      </c>
      <c r="E342" s="89">
        <f>FilterSpecs!$C$3</f>
        <v>5</v>
      </c>
      <c r="F342" s="12" t="s">
        <v>1856</v>
      </c>
      <c r="G342" s="12" t="s">
        <v>1857</v>
      </c>
      <c r="H342" s="86" t="s">
        <v>1858</v>
      </c>
      <c r="I342" s="12">
        <v>1</v>
      </c>
      <c r="J342" s="89">
        <v>0.95</v>
      </c>
      <c r="K342" s="86" t="s">
        <v>1910</v>
      </c>
      <c r="M342">
        <f t="shared" si="11"/>
        <v>4.75</v>
      </c>
      <c r="N342" s="12">
        <f t="shared" si="12"/>
        <v>337</v>
      </c>
    </row>
    <row r="343" spans="1:14" s="12" customFormat="1" hidden="1" x14ac:dyDescent="0.3">
      <c r="A343" s="82" t="s">
        <v>897</v>
      </c>
      <c r="B343" s="82" t="s">
        <v>1884</v>
      </c>
      <c r="C343" s="82" t="s">
        <v>8</v>
      </c>
      <c r="D343" s="86" t="s">
        <v>1361</v>
      </c>
      <c r="E343" s="89">
        <v>0</v>
      </c>
      <c r="F343" s="12" t="s">
        <v>1362</v>
      </c>
      <c r="G343" s="12" t="s">
        <v>1363</v>
      </c>
      <c r="H343" s="86" t="s">
        <v>1364</v>
      </c>
      <c r="J343" s="89">
        <v>0.5</v>
      </c>
      <c r="K343" s="86" t="s">
        <v>1913</v>
      </c>
      <c r="M343">
        <f t="shared" si="11"/>
        <v>0</v>
      </c>
      <c r="N343" s="12">
        <f t="shared" si="12"/>
        <v>338</v>
      </c>
    </row>
    <row r="344" spans="1:14" s="12" customFormat="1" hidden="1" x14ac:dyDescent="0.3">
      <c r="A344" s="82" t="s">
        <v>897</v>
      </c>
      <c r="B344" s="82" t="s">
        <v>1884</v>
      </c>
      <c r="C344" s="82" t="s">
        <v>8</v>
      </c>
      <c r="D344" s="86" t="s">
        <v>1759</v>
      </c>
      <c r="E344" s="89">
        <v>0</v>
      </c>
      <c r="F344" s="12" t="s">
        <v>1760</v>
      </c>
      <c r="G344" s="12" t="s">
        <v>1761</v>
      </c>
      <c r="H344" s="86" t="s">
        <v>1762</v>
      </c>
      <c r="I344" s="12">
        <v>1</v>
      </c>
      <c r="J344" s="89">
        <v>0.95</v>
      </c>
      <c r="K344" s="86" t="s">
        <v>1910</v>
      </c>
      <c r="M344">
        <f t="shared" si="11"/>
        <v>0</v>
      </c>
      <c r="N344" s="12">
        <f t="shared" si="12"/>
        <v>339</v>
      </c>
    </row>
    <row r="345" spans="1:14" s="12" customFormat="1" hidden="1" x14ac:dyDescent="0.3">
      <c r="A345" s="82" t="s">
        <v>897</v>
      </c>
      <c r="B345" s="82" t="s">
        <v>1884</v>
      </c>
      <c r="C345" s="82" t="s">
        <v>8</v>
      </c>
      <c r="D345" s="86" t="s">
        <v>1763</v>
      </c>
      <c r="E345" s="89">
        <v>0</v>
      </c>
      <c r="F345" s="12" t="s">
        <v>1764</v>
      </c>
      <c r="G345" s="12" t="s">
        <v>1765</v>
      </c>
      <c r="H345" s="86" t="s">
        <v>1766</v>
      </c>
      <c r="I345" s="12">
        <v>1</v>
      </c>
      <c r="J345" s="89">
        <v>0.95</v>
      </c>
      <c r="K345" s="86" t="s">
        <v>1910</v>
      </c>
      <c r="M345">
        <f t="shared" si="11"/>
        <v>0</v>
      </c>
      <c r="N345" s="12">
        <f t="shared" si="12"/>
        <v>340</v>
      </c>
    </row>
    <row r="346" spans="1:14" s="12" customFormat="1" hidden="1" x14ac:dyDescent="0.3">
      <c r="A346" s="86" t="s">
        <v>897</v>
      </c>
      <c r="B346" s="86" t="s">
        <v>1884</v>
      </c>
      <c r="C346" s="86" t="s">
        <v>1898</v>
      </c>
      <c r="D346" s="86" t="s">
        <v>2144</v>
      </c>
      <c r="E346" s="89">
        <v>0</v>
      </c>
      <c r="H346" s="82" t="s">
        <v>2145</v>
      </c>
      <c r="I346"/>
      <c r="J346" s="95">
        <v>1.5</v>
      </c>
      <c r="K346" s="82" t="s">
        <v>1910</v>
      </c>
      <c r="L346"/>
      <c r="M346">
        <f t="shared" si="11"/>
        <v>0</v>
      </c>
      <c r="N346" s="12">
        <f t="shared" si="12"/>
        <v>341</v>
      </c>
    </row>
    <row r="347" spans="1:14" s="12" customFormat="1" hidden="1" x14ac:dyDescent="0.3">
      <c r="A347" s="86" t="s">
        <v>897</v>
      </c>
      <c r="B347" s="86" t="s">
        <v>1884</v>
      </c>
      <c r="C347" s="86" t="s">
        <v>1898</v>
      </c>
      <c r="D347" s="86" t="s">
        <v>2146</v>
      </c>
      <c r="E347" s="89">
        <v>0</v>
      </c>
      <c r="H347" s="82" t="s">
        <v>2147</v>
      </c>
      <c r="I347"/>
      <c r="J347" s="95">
        <v>0.75</v>
      </c>
      <c r="K347" s="82" t="s">
        <v>1910</v>
      </c>
      <c r="L347"/>
      <c r="M347">
        <f t="shared" si="11"/>
        <v>0</v>
      </c>
      <c r="N347" s="12">
        <f t="shared" si="12"/>
        <v>342</v>
      </c>
    </row>
    <row r="348" spans="1:14" s="12" customFormat="1" hidden="1" x14ac:dyDescent="0.3">
      <c r="A348" s="86" t="s">
        <v>897</v>
      </c>
      <c r="B348" s="86" t="s">
        <v>1884</v>
      </c>
      <c r="C348" s="86" t="s">
        <v>1898</v>
      </c>
      <c r="D348" s="86" t="s">
        <v>2148</v>
      </c>
      <c r="E348" s="89">
        <v>0</v>
      </c>
      <c r="H348" s="82" t="s">
        <v>2149</v>
      </c>
      <c r="I348"/>
      <c r="J348" s="95">
        <v>2.5</v>
      </c>
      <c r="K348" s="82" t="s">
        <v>1910</v>
      </c>
      <c r="L348"/>
      <c r="M348">
        <f t="shared" si="11"/>
        <v>0</v>
      </c>
      <c r="N348" s="12">
        <f t="shared" si="12"/>
        <v>343</v>
      </c>
    </row>
    <row r="349" spans="1:14" s="12" customFormat="1" hidden="1" x14ac:dyDescent="0.3">
      <c r="A349" s="82" t="s">
        <v>897</v>
      </c>
      <c r="B349" s="82" t="s">
        <v>1886</v>
      </c>
      <c r="C349" s="82" t="s">
        <v>8</v>
      </c>
      <c r="D349" s="86" t="s">
        <v>1365</v>
      </c>
      <c r="E349" s="89">
        <v>0</v>
      </c>
      <c r="F349" s="12" t="s">
        <v>1366</v>
      </c>
      <c r="G349" s="12" t="s">
        <v>1367</v>
      </c>
      <c r="H349" s="86" t="s">
        <v>1368</v>
      </c>
      <c r="I349" s="12">
        <v>1</v>
      </c>
      <c r="J349" s="89">
        <v>0.45</v>
      </c>
      <c r="K349" s="86" t="s">
        <v>1910</v>
      </c>
      <c r="M349">
        <f t="shared" si="11"/>
        <v>0</v>
      </c>
      <c r="N349" s="12">
        <f t="shared" si="12"/>
        <v>344</v>
      </c>
    </row>
    <row r="350" spans="1:14" s="12" customFormat="1" hidden="1" x14ac:dyDescent="0.3">
      <c r="A350" s="82" t="s">
        <v>897</v>
      </c>
      <c r="B350" s="82" t="s">
        <v>1886</v>
      </c>
      <c r="C350" s="82" t="s">
        <v>8</v>
      </c>
      <c r="D350" s="86" t="s">
        <v>1373</v>
      </c>
      <c r="E350" s="89">
        <v>0</v>
      </c>
      <c r="F350" s="12" t="s">
        <v>1374</v>
      </c>
      <c r="G350" s="12" t="s">
        <v>1375</v>
      </c>
      <c r="H350" s="86" t="s">
        <v>1376</v>
      </c>
      <c r="I350" s="12">
        <v>1</v>
      </c>
      <c r="J350" s="89">
        <v>0.45</v>
      </c>
      <c r="K350" s="86" t="s">
        <v>1910</v>
      </c>
      <c r="M350">
        <f t="shared" si="11"/>
        <v>0</v>
      </c>
      <c r="N350" s="12">
        <f t="shared" si="12"/>
        <v>345</v>
      </c>
    </row>
    <row r="351" spans="1:14" s="12" customFormat="1" x14ac:dyDescent="0.3">
      <c r="A351" s="82" t="s">
        <v>897</v>
      </c>
      <c r="B351" s="82" t="s">
        <v>1886</v>
      </c>
      <c r="C351" s="82" t="s">
        <v>8</v>
      </c>
      <c r="D351" s="86" t="s">
        <v>1381</v>
      </c>
      <c r="E351" s="104">
        <f>FilterSpecs!$C$3+1</f>
        <v>6</v>
      </c>
      <c r="F351" s="12" t="s">
        <v>1382</v>
      </c>
      <c r="G351" s="12" t="s">
        <v>1383</v>
      </c>
      <c r="H351" s="86" t="s">
        <v>1384</v>
      </c>
      <c r="I351" s="12">
        <v>1</v>
      </c>
      <c r="J351" s="89">
        <v>0.45</v>
      </c>
      <c r="K351" s="86" t="s">
        <v>1910</v>
      </c>
      <c r="M351">
        <f t="shared" si="11"/>
        <v>2.7</v>
      </c>
      <c r="N351" s="12">
        <f t="shared" si="12"/>
        <v>346</v>
      </c>
    </row>
    <row r="352" spans="1:14" s="12" customFormat="1" x14ac:dyDescent="0.3">
      <c r="A352" s="82" t="s">
        <v>897</v>
      </c>
      <c r="B352" s="82" t="s">
        <v>1886</v>
      </c>
      <c r="C352" s="82" t="s">
        <v>8</v>
      </c>
      <c r="D352" s="86" t="s">
        <v>1385</v>
      </c>
      <c r="E352" s="104">
        <f>FilterSpecs!$C$3+1</f>
        <v>6</v>
      </c>
      <c r="F352" s="12" t="s">
        <v>1386</v>
      </c>
      <c r="G352" s="12" t="s">
        <v>1387</v>
      </c>
      <c r="H352" s="86" t="s">
        <v>1388</v>
      </c>
      <c r="I352" s="12">
        <v>1</v>
      </c>
      <c r="J352" s="89">
        <v>0.45</v>
      </c>
      <c r="K352" s="86" t="s">
        <v>1910</v>
      </c>
      <c r="M352">
        <f t="shared" si="11"/>
        <v>2.7</v>
      </c>
      <c r="N352" s="12">
        <f t="shared" si="12"/>
        <v>347</v>
      </c>
    </row>
    <row r="353" spans="1:14" s="12" customFormat="1" x14ac:dyDescent="0.3">
      <c r="A353" s="82" t="s">
        <v>897</v>
      </c>
      <c r="B353" s="82" t="s">
        <v>1886</v>
      </c>
      <c r="C353" s="82" t="s">
        <v>8</v>
      </c>
      <c r="D353" s="86" t="s">
        <v>1369</v>
      </c>
      <c r="E353" s="104">
        <f>FilterSpecs!$C$3+1</f>
        <v>6</v>
      </c>
      <c r="F353" s="12" t="s">
        <v>1370</v>
      </c>
      <c r="G353" s="12" t="s">
        <v>1371</v>
      </c>
      <c r="H353" s="86" t="s">
        <v>1372</v>
      </c>
      <c r="I353" s="12">
        <v>1</v>
      </c>
      <c r="J353" s="89">
        <v>0.45</v>
      </c>
      <c r="K353" s="86" t="s">
        <v>1910</v>
      </c>
      <c r="M353">
        <f t="shared" si="11"/>
        <v>2.7</v>
      </c>
      <c r="N353" s="12">
        <f t="shared" si="12"/>
        <v>348</v>
      </c>
    </row>
    <row r="354" spans="1:14" s="12" customFormat="1" x14ac:dyDescent="0.3">
      <c r="A354" s="82" t="s">
        <v>897</v>
      </c>
      <c r="B354" s="82" t="s">
        <v>1886</v>
      </c>
      <c r="C354" s="82" t="s">
        <v>8</v>
      </c>
      <c r="D354" s="86" t="s">
        <v>1357</v>
      </c>
      <c r="E354" s="104">
        <f>FilterSpecs!$C$3+1</f>
        <v>6</v>
      </c>
      <c r="F354" s="12" t="s">
        <v>1358</v>
      </c>
      <c r="G354" s="12" t="s">
        <v>1359</v>
      </c>
      <c r="H354" s="86" t="s">
        <v>1360</v>
      </c>
      <c r="I354" s="12">
        <v>1</v>
      </c>
      <c r="J354" s="89">
        <v>0.45</v>
      </c>
      <c r="K354" s="86" t="s">
        <v>1910</v>
      </c>
      <c r="M354">
        <f t="shared" si="11"/>
        <v>2.7</v>
      </c>
      <c r="N354" s="12">
        <f t="shared" si="12"/>
        <v>349</v>
      </c>
    </row>
    <row r="355" spans="1:14" s="12" customFormat="1" x14ac:dyDescent="0.3">
      <c r="A355" s="82" t="s">
        <v>897</v>
      </c>
      <c r="B355" s="82" t="s">
        <v>1886</v>
      </c>
      <c r="C355" s="82" t="s">
        <v>8</v>
      </c>
      <c r="D355" s="86" t="s">
        <v>2426</v>
      </c>
      <c r="E355" s="104">
        <f>FilterSpecs!$C$3+1</f>
        <v>6</v>
      </c>
      <c r="F355" s="12" t="s">
        <v>2427</v>
      </c>
      <c r="G355" s="12" t="s">
        <v>2428</v>
      </c>
      <c r="H355" s="86" t="s">
        <v>2429</v>
      </c>
      <c r="I355" s="12">
        <v>1</v>
      </c>
      <c r="J355" s="89">
        <v>1.95</v>
      </c>
      <c r="K355" s="82" t="s">
        <v>1910</v>
      </c>
      <c r="L355"/>
      <c r="M355">
        <f t="shared" si="11"/>
        <v>11.7</v>
      </c>
      <c r="N355" s="12">
        <f t="shared" si="12"/>
        <v>350</v>
      </c>
    </row>
    <row r="356" spans="1:14" s="103" customFormat="1" x14ac:dyDescent="0.3">
      <c r="A356" s="82" t="s">
        <v>897</v>
      </c>
      <c r="B356" s="82" t="s">
        <v>1885</v>
      </c>
      <c r="C356" s="82" t="s">
        <v>8</v>
      </c>
      <c r="D356" s="86" t="s">
        <v>1587</v>
      </c>
      <c r="E356" s="89">
        <f>2*FilterSpecs!$C$3</f>
        <v>10</v>
      </c>
      <c r="F356" s="12" t="s">
        <v>1588</v>
      </c>
      <c r="G356" s="12" t="s">
        <v>1589</v>
      </c>
      <c r="H356" s="86" t="s">
        <v>1590</v>
      </c>
      <c r="I356" s="12">
        <v>1</v>
      </c>
      <c r="J356" s="89">
        <v>0.35</v>
      </c>
      <c r="K356" s="86" t="s">
        <v>1910</v>
      </c>
      <c r="L356" s="12"/>
      <c r="M356">
        <f t="shared" si="11"/>
        <v>3.5</v>
      </c>
      <c r="N356" s="103">
        <f t="shared" si="12"/>
        <v>351</v>
      </c>
    </row>
    <row r="357" spans="1:14" s="103" customFormat="1" x14ac:dyDescent="0.3">
      <c r="A357" s="82" t="s">
        <v>897</v>
      </c>
      <c r="B357" s="82" t="s">
        <v>1885</v>
      </c>
      <c r="C357" s="82" t="s">
        <v>8</v>
      </c>
      <c r="D357" s="86" t="s">
        <v>1583</v>
      </c>
      <c r="E357" s="89">
        <v>10</v>
      </c>
      <c r="F357" s="12" t="s">
        <v>1584</v>
      </c>
      <c r="G357" s="12" t="s">
        <v>1585</v>
      </c>
      <c r="H357" s="86" t="s">
        <v>1586</v>
      </c>
      <c r="I357" s="12">
        <v>1</v>
      </c>
      <c r="J357" s="89">
        <v>0.5</v>
      </c>
      <c r="K357" s="86" t="s">
        <v>1910</v>
      </c>
      <c r="L357" s="12"/>
      <c r="M357">
        <f t="shared" si="11"/>
        <v>5</v>
      </c>
      <c r="N357" s="103">
        <f t="shared" si="12"/>
        <v>352</v>
      </c>
    </row>
    <row r="358" spans="1:14" s="103" customFormat="1" hidden="1" x14ac:dyDescent="0.3">
      <c r="A358" s="82" t="s">
        <v>897</v>
      </c>
      <c r="B358" s="82" t="s">
        <v>1888</v>
      </c>
      <c r="C358" s="82" t="s">
        <v>8</v>
      </c>
      <c r="D358" s="86" t="s">
        <v>457</v>
      </c>
      <c r="E358" s="89">
        <v>0</v>
      </c>
      <c r="F358" s="12" t="s">
        <v>458</v>
      </c>
      <c r="G358" s="12" t="s">
        <v>459</v>
      </c>
      <c r="H358" s="86" t="s">
        <v>460</v>
      </c>
      <c r="I358" s="12">
        <v>1</v>
      </c>
      <c r="J358" s="89">
        <v>0.75</v>
      </c>
      <c r="K358" s="86" t="s">
        <v>1910</v>
      </c>
      <c r="L358" s="12"/>
      <c r="M358">
        <f t="shared" si="11"/>
        <v>0</v>
      </c>
      <c r="N358" s="103">
        <f t="shared" si="12"/>
        <v>353</v>
      </c>
    </row>
    <row r="359" spans="1:14" s="103" customFormat="1" x14ac:dyDescent="0.3">
      <c r="A359" s="94" t="s">
        <v>897</v>
      </c>
      <c r="B359" s="94" t="s">
        <v>1888</v>
      </c>
      <c r="C359" s="94" t="s">
        <v>8</v>
      </c>
      <c r="D359" s="91" t="s">
        <v>901</v>
      </c>
      <c r="E359" s="93">
        <f>2*FilterSpecs!$C$3</f>
        <v>10</v>
      </c>
      <c r="F359" s="67" t="s">
        <v>902</v>
      </c>
      <c r="G359" s="67" t="s">
        <v>903</v>
      </c>
      <c r="H359" s="91" t="s">
        <v>904</v>
      </c>
      <c r="I359" s="67">
        <v>1</v>
      </c>
      <c r="J359" s="93">
        <v>0.95</v>
      </c>
      <c r="K359" s="91" t="s">
        <v>1911</v>
      </c>
      <c r="L359" s="67"/>
      <c r="M359">
        <f t="shared" si="11"/>
        <v>9.5</v>
      </c>
      <c r="N359" s="103">
        <f t="shared" si="12"/>
        <v>354</v>
      </c>
    </row>
    <row r="360" spans="1:14" s="103" customFormat="1" x14ac:dyDescent="0.3">
      <c r="A360" s="94" t="s">
        <v>897</v>
      </c>
      <c r="B360" s="94" t="s">
        <v>1888</v>
      </c>
      <c r="C360" s="94" t="s">
        <v>8</v>
      </c>
      <c r="D360" s="91" t="s">
        <v>1413</v>
      </c>
      <c r="E360" s="93">
        <f>2*FilterSpecs!$C$3</f>
        <v>10</v>
      </c>
      <c r="F360" s="67" t="s">
        <v>1414</v>
      </c>
      <c r="G360" s="67" t="s">
        <v>1415</v>
      </c>
      <c r="H360" s="91" t="s">
        <v>1416</v>
      </c>
      <c r="I360" s="67">
        <v>1</v>
      </c>
      <c r="J360" s="93">
        <v>0.95</v>
      </c>
      <c r="K360" s="91" t="s">
        <v>1911</v>
      </c>
      <c r="L360" s="67"/>
      <c r="M360">
        <f t="shared" si="11"/>
        <v>9.5</v>
      </c>
      <c r="N360" s="103">
        <f t="shared" si="12"/>
        <v>355</v>
      </c>
    </row>
    <row r="361" spans="1:14" s="103" customFormat="1" hidden="1" x14ac:dyDescent="0.3">
      <c r="A361" s="82" t="s">
        <v>897</v>
      </c>
      <c r="B361" s="82" t="s">
        <v>1888</v>
      </c>
      <c r="C361" s="82" t="s">
        <v>8</v>
      </c>
      <c r="D361" s="86" t="s">
        <v>1377</v>
      </c>
      <c r="E361" s="89">
        <v>0</v>
      </c>
      <c r="F361" s="12" t="s">
        <v>1378</v>
      </c>
      <c r="G361" s="12" t="s">
        <v>1379</v>
      </c>
      <c r="H361" s="86" t="s">
        <v>1380</v>
      </c>
      <c r="I361" s="12">
        <v>1</v>
      </c>
      <c r="J361" s="89">
        <v>1.5</v>
      </c>
      <c r="K361" s="86" t="s">
        <v>1910</v>
      </c>
      <c r="L361" s="12"/>
      <c r="M361">
        <f t="shared" si="11"/>
        <v>0</v>
      </c>
      <c r="N361" s="103">
        <f t="shared" si="12"/>
        <v>356</v>
      </c>
    </row>
    <row r="362" spans="1:14" s="12" customFormat="1" hidden="1" x14ac:dyDescent="0.3">
      <c r="A362" s="82" t="s">
        <v>897</v>
      </c>
      <c r="B362" s="82" t="s">
        <v>1888</v>
      </c>
      <c r="C362" s="82" t="s">
        <v>8</v>
      </c>
      <c r="D362" s="86" t="s">
        <v>1417</v>
      </c>
      <c r="E362" s="89">
        <v>0</v>
      </c>
      <c r="F362" s="12" t="s">
        <v>1418</v>
      </c>
      <c r="G362" s="12" t="s">
        <v>1419</v>
      </c>
      <c r="H362" s="86" t="s">
        <v>1420</v>
      </c>
      <c r="I362" s="12">
        <v>1</v>
      </c>
      <c r="J362" s="89">
        <v>1.5</v>
      </c>
      <c r="K362" s="86" t="s">
        <v>1910</v>
      </c>
      <c r="M362">
        <f t="shared" si="11"/>
        <v>0</v>
      </c>
      <c r="N362" s="12">
        <f t="shared" si="12"/>
        <v>357</v>
      </c>
    </row>
    <row r="363" spans="1:14" s="12" customFormat="1" hidden="1" x14ac:dyDescent="0.3">
      <c r="A363" s="82" t="s">
        <v>897</v>
      </c>
      <c r="B363" s="82" t="s">
        <v>1888</v>
      </c>
      <c r="C363" s="82" t="s">
        <v>8</v>
      </c>
      <c r="D363" s="86" t="s">
        <v>453</v>
      </c>
      <c r="E363" s="89">
        <v>0</v>
      </c>
      <c r="F363" s="12" t="s">
        <v>454</v>
      </c>
      <c r="G363" s="12" t="s">
        <v>455</v>
      </c>
      <c r="H363" s="86" t="s">
        <v>456</v>
      </c>
      <c r="I363" s="12">
        <v>1</v>
      </c>
      <c r="J363" s="89">
        <v>1.5</v>
      </c>
      <c r="K363" s="86" t="s">
        <v>1910</v>
      </c>
      <c r="M363">
        <f t="shared" si="11"/>
        <v>0</v>
      </c>
      <c r="N363" s="12">
        <f t="shared" si="12"/>
        <v>358</v>
      </c>
    </row>
    <row r="364" spans="1:14" s="12" customFormat="1" x14ac:dyDescent="0.3">
      <c r="A364" s="82" t="s">
        <v>897</v>
      </c>
      <c r="B364" s="82" t="s">
        <v>1888</v>
      </c>
      <c r="C364" s="82" t="s">
        <v>8</v>
      </c>
      <c r="D364" s="86" t="s">
        <v>449</v>
      </c>
      <c r="E364" s="89">
        <v>2</v>
      </c>
      <c r="F364" s="12" t="s">
        <v>450</v>
      </c>
      <c r="G364" s="12" t="s">
        <v>451</v>
      </c>
      <c r="H364" s="86" t="s">
        <v>452</v>
      </c>
      <c r="I364" s="12">
        <v>1</v>
      </c>
      <c r="J364" s="89">
        <v>1.5</v>
      </c>
      <c r="K364" s="86" t="s">
        <v>1910</v>
      </c>
      <c r="M364">
        <f t="shared" si="11"/>
        <v>3</v>
      </c>
      <c r="N364" s="12">
        <f t="shared" si="12"/>
        <v>359</v>
      </c>
    </row>
    <row r="365" spans="1:14" s="12" customFormat="1" hidden="1" x14ac:dyDescent="0.3">
      <c r="A365" s="82" t="s">
        <v>897</v>
      </c>
      <c r="B365" s="82" t="s">
        <v>1887</v>
      </c>
      <c r="C365" s="82" t="s">
        <v>8</v>
      </c>
      <c r="D365" s="86" t="s">
        <v>1669</v>
      </c>
      <c r="E365" s="89">
        <v>0</v>
      </c>
      <c r="F365" s="12" t="s">
        <v>1670</v>
      </c>
      <c r="G365" s="12" t="s">
        <v>1671</v>
      </c>
      <c r="H365" s="86" t="s">
        <v>1672</v>
      </c>
      <c r="I365" s="12">
        <v>1</v>
      </c>
      <c r="J365" s="89">
        <v>1.25</v>
      </c>
      <c r="K365" s="86" t="s">
        <v>1910</v>
      </c>
      <c r="M365">
        <f t="shared" si="11"/>
        <v>0</v>
      </c>
      <c r="N365" s="12">
        <f t="shared" si="12"/>
        <v>360</v>
      </c>
    </row>
    <row r="366" spans="1:14" s="12" customFormat="1" hidden="1" x14ac:dyDescent="0.3">
      <c r="A366" s="82" t="s">
        <v>897</v>
      </c>
      <c r="B366" s="82" t="s">
        <v>1887</v>
      </c>
      <c r="C366" s="82" t="s">
        <v>8</v>
      </c>
      <c r="D366" s="86" t="s">
        <v>1721</v>
      </c>
      <c r="E366" s="89">
        <v>0</v>
      </c>
      <c r="F366" s="12" t="s">
        <v>1722</v>
      </c>
      <c r="G366" s="12" t="s">
        <v>1723</v>
      </c>
      <c r="H366" s="86" t="s">
        <v>1724</v>
      </c>
      <c r="I366" s="12">
        <v>1</v>
      </c>
      <c r="J366" s="89">
        <v>1.95</v>
      </c>
      <c r="K366" s="86" t="s">
        <v>1910</v>
      </c>
      <c r="M366">
        <f t="shared" si="11"/>
        <v>0</v>
      </c>
      <c r="N366" s="12">
        <f t="shared" si="12"/>
        <v>361</v>
      </c>
    </row>
    <row r="367" spans="1:14" s="12" customFormat="1" hidden="1" x14ac:dyDescent="0.3">
      <c r="A367" s="82" t="s">
        <v>897</v>
      </c>
      <c r="B367" s="82" t="s">
        <v>1887</v>
      </c>
      <c r="C367" s="82" t="s">
        <v>8</v>
      </c>
      <c r="D367" s="86" t="s">
        <v>1725</v>
      </c>
      <c r="E367" s="89">
        <v>0</v>
      </c>
      <c r="F367" s="12" t="s">
        <v>1726</v>
      </c>
      <c r="G367" s="12" t="s">
        <v>1727</v>
      </c>
      <c r="H367" s="86" t="s">
        <v>1728</v>
      </c>
      <c r="I367" s="12">
        <v>1</v>
      </c>
      <c r="J367" s="89">
        <v>3.95</v>
      </c>
      <c r="K367" s="86" t="s">
        <v>1910</v>
      </c>
      <c r="M367">
        <f t="shared" si="11"/>
        <v>0</v>
      </c>
      <c r="N367" s="12">
        <f t="shared" si="12"/>
        <v>362</v>
      </c>
    </row>
    <row r="368" spans="1:14" s="12" customFormat="1" hidden="1" x14ac:dyDescent="0.3">
      <c r="A368" s="82" t="s">
        <v>897</v>
      </c>
      <c r="B368" s="82" t="s">
        <v>1887</v>
      </c>
      <c r="C368" s="82" t="s">
        <v>8</v>
      </c>
      <c r="D368" s="86" t="s">
        <v>1717</v>
      </c>
      <c r="E368" s="89">
        <v>0</v>
      </c>
      <c r="F368" s="12" t="s">
        <v>1718</v>
      </c>
      <c r="G368" s="12" t="s">
        <v>1719</v>
      </c>
      <c r="H368" s="86" t="s">
        <v>1720</v>
      </c>
      <c r="I368" s="12">
        <v>1</v>
      </c>
      <c r="J368" s="89">
        <v>1.95</v>
      </c>
      <c r="K368" s="86" t="s">
        <v>1910</v>
      </c>
      <c r="M368">
        <f t="shared" si="11"/>
        <v>0</v>
      </c>
      <c r="N368" s="12">
        <f t="shared" si="12"/>
        <v>363</v>
      </c>
    </row>
    <row r="369" spans="1:14" s="12" customFormat="1" hidden="1" x14ac:dyDescent="0.3">
      <c r="A369" s="82" t="s">
        <v>897</v>
      </c>
      <c r="B369" s="82" t="s">
        <v>1889</v>
      </c>
      <c r="C369" s="82" t="s">
        <v>8</v>
      </c>
      <c r="D369" s="86" t="s">
        <v>703</v>
      </c>
      <c r="E369" s="89">
        <v>0</v>
      </c>
      <c r="F369" s="12" t="s">
        <v>704</v>
      </c>
      <c r="G369" s="12" t="s">
        <v>705</v>
      </c>
      <c r="H369" s="86" t="s">
        <v>706</v>
      </c>
      <c r="I369" s="12">
        <v>1</v>
      </c>
      <c r="J369" s="89">
        <v>1.95</v>
      </c>
      <c r="K369" s="86" t="s">
        <v>1910</v>
      </c>
      <c r="M369">
        <f t="shared" si="11"/>
        <v>0</v>
      </c>
      <c r="N369" s="12">
        <f t="shared" si="12"/>
        <v>364</v>
      </c>
    </row>
    <row r="370" spans="1:14" s="12" customFormat="1" x14ac:dyDescent="0.3">
      <c r="A370" s="82" t="s">
        <v>897</v>
      </c>
      <c r="B370" s="82" t="s">
        <v>1889</v>
      </c>
      <c r="C370" s="82" t="s">
        <v>8</v>
      </c>
      <c r="D370" s="86" t="s">
        <v>699</v>
      </c>
      <c r="E370" s="89">
        <f>E123+E124+E125+E126+E127+E128+E129+E130+E131+E132+E133+E134</f>
        <v>9</v>
      </c>
      <c r="F370" s="12" t="s">
        <v>700</v>
      </c>
      <c r="G370" s="12" t="s">
        <v>701</v>
      </c>
      <c r="H370" s="86" t="s">
        <v>702</v>
      </c>
      <c r="I370" s="12">
        <v>1</v>
      </c>
      <c r="J370" s="89">
        <v>1.95</v>
      </c>
      <c r="K370" s="86" t="s">
        <v>1911</v>
      </c>
      <c r="M370">
        <f t="shared" si="11"/>
        <v>17.55</v>
      </c>
      <c r="N370" s="12">
        <f t="shared" si="12"/>
        <v>365</v>
      </c>
    </row>
    <row r="371" spans="1:14" s="103" customFormat="1" hidden="1" x14ac:dyDescent="0.3">
      <c r="A371" s="82" t="s">
        <v>897</v>
      </c>
      <c r="B371" s="82" t="s">
        <v>1889</v>
      </c>
      <c r="C371" s="82" t="s">
        <v>8</v>
      </c>
      <c r="D371" s="86" t="s">
        <v>751</v>
      </c>
      <c r="E371" s="89">
        <v>0</v>
      </c>
      <c r="F371" s="12" t="s">
        <v>752</v>
      </c>
      <c r="G371" s="12" t="s">
        <v>753</v>
      </c>
      <c r="H371" s="86" t="s">
        <v>754</v>
      </c>
      <c r="I371" s="12">
        <v>1</v>
      </c>
      <c r="J371" s="89">
        <v>0.35</v>
      </c>
      <c r="K371" s="86" t="s">
        <v>1910</v>
      </c>
      <c r="L371" s="12"/>
      <c r="M371">
        <f t="shared" si="11"/>
        <v>0</v>
      </c>
      <c r="N371" s="103">
        <f t="shared" si="12"/>
        <v>366</v>
      </c>
    </row>
    <row r="372" spans="1:14" s="103" customFormat="1" x14ac:dyDescent="0.3">
      <c r="A372" s="86" t="s">
        <v>897</v>
      </c>
      <c r="B372" s="86" t="s">
        <v>1889</v>
      </c>
      <c r="C372" s="86" t="s">
        <v>1898</v>
      </c>
      <c r="D372" s="86">
        <v>3525</v>
      </c>
      <c r="E372" s="89">
        <v>1</v>
      </c>
      <c r="F372" s="12"/>
      <c r="G372" s="12"/>
      <c r="H372" s="82" t="s">
        <v>2150</v>
      </c>
      <c r="I372"/>
      <c r="J372" s="95">
        <v>0.95</v>
      </c>
      <c r="K372" s="82" t="s">
        <v>1910</v>
      </c>
      <c r="L372"/>
      <c r="M372">
        <f t="shared" si="11"/>
        <v>0.95</v>
      </c>
      <c r="N372" s="103">
        <f t="shared" si="12"/>
        <v>367</v>
      </c>
    </row>
    <row r="373" spans="1:14" s="103" customFormat="1" hidden="1" x14ac:dyDescent="0.3">
      <c r="A373" s="102" t="s">
        <v>897</v>
      </c>
      <c r="B373" s="107" t="s">
        <v>1617</v>
      </c>
      <c r="C373" s="107" t="s">
        <v>8</v>
      </c>
      <c r="D373" s="106" t="s">
        <v>367</v>
      </c>
      <c r="E373" s="104">
        <v>0</v>
      </c>
      <c r="F373" s="103" t="s">
        <v>368</v>
      </c>
      <c r="G373" s="103" t="s">
        <v>369</v>
      </c>
      <c r="H373" s="106" t="s">
        <v>370</v>
      </c>
      <c r="I373" s="103">
        <v>1</v>
      </c>
      <c r="J373" s="104">
        <v>14.95</v>
      </c>
      <c r="K373" s="106" t="s">
        <v>1913</v>
      </c>
      <c r="M373">
        <f t="shared" si="11"/>
        <v>0</v>
      </c>
      <c r="N373" s="103">
        <f t="shared" si="12"/>
        <v>368</v>
      </c>
    </row>
    <row r="374" spans="1:14" s="103" customFormat="1" x14ac:dyDescent="0.3">
      <c r="A374" s="103" t="s">
        <v>897</v>
      </c>
      <c r="B374" s="86" t="s">
        <v>1617</v>
      </c>
      <c r="C374" s="86" t="s">
        <v>1898</v>
      </c>
      <c r="D374" s="86" t="s">
        <v>2153</v>
      </c>
      <c r="E374" s="89">
        <v>1</v>
      </c>
      <c r="F374" s="12"/>
      <c r="G374" s="12"/>
      <c r="H374" s="82" t="s">
        <v>2154</v>
      </c>
      <c r="I374"/>
      <c r="J374" s="95">
        <v>19.95</v>
      </c>
      <c r="K374" s="82" t="s">
        <v>1910</v>
      </c>
      <c r="L374"/>
      <c r="M374">
        <f t="shared" si="11"/>
        <v>19.95</v>
      </c>
      <c r="N374" s="103">
        <f t="shared" si="12"/>
        <v>369</v>
      </c>
    </row>
    <row r="375" spans="1:14" s="103" customFormat="1" hidden="1" x14ac:dyDescent="0.3">
      <c r="A375" s="102" t="s">
        <v>897</v>
      </c>
      <c r="B375" s="82" t="s">
        <v>1617</v>
      </c>
      <c r="C375" s="82" t="s">
        <v>8</v>
      </c>
      <c r="D375" s="86" t="s">
        <v>1567</v>
      </c>
      <c r="E375" s="89">
        <v>0</v>
      </c>
      <c r="F375" s="12" t="s">
        <v>1568</v>
      </c>
      <c r="G375" s="12" t="s">
        <v>1569</v>
      </c>
      <c r="H375" s="86" t="s">
        <v>1570</v>
      </c>
      <c r="I375" s="12">
        <v>1</v>
      </c>
      <c r="J375" s="89">
        <v>0.5</v>
      </c>
      <c r="K375" s="86" t="s">
        <v>1910</v>
      </c>
      <c r="L375" s="12"/>
      <c r="M375">
        <f t="shared" si="11"/>
        <v>0</v>
      </c>
      <c r="N375" s="103">
        <f t="shared" si="12"/>
        <v>370</v>
      </c>
    </row>
    <row r="376" spans="1:14" s="103" customFormat="1" hidden="1" x14ac:dyDescent="0.3">
      <c r="A376" s="102" t="s">
        <v>897</v>
      </c>
      <c r="B376" s="82" t="s">
        <v>1617</v>
      </c>
      <c r="C376" s="82" t="s">
        <v>8</v>
      </c>
      <c r="D376" s="86" t="s">
        <v>1571</v>
      </c>
      <c r="E376" s="89">
        <v>0</v>
      </c>
      <c r="F376" s="12" t="s">
        <v>1572</v>
      </c>
      <c r="G376" s="12" t="s">
        <v>1573</v>
      </c>
      <c r="H376" s="86" t="s">
        <v>1574</v>
      </c>
      <c r="I376" s="12">
        <v>1</v>
      </c>
      <c r="J376" s="89">
        <v>0.5</v>
      </c>
      <c r="K376" s="86" t="s">
        <v>1910</v>
      </c>
      <c r="L376" s="12"/>
      <c r="M376">
        <f t="shared" si="11"/>
        <v>0</v>
      </c>
      <c r="N376" s="103">
        <f t="shared" si="12"/>
        <v>371</v>
      </c>
    </row>
    <row r="377" spans="1:14" s="103" customFormat="1" hidden="1" x14ac:dyDescent="0.3">
      <c r="A377" s="102" t="s">
        <v>897</v>
      </c>
      <c r="B377" s="82" t="s">
        <v>1617</v>
      </c>
      <c r="C377" s="82" t="s">
        <v>8</v>
      </c>
      <c r="D377" s="86" t="s">
        <v>1555</v>
      </c>
      <c r="E377" s="89">
        <v>0</v>
      </c>
      <c r="F377" s="12" t="s">
        <v>1556</v>
      </c>
      <c r="G377" s="12" t="s">
        <v>1557</v>
      </c>
      <c r="H377" s="86" t="s">
        <v>1558</v>
      </c>
      <c r="I377" s="12">
        <v>1</v>
      </c>
      <c r="J377" s="89">
        <v>0.5</v>
      </c>
      <c r="K377" s="86" t="s">
        <v>1910</v>
      </c>
      <c r="L377" s="12"/>
      <c r="M377">
        <f t="shared" si="11"/>
        <v>0</v>
      </c>
      <c r="N377" s="103">
        <f t="shared" si="12"/>
        <v>372</v>
      </c>
    </row>
    <row r="378" spans="1:14" s="103" customFormat="1" hidden="1" x14ac:dyDescent="0.3">
      <c r="A378" s="102" t="s">
        <v>897</v>
      </c>
      <c r="B378" s="82" t="s">
        <v>1617</v>
      </c>
      <c r="C378" s="82" t="s">
        <v>8</v>
      </c>
      <c r="D378" s="86" t="s">
        <v>1559</v>
      </c>
      <c r="E378" s="89">
        <v>0</v>
      </c>
      <c r="F378" s="12" t="s">
        <v>1560</v>
      </c>
      <c r="G378" s="12" t="s">
        <v>1561</v>
      </c>
      <c r="H378" s="86" t="s">
        <v>1562</v>
      </c>
      <c r="I378" s="12">
        <v>1</v>
      </c>
      <c r="J378" s="89">
        <v>0.95</v>
      </c>
      <c r="K378" s="86" t="s">
        <v>1910</v>
      </c>
      <c r="L378" s="12"/>
      <c r="M378">
        <f t="shared" si="11"/>
        <v>0</v>
      </c>
      <c r="N378" s="103">
        <f t="shared" si="12"/>
        <v>373</v>
      </c>
    </row>
    <row r="379" spans="1:14" s="103" customFormat="1" hidden="1" x14ac:dyDescent="0.3">
      <c r="A379" s="102" t="s">
        <v>897</v>
      </c>
      <c r="B379" s="107" t="s">
        <v>1617</v>
      </c>
      <c r="C379" s="107" t="s">
        <v>8</v>
      </c>
      <c r="D379" s="106" t="s">
        <v>1563</v>
      </c>
      <c r="E379" s="104">
        <v>0</v>
      </c>
      <c r="F379" s="103" t="s">
        <v>1564</v>
      </c>
      <c r="G379" s="103" t="s">
        <v>1565</v>
      </c>
      <c r="H379" s="106" t="s">
        <v>1566</v>
      </c>
      <c r="I379" s="103">
        <v>1</v>
      </c>
      <c r="J379" s="104">
        <v>0.95</v>
      </c>
      <c r="K379" s="106" t="s">
        <v>1913</v>
      </c>
      <c r="M379">
        <f t="shared" si="11"/>
        <v>0</v>
      </c>
      <c r="N379" s="103">
        <f t="shared" si="12"/>
        <v>374</v>
      </c>
    </row>
    <row r="380" spans="1:14" s="103" customFormat="1" hidden="1" x14ac:dyDescent="0.3">
      <c r="A380" s="102" t="s">
        <v>897</v>
      </c>
      <c r="B380" s="82" t="s">
        <v>1617</v>
      </c>
      <c r="C380" s="82" t="s">
        <v>8</v>
      </c>
      <c r="D380" s="86" t="s">
        <v>1575</v>
      </c>
      <c r="E380" s="89">
        <v>0</v>
      </c>
      <c r="F380" s="12" t="s">
        <v>1576</v>
      </c>
      <c r="G380" s="12" t="s">
        <v>1577</v>
      </c>
      <c r="H380" s="86" t="s">
        <v>1578</v>
      </c>
      <c r="I380" s="12"/>
      <c r="J380" s="89">
        <v>1.95</v>
      </c>
      <c r="K380" s="86" t="s">
        <v>1913</v>
      </c>
      <c r="L380" s="12"/>
      <c r="M380">
        <f t="shared" si="11"/>
        <v>0</v>
      </c>
      <c r="N380" s="103">
        <f t="shared" si="12"/>
        <v>375</v>
      </c>
    </row>
    <row r="381" spans="1:14" s="103" customFormat="1" x14ac:dyDescent="0.3">
      <c r="A381" s="102" t="s">
        <v>897</v>
      </c>
      <c r="B381" s="82" t="s">
        <v>1617</v>
      </c>
      <c r="C381" s="82" t="s">
        <v>8</v>
      </c>
      <c r="D381" s="86" t="s">
        <v>391</v>
      </c>
      <c r="E381" s="89">
        <v>6</v>
      </c>
      <c r="F381" s="12" t="s">
        <v>392</v>
      </c>
      <c r="G381" s="12" t="s">
        <v>393</v>
      </c>
      <c r="H381" s="86" t="s">
        <v>394</v>
      </c>
      <c r="I381" s="12">
        <v>1</v>
      </c>
      <c r="J381" s="89">
        <v>0.5</v>
      </c>
      <c r="K381" s="86" t="s">
        <v>1910</v>
      </c>
      <c r="L381" s="12"/>
      <c r="M381">
        <f t="shared" si="11"/>
        <v>3</v>
      </c>
      <c r="N381" s="103">
        <f t="shared" si="12"/>
        <v>376</v>
      </c>
    </row>
    <row r="382" spans="1:14" s="103" customFormat="1" x14ac:dyDescent="0.3">
      <c r="A382" s="102" t="s">
        <v>897</v>
      </c>
      <c r="B382" s="82" t="s">
        <v>1617</v>
      </c>
      <c r="C382" s="82" t="s">
        <v>8</v>
      </c>
      <c r="D382" s="86" t="s">
        <v>379</v>
      </c>
      <c r="E382" s="89">
        <v>2</v>
      </c>
      <c r="F382" s="12" t="s">
        <v>380</v>
      </c>
      <c r="G382" s="12" t="s">
        <v>381</v>
      </c>
      <c r="H382" s="86" t="s">
        <v>382</v>
      </c>
      <c r="I382" s="12">
        <v>1</v>
      </c>
      <c r="J382" s="89">
        <v>1.95</v>
      </c>
      <c r="K382" s="86" t="s">
        <v>1910</v>
      </c>
      <c r="L382" s="12"/>
      <c r="M382">
        <f t="shared" si="11"/>
        <v>3.9</v>
      </c>
      <c r="N382" s="103">
        <f t="shared" si="12"/>
        <v>377</v>
      </c>
    </row>
    <row r="383" spans="1:14" s="103" customFormat="1" x14ac:dyDescent="0.3">
      <c r="A383" s="102" t="s">
        <v>897</v>
      </c>
      <c r="B383" s="82" t="s">
        <v>1617</v>
      </c>
      <c r="C383" s="82" t="s">
        <v>8</v>
      </c>
      <c r="D383" s="86" t="s">
        <v>395</v>
      </c>
      <c r="E383" s="89">
        <v>3</v>
      </c>
      <c r="F383" s="12" t="s">
        <v>396</v>
      </c>
      <c r="G383" s="12" t="s">
        <v>397</v>
      </c>
      <c r="H383" s="86" t="s">
        <v>398</v>
      </c>
      <c r="I383" s="12">
        <v>1</v>
      </c>
      <c r="J383" s="89">
        <v>0.95</v>
      </c>
      <c r="K383" s="86" t="s">
        <v>1910</v>
      </c>
      <c r="L383" s="12"/>
      <c r="M383">
        <f t="shared" si="11"/>
        <v>2.8499999999999996</v>
      </c>
      <c r="N383" s="103">
        <f t="shared" si="12"/>
        <v>378</v>
      </c>
    </row>
    <row r="384" spans="1:14" s="103" customFormat="1" x14ac:dyDescent="0.3">
      <c r="A384" s="102" t="s">
        <v>897</v>
      </c>
      <c r="B384" s="82" t="s">
        <v>1617</v>
      </c>
      <c r="C384" s="82" t="s">
        <v>8</v>
      </c>
      <c r="D384" s="86" t="s">
        <v>1272</v>
      </c>
      <c r="E384" s="89">
        <v>2</v>
      </c>
      <c r="F384" s="12" t="s">
        <v>1273</v>
      </c>
      <c r="G384" s="12" t="s">
        <v>1274</v>
      </c>
      <c r="H384" s="86" t="s">
        <v>1275</v>
      </c>
      <c r="I384" s="12">
        <v>1</v>
      </c>
      <c r="J384" s="89">
        <v>1.5</v>
      </c>
      <c r="K384" s="86" t="s">
        <v>1910</v>
      </c>
      <c r="L384" s="12"/>
      <c r="M384">
        <f t="shared" si="11"/>
        <v>3</v>
      </c>
      <c r="N384" s="103">
        <f t="shared" si="12"/>
        <v>379</v>
      </c>
    </row>
    <row r="385" spans="1:14" s="103" customFormat="1" x14ac:dyDescent="0.3">
      <c r="A385" s="102" t="s">
        <v>897</v>
      </c>
      <c r="B385" s="82" t="s">
        <v>1617</v>
      </c>
      <c r="C385" s="82" t="s">
        <v>8</v>
      </c>
      <c r="D385" s="86" t="s">
        <v>383</v>
      </c>
      <c r="E385" s="89">
        <v>1</v>
      </c>
      <c r="F385" s="12" t="s">
        <v>384</v>
      </c>
      <c r="G385" s="12" t="s">
        <v>385</v>
      </c>
      <c r="H385" s="86" t="s">
        <v>386</v>
      </c>
      <c r="I385" s="12">
        <v>1</v>
      </c>
      <c r="J385" s="89">
        <v>1.95</v>
      </c>
      <c r="K385" s="86" t="s">
        <v>1910</v>
      </c>
      <c r="L385" s="12"/>
      <c r="M385">
        <f t="shared" si="11"/>
        <v>1.95</v>
      </c>
      <c r="N385" s="103">
        <f t="shared" si="12"/>
        <v>380</v>
      </c>
    </row>
    <row r="386" spans="1:14" s="103" customFormat="1" x14ac:dyDescent="0.3">
      <c r="A386" s="102" t="s">
        <v>897</v>
      </c>
      <c r="B386" s="82" t="s">
        <v>1617</v>
      </c>
      <c r="C386" s="82" t="s">
        <v>8</v>
      </c>
      <c r="D386" s="86" t="s">
        <v>1843</v>
      </c>
      <c r="E386" s="89">
        <v>1</v>
      </c>
      <c r="F386" s="12" t="s">
        <v>1844</v>
      </c>
      <c r="G386" s="12" t="s">
        <v>1845</v>
      </c>
      <c r="H386" s="86" t="s">
        <v>1846</v>
      </c>
      <c r="I386" s="12">
        <v>1</v>
      </c>
      <c r="J386" s="89">
        <v>0.5</v>
      </c>
      <c r="K386" s="86" t="s">
        <v>1913</v>
      </c>
      <c r="L386" s="12"/>
      <c r="M386">
        <f t="shared" si="11"/>
        <v>0.5</v>
      </c>
      <c r="N386" s="103">
        <f t="shared" si="12"/>
        <v>381</v>
      </c>
    </row>
    <row r="387" spans="1:14" s="103" customFormat="1" hidden="1" x14ac:dyDescent="0.3">
      <c r="A387" s="118" t="s">
        <v>897</v>
      </c>
      <c r="B387" s="112" t="s">
        <v>1617</v>
      </c>
      <c r="C387" s="112" t="s">
        <v>1898</v>
      </c>
      <c r="D387" s="112" t="s">
        <v>2477</v>
      </c>
      <c r="E387" s="114">
        <v>0</v>
      </c>
      <c r="F387"/>
      <c r="G387"/>
      <c r="H387" s="112" t="s">
        <v>2476</v>
      </c>
      <c r="I387" s="113">
        <v>114</v>
      </c>
      <c r="J387" s="114">
        <v>0.75</v>
      </c>
      <c r="K387" s="51" t="s">
        <v>1910</v>
      </c>
      <c r="L387"/>
      <c r="M387">
        <f t="shared" si="11"/>
        <v>0</v>
      </c>
      <c r="N387" s="103">
        <f t="shared" si="12"/>
        <v>382</v>
      </c>
    </row>
    <row r="388" spans="1:14" s="103" customFormat="1" x14ac:dyDescent="0.3">
      <c r="A388" s="102" t="s">
        <v>897</v>
      </c>
      <c r="B388" s="82" t="s">
        <v>1617</v>
      </c>
      <c r="C388" s="82" t="s">
        <v>8</v>
      </c>
      <c r="D388" s="86" t="s">
        <v>663</v>
      </c>
      <c r="E388" s="89">
        <v>5</v>
      </c>
      <c r="F388" s="12" t="s">
        <v>664</v>
      </c>
      <c r="G388" s="12" t="s">
        <v>665</v>
      </c>
      <c r="H388" s="86" t="s">
        <v>666</v>
      </c>
      <c r="I388" s="12">
        <v>1</v>
      </c>
      <c r="J388" s="89">
        <v>0.95</v>
      </c>
      <c r="K388" s="86" t="s">
        <v>1913</v>
      </c>
      <c r="L388" s="12"/>
      <c r="M388">
        <f t="shared" si="11"/>
        <v>4.75</v>
      </c>
      <c r="N388" s="103">
        <f t="shared" si="12"/>
        <v>383</v>
      </c>
    </row>
    <row r="389" spans="1:14" s="103" customFormat="1" x14ac:dyDescent="0.3">
      <c r="A389" s="102" t="s">
        <v>897</v>
      </c>
      <c r="B389" s="82" t="s">
        <v>1617</v>
      </c>
      <c r="C389" s="82" t="s">
        <v>8</v>
      </c>
      <c r="D389" s="86" t="s">
        <v>961</v>
      </c>
      <c r="E389" s="89">
        <v>1</v>
      </c>
      <c r="F389" s="12" t="s">
        <v>962</v>
      </c>
      <c r="G389" s="12" t="s">
        <v>963</v>
      </c>
      <c r="H389" s="86" t="s">
        <v>964</v>
      </c>
      <c r="I389" s="12">
        <v>1</v>
      </c>
      <c r="J389" s="89">
        <v>1.5</v>
      </c>
      <c r="K389" s="86" t="s">
        <v>1910</v>
      </c>
      <c r="L389" s="12"/>
      <c r="M389">
        <f t="shared" si="11"/>
        <v>1.5</v>
      </c>
      <c r="N389" s="103">
        <f t="shared" si="12"/>
        <v>384</v>
      </c>
    </row>
    <row r="390" spans="1:14" s="103" customFormat="1" x14ac:dyDescent="0.3">
      <c r="A390" s="102" t="s">
        <v>897</v>
      </c>
      <c r="B390" s="82" t="s">
        <v>1617</v>
      </c>
      <c r="C390" s="82" t="s">
        <v>8</v>
      </c>
      <c r="D390" s="86" t="s">
        <v>403</v>
      </c>
      <c r="E390" s="89">
        <v>2</v>
      </c>
      <c r="F390" s="12" t="s">
        <v>404</v>
      </c>
      <c r="G390" s="12" t="s">
        <v>405</v>
      </c>
      <c r="H390" s="86" t="s">
        <v>406</v>
      </c>
      <c r="I390" s="12">
        <v>1</v>
      </c>
      <c r="J390" s="89">
        <v>0.95</v>
      </c>
      <c r="K390" s="86" t="s">
        <v>1910</v>
      </c>
      <c r="L390" s="12"/>
      <c r="M390">
        <f t="shared" ref="M390:M453" si="13">E390*J390</f>
        <v>1.9</v>
      </c>
      <c r="N390" s="103">
        <f t="shared" ref="N390:N453" si="14">IF($N389="List #",1,$N389+1)</f>
        <v>385</v>
      </c>
    </row>
    <row r="391" spans="1:14" s="103" customFormat="1" x14ac:dyDescent="0.3">
      <c r="A391" s="102" t="s">
        <v>897</v>
      </c>
      <c r="B391" s="82" t="s">
        <v>1617</v>
      </c>
      <c r="C391" s="82" t="s">
        <v>8</v>
      </c>
      <c r="D391" s="86" t="s">
        <v>399</v>
      </c>
      <c r="E391" s="89">
        <v>3</v>
      </c>
      <c r="F391" s="12" t="s">
        <v>400</v>
      </c>
      <c r="G391" s="12" t="s">
        <v>401</v>
      </c>
      <c r="H391" s="86" t="s">
        <v>402</v>
      </c>
      <c r="I391" s="12">
        <v>1</v>
      </c>
      <c r="J391" s="89">
        <v>2.2999999999999998</v>
      </c>
      <c r="K391" s="86" t="s">
        <v>1910</v>
      </c>
      <c r="L391" s="12"/>
      <c r="M391">
        <f t="shared" si="13"/>
        <v>6.8999999999999995</v>
      </c>
      <c r="N391" s="103">
        <f t="shared" si="14"/>
        <v>386</v>
      </c>
    </row>
    <row r="392" spans="1:14" s="103" customFormat="1" x14ac:dyDescent="0.3">
      <c r="A392" s="102" t="s">
        <v>897</v>
      </c>
      <c r="B392" s="82" t="s">
        <v>1617</v>
      </c>
      <c r="C392" s="82" t="s">
        <v>8</v>
      </c>
      <c r="D392" s="86" t="s">
        <v>1096</v>
      </c>
      <c r="E392" s="89">
        <v>1</v>
      </c>
      <c r="F392" s="12" t="s">
        <v>1097</v>
      </c>
      <c r="G392" s="12" t="s">
        <v>1098</v>
      </c>
      <c r="H392" s="86" t="s">
        <v>1099</v>
      </c>
      <c r="I392" s="12">
        <v>1</v>
      </c>
      <c r="J392" s="89">
        <v>1.95</v>
      </c>
      <c r="K392" s="86" t="s">
        <v>1910</v>
      </c>
      <c r="L392" s="12"/>
      <c r="M392">
        <f t="shared" si="13"/>
        <v>1.95</v>
      </c>
      <c r="N392" s="103">
        <f t="shared" si="14"/>
        <v>387</v>
      </c>
    </row>
    <row r="393" spans="1:14" s="103" customFormat="1" hidden="1" x14ac:dyDescent="0.3">
      <c r="A393" s="103" t="s">
        <v>897</v>
      </c>
      <c r="B393" s="86" t="s">
        <v>1617</v>
      </c>
      <c r="C393" s="86" t="s">
        <v>1898</v>
      </c>
      <c r="D393" s="86" t="s">
        <v>2151</v>
      </c>
      <c r="E393" s="89">
        <v>0</v>
      </c>
      <c r="F393" s="12"/>
      <c r="G393" s="12"/>
      <c r="H393" s="82" t="s">
        <v>2152</v>
      </c>
      <c r="I393"/>
      <c r="J393" s="95">
        <v>1.5</v>
      </c>
      <c r="K393" s="82" t="s">
        <v>1910</v>
      </c>
      <c r="L393"/>
      <c r="M393">
        <f t="shared" si="13"/>
        <v>0</v>
      </c>
      <c r="N393" s="103">
        <f t="shared" si="14"/>
        <v>388</v>
      </c>
    </row>
    <row r="394" spans="1:14" s="103" customFormat="1" hidden="1" x14ac:dyDescent="0.3">
      <c r="A394" s="102" t="s">
        <v>897</v>
      </c>
      <c r="B394" s="82" t="s">
        <v>1617</v>
      </c>
      <c r="C394" s="82" t="s">
        <v>8</v>
      </c>
      <c r="D394" s="86" t="s">
        <v>679</v>
      </c>
      <c r="E394" s="89">
        <v>0</v>
      </c>
      <c r="F394" s="12" t="s">
        <v>680</v>
      </c>
      <c r="G394" s="12" t="s">
        <v>681</v>
      </c>
      <c r="H394" s="86" t="s">
        <v>682</v>
      </c>
      <c r="I394" s="12">
        <v>1</v>
      </c>
      <c r="J394" s="89">
        <v>1.95</v>
      </c>
      <c r="K394" s="86" t="s">
        <v>1910</v>
      </c>
      <c r="L394" s="12"/>
      <c r="M394">
        <f t="shared" si="13"/>
        <v>0</v>
      </c>
      <c r="N394" s="103">
        <f t="shared" si="14"/>
        <v>389</v>
      </c>
    </row>
    <row r="395" spans="1:14" s="103" customFormat="1" hidden="1" x14ac:dyDescent="0.3">
      <c r="A395" s="102" t="s">
        <v>897</v>
      </c>
      <c r="B395" s="82" t="s">
        <v>1617</v>
      </c>
      <c r="C395" s="82" t="s">
        <v>8</v>
      </c>
      <c r="D395" s="86" t="s">
        <v>407</v>
      </c>
      <c r="E395" s="89">
        <v>0</v>
      </c>
      <c r="F395" s="12" t="s">
        <v>408</v>
      </c>
      <c r="G395" s="12" t="s">
        <v>409</v>
      </c>
      <c r="H395" s="86" t="s">
        <v>410</v>
      </c>
      <c r="I395" s="12">
        <v>1</v>
      </c>
      <c r="J395" s="89">
        <v>0.95</v>
      </c>
      <c r="K395" s="86" t="s">
        <v>1910</v>
      </c>
      <c r="L395" s="12"/>
      <c r="M395">
        <f t="shared" si="13"/>
        <v>0</v>
      </c>
      <c r="N395" s="103">
        <f t="shared" si="14"/>
        <v>390</v>
      </c>
    </row>
    <row r="396" spans="1:14" s="103" customFormat="1" hidden="1" x14ac:dyDescent="0.3">
      <c r="A396" s="102" t="s">
        <v>897</v>
      </c>
      <c r="B396" s="82" t="s">
        <v>1617</v>
      </c>
      <c r="C396" s="82" t="s">
        <v>8</v>
      </c>
      <c r="D396" s="86" t="s">
        <v>411</v>
      </c>
      <c r="E396" s="89">
        <v>0</v>
      </c>
      <c r="F396" s="12" t="s">
        <v>412</v>
      </c>
      <c r="G396" s="12" t="s">
        <v>413</v>
      </c>
      <c r="H396" s="86" t="s">
        <v>221</v>
      </c>
      <c r="I396" s="12">
        <v>1</v>
      </c>
      <c r="J396" s="89">
        <v>3.95</v>
      </c>
      <c r="K396" s="86" t="s">
        <v>2490</v>
      </c>
      <c r="L396" s="12"/>
      <c r="M396">
        <f t="shared" si="13"/>
        <v>0</v>
      </c>
      <c r="N396" s="103">
        <f t="shared" si="14"/>
        <v>391</v>
      </c>
    </row>
    <row r="397" spans="1:14" s="103" customFormat="1" x14ac:dyDescent="0.3">
      <c r="A397" s="102" t="s">
        <v>897</v>
      </c>
      <c r="B397" s="94" t="s">
        <v>1617</v>
      </c>
      <c r="C397" s="94" t="s">
        <v>8</v>
      </c>
      <c r="D397" s="91" t="s">
        <v>433</v>
      </c>
      <c r="E397" s="93">
        <f>FilterSpecs!$C$3</f>
        <v>5</v>
      </c>
      <c r="F397" s="67" t="s">
        <v>434</v>
      </c>
      <c r="G397" s="67" t="s">
        <v>435</v>
      </c>
      <c r="H397" s="91" t="s">
        <v>436</v>
      </c>
      <c r="I397" s="67">
        <v>1</v>
      </c>
      <c r="J397" s="93">
        <v>1.5</v>
      </c>
      <c r="K397" s="91" t="s">
        <v>1911</v>
      </c>
      <c r="L397" s="67"/>
      <c r="M397">
        <f t="shared" si="13"/>
        <v>7.5</v>
      </c>
      <c r="N397" s="103">
        <f t="shared" si="14"/>
        <v>392</v>
      </c>
    </row>
    <row r="398" spans="1:14" s="103" customFormat="1" hidden="1" x14ac:dyDescent="0.3">
      <c r="A398" s="102" t="s">
        <v>897</v>
      </c>
      <c r="B398" s="102" t="s">
        <v>1893</v>
      </c>
      <c r="C398" s="102" t="s">
        <v>8</v>
      </c>
      <c r="D398" s="103" t="s">
        <v>775</v>
      </c>
      <c r="E398" s="104">
        <v>0</v>
      </c>
      <c r="F398" s="103" t="s">
        <v>776</v>
      </c>
      <c r="G398" s="103" t="s">
        <v>777</v>
      </c>
      <c r="H398" s="103" t="s">
        <v>778</v>
      </c>
      <c r="I398" s="103">
        <v>1</v>
      </c>
      <c r="J398" s="104">
        <v>0.5</v>
      </c>
      <c r="K398" s="103" t="s">
        <v>1910</v>
      </c>
      <c r="M398">
        <f t="shared" si="13"/>
        <v>0</v>
      </c>
      <c r="N398" s="103">
        <f t="shared" si="14"/>
        <v>393</v>
      </c>
    </row>
    <row r="399" spans="1:14" s="103" customFormat="1" x14ac:dyDescent="0.3">
      <c r="A399" s="102" t="s">
        <v>897</v>
      </c>
      <c r="B399" s="102" t="s">
        <v>1893</v>
      </c>
      <c r="C399" s="102" t="s">
        <v>8</v>
      </c>
      <c r="D399" s="103" t="s">
        <v>1775</v>
      </c>
      <c r="E399" s="104">
        <v>1</v>
      </c>
      <c r="F399" s="103" t="s">
        <v>1776</v>
      </c>
      <c r="G399" s="103" t="s">
        <v>1777</v>
      </c>
      <c r="H399" s="103" t="s">
        <v>1778</v>
      </c>
      <c r="I399" s="103">
        <v>1</v>
      </c>
      <c r="J399" s="104">
        <v>2.95</v>
      </c>
      <c r="K399" s="103" t="s">
        <v>1910</v>
      </c>
      <c r="M399">
        <f t="shared" si="13"/>
        <v>2.95</v>
      </c>
      <c r="N399" s="103">
        <f t="shared" si="14"/>
        <v>394</v>
      </c>
    </row>
    <row r="400" spans="1:14" s="103" customFormat="1" hidden="1" x14ac:dyDescent="0.3">
      <c r="A400" s="102" t="s">
        <v>897</v>
      </c>
      <c r="B400" s="102" t="s">
        <v>1893</v>
      </c>
      <c r="C400" s="102" t="s">
        <v>8</v>
      </c>
      <c r="D400" s="103" t="s">
        <v>523</v>
      </c>
      <c r="E400" s="104">
        <v>0</v>
      </c>
      <c r="F400" s="103" t="s">
        <v>524</v>
      </c>
      <c r="G400" s="103" t="s">
        <v>525</v>
      </c>
      <c r="H400" s="103" t="s">
        <v>526</v>
      </c>
      <c r="I400" s="103">
        <v>1</v>
      </c>
      <c r="J400" s="104">
        <v>1.5</v>
      </c>
      <c r="K400" s="103" t="s">
        <v>1910</v>
      </c>
      <c r="M400">
        <f t="shared" si="13"/>
        <v>0</v>
      </c>
      <c r="N400" s="103">
        <f t="shared" si="14"/>
        <v>395</v>
      </c>
    </row>
    <row r="401" spans="1:14" s="103" customFormat="1" hidden="1" x14ac:dyDescent="0.3">
      <c r="A401" s="102" t="s">
        <v>897</v>
      </c>
      <c r="B401" s="102" t="s">
        <v>1893</v>
      </c>
      <c r="C401" s="102" t="s">
        <v>8</v>
      </c>
      <c r="D401" s="103" t="s">
        <v>527</v>
      </c>
      <c r="E401" s="104">
        <v>0</v>
      </c>
      <c r="F401" s="103" t="s">
        <v>528</v>
      </c>
      <c r="G401" s="103" t="s">
        <v>529</v>
      </c>
      <c r="H401" s="103" t="s">
        <v>530</v>
      </c>
      <c r="I401" s="103">
        <v>1</v>
      </c>
      <c r="J401" s="104">
        <v>0.5</v>
      </c>
      <c r="K401" s="103" t="s">
        <v>1910</v>
      </c>
      <c r="M401">
        <f t="shared" si="13"/>
        <v>0</v>
      </c>
      <c r="N401" s="103">
        <f t="shared" si="14"/>
        <v>396</v>
      </c>
    </row>
    <row r="402" spans="1:14" s="103" customFormat="1" hidden="1" x14ac:dyDescent="0.3">
      <c r="A402" s="102" t="s">
        <v>897</v>
      </c>
      <c r="B402" s="102" t="s">
        <v>1893</v>
      </c>
      <c r="C402" s="102" t="s">
        <v>8</v>
      </c>
      <c r="D402" s="103" t="s">
        <v>579</v>
      </c>
      <c r="E402" s="104">
        <v>0</v>
      </c>
      <c r="F402" s="103" t="s">
        <v>580</v>
      </c>
      <c r="G402" s="103" t="s">
        <v>581</v>
      </c>
      <c r="H402" s="103" t="s">
        <v>582</v>
      </c>
      <c r="I402" s="103">
        <v>1</v>
      </c>
      <c r="J402" s="104">
        <v>1.5</v>
      </c>
      <c r="K402" s="103" t="s">
        <v>1910</v>
      </c>
      <c r="M402">
        <f t="shared" si="13"/>
        <v>0</v>
      </c>
      <c r="N402" s="103">
        <f t="shared" si="14"/>
        <v>397</v>
      </c>
    </row>
    <row r="403" spans="1:14" s="103" customFormat="1" hidden="1" x14ac:dyDescent="0.3">
      <c r="A403" s="102" t="s">
        <v>897</v>
      </c>
      <c r="B403" s="102" t="s">
        <v>1893</v>
      </c>
      <c r="C403" s="102" t="s">
        <v>8</v>
      </c>
      <c r="D403" s="103" t="s">
        <v>481</v>
      </c>
      <c r="E403" s="104">
        <v>0</v>
      </c>
      <c r="F403" s="103" t="s">
        <v>482</v>
      </c>
      <c r="G403" s="103" t="s">
        <v>483</v>
      </c>
      <c r="H403" s="103" t="s">
        <v>484</v>
      </c>
      <c r="J403" s="104">
        <v>0.5</v>
      </c>
      <c r="K403" s="103" t="s">
        <v>1910</v>
      </c>
      <c r="M403">
        <f t="shared" si="13"/>
        <v>0</v>
      </c>
      <c r="N403" s="103">
        <f t="shared" si="14"/>
        <v>398</v>
      </c>
    </row>
    <row r="404" spans="1:14" s="103" customFormat="1" hidden="1" x14ac:dyDescent="0.3">
      <c r="A404" s="102" t="s">
        <v>897</v>
      </c>
      <c r="B404" s="102" t="s">
        <v>1893</v>
      </c>
      <c r="C404" s="102" t="s">
        <v>8</v>
      </c>
      <c r="D404" s="103" t="s">
        <v>477</v>
      </c>
      <c r="E404" s="104">
        <v>0</v>
      </c>
      <c r="F404" s="103" t="s">
        <v>478</v>
      </c>
      <c r="G404" s="103" t="s">
        <v>479</v>
      </c>
      <c r="H404" s="103" t="s">
        <v>480</v>
      </c>
      <c r="I404" s="103">
        <v>1</v>
      </c>
      <c r="J404" s="104">
        <v>1.5</v>
      </c>
      <c r="K404" s="103" t="s">
        <v>1910</v>
      </c>
      <c r="M404">
        <f t="shared" si="13"/>
        <v>0</v>
      </c>
      <c r="N404" s="103">
        <f t="shared" si="14"/>
        <v>399</v>
      </c>
    </row>
    <row r="405" spans="1:14" s="103" customFormat="1" x14ac:dyDescent="0.3">
      <c r="A405" s="103" t="s">
        <v>897</v>
      </c>
      <c r="B405" s="103" t="s">
        <v>1893</v>
      </c>
      <c r="C405" s="103" t="s">
        <v>1898</v>
      </c>
      <c r="D405" s="103" t="s">
        <v>2193</v>
      </c>
      <c r="E405" s="104">
        <f>FilterSpecs!$C$3</f>
        <v>5</v>
      </c>
      <c r="H405" s="102" t="s">
        <v>2194</v>
      </c>
      <c r="I405" s="105"/>
      <c r="J405" s="111">
        <v>1.95</v>
      </c>
      <c r="K405" s="102" t="s">
        <v>1911</v>
      </c>
      <c r="L405" s="105"/>
      <c r="M405">
        <f t="shared" si="13"/>
        <v>9.75</v>
      </c>
      <c r="N405" s="103">
        <f t="shared" si="14"/>
        <v>400</v>
      </c>
    </row>
    <row r="406" spans="1:14" s="103" customFormat="1" x14ac:dyDescent="0.3">
      <c r="A406" s="103" t="s">
        <v>897</v>
      </c>
      <c r="B406" s="103" t="s">
        <v>1893</v>
      </c>
      <c r="C406" s="103" t="s">
        <v>1898</v>
      </c>
      <c r="D406" s="103" t="s">
        <v>2175</v>
      </c>
      <c r="E406" s="104">
        <v>1</v>
      </c>
      <c r="H406" s="102" t="s">
        <v>2176</v>
      </c>
      <c r="I406" s="105"/>
      <c r="J406" s="111">
        <v>2.95</v>
      </c>
      <c r="K406" s="102" t="s">
        <v>1910</v>
      </c>
      <c r="L406" s="105"/>
      <c r="M406">
        <f t="shared" si="13"/>
        <v>2.95</v>
      </c>
      <c r="N406" s="103">
        <f t="shared" si="14"/>
        <v>401</v>
      </c>
    </row>
    <row r="407" spans="1:14" s="103" customFormat="1" hidden="1" x14ac:dyDescent="0.3">
      <c r="A407" s="102" t="s">
        <v>897</v>
      </c>
      <c r="B407" s="102" t="s">
        <v>1891</v>
      </c>
      <c r="C407" s="102" t="s">
        <v>8</v>
      </c>
      <c r="D407" s="103" t="s">
        <v>771</v>
      </c>
      <c r="E407" s="104">
        <v>0</v>
      </c>
      <c r="F407" s="103" t="s">
        <v>772</v>
      </c>
      <c r="G407" s="103" t="s">
        <v>773</v>
      </c>
      <c r="H407" s="103" t="s">
        <v>774</v>
      </c>
      <c r="I407" s="103">
        <v>1</v>
      </c>
      <c r="J407" s="104">
        <v>0.5</v>
      </c>
      <c r="K407" s="103" t="s">
        <v>1910</v>
      </c>
      <c r="M407">
        <f t="shared" si="13"/>
        <v>0</v>
      </c>
      <c r="N407" s="103">
        <f t="shared" si="14"/>
        <v>402</v>
      </c>
    </row>
    <row r="408" spans="1:14" s="103" customFormat="1" hidden="1" x14ac:dyDescent="0.3">
      <c r="A408" s="102" t="s">
        <v>897</v>
      </c>
      <c r="B408" s="102" t="s">
        <v>1891</v>
      </c>
      <c r="C408" s="102" t="s">
        <v>8</v>
      </c>
      <c r="D408" s="103" t="s">
        <v>515</v>
      </c>
      <c r="E408" s="104">
        <v>0</v>
      </c>
      <c r="F408" s="103" t="s">
        <v>516</v>
      </c>
      <c r="G408" s="103" t="s">
        <v>517</v>
      </c>
      <c r="H408" s="103" t="s">
        <v>518</v>
      </c>
      <c r="I408" s="103">
        <v>1</v>
      </c>
      <c r="J408" s="104">
        <v>0.95</v>
      </c>
      <c r="K408" s="103" t="s">
        <v>1910</v>
      </c>
      <c r="M408">
        <f t="shared" si="13"/>
        <v>0</v>
      </c>
      <c r="N408" s="103">
        <f t="shared" si="14"/>
        <v>403</v>
      </c>
    </row>
    <row r="409" spans="1:14" s="103" customFormat="1" x14ac:dyDescent="0.3">
      <c r="A409" s="102" t="s">
        <v>897</v>
      </c>
      <c r="B409" s="102" t="s">
        <v>1891</v>
      </c>
      <c r="C409" s="102" t="s">
        <v>8</v>
      </c>
      <c r="D409" s="103" t="s">
        <v>1791</v>
      </c>
      <c r="E409" s="104">
        <v>1</v>
      </c>
      <c r="F409" s="103" t="s">
        <v>1792</v>
      </c>
      <c r="G409" s="103" t="s">
        <v>1793</v>
      </c>
      <c r="H409" s="103" t="s">
        <v>1794</v>
      </c>
      <c r="I409" s="103">
        <v>1</v>
      </c>
      <c r="J409" s="104">
        <v>0.95</v>
      </c>
      <c r="K409" s="103" t="s">
        <v>1910</v>
      </c>
      <c r="M409">
        <f t="shared" si="13"/>
        <v>0.95</v>
      </c>
      <c r="N409" s="103">
        <f t="shared" si="14"/>
        <v>404</v>
      </c>
    </row>
    <row r="410" spans="1:14" s="103" customFormat="1" hidden="1" x14ac:dyDescent="0.3">
      <c r="A410" s="102" t="s">
        <v>897</v>
      </c>
      <c r="B410" s="102" t="s">
        <v>1891</v>
      </c>
      <c r="C410" s="102" t="s">
        <v>8</v>
      </c>
      <c r="D410" s="103" t="s">
        <v>755</v>
      </c>
      <c r="E410" s="104">
        <v>0</v>
      </c>
      <c r="F410" s="103" t="s">
        <v>756</v>
      </c>
      <c r="G410" s="103" t="s">
        <v>757</v>
      </c>
      <c r="H410" s="103" t="s">
        <v>758</v>
      </c>
      <c r="I410" s="103">
        <v>1</v>
      </c>
      <c r="J410" s="104">
        <v>1.5</v>
      </c>
      <c r="K410" s="103" t="s">
        <v>1910</v>
      </c>
      <c r="M410">
        <f t="shared" si="13"/>
        <v>0</v>
      </c>
      <c r="N410" s="103">
        <f t="shared" si="14"/>
        <v>405</v>
      </c>
    </row>
    <row r="411" spans="1:14" s="103" customFormat="1" x14ac:dyDescent="0.3">
      <c r="A411" s="103" t="s">
        <v>897</v>
      </c>
      <c r="B411" s="103" t="s">
        <v>1891</v>
      </c>
      <c r="C411" s="103" t="s">
        <v>1898</v>
      </c>
      <c r="D411" s="103" t="s">
        <v>2189</v>
      </c>
      <c r="E411" s="104">
        <v>1</v>
      </c>
      <c r="H411" s="102" t="s">
        <v>2190</v>
      </c>
      <c r="I411" s="105"/>
      <c r="J411" s="111">
        <v>4.95</v>
      </c>
      <c r="K411" s="102" t="s">
        <v>1910</v>
      </c>
      <c r="L411" s="105"/>
      <c r="M411">
        <f t="shared" si="13"/>
        <v>4.95</v>
      </c>
      <c r="N411" s="103">
        <f t="shared" si="14"/>
        <v>406</v>
      </c>
    </row>
    <row r="412" spans="1:14" s="103" customFormat="1" x14ac:dyDescent="0.3">
      <c r="A412" s="103" t="s">
        <v>897</v>
      </c>
      <c r="B412" s="103" t="s">
        <v>1891</v>
      </c>
      <c r="C412" s="103" t="s">
        <v>1898</v>
      </c>
      <c r="D412" s="103" t="s">
        <v>2181</v>
      </c>
      <c r="E412" s="104">
        <v>1</v>
      </c>
      <c r="H412" s="102" t="s">
        <v>2182</v>
      </c>
      <c r="I412" s="105"/>
      <c r="J412" s="111">
        <v>4.95</v>
      </c>
      <c r="K412" s="102" t="s">
        <v>1910</v>
      </c>
      <c r="L412" s="105"/>
      <c r="M412">
        <f t="shared" si="13"/>
        <v>4.95</v>
      </c>
      <c r="N412" s="103">
        <f t="shared" si="14"/>
        <v>407</v>
      </c>
    </row>
    <row r="413" spans="1:14" s="103" customFormat="1" x14ac:dyDescent="0.3">
      <c r="A413" s="102" t="s">
        <v>897</v>
      </c>
      <c r="B413" s="102" t="s">
        <v>1891</v>
      </c>
      <c r="C413" s="102" t="s">
        <v>8</v>
      </c>
      <c r="D413" s="103" t="s">
        <v>489</v>
      </c>
      <c r="E413" s="104">
        <f>FilterSpecs!$C$3</f>
        <v>5</v>
      </c>
      <c r="F413" s="103" t="s">
        <v>490</v>
      </c>
      <c r="G413" s="103" t="s">
        <v>491</v>
      </c>
      <c r="H413" s="103" t="s">
        <v>492</v>
      </c>
      <c r="I413" s="103">
        <v>1</v>
      </c>
      <c r="J413" s="104">
        <v>2.95</v>
      </c>
      <c r="K413" s="103" t="s">
        <v>1910</v>
      </c>
      <c r="M413">
        <f t="shared" si="13"/>
        <v>14.75</v>
      </c>
      <c r="N413" s="103">
        <f t="shared" si="14"/>
        <v>408</v>
      </c>
    </row>
    <row r="414" spans="1:14" s="103" customFormat="1" x14ac:dyDescent="0.3">
      <c r="A414" s="102" t="s">
        <v>897</v>
      </c>
      <c r="B414" s="102" t="s">
        <v>1891</v>
      </c>
      <c r="C414" s="102" t="s">
        <v>8</v>
      </c>
      <c r="D414" s="103" t="s">
        <v>473</v>
      </c>
      <c r="E414" s="104">
        <f>FilterSpecs!$C$3</f>
        <v>5</v>
      </c>
      <c r="F414" s="103" t="s">
        <v>474</v>
      </c>
      <c r="G414" s="103" t="s">
        <v>475</v>
      </c>
      <c r="H414" s="103" t="s">
        <v>476</v>
      </c>
      <c r="I414" s="103">
        <v>1</v>
      </c>
      <c r="J414" s="104">
        <v>0.75</v>
      </c>
      <c r="K414" s="103" t="s">
        <v>1910</v>
      </c>
      <c r="M414">
        <f t="shared" si="13"/>
        <v>3.75</v>
      </c>
      <c r="N414" s="103">
        <f t="shared" si="14"/>
        <v>409</v>
      </c>
    </row>
    <row r="415" spans="1:14" s="103" customFormat="1" hidden="1" x14ac:dyDescent="0.3">
      <c r="A415" s="118" t="s">
        <v>897</v>
      </c>
      <c r="B415" s="118" t="s">
        <v>1891</v>
      </c>
      <c r="C415" s="118" t="s">
        <v>1898</v>
      </c>
      <c r="D415" s="118" t="s">
        <v>2483</v>
      </c>
      <c r="E415" s="119">
        <v>0</v>
      </c>
      <c r="F415" s="105"/>
      <c r="G415" s="105"/>
      <c r="H415" s="118" t="s">
        <v>2482</v>
      </c>
      <c r="I415" s="120">
        <v>117</v>
      </c>
      <c r="J415" s="119">
        <v>3</v>
      </c>
      <c r="K415" s="102" t="s">
        <v>1910</v>
      </c>
      <c r="L415" s="105"/>
      <c r="M415">
        <f t="shared" si="13"/>
        <v>0</v>
      </c>
      <c r="N415" s="103">
        <f t="shared" si="14"/>
        <v>410</v>
      </c>
    </row>
    <row r="416" spans="1:14" s="103" customFormat="1" hidden="1" x14ac:dyDescent="0.3">
      <c r="A416" s="102" t="s">
        <v>897</v>
      </c>
      <c r="B416" s="102" t="s">
        <v>1891</v>
      </c>
      <c r="C416" s="102" t="s">
        <v>8</v>
      </c>
      <c r="D416" s="103" t="s">
        <v>759</v>
      </c>
      <c r="E416" s="104">
        <v>0</v>
      </c>
      <c r="F416" s="103" t="s">
        <v>760</v>
      </c>
      <c r="G416" s="103" t="s">
        <v>761</v>
      </c>
      <c r="H416" s="103" t="s">
        <v>762</v>
      </c>
      <c r="I416" s="103">
        <v>1</v>
      </c>
      <c r="J416" s="104">
        <v>1.95</v>
      </c>
      <c r="K416" s="103" t="s">
        <v>1910</v>
      </c>
      <c r="M416">
        <f t="shared" si="13"/>
        <v>0</v>
      </c>
      <c r="N416" s="103">
        <f t="shared" si="14"/>
        <v>411</v>
      </c>
    </row>
    <row r="417" spans="1:14" s="103" customFormat="1" hidden="1" x14ac:dyDescent="0.3">
      <c r="A417" s="103" t="s">
        <v>897</v>
      </c>
      <c r="B417" s="103" t="s">
        <v>1891</v>
      </c>
      <c r="C417" s="103" t="s">
        <v>1898</v>
      </c>
      <c r="D417" s="103" t="s">
        <v>2191</v>
      </c>
      <c r="E417" s="104">
        <v>0</v>
      </c>
      <c r="H417" s="102" t="s">
        <v>2192</v>
      </c>
      <c r="I417" s="105"/>
      <c r="J417" s="111">
        <v>5.95</v>
      </c>
      <c r="K417" s="102" t="s">
        <v>1913</v>
      </c>
      <c r="L417" s="105"/>
      <c r="M417">
        <f t="shared" si="13"/>
        <v>0</v>
      </c>
      <c r="N417" s="103">
        <f t="shared" si="14"/>
        <v>412</v>
      </c>
    </row>
    <row r="418" spans="1:14" s="103" customFormat="1" hidden="1" x14ac:dyDescent="0.3">
      <c r="A418" s="103" t="s">
        <v>897</v>
      </c>
      <c r="B418" s="103" t="s">
        <v>1891</v>
      </c>
      <c r="C418" s="103" t="s">
        <v>1898</v>
      </c>
      <c r="D418" s="103" t="s">
        <v>2183</v>
      </c>
      <c r="E418" s="104">
        <v>0</v>
      </c>
      <c r="H418" s="102" t="s">
        <v>2184</v>
      </c>
      <c r="I418" s="105"/>
      <c r="J418" s="111">
        <v>0.95</v>
      </c>
      <c r="K418" s="102" t="s">
        <v>1910</v>
      </c>
      <c r="L418" s="105"/>
      <c r="M418">
        <f t="shared" si="13"/>
        <v>0</v>
      </c>
      <c r="N418" s="103">
        <f t="shared" si="14"/>
        <v>413</v>
      </c>
    </row>
    <row r="419" spans="1:14" s="103" customFormat="1" x14ac:dyDescent="0.3">
      <c r="A419" s="103" t="s">
        <v>897</v>
      </c>
      <c r="B419" s="103" t="s">
        <v>1891</v>
      </c>
      <c r="C419" s="103" t="s">
        <v>1898</v>
      </c>
      <c r="D419" s="103" t="s">
        <v>2185</v>
      </c>
      <c r="E419" s="104">
        <v>1</v>
      </c>
      <c r="H419" s="102" t="s">
        <v>2186</v>
      </c>
      <c r="I419" s="105"/>
      <c r="J419" s="111">
        <v>7.5</v>
      </c>
      <c r="K419" s="102" t="s">
        <v>1910</v>
      </c>
      <c r="L419" s="105"/>
      <c r="M419">
        <f t="shared" si="13"/>
        <v>7.5</v>
      </c>
      <c r="N419" s="103">
        <f t="shared" si="14"/>
        <v>414</v>
      </c>
    </row>
    <row r="420" spans="1:14" s="103" customFormat="1" x14ac:dyDescent="0.3">
      <c r="A420" s="103" t="s">
        <v>897</v>
      </c>
      <c r="B420" s="103" t="s">
        <v>1891</v>
      </c>
      <c r="C420" s="103" t="s">
        <v>1898</v>
      </c>
      <c r="D420" s="103" t="s">
        <v>2187</v>
      </c>
      <c r="E420" s="104">
        <v>1</v>
      </c>
      <c r="H420" s="102" t="s">
        <v>2188</v>
      </c>
      <c r="I420" s="105"/>
      <c r="J420" s="111">
        <v>5.95</v>
      </c>
      <c r="K420" s="102" t="s">
        <v>1910</v>
      </c>
      <c r="L420" s="105"/>
      <c r="M420">
        <f t="shared" si="13"/>
        <v>5.95</v>
      </c>
      <c r="N420" s="103">
        <f t="shared" si="14"/>
        <v>415</v>
      </c>
    </row>
    <row r="421" spans="1:14" s="103" customFormat="1" hidden="1" x14ac:dyDescent="0.3">
      <c r="A421" s="102" t="s">
        <v>897</v>
      </c>
      <c r="B421" s="102" t="s">
        <v>1891</v>
      </c>
      <c r="C421" s="102" t="s">
        <v>8</v>
      </c>
      <c r="D421" s="103" t="s">
        <v>763</v>
      </c>
      <c r="E421" s="104">
        <v>0</v>
      </c>
      <c r="F421" s="103" t="s">
        <v>764</v>
      </c>
      <c r="G421" s="103" t="s">
        <v>765</v>
      </c>
      <c r="H421" s="103" t="s">
        <v>766</v>
      </c>
      <c r="I421" s="103">
        <v>1</v>
      </c>
      <c r="J421" s="104">
        <v>1.95</v>
      </c>
      <c r="K421" s="103" t="s">
        <v>1910</v>
      </c>
      <c r="M421">
        <f t="shared" si="13"/>
        <v>0</v>
      </c>
      <c r="N421" s="103">
        <f t="shared" si="14"/>
        <v>416</v>
      </c>
    </row>
    <row r="422" spans="1:14" s="103" customFormat="1" hidden="1" x14ac:dyDescent="0.3">
      <c r="A422" s="102" t="s">
        <v>897</v>
      </c>
      <c r="B422" s="102" t="s">
        <v>1891</v>
      </c>
      <c r="C422" s="102" t="s">
        <v>8</v>
      </c>
      <c r="D422" s="103" t="s">
        <v>1304</v>
      </c>
      <c r="E422" s="104">
        <v>0</v>
      </c>
      <c r="F422" s="103" t="s">
        <v>1305</v>
      </c>
      <c r="G422" s="103" t="s">
        <v>1306</v>
      </c>
      <c r="H422" s="103" t="s">
        <v>1307</v>
      </c>
      <c r="I422" s="103">
        <v>1</v>
      </c>
      <c r="J422" s="104">
        <v>4.95</v>
      </c>
      <c r="K422" s="103" t="s">
        <v>1910</v>
      </c>
      <c r="M422">
        <f t="shared" si="13"/>
        <v>0</v>
      </c>
      <c r="N422" s="103">
        <f t="shared" si="14"/>
        <v>417</v>
      </c>
    </row>
    <row r="423" spans="1:14" s="103" customFormat="1" hidden="1" x14ac:dyDescent="0.3">
      <c r="A423" s="102" t="s">
        <v>897</v>
      </c>
      <c r="B423" s="102" t="s">
        <v>1891</v>
      </c>
      <c r="C423" s="102" t="s">
        <v>8</v>
      </c>
      <c r="D423" s="103" t="s">
        <v>783</v>
      </c>
      <c r="E423" s="104">
        <v>0</v>
      </c>
      <c r="F423" s="103" t="s">
        <v>784</v>
      </c>
      <c r="G423" s="103" t="s">
        <v>785</v>
      </c>
      <c r="H423" s="103" t="s">
        <v>786</v>
      </c>
      <c r="I423" s="103">
        <v>1</v>
      </c>
      <c r="J423" s="104">
        <v>0.95</v>
      </c>
      <c r="K423" s="103" t="s">
        <v>1910</v>
      </c>
      <c r="M423">
        <f t="shared" si="13"/>
        <v>0</v>
      </c>
      <c r="N423" s="103">
        <f t="shared" si="14"/>
        <v>418</v>
      </c>
    </row>
    <row r="424" spans="1:14" s="103" customFormat="1" x14ac:dyDescent="0.3">
      <c r="A424" s="103" t="s">
        <v>897</v>
      </c>
      <c r="B424" s="103" t="s">
        <v>1891</v>
      </c>
      <c r="C424" s="103" t="s">
        <v>1898</v>
      </c>
      <c r="D424" s="103" t="s">
        <v>2179</v>
      </c>
      <c r="E424" s="104">
        <v>1</v>
      </c>
      <c r="H424" s="102" t="s">
        <v>2180</v>
      </c>
      <c r="I424" s="105"/>
      <c r="J424" s="111">
        <v>2.95</v>
      </c>
      <c r="K424" s="102" t="s">
        <v>1910</v>
      </c>
      <c r="L424" s="105"/>
      <c r="M424">
        <f t="shared" si="13"/>
        <v>2.95</v>
      </c>
      <c r="N424" s="103">
        <f t="shared" si="14"/>
        <v>419</v>
      </c>
    </row>
    <row r="425" spans="1:14" s="103" customFormat="1" hidden="1" x14ac:dyDescent="0.3">
      <c r="A425" s="103" t="s">
        <v>897</v>
      </c>
      <c r="B425" s="103" t="s">
        <v>1892</v>
      </c>
      <c r="C425" s="103" t="s">
        <v>1898</v>
      </c>
      <c r="D425" s="103" t="s">
        <v>2177</v>
      </c>
      <c r="E425" s="104">
        <v>0</v>
      </c>
      <c r="H425" s="102" t="s">
        <v>2178</v>
      </c>
      <c r="I425" s="105"/>
      <c r="J425" s="111">
        <v>0.95</v>
      </c>
      <c r="K425" s="102" t="s">
        <v>1910</v>
      </c>
      <c r="L425" s="105"/>
      <c r="M425">
        <f t="shared" si="13"/>
        <v>0</v>
      </c>
      <c r="N425" s="103">
        <f t="shared" si="14"/>
        <v>420</v>
      </c>
    </row>
    <row r="426" spans="1:14" s="103" customFormat="1" x14ac:dyDescent="0.3">
      <c r="A426" s="103" t="s">
        <v>897</v>
      </c>
      <c r="B426" s="103" t="s">
        <v>1892</v>
      </c>
      <c r="C426" s="103" t="s">
        <v>1898</v>
      </c>
      <c r="D426" s="103" t="s">
        <v>2171</v>
      </c>
      <c r="E426" s="104">
        <v>1</v>
      </c>
      <c r="H426" s="102" t="s">
        <v>2172</v>
      </c>
      <c r="I426" s="105"/>
      <c r="J426" s="111">
        <v>2.95</v>
      </c>
      <c r="K426" s="102" t="s">
        <v>1910</v>
      </c>
      <c r="L426" s="105"/>
      <c r="M426">
        <f t="shared" si="13"/>
        <v>2.95</v>
      </c>
      <c r="N426" s="103">
        <f t="shared" si="14"/>
        <v>421</v>
      </c>
    </row>
    <row r="427" spans="1:14" s="103" customFormat="1" x14ac:dyDescent="0.3">
      <c r="A427" s="103" t="s">
        <v>897</v>
      </c>
      <c r="B427" s="103" t="s">
        <v>1892</v>
      </c>
      <c r="C427" s="103" t="s">
        <v>1898</v>
      </c>
      <c r="D427" s="103" t="s">
        <v>2173</v>
      </c>
      <c r="E427" s="104">
        <v>1</v>
      </c>
      <c r="H427" s="102" t="s">
        <v>2174</v>
      </c>
      <c r="I427" s="105"/>
      <c r="J427" s="111">
        <v>7.95</v>
      </c>
      <c r="K427" s="102" t="s">
        <v>1910</v>
      </c>
      <c r="L427" s="105"/>
      <c r="M427">
        <f t="shared" si="13"/>
        <v>7.95</v>
      </c>
      <c r="N427" s="103">
        <f t="shared" si="14"/>
        <v>422</v>
      </c>
    </row>
    <row r="428" spans="1:14" s="103" customFormat="1" x14ac:dyDescent="0.3">
      <c r="A428" s="103" t="s">
        <v>897</v>
      </c>
      <c r="B428" s="103" t="s">
        <v>1892</v>
      </c>
      <c r="C428" s="103" t="s">
        <v>1898</v>
      </c>
      <c r="D428" s="103" t="s">
        <v>2163</v>
      </c>
      <c r="E428" s="104">
        <v>1</v>
      </c>
      <c r="H428" s="102" t="s">
        <v>2164</v>
      </c>
      <c r="I428" s="105"/>
      <c r="J428" s="111">
        <v>4.95</v>
      </c>
      <c r="K428" s="102" t="s">
        <v>1910</v>
      </c>
      <c r="L428" s="105"/>
      <c r="M428">
        <f t="shared" si="13"/>
        <v>4.95</v>
      </c>
      <c r="N428" s="103">
        <f t="shared" si="14"/>
        <v>423</v>
      </c>
    </row>
    <row r="429" spans="1:14" s="103" customFormat="1" x14ac:dyDescent="0.3">
      <c r="A429" s="103" t="s">
        <v>897</v>
      </c>
      <c r="B429" s="103" t="s">
        <v>1892</v>
      </c>
      <c r="C429" s="103" t="s">
        <v>1898</v>
      </c>
      <c r="D429" s="103" t="s">
        <v>2161</v>
      </c>
      <c r="E429" s="104">
        <v>1</v>
      </c>
      <c r="H429" s="102" t="s">
        <v>2162</v>
      </c>
      <c r="I429" s="105"/>
      <c r="J429" s="111">
        <v>5.95</v>
      </c>
      <c r="K429" s="102" t="s">
        <v>1910</v>
      </c>
      <c r="L429" s="105"/>
      <c r="M429">
        <f t="shared" si="13"/>
        <v>5.95</v>
      </c>
      <c r="N429" s="103">
        <f t="shared" si="14"/>
        <v>424</v>
      </c>
    </row>
    <row r="430" spans="1:14" s="103" customFormat="1" hidden="1" x14ac:dyDescent="0.3">
      <c r="A430" s="103" t="s">
        <v>897</v>
      </c>
      <c r="B430" s="103" t="s">
        <v>1892</v>
      </c>
      <c r="C430" s="103" t="s">
        <v>1898</v>
      </c>
      <c r="D430" s="103" t="s">
        <v>2157</v>
      </c>
      <c r="E430" s="104">
        <v>0</v>
      </c>
      <c r="H430" s="102" t="s">
        <v>2158</v>
      </c>
      <c r="I430" s="105"/>
      <c r="J430" s="111">
        <v>1.5</v>
      </c>
      <c r="K430" s="102" t="s">
        <v>1910</v>
      </c>
      <c r="L430" s="105"/>
      <c r="M430">
        <f t="shared" si="13"/>
        <v>0</v>
      </c>
      <c r="N430" s="103">
        <f t="shared" si="14"/>
        <v>425</v>
      </c>
    </row>
    <row r="431" spans="1:14" s="103" customFormat="1" x14ac:dyDescent="0.3">
      <c r="A431" s="103" t="s">
        <v>897</v>
      </c>
      <c r="B431" s="103" t="s">
        <v>1892</v>
      </c>
      <c r="C431" s="103" t="s">
        <v>1898</v>
      </c>
      <c r="D431" s="103" t="s">
        <v>2159</v>
      </c>
      <c r="E431" s="104">
        <v>1</v>
      </c>
      <c r="H431" s="102" t="s">
        <v>2160</v>
      </c>
      <c r="I431" s="105"/>
      <c r="J431" s="111">
        <v>7.95</v>
      </c>
      <c r="K431" s="102" t="s">
        <v>1910</v>
      </c>
      <c r="L431" s="105"/>
      <c r="M431">
        <f t="shared" si="13"/>
        <v>7.95</v>
      </c>
      <c r="N431" s="103">
        <f t="shared" si="14"/>
        <v>426</v>
      </c>
    </row>
    <row r="432" spans="1:14" s="103" customFormat="1" hidden="1" x14ac:dyDescent="0.3">
      <c r="A432" s="103" t="s">
        <v>897</v>
      </c>
      <c r="B432" s="103" t="s">
        <v>1892</v>
      </c>
      <c r="C432" s="103" t="s">
        <v>1898</v>
      </c>
      <c r="D432" s="103" t="s">
        <v>2169</v>
      </c>
      <c r="E432" s="104">
        <v>0</v>
      </c>
      <c r="H432" s="102" t="s">
        <v>2170</v>
      </c>
      <c r="I432" s="105"/>
      <c r="J432" s="111">
        <v>0</v>
      </c>
      <c r="K432" s="102" t="s">
        <v>1910</v>
      </c>
      <c r="L432" s="105"/>
      <c r="M432">
        <f t="shared" si="13"/>
        <v>0</v>
      </c>
      <c r="N432" s="103">
        <f t="shared" si="14"/>
        <v>427</v>
      </c>
    </row>
    <row r="433" spans="1:14" s="103" customFormat="1" hidden="1" x14ac:dyDescent="0.3">
      <c r="A433" s="102" t="s">
        <v>897</v>
      </c>
      <c r="B433" s="102" t="s">
        <v>1892</v>
      </c>
      <c r="C433" s="102" t="s">
        <v>8</v>
      </c>
      <c r="D433" s="103" t="s">
        <v>767</v>
      </c>
      <c r="E433" s="104">
        <v>0</v>
      </c>
      <c r="F433" s="103" t="s">
        <v>768</v>
      </c>
      <c r="G433" s="103" t="s">
        <v>769</v>
      </c>
      <c r="H433" s="103" t="s">
        <v>770</v>
      </c>
      <c r="I433" s="103">
        <v>1</v>
      </c>
      <c r="J433" s="104">
        <v>0.5</v>
      </c>
      <c r="K433" s="103" t="s">
        <v>1910</v>
      </c>
      <c r="M433">
        <f t="shared" si="13"/>
        <v>0</v>
      </c>
      <c r="N433" s="103">
        <f t="shared" si="14"/>
        <v>428</v>
      </c>
    </row>
    <row r="434" spans="1:14" s="103" customFormat="1" x14ac:dyDescent="0.3">
      <c r="A434" s="102" t="s">
        <v>897</v>
      </c>
      <c r="B434" s="102" t="s">
        <v>1892</v>
      </c>
      <c r="C434" s="102" t="s">
        <v>8</v>
      </c>
      <c r="D434" s="103" t="s">
        <v>1535</v>
      </c>
      <c r="E434" s="104">
        <f>FilterSpecs!$C$3</f>
        <v>5</v>
      </c>
      <c r="F434" s="103" t="s">
        <v>1536</v>
      </c>
      <c r="G434" s="103" t="s">
        <v>1537</v>
      </c>
      <c r="H434" s="103" t="s">
        <v>1538</v>
      </c>
      <c r="I434" s="103">
        <v>1</v>
      </c>
      <c r="J434" s="104">
        <v>1.5</v>
      </c>
      <c r="K434" s="103" t="s">
        <v>1910</v>
      </c>
      <c r="M434">
        <f t="shared" si="13"/>
        <v>7.5</v>
      </c>
      <c r="N434" s="103">
        <f t="shared" si="14"/>
        <v>429</v>
      </c>
    </row>
    <row r="435" spans="1:14" s="103" customFormat="1" x14ac:dyDescent="0.3">
      <c r="A435" s="102" t="s">
        <v>897</v>
      </c>
      <c r="B435" s="102" t="s">
        <v>1892</v>
      </c>
      <c r="C435" s="102" t="s">
        <v>8</v>
      </c>
      <c r="D435" s="103" t="s">
        <v>1539</v>
      </c>
      <c r="E435" s="104">
        <f>FilterSpecs!$C$3</f>
        <v>5</v>
      </c>
      <c r="F435" s="103" t="s">
        <v>1540</v>
      </c>
      <c r="G435" s="103" t="s">
        <v>1541</v>
      </c>
      <c r="H435" s="103" t="s">
        <v>1542</v>
      </c>
      <c r="I435" s="103">
        <v>1</v>
      </c>
      <c r="J435" s="104">
        <v>1.5</v>
      </c>
      <c r="K435" s="103" t="s">
        <v>1910</v>
      </c>
      <c r="M435">
        <f t="shared" si="13"/>
        <v>7.5</v>
      </c>
      <c r="N435" s="103">
        <f t="shared" si="14"/>
        <v>430</v>
      </c>
    </row>
    <row r="436" spans="1:14" s="103" customFormat="1" hidden="1" x14ac:dyDescent="0.3">
      <c r="A436" s="118" t="s">
        <v>897</v>
      </c>
      <c r="B436" s="118" t="s">
        <v>1892</v>
      </c>
      <c r="C436" s="118" t="s">
        <v>1898</v>
      </c>
      <c r="D436" s="118" t="s">
        <v>2481</v>
      </c>
      <c r="E436" s="119">
        <v>0</v>
      </c>
      <c r="F436" s="105"/>
      <c r="G436" s="105"/>
      <c r="H436" s="118" t="s">
        <v>2480</v>
      </c>
      <c r="I436" s="120">
        <v>116</v>
      </c>
      <c r="J436" s="119">
        <v>0.95</v>
      </c>
      <c r="K436" s="102" t="s">
        <v>1910</v>
      </c>
      <c r="L436" s="105"/>
      <c r="M436">
        <f t="shared" si="13"/>
        <v>0</v>
      </c>
      <c r="N436" s="103">
        <f t="shared" si="14"/>
        <v>431</v>
      </c>
    </row>
    <row r="437" spans="1:14" s="103" customFormat="1" hidden="1" x14ac:dyDescent="0.3">
      <c r="A437" s="102" t="s">
        <v>897</v>
      </c>
      <c r="B437" s="102" t="s">
        <v>1892</v>
      </c>
      <c r="C437" s="102" t="s">
        <v>8</v>
      </c>
      <c r="D437" s="103" t="s">
        <v>779</v>
      </c>
      <c r="E437" s="104">
        <v>0</v>
      </c>
      <c r="F437" s="103" t="s">
        <v>780</v>
      </c>
      <c r="G437" s="103" t="s">
        <v>781</v>
      </c>
      <c r="H437" s="103" t="s">
        <v>782</v>
      </c>
      <c r="I437" s="103">
        <v>1</v>
      </c>
      <c r="J437" s="104">
        <v>1</v>
      </c>
      <c r="K437" s="103" t="s">
        <v>1910</v>
      </c>
      <c r="M437">
        <f t="shared" si="13"/>
        <v>0</v>
      </c>
      <c r="N437" s="103">
        <f t="shared" si="14"/>
        <v>432</v>
      </c>
    </row>
    <row r="438" spans="1:14" s="103" customFormat="1" x14ac:dyDescent="0.3">
      <c r="A438" s="103" t="s">
        <v>897</v>
      </c>
      <c r="B438" s="103" t="s">
        <v>1892</v>
      </c>
      <c r="C438" s="103" t="s">
        <v>1898</v>
      </c>
      <c r="D438" s="103" t="s">
        <v>2165</v>
      </c>
      <c r="E438" s="104">
        <v>2</v>
      </c>
      <c r="H438" s="102" t="s">
        <v>2166</v>
      </c>
      <c r="I438" s="105"/>
      <c r="J438" s="111">
        <v>0.95</v>
      </c>
      <c r="K438" s="102" t="s">
        <v>1910</v>
      </c>
      <c r="L438" s="105"/>
      <c r="M438">
        <f t="shared" si="13"/>
        <v>1.9</v>
      </c>
      <c r="N438" s="103">
        <f t="shared" si="14"/>
        <v>433</v>
      </c>
    </row>
    <row r="439" spans="1:14" s="103" customFormat="1" x14ac:dyDescent="0.3">
      <c r="A439" s="103" t="s">
        <v>897</v>
      </c>
      <c r="B439" s="103" t="s">
        <v>1892</v>
      </c>
      <c r="C439" s="103" t="s">
        <v>1898</v>
      </c>
      <c r="D439" s="103" t="s">
        <v>2167</v>
      </c>
      <c r="E439" s="104">
        <v>1</v>
      </c>
      <c r="H439" s="102" t="s">
        <v>2168</v>
      </c>
      <c r="I439" s="105"/>
      <c r="J439" s="111">
        <v>3.95</v>
      </c>
      <c r="K439" s="102" t="s">
        <v>1910</v>
      </c>
      <c r="L439" s="105"/>
      <c r="M439">
        <f t="shared" si="13"/>
        <v>3.95</v>
      </c>
      <c r="N439" s="103">
        <f t="shared" si="14"/>
        <v>434</v>
      </c>
    </row>
    <row r="440" spans="1:14" s="103" customFormat="1" x14ac:dyDescent="0.3">
      <c r="A440" s="102" t="s">
        <v>897</v>
      </c>
      <c r="B440" s="102" t="s">
        <v>1890</v>
      </c>
      <c r="C440" s="102" t="s">
        <v>8</v>
      </c>
      <c r="D440" s="103" t="s">
        <v>823</v>
      </c>
      <c r="E440" s="104">
        <f>3*FilterSpecs!$C$3</f>
        <v>15</v>
      </c>
      <c r="F440" s="103" t="s">
        <v>824</v>
      </c>
      <c r="G440" s="103" t="s">
        <v>825</v>
      </c>
      <c r="H440" s="103" t="s">
        <v>826</v>
      </c>
      <c r="I440" s="103">
        <v>1</v>
      </c>
      <c r="J440" s="104">
        <v>1.95</v>
      </c>
      <c r="K440" s="103" t="s">
        <v>1910</v>
      </c>
      <c r="M440">
        <f t="shared" si="13"/>
        <v>29.25</v>
      </c>
      <c r="N440" s="103">
        <f t="shared" si="14"/>
        <v>435</v>
      </c>
    </row>
    <row r="441" spans="1:14" s="103" customFormat="1" hidden="1" x14ac:dyDescent="0.3">
      <c r="A441" s="102" t="s">
        <v>897</v>
      </c>
      <c r="B441" s="102" t="s">
        <v>1890</v>
      </c>
      <c r="C441" s="102" t="s">
        <v>8</v>
      </c>
      <c r="D441" s="103" t="s">
        <v>819</v>
      </c>
      <c r="E441" s="104">
        <v>0</v>
      </c>
      <c r="F441" s="103" t="s">
        <v>820</v>
      </c>
      <c r="G441" s="103" t="s">
        <v>821</v>
      </c>
      <c r="H441" s="103" t="s">
        <v>822</v>
      </c>
      <c r="I441" s="103">
        <v>1</v>
      </c>
      <c r="J441" s="104">
        <v>0.95</v>
      </c>
      <c r="K441" s="103" t="s">
        <v>1910</v>
      </c>
      <c r="M441">
        <f t="shared" si="13"/>
        <v>0</v>
      </c>
      <c r="N441" s="103">
        <f t="shared" si="14"/>
        <v>436</v>
      </c>
    </row>
    <row r="442" spans="1:14" s="12" customFormat="1" x14ac:dyDescent="0.3">
      <c r="A442" s="86" t="s">
        <v>897</v>
      </c>
      <c r="B442" s="86" t="s">
        <v>2025</v>
      </c>
      <c r="C442" s="86" t="s">
        <v>1898</v>
      </c>
      <c r="D442" s="86" t="s">
        <v>2205</v>
      </c>
      <c r="E442" s="89">
        <v>3</v>
      </c>
      <c r="H442" s="82" t="s">
        <v>2206</v>
      </c>
      <c r="I442"/>
      <c r="J442" s="95">
        <v>1.95</v>
      </c>
      <c r="K442" s="82" t="s">
        <v>1910</v>
      </c>
      <c r="L442"/>
      <c r="M442">
        <f t="shared" si="13"/>
        <v>5.85</v>
      </c>
      <c r="N442" s="12">
        <f t="shared" si="14"/>
        <v>437</v>
      </c>
    </row>
    <row r="443" spans="1:14" s="12" customFormat="1" x14ac:dyDescent="0.3">
      <c r="A443" s="86" t="s">
        <v>897</v>
      </c>
      <c r="B443" s="86" t="s">
        <v>2025</v>
      </c>
      <c r="C443" s="86" t="s">
        <v>1898</v>
      </c>
      <c r="D443" s="86" t="s">
        <v>2195</v>
      </c>
      <c r="E443" s="89">
        <v>1</v>
      </c>
      <c r="H443" s="82" t="s">
        <v>2196</v>
      </c>
      <c r="I443"/>
      <c r="J443" s="95">
        <v>3.95</v>
      </c>
      <c r="K443" s="82" t="s">
        <v>1910</v>
      </c>
      <c r="L443"/>
      <c r="M443">
        <f t="shared" si="13"/>
        <v>3.95</v>
      </c>
      <c r="N443" s="12">
        <f t="shared" si="14"/>
        <v>438</v>
      </c>
    </row>
    <row r="444" spans="1:14" s="12" customFormat="1" x14ac:dyDescent="0.3">
      <c r="A444" s="86" t="s">
        <v>897</v>
      </c>
      <c r="B444" s="86" t="s">
        <v>2025</v>
      </c>
      <c r="C444" s="86" t="s">
        <v>1898</v>
      </c>
      <c r="D444" s="86" t="s">
        <v>2203</v>
      </c>
      <c r="E444" s="89">
        <v>2</v>
      </c>
      <c r="H444" s="82" t="s">
        <v>2204</v>
      </c>
      <c r="I444"/>
      <c r="J444" s="95">
        <v>1.95</v>
      </c>
      <c r="K444" s="82" t="s">
        <v>1910</v>
      </c>
      <c r="L444"/>
      <c r="M444">
        <f t="shared" si="13"/>
        <v>3.9</v>
      </c>
      <c r="N444" s="12">
        <f t="shared" si="14"/>
        <v>439</v>
      </c>
    </row>
    <row r="445" spans="1:14" s="12" customFormat="1" x14ac:dyDescent="0.3">
      <c r="A445" s="86" t="s">
        <v>897</v>
      </c>
      <c r="B445" s="86" t="s">
        <v>2025</v>
      </c>
      <c r="C445" s="86" t="s">
        <v>1898</v>
      </c>
      <c r="D445" s="86" t="s">
        <v>2197</v>
      </c>
      <c r="E445" s="89">
        <v>1</v>
      </c>
      <c r="H445" s="82" t="s">
        <v>2198</v>
      </c>
      <c r="I445"/>
      <c r="J445" s="95">
        <v>2.95</v>
      </c>
      <c r="K445" s="82" t="s">
        <v>1910</v>
      </c>
      <c r="L445"/>
      <c r="M445">
        <f t="shared" si="13"/>
        <v>2.95</v>
      </c>
      <c r="N445" s="12">
        <f t="shared" si="14"/>
        <v>440</v>
      </c>
    </row>
    <row r="446" spans="1:14" s="12" customFormat="1" x14ac:dyDescent="0.3">
      <c r="A446" s="86" t="s">
        <v>897</v>
      </c>
      <c r="B446" s="86" t="s">
        <v>2025</v>
      </c>
      <c r="C446" s="86" t="s">
        <v>1898</v>
      </c>
      <c r="D446" s="86" t="s">
        <v>2199</v>
      </c>
      <c r="E446" s="89">
        <f>FilterSpecs!$C$3</f>
        <v>5</v>
      </c>
      <c r="H446" s="82" t="s">
        <v>2200</v>
      </c>
      <c r="I446"/>
      <c r="J446" s="95">
        <v>2.95</v>
      </c>
      <c r="K446" s="82" t="s">
        <v>1910</v>
      </c>
      <c r="L446"/>
      <c r="M446">
        <f t="shared" si="13"/>
        <v>14.75</v>
      </c>
      <c r="N446" s="12">
        <f t="shared" si="14"/>
        <v>441</v>
      </c>
    </row>
    <row r="447" spans="1:14" s="12" customFormat="1" x14ac:dyDescent="0.3">
      <c r="A447" s="86" t="s">
        <v>897</v>
      </c>
      <c r="B447" s="86" t="s">
        <v>2025</v>
      </c>
      <c r="C447" s="86" t="s">
        <v>1898</v>
      </c>
      <c r="D447" s="86" t="s">
        <v>2201</v>
      </c>
      <c r="E447" s="89">
        <f>FilterSpecs!$C$3</f>
        <v>5</v>
      </c>
      <c r="H447" s="82" t="s">
        <v>2202</v>
      </c>
      <c r="I447"/>
      <c r="J447" s="95">
        <v>3.95</v>
      </c>
      <c r="K447" s="82" t="s">
        <v>1910</v>
      </c>
      <c r="L447"/>
      <c r="M447">
        <f t="shared" si="13"/>
        <v>19.75</v>
      </c>
      <c r="N447" s="12">
        <f t="shared" si="14"/>
        <v>442</v>
      </c>
    </row>
    <row r="448" spans="1:14" s="12" customFormat="1" hidden="1" x14ac:dyDescent="0.3">
      <c r="A448" s="82" t="s">
        <v>897</v>
      </c>
      <c r="B448" s="82" t="s">
        <v>2434</v>
      </c>
      <c r="C448" s="82" t="s">
        <v>8</v>
      </c>
      <c r="D448" s="86" t="s">
        <v>595</v>
      </c>
      <c r="E448" s="89">
        <v>0</v>
      </c>
      <c r="F448" s="12" t="s">
        <v>596</v>
      </c>
      <c r="G448" s="12" t="s">
        <v>597</v>
      </c>
      <c r="H448" s="86" t="s">
        <v>598</v>
      </c>
      <c r="I448" s="12">
        <v>1</v>
      </c>
      <c r="J448" s="89">
        <v>0.95</v>
      </c>
      <c r="K448" s="86" t="s">
        <v>1910</v>
      </c>
      <c r="L448" s="12" t="s">
        <v>2399</v>
      </c>
      <c r="M448">
        <f t="shared" si="13"/>
        <v>0</v>
      </c>
      <c r="N448" s="12">
        <f t="shared" si="14"/>
        <v>443</v>
      </c>
    </row>
    <row r="449" spans="1:14" s="12" customFormat="1" hidden="1" x14ac:dyDescent="0.3">
      <c r="A449" s="82" t="s">
        <v>897</v>
      </c>
      <c r="B449" s="82" t="s">
        <v>2434</v>
      </c>
      <c r="C449" s="82" t="s">
        <v>8</v>
      </c>
      <c r="D449" s="86" t="s">
        <v>591</v>
      </c>
      <c r="E449" s="89">
        <v>0</v>
      </c>
      <c r="F449" s="12" t="s">
        <v>592</v>
      </c>
      <c r="G449" s="12" t="s">
        <v>593</v>
      </c>
      <c r="H449" s="86" t="s">
        <v>594</v>
      </c>
      <c r="I449" s="12">
        <v>1</v>
      </c>
      <c r="J449" s="89">
        <v>0.95</v>
      </c>
      <c r="K449" s="86" t="s">
        <v>1910</v>
      </c>
      <c r="L449" s="12" t="s">
        <v>2399</v>
      </c>
      <c r="M449">
        <f t="shared" si="13"/>
        <v>0</v>
      </c>
      <c r="N449" s="12">
        <f t="shared" si="14"/>
        <v>444</v>
      </c>
    </row>
    <row r="450" spans="1:14" s="12" customFormat="1" x14ac:dyDescent="0.3">
      <c r="A450" s="82" t="s">
        <v>897</v>
      </c>
      <c r="B450" s="82" t="s">
        <v>2434</v>
      </c>
      <c r="C450" s="82" t="s">
        <v>8</v>
      </c>
      <c r="D450" s="86" t="s">
        <v>511</v>
      </c>
      <c r="E450" s="89">
        <f>2*FilterSpecs!$C$3</f>
        <v>10</v>
      </c>
      <c r="F450" s="12" t="s">
        <v>512</v>
      </c>
      <c r="G450" s="12" t="s">
        <v>513</v>
      </c>
      <c r="H450" s="86" t="s">
        <v>514</v>
      </c>
      <c r="I450" s="12">
        <v>1</v>
      </c>
      <c r="J450" s="89">
        <v>0.95</v>
      </c>
      <c r="K450" s="86" t="s">
        <v>1911</v>
      </c>
      <c r="L450" s="12" t="s">
        <v>2399</v>
      </c>
      <c r="M450">
        <f t="shared" si="13"/>
        <v>9.5</v>
      </c>
      <c r="N450" s="12">
        <f t="shared" si="14"/>
        <v>445</v>
      </c>
    </row>
    <row r="451" spans="1:14" s="12" customFormat="1" x14ac:dyDescent="0.3">
      <c r="A451" s="82" t="s">
        <v>897</v>
      </c>
      <c r="B451" s="82" t="s">
        <v>2434</v>
      </c>
      <c r="C451" s="82" t="s">
        <v>8</v>
      </c>
      <c r="D451" s="86" t="s">
        <v>1353</v>
      </c>
      <c r="E451" s="89">
        <f>FilterSpecs!$C$3</f>
        <v>5</v>
      </c>
      <c r="F451" s="12" t="s">
        <v>1354</v>
      </c>
      <c r="G451" s="12" t="s">
        <v>1355</v>
      </c>
      <c r="H451" s="86" t="s">
        <v>1356</v>
      </c>
      <c r="I451" s="12">
        <v>1</v>
      </c>
      <c r="J451" s="89">
        <v>1.5</v>
      </c>
      <c r="K451" s="86" t="s">
        <v>1911</v>
      </c>
      <c r="L451" s="12" t="s">
        <v>2399</v>
      </c>
      <c r="M451">
        <f t="shared" si="13"/>
        <v>7.5</v>
      </c>
      <c r="N451" s="12">
        <f t="shared" si="14"/>
        <v>446</v>
      </c>
    </row>
    <row r="452" spans="1:14" s="12" customFormat="1" x14ac:dyDescent="0.3">
      <c r="A452" s="82" t="s">
        <v>897</v>
      </c>
      <c r="B452" s="82" t="s">
        <v>2434</v>
      </c>
      <c r="C452" s="82" t="s">
        <v>8</v>
      </c>
      <c r="D452" s="86" t="s">
        <v>485</v>
      </c>
      <c r="E452" s="89">
        <f>2*FilterSpecs!$C$3</f>
        <v>10</v>
      </c>
      <c r="F452" s="12" t="s">
        <v>486</v>
      </c>
      <c r="G452" s="12" t="s">
        <v>487</v>
      </c>
      <c r="H452" s="86" t="s">
        <v>488</v>
      </c>
      <c r="J452" s="89">
        <v>1.5</v>
      </c>
      <c r="K452" s="86" t="s">
        <v>1911</v>
      </c>
      <c r="L452" s="12" t="s">
        <v>2399</v>
      </c>
      <c r="M452">
        <f t="shared" si="13"/>
        <v>15</v>
      </c>
      <c r="N452" s="12">
        <f t="shared" si="14"/>
        <v>447</v>
      </c>
    </row>
    <row r="453" spans="1:14" s="12" customFormat="1" x14ac:dyDescent="0.3">
      <c r="A453" s="86" t="s">
        <v>897</v>
      </c>
      <c r="B453" s="86" t="s">
        <v>2434</v>
      </c>
      <c r="C453" s="86" t="s">
        <v>1898</v>
      </c>
      <c r="D453" s="86" t="s">
        <v>2209</v>
      </c>
      <c r="E453" s="89">
        <f>FilterSpecs!$C$3</f>
        <v>5</v>
      </c>
      <c r="H453" s="82" t="s">
        <v>2210</v>
      </c>
      <c r="I453"/>
      <c r="J453" s="95">
        <v>2.95</v>
      </c>
      <c r="K453" s="82" t="s">
        <v>1911</v>
      </c>
      <c r="L453" t="s">
        <v>2399</v>
      </c>
      <c r="M453">
        <f t="shared" si="13"/>
        <v>14.75</v>
      </c>
      <c r="N453" s="12">
        <f t="shared" si="14"/>
        <v>448</v>
      </c>
    </row>
    <row r="454" spans="1:14" s="12" customFormat="1" hidden="1" x14ac:dyDescent="0.3">
      <c r="A454" s="86" t="s">
        <v>897</v>
      </c>
      <c r="B454" s="86" t="s">
        <v>2434</v>
      </c>
      <c r="C454" s="86" t="s">
        <v>1898</v>
      </c>
      <c r="D454" s="86" t="s">
        <v>2211</v>
      </c>
      <c r="E454" s="89">
        <v>0</v>
      </c>
      <c r="H454" s="82" t="s">
        <v>2212</v>
      </c>
      <c r="I454"/>
      <c r="J454" s="95">
        <v>0.75</v>
      </c>
      <c r="K454" s="82" t="s">
        <v>1910</v>
      </c>
      <c r="L454" t="s">
        <v>2399</v>
      </c>
      <c r="M454">
        <f t="shared" ref="M454:M517" si="15">E454*J454</f>
        <v>0</v>
      </c>
      <c r="N454" s="12">
        <f t="shared" ref="N454:N517" si="16">IF($N453="List #",1,$N453+1)</f>
        <v>449</v>
      </c>
    </row>
    <row r="455" spans="1:14" s="12" customFormat="1" x14ac:dyDescent="0.3">
      <c r="A455" s="82" t="s">
        <v>897</v>
      </c>
      <c r="B455" s="82" t="s">
        <v>2435</v>
      </c>
      <c r="C455" s="82" t="s">
        <v>8</v>
      </c>
      <c r="D455" s="86" t="s">
        <v>1819</v>
      </c>
      <c r="E455" s="89">
        <f>FilterSpecs!$C$3</f>
        <v>5</v>
      </c>
      <c r="F455" s="12" t="s">
        <v>1820</v>
      </c>
      <c r="G455" s="12" t="s">
        <v>1821</v>
      </c>
      <c r="H455" s="86" t="s">
        <v>1822</v>
      </c>
      <c r="J455" s="89">
        <v>1.5</v>
      </c>
      <c r="K455" s="86" t="s">
        <v>1911</v>
      </c>
      <c r="L455" s="12" t="s">
        <v>2398</v>
      </c>
      <c r="M455">
        <f t="shared" si="15"/>
        <v>7.5</v>
      </c>
      <c r="N455" s="12">
        <f t="shared" si="16"/>
        <v>450</v>
      </c>
    </row>
    <row r="456" spans="1:14" s="12" customFormat="1" hidden="1" x14ac:dyDescent="0.3">
      <c r="A456" s="82" t="s">
        <v>897</v>
      </c>
      <c r="B456" s="82" t="s">
        <v>2435</v>
      </c>
      <c r="C456" s="82" t="s">
        <v>8</v>
      </c>
      <c r="D456" s="86" t="s">
        <v>1811</v>
      </c>
      <c r="E456" s="89">
        <v>0</v>
      </c>
      <c r="F456" s="12" t="s">
        <v>1812</v>
      </c>
      <c r="G456" s="12" t="s">
        <v>1813</v>
      </c>
      <c r="H456" s="86" t="s">
        <v>1814</v>
      </c>
      <c r="J456" s="89">
        <v>2.95</v>
      </c>
      <c r="K456" s="86" t="s">
        <v>1910</v>
      </c>
      <c r="L456" s="12" t="s">
        <v>2398</v>
      </c>
      <c r="M456">
        <f t="shared" si="15"/>
        <v>0</v>
      </c>
      <c r="N456" s="12">
        <f t="shared" si="16"/>
        <v>451</v>
      </c>
    </row>
    <row r="457" spans="1:14" s="12" customFormat="1" hidden="1" x14ac:dyDescent="0.3">
      <c r="A457" s="82" t="s">
        <v>897</v>
      </c>
      <c r="B457" s="82" t="s">
        <v>2435</v>
      </c>
      <c r="C457" s="82" t="s">
        <v>8</v>
      </c>
      <c r="D457" s="86" t="s">
        <v>1803</v>
      </c>
      <c r="E457" s="89">
        <v>0</v>
      </c>
      <c r="F457" s="12" t="s">
        <v>1804</v>
      </c>
      <c r="G457" s="12" t="s">
        <v>1805</v>
      </c>
      <c r="H457" s="86" t="s">
        <v>1806</v>
      </c>
      <c r="J457" s="89">
        <v>1.5</v>
      </c>
      <c r="K457" s="86" t="s">
        <v>1910</v>
      </c>
      <c r="L457" s="12" t="s">
        <v>2398</v>
      </c>
      <c r="M457">
        <f t="shared" si="15"/>
        <v>0</v>
      </c>
      <c r="N457" s="12">
        <f t="shared" si="16"/>
        <v>452</v>
      </c>
    </row>
    <row r="458" spans="1:14" s="12" customFormat="1" hidden="1" x14ac:dyDescent="0.3">
      <c r="A458" s="82" t="s">
        <v>897</v>
      </c>
      <c r="B458" s="82" t="s">
        <v>2435</v>
      </c>
      <c r="C458" s="82" t="s">
        <v>8</v>
      </c>
      <c r="D458" s="86" t="s">
        <v>1815</v>
      </c>
      <c r="E458" s="89">
        <v>0</v>
      </c>
      <c r="F458" s="12" t="s">
        <v>1816</v>
      </c>
      <c r="G458" s="12" t="s">
        <v>1817</v>
      </c>
      <c r="H458" s="86" t="s">
        <v>1818</v>
      </c>
      <c r="I458" s="12">
        <v>1</v>
      </c>
      <c r="J458" s="89">
        <v>2.95</v>
      </c>
      <c r="K458" s="86" t="s">
        <v>1910</v>
      </c>
      <c r="L458" s="12" t="s">
        <v>2398</v>
      </c>
      <c r="M458">
        <f t="shared" si="15"/>
        <v>0</v>
      </c>
      <c r="N458" s="12">
        <f t="shared" si="16"/>
        <v>453</v>
      </c>
    </row>
    <row r="459" spans="1:14" s="12" customFormat="1" hidden="1" x14ac:dyDescent="0.3">
      <c r="A459" s="82" t="s">
        <v>897</v>
      </c>
      <c r="B459" s="82" t="s">
        <v>2435</v>
      </c>
      <c r="C459" s="82" t="s">
        <v>8</v>
      </c>
      <c r="D459" s="86" t="s">
        <v>2430</v>
      </c>
      <c r="E459" s="89">
        <v>0</v>
      </c>
      <c r="F459" s="12" t="s">
        <v>2431</v>
      </c>
      <c r="G459" s="12" t="s">
        <v>2432</v>
      </c>
      <c r="H459" s="86" t="s">
        <v>2433</v>
      </c>
      <c r="I459" s="12">
        <v>1</v>
      </c>
      <c r="J459" s="89">
        <v>0.95</v>
      </c>
      <c r="K459" s="82" t="s">
        <v>1910</v>
      </c>
      <c r="L459" t="s">
        <v>2398</v>
      </c>
      <c r="M459">
        <f t="shared" si="15"/>
        <v>0</v>
      </c>
      <c r="N459" s="12">
        <f t="shared" si="16"/>
        <v>454</v>
      </c>
    </row>
    <row r="460" spans="1:14" s="12" customFormat="1" hidden="1" x14ac:dyDescent="0.3">
      <c r="A460" s="86" t="s">
        <v>897</v>
      </c>
      <c r="B460" s="86" t="s">
        <v>2436</v>
      </c>
      <c r="C460" s="86" t="s">
        <v>1898</v>
      </c>
      <c r="D460" s="86" t="s">
        <v>2207</v>
      </c>
      <c r="E460" s="89">
        <v>0</v>
      </c>
      <c r="H460" s="82" t="s">
        <v>2208</v>
      </c>
      <c r="I460"/>
      <c r="J460" s="95">
        <v>1.5</v>
      </c>
      <c r="K460" s="82" t="s">
        <v>1913</v>
      </c>
      <c r="L460" t="s">
        <v>2399</v>
      </c>
      <c r="M460">
        <f t="shared" si="15"/>
        <v>0</v>
      </c>
      <c r="N460" s="12">
        <f t="shared" si="16"/>
        <v>455</v>
      </c>
    </row>
    <row r="461" spans="1:14" s="12" customFormat="1" x14ac:dyDescent="0.3">
      <c r="A461" s="82" t="s">
        <v>897</v>
      </c>
      <c r="B461" s="82" t="s">
        <v>1611</v>
      </c>
      <c r="C461" s="82" t="s">
        <v>8</v>
      </c>
      <c r="D461" s="86" t="s">
        <v>519</v>
      </c>
      <c r="E461" s="89">
        <f>FilterSpecs!$C$3+1</f>
        <v>6</v>
      </c>
      <c r="F461" s="12" t="s">
        <v>520</v>
      </c>
      <c r="G461" s="12" t="s">
        <v>521</v>
      </c>
      <c r="H461" s="86" t="s">
        <v>522</v>
      </c>
      <c r="I461" s="12">
        <v>1</v>
      </c>
      <c r="J461" s="89">
        <v>1.5</v>
      </c>
      <c r="K461" s="86" t="s">
        <v>1911</v>
      </c>
      <c r="L461" s="12" t="s">
        <v>2399</v>
      </c>
      <c r="M461">
        <f t="shared" si="15"/>
        <v>9</v>
      </c>
      <c r="N461" s="12">
        <f t="shared" si="16"/>
        <v>456</v>
      </c>
    </row>
    <row r="462" spans="1:14" s="12" customFormat="1" hidden="1" x14ac:dyDescent="0.3">
      <c r="A462" s="82" t="s">
        <v>897</v>
      </c>
      <c r="B462" s="82" t="s">
        <v>1611</v>
      </c>
      <c r="C462" s="82" t="s">
        <v>8</v>
      </c>
      <c r="D462" s="86" t="s">
        <v>583</v>
      </c>
      <c r="E462" s="89">
        <v>0</v>
      </c>
      <c r="F462" s="12" t="s">
        <v>584</v>
      </c>
      <c r="G462" s="12" t="s">
        <v>585</v>
      </c>
      <c r="H462" s="86" t="s">
        <v>586</v>
      </c>
      <c r="I462" s="12">
        <v>1</v>
      </c>
      <c r="J462" s="89">
        <v>1.5</v>
      </c>
      <c r="K462" s="86" t="s">
        <v>1910</v>
      </c>
      <c r="L462" s="12" t="s">
        <v>2399</v>
      </c>
      <c r="M462">
        <f t="shared" si="15"/>
        <v>0</v>
      </c>
      <c r="N462" s="12">
        <f t="shared" si="16"/>
        <v>457</v>
      </c>
    </row>
    <row r="463" spans="1:14" s="12" customFormat="1" hidden="1" x14ac:dyDescent="0.3">
      <c r="A463" s="82" t="s">
        <v>897</v>
      </c>
      <c r="B463" s="82" t="s">
        <v>1611</v>
      </c>
      <c r="C463" s="82" t="s">
        <v>8</v>
      </c>
      <c r="D463" s="86" t="s">
        <v>1751</v>
      </c>
      <c r="E463" s="89">
        <v>0</v>
      </c>
      <c r="F463" s="12" t="s">
        <v>1752</v>
      </c>
      <c r="G463" s="12" t="s">
        <v>1753</v>
      </c>
      <c r="H463" s="86" t="s">
        <v>1754</v>
      </c>
      <c r="I463" s="12">
        <v>1</v>
      </c>
      <c r="J463" s="89">
        <v>1.5</v>
      </c>
      <c r="K463" s="86" t="s">
        <v>1910</v>
      </c>
      <c r="L463" s="12" t="s">
        <v>2399</v>
      </c>
      <c r="M463">
        <f t="shared" si="15"/>
        <v>0</v>
      </c>
      <c r="N463" s="12">
        <f t="shared" si="16"/>
        <v>458</v>
      </c>
    </row>
    <row r="464" spans="1:14" s="12" customFormat="1" hidden="1" x14ac:dyDescent="0.3">
      <c r="A464" s="112" t="s">
        <v>897</v>
      </c>
      <c r="B464" s="112" t="s">
        <v>1611</v>
      </c>
      <c r="C464" s="112" t="s">
        <v>1898</v>
      </c>
      <c r="D464" s="112" t="s">
        <v>2463</v>
      </c>
      <c r="E464" s="114">
        <v>0</v>
      </c>
      <c r="F464"/>
      <c r="G464"/>
      <c r="H464" s="112" t="s">
        <v>2462</v>
      </c>
      <c r="I464" s="113">
        <v>107</v>
      </c>
      <c r="J464" s="114">
        <v>1.95</v>
      </c>
      <c r="K464" s="51" t="s">
        <v>1910</v>
      </c>
      <c r="L464"/>
      <c r="M464">
        <f t="shared" si="15"/>
        <v>0</v>
      </c>
      <c r="N464" s="12">
        <f t="shared" si="16"/>
        <v>459</v>
      </c>
    </row>
    <row r="465" spans="1:14" s="12" customFormat="1" hidden="1" x14ac:dyDescent="0.3">
      <c r="A465" s="112" t="s">
        <v>897</v>
      </c>
      <c r="B465" s="112" t="s">
        <v>2436</v>
      </c>
      <c r="C465" s="112" t="s">
        <v>1898</v>
      </c>
      <c r="D465" s="112" t="s">
        <v>2450</v>
      </c>
      <c r="E465" s="114">
        <v>0</v>
      </c>
      <c r="F465"/>
      <c r="G465"/>
      <c r="H465" s="112" t="s">
        <v>2449</v>
      </c>
      <c r="I465" s="113">
        <v>100</v>
      </c>
      <c r="J465" s="114">
        <v>0.75</v>
      </c>
      <c r="K465" s="51" t="s">
        <v>1910</v>
      </c>
      <c r="L465"/>
      <c r="M465">
        <f t="shared" si="15"/>
        <v>0</v>
      </c>
      <c r="N465" s="12">
        <f t="shared" si="16"/>
        <v>460</v>
      </c>
    </row>
    <row r="466" spans="1:14" s="12" customFormat="1" hidden="1" x14ac:dyDescent="0.3">
      <c r="A466" s="112" t="s">
        <v>897</v>
      </c>
      <c r="B466" s="112" t="s">
        <v>2434</v>
      </c>
      <c r="C466" s="112" t="s">
        <v>1898</v>
      </c>
      <c r="D466" s="112" t="s">
        <v>2452</v>
      </c>
      <c r="E466" s="114">
        <v>0</v>
      </c>
      <c r="F466"/>
      <c r="G466"/>
      <c r="H466" s="112" t="s">
        <v>2451</v>
      </c>
      <c r="I466" s="113">
        <v>101</v>
      </c>
      <c r="J466" s="114">
        <v>0.75</v>
      </c>
      <c r="K466" s="51" t="s">
        <v>1910</v>
      </c>
      <c r="L466"/>
      <c r="M466">
        <f t="shared" si="15"/>
        <v>0</v>
      </c>
      <c r="N466" s="12">
        <f t="shared" si="16"/>
        <v>461</v>
      </c>
    </row>
    <row r="467" spans="1:14" s="12" customFormat="1" hidden="1" x14ac:dyDescent="0.3">
      <c r="A467" s="112" t="s">
        <v>897</v>
      </c>
      <c r="B467" s="112" t="s">
        <v>2434</v>
      </c>
      <c r="C467" s="112" t="s">
        <v>1898</v>
      </c>
      <c r="D467" s="112" t="s">
        <v>2146</v>
      </c>
      <c r="E467" s="114">
        <v>0</v>
      </c>
      <c r="F467"/>
      <c r="G467"/>
      <c r="H467" s="112" t="s">
        <v>2453</v>
      </c>
      <c r="I467" s="113">
        <v>102</v>
      </c>
      <c r="J467" s="114">
        <v>0.75</v>
      </c>
      <c r="K467" s="51" t="s">
        <v>1910</v>
      </c>
      <c r="L467"/>
      <c r="M467">
        <f t="shared" si="15"/>
        <v>0</v>
      </c>
      <c r="N467" s="12">
        <f t="shared" si="16"/>
        <v>462</v>
      </c>
    </row>
    <row r="468" spans="1:14" s="12" customFormat="1" x14ac:dyDescent="0.3">
      <c r="A468" s="82" t="s">
        <v>897</v>
      </c>
      <c r="B468" s="82" t="s">
        <v>1883</v>
      </c>
      <c r="C468" s="82" t="s">
        <v>8</v>
      </c>
      <c r="D468" s="86" t="s">
        <v>1755</v>
      </c>
      <c r="E468" s="89">
        <f>2*FilterSpecs!$C$3</f>
        <v>10</v>
      </c>
      <c r="F468" s="12" t="s">
        <v>1756</v>
      </c>
      <c r="G468" s="12" t="s">
        <v>1757</v>
      </c>
      <c r="H468" s="86" t="s">
        <v>1758</v>
      </c>
      <c r="J468" s="89">
        <v>0.95</v>
      </c>
      <c r="K468" s="86" t="s">
        <v>1910</v>
      </c>
      <c r="M468">
        <f t="shared" si="15"/>
        <v>9.5</v>
      </c>
      <c r="N468" s="12">
        <f t="shared" si="16"/>
        <v>463</v>
      </c>
    </row>
    <row r="469" spans="1:14" s="12" customFormat="1" x14ac:dyDescent="0.3">
      <c r="A469" s="82" t="s">
        <v>897</v>
      </c>
      <c r="B469" s="82" t="s">
        <v>1883</v>
      </c>
      <c r="C469" s="82" t="s">
        <v>8</v>
      </c>
      <c r="D469" s="86" t="s">
        <v>1767</v>
      </c>
      <c r="E469" s="89">
        <f>2*FilterSpecs!$C$3</f>
        <v>10</v>
      </c>
      <c r="F469" s="12" t="s">
        <v>1768</v>
      </c>
      <c r="G469" s="12" t="s">
        <v>1769</v>
      </c>
      <c r="H469" s="86" t="s">
        <v>1770</v>
      </c>
      <c r="I469" s="12">
        <v>1</v>
      </c>
      <c r="J469" s="89">
        <v>1.95</v>
      </c>
      <c r="K469" s="86" t="s">
        <v>1910</v>
      </c>
      <c r="M469">
        <f t="shared" si="15"/>
        <v>19.5</v>
      </c>
      <c r="N469" s="12">
        <f t="shared" si="16"/>
        <v>464</v>
      </c>
    </row>
    <row r="470" spans="1:14" s="12" customFormat="1" hidden="1" x14ac:dyDescent="0.3">
      <c r="A470" s="82" t="s">
        <v>897</v>
      </c>
      <c r="B470" s="82" t="s">
        <v>1608</v>
      </c>
      <c r="C470" s="82" t="s">
        <v>8</v>
      </c>
      <c r="D470" s="86" t="s">
        <v>469</v>
      </c>
      <c r="E470" s="89">
        <v>0</v>
      </c>
      <c r="F470" s="12" t="s">
        <v>470</v>
      </c>
      <c r="G470" s="12" t="s">
        <v>471</v>
      </c>
      <c r="H470" s="86" t="s">
        <v>472</v>
      </c>
      <c r="I470" s="12">
        <v>1</v>
      </c>
      <c r="J470" s="89">
        <v>1.5</v>
      </c>
      <c r="K470" s="86" t="s">
        <v>1910</v>
      </c>
      <c r="M470">
        <f t="shared" si="15"/>
        <v>0</v>
      </c>
      <c r="N470" s="12">
        <f t="shared" si="16"/>
        <v>465</v>
      </c>
    </row>
    <row r="471" spans="1:14" s="12" customFormat="1" hidden="1" x14ac:dyDescent="0.3">
      <c r="A471" s="82" t="s">
        <v>897</v>
      </c>
      <c r="B471" s="82" t="s">
        <v>1608</v>
      </c>
      <c r="C471" s="82" t="s">
        <v>8</v>
      </c>
      <c r="D471" s="86" t="s">
        <v>465</v>
      </c>
      <c r="E471" s="89">
        <v>0</v>
      </c>
      <c r="F471" s="12" t="s">
        <v>466</v>
      </c>
      <c r="G471" s="12" t="s">
        <v>467</v>
      </c>
      <c r="H471" s="86" t="s">
        <v>468</v>
      </c>
      <c r="I471" s="12">
        <v>1</v>
      </c>
      <c r="J471" s="89">
        <v>0.95</v>
      </c>
      <c r="K471" s="86" t="s">
        <v>1910</v>
      </c>
      <c r="M471">
        <f t="shared" si="15"/>
        <v>0</v>
      </c>
      <c r="N471" s="12">
        <f t="shared" si="16"/>
        <v>466</v>
      </c>
    </row>
    <row r="472" spans="1:14" s="12" customFormat="1" hidden="1" x14ac:dyDescent="0.3">
      <c r="A472" s="82" t="s">
        <v>897</v>
      </c>
      <c r="B472" s="82" t="s">
        <v>1608</v>
      </c>
      <c r="C472" s="82" t="s">
        <v>8</v>
      </c>
      <c r="D472" s="86" t="s">
        <v>587</v>
      </c>
      <c r="E472" s="89">
        <v>0</v>
      </c>
      <c r="F472" s="12" t="s">
        <v>588</v>
      </c>
      <c r="G472" s="12" t="s">
        <v>589</v>
      </c>
      <c r="H472" s="86" t="s">
        <v>590</v>
      </c>
      <c r="J472" s="89">
        <v>1.5</v>
      </c>
      <c r="K472" s="86" t="s">
        <v>1910</v>
      </c>
      <c r="M472">
        <f t="shared" si="15"/>
        <v>0</v>
      </c>
      <c r="N472" s="12">
        <f t="shared" si="16"/>
        <v>467</v>
      </c>
    </row>
    <row r="473" spans="1:14" s="12" customFormat="1" hidden="1" x14ac:dyDescent="0.3">
      <c r="A473" s="82" t="s">
        <v>897</v>
      </c>
      <c r="B473" s="82" t="s">
        <v>1608</v>
      </c>
      <c r="C473" s="82" t="s">
        <v>8</v>
      </c>
      <c r="D473" s="86" t="s">
        <v>575</v>
      </c>
      <c r="E473" s="89">
        <v>0</v>
      </c>
      <c r="F473" s="12" t="s">
        <v>576</v>
      </c>
      <c r="G473" s="12" t="s">
        <v>577</v>
      </c>
      <c r="H473" s="86" t="s">
        <v>578</v>
      </c>
      <c r="J473" s="89">
        <v>1.95</v>
      </c>
      <c r="K473" s="86" t="s">
        <v>1910</v>
      </c>
      <c r="M473">
        <f t="shared" si="15"/>
        <v>0</v>
      </c>
      <c r="N473" s="12">
        <f t="shared" si="16"/>
        <v>468</v>
      </c>
    </row>
    <row r="474" spans="1:14" s="12" customFormat="1" hidden="1" x14ac:dyDescent="0.3">
      <c r="A474" s="82" t="s">
        <v>897</v>
      </c>
      <c r="B474" s="82" t="s">
        <v>1608</v>
      </c>
      <c r="C474" s="82" t="s">
        <v>8</v>
      </c>
      <c r="D474" s="86" t="s">
        <v>539</v>
      </c>
      <c r="E474" s="89">
        <v>0</v>
      </c>
      <c r="F474" s="12" t="s">
        <v>540</v>
      </c>
      <c r="G474" s="12" t="s">
        <v>541</v>
      </c>
      <c r="H474" s="86" t="s">
        <v>542</v>
      </c>
      <c r="I474" s="12">
        <v>1</v>
      </c>
      <c r="J474" s="89">
        <v>1.5</v>
      </c>
      <c r="K474" s="86" t="s">
        <v>1910</v>
      </c>
      <c r="M474">
        <f t="shared" si="15"/>
        <v>0</v>
      </c>
      <c r="N474" s="12">
        <f t="shared" si="16"/>
        <v>469</v>
      </c>
    </row>
    <row r="475" spans="1:14" s="12" customFormat="1" hidden="1" x14ac:dyDescent="0.3">
      <c r="A475" s="82" t="s">
        <v>897</v>
      </c>
      <c r="B475" s="82" t="s">
        <v>1608</v>
      </c>
      <c r="C475" s="82" t="s">
        <v>8</v>
      </c>
      <c r="D475" s="86" t="s">
        <v>499</v>
      </c>
      <c r="E475" s="89">
        <v>0</v>
      </c>
      <c r="F475" s="12" t="s">
        <v>500</v>
      </c>
      <c r="G475" s="12" t="s">
        <v>501</v>
      </c>
      <c r="H475" s="86" t="s">
        <v>502</v>
      </c>
      <c r="J475" s="89">
        <v>1.5</v>
      </c>
      <c r="K475" s="86" t="s">
        <v>1910</v>
      </c>
      <c r="M475">
        <f t="shared" si="15"/>
        <v>0</v>
      </c>
      <c r="N475" s="12">
        <f t="shared" si="16"/>
        <v>470</v>
      </c>
    </row>
    <row r="476" spans="1:14" s="12" customFormat="1" hidden="1" x14ac:dyDescent="0.3">
      <c r="A476" s="82" t="s">
        <v>897</v>
      </c>
      <c r="B476" s="82" t="s">
        <v>1608</v>
      </c>
      <c r="C476" s="82" t="s">
        <v>8</v>
      </c>
      <c r="D476" s="86" t="s">
        <v>535</v>
      </c>
      <c r="E476" s="89">
        <v>0</v>
      </c>
      <c r="F476" s="12" t="s">
        <v>536</v>
      </c>
      <c r="G476" s="12" t="s">
        <v>537</v>
      </c>
      <c r="H476" s="86" t="s">
        <v>538</v>
      </c>
      <c r="J476" s="89">
        <v>1.5</v>
      </c>
      <c r="K476" s="86" t="s">
        <v>1910</v>
      </c>
      <c r="M476">
        <f t="shared" si="15"/>
        <v>0</v>
      </c>
      <c r="N476" s="12">
        <f t="shared" si="16"/>
        <v>471</v>
      </c>
    </row>
    <row r="477" spans="1:14" s="12" customFormat="1" hidden="1" x14ac:dyDescent="0.3">
      <c r="A477" s="82" t="s">
        <v>897</v>
      </c>
      <c r="B477" s="82" t="s">
        <v>1608</v>
      </c>
      <c r="C477" s="82" t="s">
        <v>8</v>
      </c>
      <c r="D477" s="86" t="s">
        <v>503</v>
      </c>
      <c r="E477" s="89">
        <v>0</v>
      </c>
      <c r="F477" s="12" t="s">
        <v>504</v>
      </c>
      <c r="G477" s="12" t="s">
        <v>505</v>
      </c>
      <c r="H477" s="86" t="s">
        <v>506</v>
      </c>
      <c r="J477" s="89">
        <v>1.95</v>
      </c>
      <c r="K477" s="86" t="s">
        <v>1910</v>
      </c>
      <c r="M477">
        <f t="shared" si="15"/>
        <v>0</v>
      </c>
      <c r="N477" s="12">
        <f t="shared" si="16"/>
        <v>472</v>
      </c>
    </row>
    <row r="478" spans="1:14" s="12" customFormat="1" hidden="1" x14ac:dyDescent="0.3">
      <c r="A478" s="82" t="s">
        <v>897</v>
      </c>
      <c r="B478" s="82" t="s">
        <v>1608</v>
      </c>
      <c r="C478" s="82" t="s">
        <v>8</v>
      </c>
      <c r="D478" s="86" t="s">
        <v>507</v>
      </c>
      <c r="E478" s="89">
        <v>0</v>
      </c>
      <c r="F478" s="12" t="s">
        <v>508</v>
      </c>
      <c r="G478" s="12" t="s">
        <v>509</v>
      </c>
      <c r="H478" s="86" t="s">
        <v>510</v>
      </c>
      <c r="J478" s="89">
        <v>1.5</v>
      </c>
      <c r="K478" s="86" t="s">
        <v>1910</v>
      </c>
      <c r="M478">
        <f t="shared" si="15"/>
        <v>0</v>
      </c>
      <c r="N478" s="12">
        <f t="shared" si="16"/>
        <v>473</v>
      </c>
    </row>
    <row r="479" spans="1:14" s="12" customFormat="1" hidden="1" x14ac:dyDescent="0.3">
      <c r="A479" s="82" t="s">
        <v>897</v>
      </c>
      <c r="B479" s="82" t="s">
        <v>1608</v>
      </c>
      <c r="C479" s="82" t="s">
        <v>8</v>
      </c>
      <c r="D479" s="86" t="s">
        <v>547</v>
      </c>
      <c r="E479" s="89">
        <v>0</v>
      </c>
      <c r="F479" s="12" t="s">
        <v>548</v>
      </c>
      <c r="G479" s="12" t="s">
        <v>549</v>
      </c>
      <c r="H479" s="86" t="s">
        <v>550</v>
      </c>
      <c r="I479" s="12">
        <v>1</v>
      </c>
      <c r="J479" s="89">
        <v>1.95</v>
      </c>
      <c r="K479" s="86" t="s">
        <v>1910</v>
      </c>
      <c r="M479">
        <f t="shared" si="15"/>
        <v>0</v>
      </c>
      <c r="N479" s="12">
        <f t="shared" si="16"/>
        <v>474</v>
      </c>
    </row>
    <row r="480" spans="1:14" s="12" customFormat="1" hidden="1" x14ac:dyDescent="0.3">
      <c r="A480" s="82" t="s">
        <v>897</v>
      </c>
      <c r="B480" s="82" t="s">
        <v>1608</v>
      </c>
      <c r="C480" s="82" t="s">
        <v>8</v>
      </c>
      <c r="D480" s="86" t="s">
        <v>551</v>
      </c>
      <c r="E480" s="89">
        <v>0</v>
      </c>
      <c r="F480" s="12" t="s">
        <v>552</v>
      </c>
      <c r="G480" s="12" t="s">
        <v>553</v>
      </c>
      <c r="H480" s="86" t="s">
        <v>554</v>
      </c>
      <c r="I480" s="12">
        <v>1</v>
      </c>
      <c r="J480" s="89">
        <v>4.95</v>
      </c>
      <c r="K480" s="86" t="s">
        <v>1910</v>
      </c>
      <c r="M480">
        <f t="shared" si="15"/>
        <v>0</v>
      </c>
      <c r="N480" s="12">
        <f t="shared" si="16"/>
        <v>475</v>
      </c>
    </row>
    <row r="481" spans="1:14" s="12" customFormat="1" hidden="1" x14ac:dyDescent="0.3">
      <c r="A481" s="82" t="s">
        <v>897</v>
      </c>
      <c r="B481" s="82" t="s">
        <v>1608</v>
      </c>
      <c r="C481" s="82" t="s">
        <v>8</v>
      </c>
      <c r="D481" s="86" t="s">
        <v>599</v>
      </c>
      <c r="E481" s="89">
        <v>0</v>
      </c>
      <c r="F481" s="12" t="s">
        <v>600</v>
      </c>
      <c r="G481" s="12" t="s">
        <v>601</v>
      </c>
      <c r="H481" s="86" t="s">
        <v>602</v>
      </c>
      <c r="I481" s="12">
        <v>1</v>
      </c>
      <c r="J481" s="89">
        <v>4.5</v>
      </c>
      <c r="K481" s="86" t="s">
        <v>1910</v>
      </c>
      <c r="M481">
        <f t="shared" si="15"/>
        <v>0</v>
      </c>
      <c r="N481" s="12">
        <f t="shared" si="16"/>
        <v>476</v>
      </c>
    </row>
    <row r="482" spans="1:14" s="12" customFormat="1" hidden="1" x14ac:dyDescent="0.3">
      <c r="A482" s="82" t="s">
        <v>897</v>
      </c>
      <c r="B482" s="82" t="s">
        <v>1608</v>
      </c>
      <c r="C482" s="82" t="s">
        <v>8</v>
      </c>
      <c r="D482" s="86" t="s">
        <v>559</v>
      </c>
      <c r="E482" s="89">
        <v>0</v>
      </c>
      <c r="F482" s="12" t="s">
        <v>560</v>
      </c>
      <c r="G482" s="12" t="s">
        <v>561</v>
      </c>
      <c r="H482" s="86" t="s">
        <v>562</v>
      </c>
      <c r="I482" s="12">
        <v>1</v>
      </c>
      <c r="J482" s="89">
        <v>3.95</v>
      </c>
      <c r="K482" s="86" t="s">
        <v>1910</v>
      </c>
      <c r="M482">
        <f t="shared" si="15"/>
        <v>0</v>
      </c>
      <c r="N482" s="12">
        <f t="shared" si="16"/>
        <v>477</v>
      </c>
    </row>
    <row r="483" spans="1:14" s="12" customFormat="1" hidden="1" x14ac:dyDescent="0.3">
      <c r="A483" s="82" t="s">
        <v>897</v>
      </c>
      <c r="B483" s="82" t="s">
        <v>1608</v>
      </c>
      <c r="C483" s="82" t="s">
        <v>8</v>
      </c>
      <c r="D483" s="86" t="s">
        <v>567</v>
      </c>
      <c r="E483" s="89">
        <v>0</v>
      </c>
      <c r="F483" s="12" t="s">
        <v>568</v>
      </c>
      <c r="G483" s="12" t="s">
        <v>569</v>
      </c>
      <c r="H483" s="86" t="s">
        <v>570</v>
      </c>
      <c r="I483" s="12">
        <v>1</v>
      </c>
      <c r="J483" s="89">
        <v>4.5</v>
      </c>
      <c r="K483" s="86" t="s">
        <v>1910</v>
      </c>
      <c r="M483">
        <f t="shared" si="15"/>
        <v>0</v>
      </c>
      <c r="N483" s="12">
        <f t="shared" si="16"/>
        <v>478</v>
      </c>
    </row>
    <row r="484" spans="1:14" s="12" customFormat="1" hidden="1" x14ac:dyDescent="0.3">
      <c r="A484" s="82" t="s">
        <v>897</v>
      </c>
      <c r="B484" s="82" t="s">
        <v>1608</v>
      </c>
      <c r="C484" s="82" t="s">
        <v>8</v>
      </c>
      <c r="D484" s="86" t="s">
        <v>543</v>
      </c>
      <c r="E484" s="89">
        <v>0</v>
      </c>
      <c r="F484" s="12" t="s">
        <v>544</v>
      </c>
      <c r="G484" s="12" t="s">
        <v>545</v>
      </c>
      <c r="H484" s="86" t="s">
        <v>546</v>
      </c>
      <c r="I484" s="12">
        <v>1</v>
      </c>
      <c r="J484" s="89">
        <v>1.95</v>
      </c>
      <c r="K484" s="86" t="s">
        <v>1910</v>
      </c>
      <c r="M484">
        <f t="shared" si="15"/>
        <v>0</v>
      </c>
      <c r="N484" s="12">
        <f t="shared" si="16"/>
        <v>479</v>
      </c>
    </row>
    <row r="485" spans="1:14" s="12" customFormat="1" hidden="1" x14ac:dyDescent="0.3">
      <c r="A485" s="82" t="s">
        <v>897</v>
      </c>
      <c r="B485" s="82" t="s">
        <v>1608</v>
      </c>
      <c r="C485" s="82" t="s">
        <v>8</v>
      </c>
      <c r="D485" s="86" t="s">
        <v>1352</v>
      </c>
      <c r="E485" s="89">
        <v>0</v>
      </c>
      <c r="F485" s="12" t="s">
        <v>552</v>
      </c>
      <c r="G485" s="12" t="s">
        <v>553</v>
      </c>
      <c r="H485" s="86" t="s">
        <v>1351</v>
      </c>
      <c r="I485" s="12">
        <v>1</v>
      </c>
      <c r="J485" s="89">
        <v>4.95</v>
      </c>
      <c r="K485" s="86" t="s">
        <v>1910</v>
      </c>
      <c r="M485">
        <f t="shared" si="15"/>
        <v>0</v>
      </c>
      <c r="N485" s="12">
        <f t="shared" si="16"/>
        <v>480</v>
      </c>
    </row>
    <row r="486" spans="1:14" s="12" customFormat="1" hidden="1" x14ac:dyDescent="0.3">
      <c r="A486" s="82" t="s">
        <v>897</v>
      </c>
      <c r="B486" s="82" t="s">
        <v>1608</v>
      </c>
      <c r="C486" s="82" t="s">
        <v>8</v>
      </c>
      <c r="D486" s="86" t="s">
        <v>563</v>
      </c>
      <c r="E486" s="89">
        <v>0</v>
      </c>
      <c r="F486" s="12" t="s">
        <v>564</v>
      </c>
      <c r="G486" s="12" t="s">
        <v>565</v>
      </c>
      <c r="H486" s="86" t="s">
        <v>566</v>
      </c>
      <c r="I486" s="12">
        <v>1</v>
      </c>
      <c r="J486" s="89">
        <v>3.95</v>
      </c>
      <c r="K486" s="86" t="s">
        <v>1910</v>
      </c>
      <c r="M486">
        <f t="shared" si="15"/>
        <v>0</v>
      </c>
      <c r="N486" s="12">
        <f t="shared" si="16"/>
        <v>481</v>
      </c>
    </row>
    <row r="487" spans="1:14" s="12" customFormat="1" hidden="1" x14ac:dyDescent="0.3">
      <c r="A487" s="82" t="s">
        <v>897</v>
      </c>
      <c r="B487" s="82" t="s">
        <v>1608</v>
      </c>
      <c r="C487" s="82" t="s">
        <v>8</v>
      </c>
      <c r="D487" s="86" t="s">
        <v>555</v>
      </c>
      <c r="E487" s="89">
        <v>0</v>
      </c>
      <c r="F487" s="12" t="s">
        <v>556</v>
      </c>
      <c r="G487" s="12" t="s">
        <v>557</v>
      </c>
      <c r="H487" s="86" t="s">
        <v>558</v>
      </c>
      <c r="I487" s="12">
        <v>1</v>
      </c>
      <c r="J487" s="89">
        <v>1.95</v>
      </c>
      <c r="K487" s="86" t="s">
        <v>1910</v>
      </c>
      <c r="M487">
        <f t="shared" si="15"/>
        <v>0</v>
      </c>
      <c r="N487" s="12">
        <f t="shared" si="16"/>
        <v>482</v>
      </c>
    </row>
    <row r="488" spans="1:14" s="103" customFormat="1" x14ac:dyDescent="0.3">
      <c r="A488" s="102" t="s">
        <v>897</v>
      </c>
      <c r="B488" s="102" t="s">
        <v>1012</v>
      </c>
      <c r="C488" s="102" t="s">
        <v>8</v>
      </c>
      <c r="D488" s="103" t="s">
        <v>371</v>
      </c>
      <c r="E488" s="104">
        <v>1</v>
      </c>
      <c r="F488" s="103" t="s">
        <v>372</v>
      </c>
      <c r="G488" s="103" t="s">
        <v>373</v>
      </c>
      <c r="H488" s="103" t="s">
        <v>374</v>
      </c>
      <c r="I488" s="103">
        <v>1</v>
      </c>
      <c r="J488" s="104">
        <v>7.95</v>
      </c>
      <c r="K488" s="103" t="s">
        <v>1910</v>
      </c>
      <c r="M488">
        <f t="shared" si="15"/>
        <v>7.95</v>
      </c>
      <c r="N488" s="103">
        <f t="shared" si="16"/>
        <v>483</v>
      </c>
    </row>
    <row r="489" spans="1:14" s="103" customFormat="1" x14ac:dyDescent="0.3">
      <c r="A489" s="102" t="s">
        <v>897</v>
      </c>
      <c r="B489" s="102" t="s">
        <v>1012</v>
      </c>
      <c r="C489" s="102" t="s">
        <v>8</v>
      </c>
      <c r="D489" s="103" t="s">
        <v>437</v>
      </c>
      <c r="E489" s="104">
        <f>FilterSpecs!$C$3</f>
        <v>5</v>
      </c>
      <c r="F489" s="103" t="s">
        <v>438</v>
      </c>
      <c r="G489" s="103" t="s">
        <v>439</v>
      </c>
      <c r="H489" s="103" t="s">
        <v>440</v>
      </c>
      <c r="I489" s="103">
        <v>1</v>
      </c>
      <c r="J489" s="104">
        <v>0.5</v>
      </c>
      <c r="K489" s="103" t="s">
        <v>1910</v>
      </c>
      <c r="M489">
        <f t="shared" si="15"/>
        <v>2.5</v>
      </c>
      <c r="N489" s="103">
        <f t="shared" si="16"/>
        <v>484</v>
      </c>
    </row>
    <row r="490" spans="1:14" s="103" customFormat="1" x14ac:dyDescent="0.3">
      <c r="A490" s="102" t="s">
        <v>897</v>
      </c>
      <c r="B490" s="102" t="s">
        <v>1012</v>
      </c>
      <c r="C490" s="102" t="s">
        <v>8</v>
      </c>
      <c r="D490" s="103" t="s">
        <v>441</v>
      </c>
      <c r="E490" s="104">
        <f>FilterSpecs!$C$3</f>
        <v>5</v>
      </c>
      <c r="F490" s="103" t="s">
        <v>442</v>
      </c>
      <c r="G490" s="103" t="s">
        <v>443</v>
      </c>
      <c r="H490" s="103" t="s">
        <v>444</v>
      </c>
      <c r="I490" s="103">
        <v>1</v>
      </c>
      <c r="J490" s="104">
        <v>0.5</v>
      </c>
      <c r="K490" s="103" t="s">
        <v>1910</v>
      </c>
      <c r="M490">
        <f t="shared" si="15"/>
        <v>2.5</v>
      </c>
      <c r="N490" s="103">
        <f t="shared" si="16"/>
        <v>485</v>
      </c>
    </row>
    <row r="491" spans="1:14" s="103" customFormat="1" x14ac:dyDescent="0.3">
      <c r="A491" s="102" t="s">
        <v>897</v>
      </c>
      <c r="B491" s="102" t="s">
        <v>1012</v>
      </c>
      <c r="C491" s="102" t="s">
        <v>8</v>
      </c>
      <c r="D491" s="103" t="s">
        <v>1697</v>
      </c>
      <c r="E491" s="104">
        <v>1</v>
      </c>
      <c r="F491" s="103" t="s">
        <v>1698</v>
      </c>
      <c r="G491" s="103" t="s">
        <v>1699</v>
      </c>
      <c r="H491" s="103" t="s">
        <v>1700</v>
      </c>
      <c r="I491" s="103">
        <v>1</v>
      </c>
      <c r="J491" s="104">
        <v>0.95</v>
      </c>
      <c r="K491" s="107" t="s">
        <v>1911</v>
      </c>
      <c r="M491">
        <f t="shared" si="15"/>
        <v>0.95</v>
      </c>
      <c r="N491" s="103">
        <f t="shared" si="16"/>
        <v>486</v>
      </c>
    </row>
    <row r="492" spans="1:14" s="103" customFormat="1" x14ac:dyDescent="0.3">
      <c r="A492" s="102" t="s">
        <v>897</v>
      </c>
      <c r="B492" s="102" t="s">
        <v>1012</v>
      </c>
      <c r="C492" s="102" t="s">
        <v>8</v>
      </c>
      <c r="D492" s="103" t="s">
        <v>1701</v>
      </c>
      <c r="E492" s="104">
        <v>1</v>
      </c>
      <c r="F492" s="103" t="s">
        <v>1702</v>
      </c>
      <c r="G492" s="103" t="s">
        <v>1703</v>
      </c>
      <c r="H492" s="103" t="s">
        <v>1704</v>
      </c>
      <c r="I492" s="103">
        <v>1</v>
      </c>
      <c r="J492" s="104">
        <v>1.95</v>
      </c>
      <c r="K492" s="103" t="s">
        <v>1910</v>
      </c>
      <c r="M492">
        <f t="shared" si="15"/>
        <v>1.95</v>
      </c>
      <c r="N492" s="103">
        <f t="shared" si="16"/>
        <v>487</v>
      </c>
    </row>
    <row r="493" spans="1:14" s="103" customFormat="1" x14ac:dyDescent="0.3">
      <c r="A493" s="102" t="s">
        <v>897</v>
      </c>
      <c r="B493" s="102" t="s">
        <v>1012</v>
      </c>
      <c r="C493" s="102" t="s">
        <v>8</v>
      </c>
      <c r="D493" s="103" t="s">
        <v>1681</v>
      </c>
      <c r="E493" s="104">
        <v>1</v>
      </c>
      <c r="F493" s="103" t="s">
        <v>1682</v>
      </c>
      <c r="G493" s="103" t="s">
        <v>1683</v>
      </c>
      <c r="H493" s="103" t="s">
        <v>1684</v>
      </c>
      <c r="I493" s="103">
        <v>1</v>
      </c>
      <c r="J493" s="104">
        <v>2.5</v>
      </c>
      <c r="K493" s="103" t="s">
        <v>1910</v>
      </c>
      <c r="M493">
        <f t="shared" si="15"/>
        <v>2.5</v>
      </c>
      <c r="N493" s="103">
        <f t="shared" si="16"/>
        <v>488</v>
      </c>
    </row>
    <row r="494" spans="1:14" s="103" customFormat="1" x14ac:dyDescent="0.3">
      <c r="A494" s="102" t="s">
        <v>897</v>
      </c>
      <c r="B494" s="102" t="s">
        <v>1012</v>
      </c>
      <c r="C494" s="102" t="s">
        <v>8</v>
      </c>
      <c r="D494" s="103" t="s">
        <v>1835</v>
      </c>
      <c r="E494" s="104">
        <v>1</v>
      </c>
      <c r="F494" s="103" t="s">
        <v>1836</v>
      </c>
      <c r="G494" s="103" t="s">
        <v>1837</v>
      </c>
      <c r="H494" s="103" t="s">
        <v>1838</v>
      </c>
      <c r="I494" s="103">
        <v>1</v>
      </c>
      <c r="J494" s="104">
        <v>2.95</v>
      </c>
      <c r="K494" s="103" t="s">
        <v>1910</v>
      </c>
      <c r="M494">
        <f t="shared" si="15"/>
        <v>2.95</v>
      </c>
      <c r="N494" s="103">
        <f t="shared" si="16"/>
        <v>489</v>
      </c>
    </row>
    <row r="495" spans="1:14" s="103" customFormat="1" x14ac:dyDescent="0.3">
      <c r="A495" s="102" t="s">
        <v>897</v>
      </c>
      <c r="B495" s="102" t="s">
        <v>1012</v>
      </c>
      <c r="C495" s="102" t="s">
        <v>8</v>
      </c>
      <c r="D495" s="103" t="s">
        <v>611</v>
      </c>
      <c r="E495" s="104">
        <v>4</v>
      </c>
      <c r="F495" s="103" t="s">
        <v>612</v>
      </c>
      <c r="G495" s="103" t="s">
        <v>613</v>
      </c>
      <c r="H495" s="103" t="s">
        <v>614</v>
      </c>
      <c r="I495" s="103">
        <v>1</v>
      </c>
      <c r="J495" s="104">
        <v>0.95</v>
      </c>
      <c r="K495" s="103" t="s">
        <v>1910</v>
      </c>
      <c r="M495">
        <f t="shared" si="15"/>
        <v>3.8</v>
      </c>
      <c r="N495" s="103">
        <f t="shared" si="16"/>
        <v>490</v>
      </c>
    </row>
    <row r="496" spans="1:14" s="103" customFormat="1" x14ac:dyDescent="0.3">
      <c r="A496" s="102" t="s">
        <v>897</v>
      </c>
      <c r="B496" s="102" t="s">
        <v>1012</v>
      </c>
      <c r="C496" s="102" t="s">
        <v>8</v>
      </c>
      <c r="D496" s="103" t="s">
        <v>375</v>
      </c>
      <c r="E496" s="104">
        <v>1</v>
      </c>
      <c r="F496" s="103" t="s">
        <v>376</v>
      </c>
      <c r="G496" s="103" t="s">
        <v>377</v>
      </c>
      <c r="H496" s="103" t="s">
        <v>378</v>
      </c>
      <c r="J496" s="104">
        <v>6.95</v>
      </c>
      <c r="K496" s="103" t="s">
        <v>1910</v>
      </c>
      <c r="M496">
        <f t="shared" si="15"/>
        <v>6.95</v>
      </c>
      <c r="N496" s="103">
        <f t="shared" si="16"/>
        <v>491</v>
      </c>
    </row>
    <row r="497" spans="1:14" s="103" customFormat="1" x14ac:dyDescent="0.3">
      <c r="A497" s="102" t="s">
        <v>897</v>
      </c>
      <c r="B497" s="102" t="s">
        <v>1012</v>
      </c>
      <c r="C497" s="102" t="s">
        <v>8</v>
      </c>
      <c r="D497" s="103" t="s">
        <v>727</v>
      </c>
      <c r="E497" s="104">
        <v>3</v>
      </c>
      <c r="F497" s="103" t="s">
        <v>728</v>
      </c>
      <c r="G497" s="103" t="s">
        <v>729</v>
      </c>
      <c r="H497" s="103" t="s">
        <v>730</v>
      </c>
      <c r="I497" s="103">
        <v>1</v>
      </c>
      <c r="J497" s="104">
        <v>0.35</v>
      </c>
      <c r="K497" s="103" t="s">
        <v>1910</v>
      </c>
      <c r="M497">
        <f t="shared" si="15"/>
        <v>1.0499999999999998</v>
      </c>
      <c r="N497" s="103">
        <f t="shared" si="16"/>
        <v>492</v>
      </c>
    </row>
    <row r="498" spans="1:14" s="103" customFormat="1" x14ac:dyDescent="0.3">
      <c r="A498" s="102" t="s">
        <v>897</v>
      </c>
      <c r="B498" s="102" t="s">
        <v>1012</v>
      </c>
      <c r="C498" s="102" t="s">
        <v>8</v>
      </c>
      <c r="D498" s="103" t="s">
        <v>723</v>
      </c>
      <c r="E498" s="104">
        <v>3</v>
      </c>
      <c r="F498" s="103" t="s">
        <v>724</v>
      </c>
      <c r="G498" s="103" t="s">
        <v>725</v>
      </c>
      <c r="H498" s="103" t="s">
        <v>726</v>
      </c>
      <c r="I498" s="103">
        <v>1</v>
      </c>
      <c r="J498" s="104">
        <v>0.45</v>
      </c>
      <c r="K498" s="103" t="s">
        <v>1910</v>
      </c>
      <c r="M498">
        <f t="shared" si="15"/>
        <v>1.35</v>
      </c>
      <c r="N498" s="103">
        <f t="shared" si="16"/>
        <v>493</v>
      </c>
    </row>
    <row r="499" spans="1:14" s="103" customFormat="1" x14ac:dyDescent="0.3">
      <c r="A499" s="102" t="s">
        <v>897</v>
      </c>
      <c r="B499" s="102" t="s">
        <v>1012</v>
      </c>
      <c r="C499" s="102" t="s">
        <v>8</v>
      </c>
      <c r="D499" s="103" t="s">
        <v>715</v>
      </c>
      <c r="E499" s="104">
        <v>3</v>
      </c>
      <c r="F499" s="103" t="s">
        <v>716</v>
      </c>
      <c r="G499" s="103" t="s">
        <v>717</v>
      </c>
      <c r="H499" s="103" t="s">
        <v>718</v>
      </c>
      <c r="I499" s="103">
        <v>1</v>
      </c>
      <c r="J499" s="104">
        <v>4.95</v>
      </c>
      <c r="K499" s="103" t="s">
        <v>1910</v>
      </c>
      <c r="M499">
        <f t="shared" si="15"/>
        <v>14.850000000000001</v>
      </c>
      <c r="N499" s="103">
        <f t="shared" si="16"/>
        <v>494</v>
      </c>
    </row>
    <row r="500" spans="1:14" s="103" customFormat="1" x14ac:dyDescent="0.3">
      <c r="A500" s="102" t="s">
        <v>897</v>
      </c>
      <c r="B500" s="102" t="s">
        <v>1012</v>
      </c>
      <c r="C500" s="102" t="s">
        <v>8</v>
      </c>
      <c r="D500" s="103" t="s">
        <v>711</v>
      </c>
      <c r="E500" s="104">
        <f>2*FilterSpecs!$C$3</f>
        <v>10</v>
      </c>
      <c r="F500" s="103" t="s">
        <v>712</v>
      </c>
      <c r="G500" s="103" t="s">
        <v>713</v>
      </c>
      <c r="H500" s="103" t="s">
        <v>714</v>
      </c>
      <c r="I500" s="103">
        <v>1</v>
      </c>
      <c r="J500" s="104">
        <v>0.75</v>
      </c>
      <c r="K500" s="103" t="s">
        <v>1910</v>
      </c>
      <c r="M500">
        <f t="shared" si="15"/>
        <v>7.5</v>
      </c>
      <c r="N500" s="103">
        <f t="shared" si="16"/>
        <v>495</v>
      </c>
    </row>
    <row r="501" spans="1:14" s="103" customFormat="1" x14ac:dyDescent="0.3">
      <c r="A501" s="102" t="s">
        <v>897</v>
      </c>
      <c r="B501" s="102" t="s">
        <v>1012</v>
      </c>
      <c r="C501" s="102" t="s">
        <v>8</v>
      </c>
      <c r="D501" s="103" t="s">
        <v>425</v>
      </c>
      <c r="E501" s="104">
        <f>2*FilterSpecs!$C$3</f>
        <v>10</v>
      </c>
      <c r="F501" s="103" t="s">
        <v>426</v>
      </c>
      <c r="G501" s="103" t="s">
        <v>427</v>
      </c>
      <c r="H501" s="103" t="s">
        <v>428</v>
      </c>
      <c r="I501" s="103">
        <v>1</v>
      </c>
      <c r="J501" s="104">
        <v>0.15</v>
      </c>
      <c r="K501" s="103" t="s">
        <v>1910</v>
      </c>
      <c r="M501">
        <f t="shared" si="15"/>
        <v>1.5</v>
      </c>
      <c r="N501" s="103">
        <f t="shared" si="16"/>
        <v>496</v>
      </c>
    </row>
    <row r="502" spans="1:14" s="103" customFormat="1" x14ac:dyDescent="0.3">
      <c r="A502" s="102" t="s">
        <v>897</v>
      </c>
      <c r="B502" s="102" t="s">
        <v>1012</v>
      </c>
      <c r="C502" s="102" t="s">
        <v>8</v>
      </c>
      <c r="D502" s="103" t="s">
        <v>429</v>
      </c>
      <c r="E502" s="104">
        <f>2*FilterSpecs!$C$3</f>
        <v>10</v>
      </c>
      <c r="F502" s="103" t="s">
        <v>430</v>
      </c>
      <c r="G502" s="103" t="s">
        <v>431</v>
      </c>
      <c r="H502" s="103" t="s">
        <v>432</v>
      </c>
      <c r="I502" s="103">
        <v>1</v>
      </c>
      <c r="J502" s="104">
        <v>0.15</v>
      </c>
      <c r="K502" s="103" t="s">
        <v>1910</v>
      </c>
      <c r="M502">
        <f t="shared" si="15"/>
        <v>1.5</v>
      </c>
      <c r="N502" s="103">
        <f t="shared" si="16"/>
        <v>497</v>
      </c>
    </row>
    <row r="503" spans="1:14" s="103" customFormat="1" x14ac:dyDescent="0.3">
      <c r="A503" s="102" t="s">
        <v>897</v>
      </c>
      <c r="B503" s="102" t="s">
        <v>1012</v>
      </c>
      <c r="C503" s="102" t="s">
        <v>8</v>
      </c>
      <c r="D503" s="103" t="s">
        <v>671</v>
      </c>
      <c r="E503" s="104">
        <f>2*FilterSpecs!$C$3</f>
        <v>10</v>
      </c>
      <c r="F503" s="103" t="s">
        <v>672</v>
      </c>
      <c r="G503" s="103" t="s">
        <v>673</v>
      </c>
      <c r="H503" s="103" t="s">
        <v>674</v>
      </c>
      <c r="I503" s="103">
        <v>1</v>
      </c>
      <c r="J503" s="104">
        <v>0.15</v>
      </c>
      <c r="K503" s="103" t="s">
        <v>1910</v>
      </c>
      <c r="M503">
        <f t="shared" si="15"/>
        <v>1.5</v>
      </c>
      <c r="N503" s="103">
        <f t="shared" si="16"/>
        <v>498</v>
      </c>
    </row>
    <row r="504" spans="1:14" s="103" customFormat="1" x14ac:dyDescent="0.3">
      <c r="A504" s="102" t="s">
        <v>897</v>
      </c>
      <c r="B504" s="102" t="s">
        <v>1012</v>
      </c>
      <c r="C504" s="102" t="s">
        <v>8</v>
      </c>
      <c r="D504" s="103" t="s">
        <v>421</v>
      </c>
      <c r="E504" s="104">
        <f>2*FilterSpecs!$C$3</f>
        <v>10</v>
      </c>
      <c r="F504" s="103" t="s">
        <v>422</v>
      </c>
      <c r="G504" s="103" t="s">
        <v>423</v>
      </c>
      <c r="H504" s="103" t="s">
        <v>424</v>
      </c>
      <c r="I504" s="103">
        <v>1</v>
      </c>
      <c r="J504" s="104">
        <v>0.25</v>
      </c>
      <c r="K504" s="103" t="s">
        <v>1910</v>
      </c>
      <c r="M504">
        <f t="shared" si="15"/>
        <v>2.5</v>
      </c>
      <c r="N504" s="103">
        <f t="shared" si="16"/>
        <v>499</v>
      </c>
    </row>
    <row r="505" spans="1:14" s="103" customFormat="1" x14ac:dyDescent="0.3">
      <c r="A505" s="102" t="s">
        <v>897</v>
      </c>
      <c r="B505" s="102" t="s">
        <v>1894</v>
      </c>
      <c r="C505" s="102" t="s">
        <v>8</v>
      </c>
      <c r="D505" s="103" t="s">
        <v>747</v>
      </c>
      <c r="E505" s="104">
        <v>2</v>
      </c>
      <c r="F505" s="103" t="s">
        <v>748</v>
      </c>
      <c r="G505" s="103" t="s">
        <v>749</v>
      </c>
      <c r="H505" s="103" t="s">
        <v>750</v>
      </c>
      <c r="J505" s="104">
        <v>0.5</v>
      </c>
      <c r="K505" s="103" t="s">
        <v>1910</v>
      </c>
      <c r="M505">
        <f t="shared" si="15"/>
        <v>1</v>
      </c>
      <c r="N505" s="103">
        <f t="shared" si="16"/>
        <v>500</v>
      </c>
    </row>
    <row r="506" spans="1:14" s="103" customFormat="1" x14ac:dyDescent="0.3">
      <c r="A506" s="102" t="s">
        <v>897</v>
      </c>
      <c r="B506" s="102" t="s">
        <v>1894</v>
      </c>
      <c r="C506" s="102" t="s">
        <v>8</v>
      </c>
      <c r="D506" s="103" t="s">
        <v>743</v>
      </c>
      <c r="E506" s="104">
        <v>4</v>
      </c>
      <c r="F506" s="103" t="s">
        <v>744</v>
      </c>
      <c r="G506" s="103" t="s">
        <v>745</v>
      </c>
      <c r="H506" s="103" t="s">
        <v>746</v>
      </c>
      <c r="I506" s="103">
        <v>1</v>
      </c>
      <c r="J506" s="104">
        <v>1.5</v>
      </c>
      <c r="K506" s="103" t="s">
        <v>1910</v>
      </c>
      <c r="M506">
        <f t="shared" si="15"/>
        <v>6</v>
      </c>
      <c r="N506" s="103">
        <f t="shared" si="16"/>
        <v>501</v>
      </c>
    </row>
    <row r="507" spans="1:14" s="103" customFormat="1" x14ac:dyDescent="0.3">
      <c r="A507" s="102" t="s">
        <v>897</v>
      </c>
      <c r="B507" s="102" t="s">
        <v>1894</v>
      </c>
      <c r="C507" s="102" t="s">
        <v>8</v>
      </c>
      <c r="D507" s="103" t="s">
        <v>739</v>
      </c>
      <c r="E507" s="104">
        <v>8</v>
      </c>
      <c r="F507" s="103" t="s">
        <v>740</v>
      </c>
      <c r="G507" s="103" t="s">
        <v>741</v>
      </c>
      <c r="H507" s="103" t="s">
        <v>742</v>
      </c>
      <c r="J507" s="104">
        <v>0.5</v>
      </c>
      <c r="K507" s="103" t="s">
        <v>1910</v>
      </c>
      <c r="M507">
        <f t="shared" si="15"/>
        <v>4</v>
      </c>
      <c r="N507" s="103">
        <f t="shared" si="16"/>
        <v>502</v>
      </c>
    </row>
    <row r="508" spans="1:14" s="103" customFormat="1" x14ac:dyDescent="0.3">
      <c r="A508" s="102" t="s">
        <v>897</v>
      </c>
      <c r="B508" s="102" t="s">
        <v>1894</v>
      </c>
      <c r="C508" s="102" t="s">
        <v>8</v>
      </c>
      <c r="D508" s="103" t="s">
        <v>905</v>
      </c>
      <c r="E508" s="104">
        <f>FilterSpecs!$C$3</f>
        <v>5</v>
      </c>
      <c r="F508" s="103" t="s">
        <v>906</v>
      </c>
      <c r="G508" s="103" t="s">
        <v>907</v>
      </c>
      <c r="H508" s="103" t="s">
        <v>908</v>
      </c>
      <c r="I508" s="103">
        <v>1</v>
      </c>
      <c r="J508" s="104">
        <v>0.95</v>
      </c>
      <c r="K508" s="107" t="s">
        <v>1911</v>
      </c>
      <c r="M508">
        <f t="shared" si="15"/>
        <v>4.75</v>
      </c>
      <c r="N508" s="103">
        <f t="shared" si="16"/>
        <v>503</v>
      </c>
    </row>
    <row r="509" spans="1:14" s="103" customFormat="1" hidden="1" x14ac:dyDescent="0.3">
      <c r="A509" s="103" t="s">
        <v>897</v>
      </c>
      <c r="B509" s="103" t="s">
        <v>1894</v>
      </c>
      <c r="C509" s="103" t="s">
        <v>1898</v>
      </c>
      <c r="D509" s="103" t="s">
        <v>2213</v>
      </c>
      <c r="E509" s="104">
        <v>0</v>
      </c>
      <c r="H509" s="102" t="s">
        <v>2214</v>
      </c>
      <c r="I509" s="105"/>
      <c r="J509" s="111">
        <v>1.95</v>
      </c>
      <c r="K509" s="102" t="s">
        <v>1910</v>
      </c>
      <c r="L509" s="105"/>
      <c r="M509">
        <f t="shared" si="15"/>
        <v>0</v>
      </c>
      <c r="N509" s="103">
        <f t="shared" si="16"/>
        <v>504</v>
      </c>
    </row>
    <row r="510" spans="1:14" s="103" customFormat="1" hidden="1" x14ac:dyDescent="0.3">
      <c r="A510" s="103" t="s">
        <v>897</v>
      </c>
      <c r="B510" s="103" t="s">
        <v>1894</v>
      </c>
      <c r="C510" s="103" t="s">
        <v>1898</v>
      </c>
      <c r="D510" s="103" t="s">
        <v>2215</v>
      </c>
      <c r="E510" s="104">
        <v>0</v>
      </c>
      <c r="H510" s="102" t="s">
        <v>2216</v>
      </c>
      <c r="I510" s="105"/>
      <c r="J510" s="111">
        <v>2.5</v>
      </c>
      <c r="K510" s="102" t="s">
        <v>1910</v>
      </c>
      <c r="L510" s="105"/>
      <c r="M510">
        <f t="shared" si="15"/>
        <v>0</v>
      </c>
      <c r="N510" s="103">
        <f t="shared" si="16"/>
        <v>505</v>
      </c>
    </row>
    <row r="511" spans="1:14" s="103" customFormat="1" hidden="1" x14ac:dyDescent="0.3">
      <c r="A511" s="103" t="s">
        <v>897</v>
      </c>
      <c r="B511" s="103" t="s">
        <v>1894</v>
      </c>
      <c r="C511" s="103" t="s">
        <v>1898</v>
      </c>
      <c r="D511" s="103" t="s">
        <v>2217</v>
      </c>
      <c r="E511" s="104">
        <v>0</v>
      </c>
      <c r="H511" s="102" t="s">
        <v>2218</v>
      </c>
      <c r="I511" s="105"/>
      <c r="J511" s="111">
        <v>2.5</v>
      </c>
      <c r="K511" s="102" t="s">
        <v>1910</v>
      </c>
      <c r="L511" s="105"/>
      <c r="M511">
        <f t="shared" si="15"/>
        <v>0</v>
      </c>
      <c r="N511" s="103">
        <f t="shared" si="16"/>
        <v>506</v>
      </c>
    </row>
    <row r="512" spans="1:14" s="103" customFormat="1" hidden="1" x14ac:dyDescent="0.3">
      <c r="A512" s="103" t="s">
        <v>897</v>
      </c>
      <c r="B512" s="103" t="s">
        <v>1894</v>
      </c>
      <c r="C512" s="103" t="s">
        <v>1898</v>
      </c>
      <c r="D512" s="103" t="s">
        <v>2219</v>
      </c>
      <c r="E512" s="104">
        <v>0</v>
      </c>
      <c r="H512" s="102" t="s">
        <v>2220</v>
      </c>
      <c r="I512" s="105"/>
      <c r="J512" s="111">
        <v>0.95</v>
      </c>
      <c r="K512" s="102" t="s">
        <v>1910</v>
      </c>
      <c r="L512" s="105"/>
      <c r="M512">
        <f t="shared" si="15"/>
        <v>0</v>
      </c>
      <c r="N512" s="103">
        <f t="shared" si="16"/>
        <v>507</v>
      </c>
    </row>
    <row r="513" spans="1:14" s="103" customFormat="1" x14ac:dyDescent="0.3">
      <c r="A513" s="103" t="s">
        <v>897</v>
      </c>
      <c r="B513" s="103" t="s">
        <v>2022</v>
      </c>
      <c r="C513" s="103" t="s">
        <v>1898</v>
      </c>
      <c r="D513" s="103" t="s">
        <v>2227</v>
      </c>
      <c r="E513" s="104">
        <v>1</v>
      </c>
      <c r="H513" s="102" t="s">
        <v>2228</v>
      </c>
      <c r="I513" s="105"/>
      <c r="J513" s="111">
        <v>4.95</v>
      </c>
      <c r="K513" s="102" t="s">
        <v>1910</v>
      </c>
      <c r="L513" s="105"/>
      <c r="M513">
        <f t="shared" si="15"/>
        <v>4.95</v>
      </c>
      <c r="N513" s="103">
        <f t="shared" si="16"/>
        <v>508</v>
      </c>
    </row>
    <row r="514" spans="1:14" s="103" customFormat="1" x14ac:dyDescent="0.3">
      <c r="A514" s="103" t="s">
        <v>897</v>
      </c>
      <c r="B514" s="103" t="s">
        <v>2022</v>
      </c>
      <c r="C514" s="103" t="s">
        <v>1898</v>
      </c>
      <c r="D514" s="103" t="s">
        <v>2229</v>
      </c>
      <c r="E514" s="104">
        <v>1</v>
      </c>
      <c r="H514" s="102" t="s">
        <v>2230</v>
      </c>
      <c r="I514" s="105"/>
      <c r="J514" s="111">
        <v>4.95</v>
      </c>
      <c r="K514" s="102" t="s">
        <v>1910</v>
      </c>
      <c r="L514" s="105"/>
      <c r="M514">
        <f t="shared" si="15"/>
        <v>4.95</v>
      </c>
      <c r="N514" s="103">
        <f t="shared" si="16"/>
        <v>509</v>
      </c>
    </row>
    <row r="515" spans="1:14" s="103" customFormat="1" x14ac:dyDescent="0.3">
      <c r="A515" s="103" t="s">
        <v>897</v>
      </c>
      <c r="B515" s="103" t="s">
        <v>2022</v>
      </c>
      <c r="C515" s="103" t="s">
        <v>1898</v>
      </c>
      <c r="D515" s="103" t="s">
        <v>2231</v>
      </c>
      <c r="E515" s="104">
        <v>1</v>
      </c>
      <c r="H515" s="102" t="s">
        <v>2232</v>
      </c>
      <c r="I515" s="105"/>
      <c r="J515" s="111">
        <v>4.95</v>
      </c>
      <c r="K515" s="102" t="s">
        <v>1910</v>
      </c>
      <c r="L515" s="105"/>
      <c r="M515">
        <f t="shared" si="15"/>
        <v>4.95</v>
      </c>
      <c r="N515" s="103">
        <f t="shared" si="16"/>
        <v>510</v>
      </c>
    </row>
    <row r="516" spans="1:14" s="103" customFormat="1" x14ac:dyDescent="0.3">
      <c r="A516" s="103" t="s">
        <v>897</v>
      </c>
      <c r="B516" s="103" t="s">
        <v>2022</v>
      </c>
      <c r="C516" s="103" t="s">
        <v>1898</v>
      </c>
      <c r="D516" s="103" t="s">
        <v>2233</v>
      </c>
      <c r="E516" s="104">
        <v>1</v>
      </c>
      <c r="H516" s="102" t="s">
        <v>2234</v>
      </c>
      <c r="I516" s="105"/>
      <c r="J516" s="111">
        <v>7.5</v>
      </c>
      <c r="K516" s="102" t="s">
        <v>1910</v>
      </c>
      <c r="L516" s="105"/>
      <c r="M516">
        <f t="shared" si="15"/>
        <v>7.5</v>
      </c>
      <c r="N516" s="103">
        <f t="shared" si="16"/>
        <v>511</v>
      </c>
    </row>
    <row r="517" spans="1:14" s="103" customFormat="1" x14ac:dyDescent="0.3">
      <c r="A517" s="82" t="s">
        <v>897</v>
      </c>
      <c r="B517" s="82" t="s">
        <v>2024</v>
      </c>
      <c r="C517" s="82" t="s">
        <v>8</v>
      </c>
      <c r="D517" s="86" t="s">
        <v>1595</v>
      </c>
      <c r="E517" s="89">
        <v>2</v>
      </c>
      <c r="F517" s="12" t="s">
        <v>1596</v>
      </c>
      <c r="G517" s="12" t="s">
        <v>1597</v>
      </c>
      <c r="H517" s="86" t="s">
        <v>1598</v>
      </c>
      <c r="I517" s="12">
        <v>1</v>
      </c>
      <c r="J517" s="89">
        <v>2.95</v>
      </c>
      <c r="K517" s="86" t="s">
        <v>1910</v>
      </c>
      <c r="L517" s="12"/>
      <c r="M517">
        <f t="shared" si="15"/>
        <v>5.9</v>
      </c>
      <c r="N517" s="103">
        <f t="shared" si="16"/>
        <v>512</v>
      </c>
    </row>
    <row r="518" spans="1:14" s="103" customFormat="1" hidden="1" x14ac:dyDescent="0.3">
      <c r="A518" s="112" t="s">
        <v>897</v>
      </c>
      <c r="B518" s="112" t="s">
        <v>2024</v>
      </c>
      <c r="C518" s="112" t="s">
        <v>1898</v>
      </c>
      <c r="D518" s="112" t="s">
        <v>2461</v>
      </c>
      <c r="E518" s="114">
        <v>0</v>
      </c>
      <c r="F518"/>
      <c r="G518"/>
      <c r="H518" s="112" t="s">
        <v>2460</v>
      </c>
      <c r="I518" s="113">
        <v>106</v>
      </c>
      <c r="J518" s="114">
        <v>2</v>
      </c>
      <c r="K518" s="51" t="s">
        <v>1910</v>
      </c>
      <c r="L518"/>
      <c r="M518">
        <f t="shared" ref="M518:M581" si="17">E518*J518</f>
        <v>0</v>
      </c>
      <c r="N518" s="103">
        <f t="shared" ref="N518:N581" si="18">IF($N517="List #",1,$N517+1)</f>
        <v>513</v>
      </c>
    </row>
    <row r="519" spans="1:14" s="103" customFormat="1" hidden="1" x14ac:dyDescent="0.3">
      <c r="A519" s="82" t="s">
        <v>897</v>
      </c>
      <c r="B519" s="82" t="s">
        <v>2024</v>
      </c>
      <c r="C519" s="82" t="s">
        <v>8</v>
      </c>
      <c r="D519" s="86" t="s">
        <v>1591</v>
      </c>
      <c r="E519" s="89">
        <v>0</v>
      </c>
      <c r="F519" s="12" t="s">
        <v>1592</v>
      </c>
      <c r="G519" s="12" t="s">
        <v>1593</v>
      </c>
      <c r="H519" s="86" t="s">
        <v>1594</v>
      </c>
      <c r="I519" s="12">
        <v>1</v>
      </c>
      <c r="J519" s="89">
        <v>0.95</v>
      </c>
      <c r="K519" s="86" t="s">
        <v>1910</v>
      </c>
      <c r="L519" s="12"/>
      <c r="M519">
        <f t="shared" si="17"/>
        <v>0</v>
      </c>
      <c r="N519" s="103">
        <f t="shared" si="18"/>
        <v>514</v>
      </c>
    </row>
    <row r="520" spans="1:14" s="103" customFormat="1" x14ac:dyDescent="0.3">
      <c r="A520" s="82" t="s">
        <v>897</v>
      </c>
      <c r="B520" s="82" t="s">
        <v>2024</v>
      </c>
      <c r="C520" s="82" t="s">
        <v>8</v>
      </c>
      <c r="D520" s="86" t="s">
        <v>1599</v>
      </c>
      <c r="E520" s="89">
        <v>1</v>
      </c>
      <c r="F520" s="12" t="s">
        <v>1600</v>
      </c>
      <c r="G520" s="12" t="s">
        <v>1601</v>
      </c>
      <c r="H520" s="86" t="s">
        <v>1602</v>
      </c>
      <c r="I520" s="12">
        <v>1</v>
      </c>
      <c r="J520" s="89">
        <v>4.95</v>
      </c>
      <c r="K520" s="86" t="s">
        <v>1910</v>
      </c>
      <c r="L520" s="12"/>
      <c r="M520">
        <f t="shared" si="17"/>
        <v>4.95</v>
      </c>
      <c r="N520" s="103">
        <f t="shared" si="18"/>
        <v>515</v>
      </c>
    </row>
    <row r="521" spans="1:14" s="103" customFormat="1" hidden="1" x14ac:dyDescent="0.3">
      <c r="A521" s="112" t="s">
        <v>897</v>
      </c>
      <c r="B521" s="112" t="s">
        <v>2024</v>
      </c>
      <c r="C521" s="112" t="s">
        <v>1898</v>
      </c>
      <c r="D521" s="112" t="s">
        <v>2459</v>
      </c>
      <c r="E521" s="114">
        <v>0</v>
      </c>
      <c r="F521"/>
      <c r="G521"/>
      <c r="H521" s="112" t="s">
        <v>2458</v>
      </c>
      <c r="I521" s="113">
        <v>105</v>
      </c>
      <c r="J521" s="114">
        <v>1.5</v>
      </c>
      <c r="K521" s="51" t="s">
        <v>1910</v>
      </c>
      <c r="L521"/>
      <c r="M521">
        <f t="shared" si="17"/>
        <v>0</v>
      </c>
      <c r="N521" s="103">
        <f t="shared" si="18"/>
        <v>516</v>
      </c>
    </row>
    <row r="522" spans="1:14" s="103" customFormat="1" hidden="1" x14ac:dyDescent="0.3">
      <c r="A522" s="86" t="s">
        <v>897</v>
      </c>
      <c r="B522" s="86" t="s">
        <v>2024</v>
      </c>
      <c r="C522" s="86" t="s">
        <v>1898</v>
      </c>
      <c r="D522" s="86" t="s">
        <v>2235</v>
      </c>
      <c r="E522" s="89">
        <v>0</v>
      </c>
      <c r="F522" s="12"/>
      <c r="G522" s="12"/>
      <c r="H522" s="82" t="s">
        <v>2236</v>
      </c>
      <c r="I522"/>
      <c r="J522" s="95">
        <v>2</v>
      </c>
      <c r="K522" s="82" t="s">
        <v>1910</v>
      </c>
      <c r="L522"/>
      <c r="M522">
        <f t="shared" si="17"/>
        <v>0</v>
      </c>
      <c r="N522" s="103">
        <f t="shared" si="18"/>
        <v>517</v>
      </c>
    </row>
    <row r="523" spans="1:14" s="103" customFormat="1" hidden="1" x14ac:dyDescent="0.3">
      <c r="A523" s="112" t="s">
        <v>897</v>
      </c>
      <c r="B523" s="82" t="s">
        <v>2024</v>
      </c>
      <c r="C523" s="112" t="s">
        <v>1898</v>
      </c>
      <c r="D523" s="112" t="s">
        <v>2457</v>
      </c>
      <c r="E523" s="114">
        <v>0</v>
      </c>
      <c r="F523"/>
      <c r="G523"/>
      <c r="H523" s="112" t="s">
        <v>2456</v>
      </c>
      <c r="I523" s="113">
        <v>104</v>
      </c>
      <c r="J523" s="114">
        <v>3.95</v>
      </c>
      <c r="K523" s="51" t="s">
        <v>1910</v>
      </c>
      <c r="L523"/>
      <c r="M523">
        <f t="shared" si="17"/>
        <v>0</v>
      </c>
      <c r="N523" s="103">
        <f t="shared" si="18"/>
        <v>518</v>
      </c>
    </row>
    <row r="524" spans="1:14" s="103" customFormat="1" hidden="1" x14ac:dyDescent="0.3">
      <c r="A524" s="82" t="s">
        <v>897</v>
      </c>
      <c r="B524" s="82" t="s">
        <v>2024</v>
      </c>
      <c r="C524" s="82" t="s">
        <v>8</v>
      </c>
      <c r="D524" s="86" t="s">
        <v>1531</v>
      </c>
      <c r="E524" s="89">
        <v>0</v>
      </c>
      <c r="F524" s="12" t="s">
        <v>1532</v>
      </c>
      <c r="G524" s="12" t="s">
        <v>1533</v>
      </c>
      <c r="H524" s="86" t="s">
        <v>1534</v>
      </c>
      <c r="I524" s="12">
        <v>1</v>
      </c>
      <c r="J524" s="89">
        <v>1.5</v>
      </c>
      <c r="K524" s="86" t="s">
        <v>1910</v>
      </c>
      <c r="L524" s="12"/>
      <c r="M524">
        <f t="shared" si="17"/>
        <v>0</v>
      </c>
      <c r="N524" s="103">
        <f t="shared" si="18"/>
        <v>519</v>
      </c>
    </row>
    <row r="525" spans="1:14" s="103" customFormat="1" hidden="1" x14ac:dyDescent="0.3">
      <c r="A525" s="112" t="s">
        <v>897</v>
      </c>
      <c r="B525" s="112" t="s">
        <v>2024</v>
      </c>
      <c r="C525" s="112" t="s">
        <v>1898</v>
      </c>
      <c r="D525" s="112" t="s">
        <v>2455</v>
      </c>
      <c r="E525" s="114">
        <v>0</v>
      </c>
      <c r="F525"/>
      <c r="G525"/>
      <c r="H525" s="112" t="s">
        <v>2454</v>
      </c>
      <c r="I525" s="113">
        <v>103</v>
      </c>
      <c r="J525" s="114">
        <v>2.95</v>
      </c>
      <c r="K525" s="51" t="s">
        <v>1910</v>
      </c>
      <c r="L525"/>
      <c r="M525">
        <f t="shared" si="17"/>
        <v>0</v>
      </c>
      <c r="N525" s="103">
        <f t="shared" si="18"/>
        <v>520</v>
      </c>
    </row>
    <row r="526" spans="1:14" s="103" customFormat="1" hidden="1" x14ac:dyDescent="0.3">
      <c r="A526" s="102" t="s">
        <v>897</v>
      </c>
      <c r="B526" s="102" t="s">
        <v>2033</v>
      </c>
      <c r="C526" s="102" t="s">
        <v>8</v>
      </c>
      <c r="D526" s="103" t="s">
        <v>1000</v>
      </c>
      <c r="E526" s="104">
        <v>0</v>
      </c>
      <c r="F526" s="103" t="s">
        <v>1001</v>
      </c>
      <c r="G526" s="103" t="s">
        <v>1002</v>
      </c>
      <c r="H526" s="103" t="s">
        <v>1003</v>
      </c>
      <c r="J526" s="104">
        <v>0.95</v>
      </c>
      <c r="K526" s="103" t="s">
        <v>1910</v>
      </c>
      <c r="M526">
        <f t="shared" si="17"/>
        <v>0</v>
      </c>
      <c r="N526" s="103">
        <f t="shared" si="18"/>
        <v>521</v>
      </c>
    </row>
    <row r="527" spans="1:14" s="103" customFormat="1" hidden="1" x14ac:dyDescent="0.3">
      <c r="A527" s="102" t="s">
        <v>897</v>
      </c>
      <c r="B527" s="102" t="s">
        <v>2033</v>
      </c>
      <c r="C527" s="102" t="s">
        <v>8</v>
      </c>
      <c r="D527" s="103" t="s">
        <v>996</v>
      </c>
      <c r="E527" s="104">
        <v>0</v>
      </c>
      <c r="F527" s="103" t="s">
        <v>997</v>
      </c>
      <c r="G527" s="103" t="s">
        <v>998</v>
      </c>
      <c r="H527" s="103" t="s">
        <v>999</v>
      </c>
      <c r="I527" s="103">
        <v>1</v>
      </c>
      <c r="J527" s="104">
        <v>0.95</v>
      </c>
      <c r="K527" s="103" t="s">
        <v>1910</v>
      </c>
      <c r="M527">
        <f t="shared" si="17"/>
        <v>0</v>
      </c>
      <c r="N527" s="103">
        <f t="shared" si="18"/>
        <v>522</v>
      </c>
    </row>
    <row r="528" spans="1:14" s="103" customFormat="1" x14ac:dyDescent="0.3">
      <c r="A528" s="102" t="s">
        <v>897</v>
      </c>
      <c r="B528" s="102" t="s">
        <v>2033</v>
      </c>
      <c r="C528" s="102" t="s">
        <v>8</v>
      </c>
      <c r="D528" s="103" t="s">
        <v>1004</v>
      </c>
      <c r="E528" s="104">
        <f>FilterSpecs!$C$3</f>
        <v>5</v>
      </c>
      <c r="F528" s="103" t="s">
        <v>1005</v>
      </c>
      <c r="G528" s="103" t="s">
        <v>1006</v>
      </c>
      <c r="H528" s="103" t="s">
        <v>1007</v>
      </c>
      <c r="I528" s="103">
        <v>1</v>
      </c>
      <c r="J528" s="104">
        <v>0.95</v>
      </c>
      <c r="K528" s="107" t="s">
        <v>1911</v>
      </c>
      <c r="M528">
        <f t="shared" si="17"/>
        <v>4.75</v>
      </c>
      <c r="N528" s="103">
        <f t="shared" si="18"/>
        <v>523</v>
      </c>
    </row>
    <row r="529" spans="1:14" s="103" customFormat="1" hidden="1" x14ac:dyDescent="0.3">
      <c r="A529" s="103" t="s">
        <v>897</v>
      </c>
      <c r="B529" s="103" t="s">
        <v>2033</v>
      </c>
      <c r="C529" s="103" t="s">
        <v>1898</v>
      </c>
      <c r="D529" s="103" t="s">
        <v>2239</v>
      </c>
      <c r="E529" s="104">
        <v>0</v>
      </c>
      <c r="H529" s="102" t="s">
        <v>2240</v>
      </c>
      <c r="I529" s="105"/>
      <c r="J529" s="111">
        <v>1.5</v>
      </c>
      <c r="K529" s="102" t="s">
        <v>1910</v>
      </c>
      <c r="L529" s="105"/>
      <c r="M529">
        <f t="shared" si="17"/>
        <v>0</v>
      </c>
      <c r="N529" s="103">
        <f t="shared" si="18"/>
        <v>524</v>
      </c>
    </row>
    <row r="530" spans="1:14" s="103" customFormat="1" hidden="1" x14ac:dyDescent="0.3">
      <c r="A530" s="103" t="s">
        <v>897</v>
      </c>
      <c r="B530" s="103" t="s">
        <v>2033</v>
      </c>
      <c r="C530" s="103" t="s">
        <v>1898</v>
      </c>
      <c r="D530" s="103" t="s">
        <v>2241</v>
      </c>
      <c r="E530" s="104">
        <v>0</v>
      </c>
      <c r="H530" s="102" t="s">
        <v>2242</v>
      </c>
      <c r="I530" s="105"/>
      <c r="J530" s="111">
        <v>1.75</v>
      </c>
      <c r="K530" s="102" t="s">
        <v>1910</v>
      </c>
      <c r="L530" s="105"/>
      <c r="M530">
        <f t="shared" si="17"/>
        <v>0</v>
      </c>
      <c r="N530" s="103">
        <f t="shared" si="18"/>
        <v>525</v>
      </c>
    </row>
    <row r="531" spans="1:14" s="103" customFormat="1" hidden="1" x14ac:dyDescent="0.3">
      <c r="A531" s="103" t="s">
        <v>897</v>
      </c>
      <c r="B531" s="103" t="s">
        <v>2033</v>
      </c>
      <c r="C531" s="103" t="s">
        <v>1898</v>
      </c>
      <c r="D531" s="103" t="s">
        <v>2243</v>
      </c>
      <c r="E531" s="104">
        <v>0</v>
      </c>
      <c r="H531" s="102" t="s">
        <v>2244</v>
      </c>
      <c r="I531" s="105"/>
      <c r="J531" s="111">
        <v>0.95</v>
      </c>
      <c r="K531" s="102" t="s">
        <v>1910</v>
      </c>
      <c r="L531" s="105"/>
      <c r="M531">
        <f t="shared" si="17"/>
        <v>0</v>
      </c>
      <c r="N531" s="103">
        <f t="shared" si="18"/>
        <v>526</v>
      </c>
    </row>
    <row r="532" spans="1:14" s="103" customFormat="1" hidden="1" x14ac:dyDescent="0.3">
      <c r="A532" s="103" t="s">
        <v>897</v>
      </c>
      <c r="B532" s="103" t="s">
        <v>2033</v>
      </c>
      <c r="C532" s="103" t="s">
        <v>1898</v>
      </c>
      <c r="D532" s="103" t="s">
        <v>2245</v>
      </c>
      <c r="E532" s="104">
        <v>0</v>
      </c>
      <c r="H532" s="102" t="s">
        <v>2246</v>
      </c>
      <c r="I532" s="105"/>
      <c r="J532" s="111">
        <v>0.95</v>
      </c>
      <c r="K532" s="102" t="s">
        <v>1910</v>
      </c>
      <c r="L532" s="105"/>
      <c r="M532">
        <f t="shared" si="17"/>
        <v>0</v>
      </c>
      <c r="N532" s="103">
        <f t="shared" si="18"/>
        <v>527</v>
      </c>
    </row>
    <row r="533" spans="1:14" s="103" customFormat="1" x14ac:dyDescent="0.3">
      <c r="A533" s="103" t="s">
        <v>897</v>
      </c>
      <c r="B533" s="103" t="s">
        <v>2033</v>
      </c>
      <c r="C533" s="103" t="s">
        <v>1898</v>
      </c>
      <c r="D533" s="103" t="s">
        <v>2247</v>
      </c>
      <c r="E533" s="104">
        <f>FilterSpecs!$C$3</f>
        <v>5</v>
      </c>
      <c r="H533" s="102" t="s">
        <v>2248</v>
      </c>
      <c r="I533" s="105"/>
      <c r="J533" s="111">
        <v>1.5</v>
      </c>
      <c r="K533" s="107" t="s">
        <v>1911</v>
      </c>
      <c r="L533" s="105"/>
      <c r="M533">
        <f t="shared" si="17"/>
        <v>7.5</v>
      </c>
      <c r="N533" s="103">
        <f t="shared" si="18"/>
        <v>528</v>
      </c>
    </row>
    <row r="534" spans="1:14" s="103" customFormat="1" hidden="1" x14ac:dyDescent="0.3">
      <c r="A534" s="102" t="s">
        <v>897</v>
      </c>
      <c r="B534" s="102" t="s">
        <v>2033</v>
      </c>
      <c r="C534" s="102" t="s">
        <v>8</v>
      </c>
      <c r="D534" s="103" t="s">
        <v>1008</v>
      </c>
      <c r="E534" s="104">
        <v>0</v>
      </c>
      <c r="F534" s="103" t="s">
        <v>1009</v>
      </c>
      <c r="G534" s="103" t="s">
        <v>1010</v>
      </c>
      <c r="H534" s="103" t="s">
        <v>1011</v>
      </c>
      <c r="I534" s="103">
        <v>1</v>
      </c>
      <c r="J534" s="104">
        <v>2.95</v>
      </c>
      <c r="K534" s="103" t="s">
        <v>1910</v>
      </c>
      <c r="M534">
        <f t="shared" si="17"/>
        <v>0</v>
      </c>
      <c r="N534" s="103">
        <f t="shared" si="18"/>
        <v>529</v>
      </c>
    </row>
    <row r="535" spans="1:14" s="103" customFormat="1" hidden="1" x14ac:dyDescent="0.3">
      <c r="A535" s="102" t="s">
        <v>897</v>
      </c>
      <c r="B535" s="102" t="s">
        <v>2033</v>
      </c>
      <c r="C535" s="102" t="s">
        <v>8</v>
      </c>
      <c r="D535" s="103" t="s">
        <v>1705</v>
      </c>
      <c r="E535" s="104">
        <v>0</v>
      </c>
      <c r="F535" s="103" t="s">
        <v>1706</v>
      </c>
      <c r="G535" s="103" t="s">
        <v>1707</v>
      </c>
      <c r="H535" s="103" t="s">
        <v>1708</v>
      </c>
      <c r="I535" s="103">
        <v>1</v>
      </c>
      <c r="J535" s="104">
        <v>2.95</v>
      </c>
      <c r="K535" s="103" t="s">
        <v>1910</v>
      </c>
      <c r="M535">
        <f t="shared" si="17"/>
        <v>0</v>
      </c>
      <c r="N535" s="103">
        <f t="shared" si="18"/>
        <v>530</v>
      </c>
    </row>
    <row r="536" spans="1:14" s="103" customFormat="1" hidden="1" x14ac:dyDescent="0.3">
      <c r="A536" s="102" t="s">
        <v>897</v>
      </c>
      <c r="B536" s="102" t="s">
        <v>2033</v>
      </c>
      <c r="C536" s="102" t="s">
        <v>8</v>
      </c>
      <c r="D536" s="103" t="s">
        <v>1685</v>
      </c>
      <c r="E536" s="104">
        <v>0</v>
      </c>
      <c r="F536" s="103" t="s">
        <v>1686</v>
      </c>
      <c r="G536" s="103" t="s">
        <v>1687</v>
      </c>
      <c r="H536" s="103" t="s">
        <v>1688</v>
      </c>
      <c r="I536" s="103">
        <v>1</v>
      </c>
      <c r="J536" s="104">
        <v>3.95</v>
      </c>
      <c r="K536" s="103" t="s">
        <v>1910</v>
      </c>
      <c r="M536">
        <f t="shared" si="17"/>
        <v>0</v>
      </c>
      <c r="N536" s="103">
        <f t="shared" si="18"/>
        <v>531</v>
      </c>
    </row>
    <row r="537" spans="1:14" s="103" customFormat="1" hidden="1" x14ac:dyDescent="0.3">
      <c r="A537" s="102" t="s">
        <v>897</v>
      </c>
      <c r="B537" s="102" t="s">
        <v>2033</v>
      </c>
      <c r="C537" s="102" t="s">
        <v>8</v>
      </c>
      <c r="D537" s="103" t="s">
        <v>1733</v>
      </c>
      <c r="E537" s="104">
        <v>0</v>
      </c>
      <c r="F537" s="103" t="s">
        <v>1734</v>
      </c>
      <c r="G537" s="103" t="s">
        <v>1735</v>
      </c>
      <c r="H537" s="103" t="s">
        <v>1736</v>
      </c>
      <c r="I537" s="103">
        <v>1</v>
      </c>
      <c r="J537" s="104">
        <v>2.95</v>
      </c>
      <c r="K537" s="103" t="s">
        <v>1912</v>
      </c>
      <c r="M537">
        <f t="shared" si="17"/>
        <v>0</v>
      </c>
      <c r="N537" s="103">
        <f t="shared" si="18"/>
        <v>532</v>
      </c>
    </row>
    <row r="538" spans="1:14" s="103" customFormat="1" hidden="1" x14ac:dyDescent="0.3">
      <c r="A538" s="103" t="s">
        <v>897</v>
      </c>
      <c r="B538" s="103" t="s">
        <v>2033</v>
      </c>
      <c r="C538" s="103" t="s">
        <v>1898</v>
      </c>
      <c r="D538" s="103" t="s">
        <v>2249</v>
      </c>
      <c r="E538" s="104">
        <v>0</v>
      </c>
      <c r="H538" s="102" t="s">
        <v>2250</v>
      </c>
      <c r="I538" s="105"/>
      <c r="J538" s="111">
        <v>4.5</v>
      </c>
      <c r="K538" s="102" t="s">
        <v>1912</v>
      </c>
      <c r="L538" s="105"/>
      <c r="M538">
        <f t="shared" si="17"/>
        <v>0</v>
      </c>
      <c r="N538" s="103">
        <f t="shared" si="18"/>
        <v>533</v>
      </c>
    </row>
    <row r="539" spans="1:14" s="103" customFormat="1" x14ac:dyDescent="0.3">
      <c r="A539" s="102" t="s">
        <v>897</v>
      </c>
      <c r="B539" s="102" t="s">
        <v>2033</v>
      </c>
      <c r="C539" s="102" t="s">
        <v>8</v>
      </c>
      <c r="D539" s="103" t="s">
        <v>1120</v>
      </c>
      <c r="E539" s="104">
        <f>FilterSpecs!$C$3</f>
        <v>5</v>
      </c>
      <c r="F539" s="103" t="s">
        <v>1121</v>
      </c>
      <c r="G539" s="103" t="s">
        <v>1122</v>
      </c>
      <c r="H539" s="103" t="s">
        <v>1123</v>
      </c>
      <c r="I539" s="103">
        <v>1</v>
      </c>
      <c r="J539" s="104">
        <v>1.95</v>
      </c>
      <c r="K539" s="107" t="s">
        <v>1911</v>
      </c>
      <c r="M539">
        <f t="shared" si="17"/>
        <v>9.75</v>
      </c>
      <c r="N539" s="103">
        <f t="shared" si="18"/>
        <v>534</v>
      </c>
    </row>
    <row r="540" spans="1:14" s="103" customFormat="1" x14ac:dyDescent="0.3">
      <c r="A540" s="102" t="s">
        <v>897</v>
      </c>
      <c r="B540" s="102" t="s">
        <v>2033</v>
      </c>
      <c r="C540" s="102" t="s">
        <v>8</v>
      </c>
      <c r="D540" s="103" t="s">
        <v>1116</v>
      </c>
      <c r="E540" s="104">
        <f>FilterSpecs!$C$3</f>
        <v>5</v>
      </c>
      <c r="F540" s="103" t="s">
        <v>1117</v>
      </c>
      <c r="G540" s="103" t="s">
        <v>1118</v>
      </c>
      <c r="H540" s="103" t="s">
        <v>1119</v>
      </c>
      <c r="I540" s="103">
        <v>1</v>
      </c>
      <c r="J540" s="104">
        <v>1.95</v>
      </c>
      <c r="K540" s="107" t="s">
        <v>1911</v>
      </c>
      <c r="M540">
        <f t="shared" si="17"/>
        <v>9.75</v>
      </c>
      <c r="N540" s="103">
        <f t="shared" si="18"/>
        <v>535</v>
      </c>
    </row>
    <row r="541" spans="1:14" s="103" customFormat="1" x14ac:dyDescent="0.3">
      <c r="A541" s="102" t="s">
        <v>897</v>
      </c>
      <c r="B541" s="102" t="s">
        <v>2033</v>
      </c>
      <c r="C541" s="102" t="s">
        <v>8</v>
      </c>
      <c r="D541" s="103" t="s">
        <v>1124</v>
      </c>
      <c r="E541" s="104">
        <f>FilterSpecs!$C$3</f>
        <v>5</v>
      </c>
      <c r="F541" s="103" t="s">
        <v>1125</v>
      </c>
      <c r="G541" s="103" t="s">
        <v>1126</v>
      </c>
      <c r="H541" s="103" t="s">
        <v>1127</v>
      </c>
      <c r="I541" s="103">
        <v>1</v>
      </c>
      <c r="J541" s="104">
        <v>1.95</v>
      </c>
      <c r="K541" s="107" t="s">
        <v>1911</v>
      </c>
      <c r="M541">
        <f t="shared" si="17"/>
        <v>9.75</v>
      </c>
      <c r="N541" s="103">
        <f t="shared" si="18"/>
        <v>536</v>
      </c>
    </row>
    <row r="542" spans="1:14" s="103" customFormat="1" hidden="1" x14ac:dyDescent="0.3">
      <c r="A542" s="103" t="s">
        <v>897</v>
      </c>
      <c r="B542" s="103" t="s">
        <v>2033</v>
      </c>
      <c r="C542" s="103" t="s">
        <v>1898</v>
      </c>
      <c r="D542" s="103" t="s">
        <v>2237</v>
      </c>
      <c r="E542" s="104">
        <v>0</v>
      </c>
      <c r="H542" s="102" t="s">
        <v>2238</v>
      </c>
      <c r="I542" s="105"/>
      <c r="J542" s="111">
        <v>1.95</v>
      </c>
      <c r="K542" s="102" t="s">
        <v>1910</v>
      </c>
      <c r="L542" s="105"/>
      <c r="M542">
        <f t="shared" si="17"/>
        <v>0</v>
      </c>
      <c r="N542" s="103">
        <f t="shared" si="18"/>
        <v>537</v>
      </c>
    </row>
    <row r="543" spans="1:14" s="103" customFormat="1" hidden="1" x14ac:dyDescent="0.3">
      <c r="A543" s="102" t="s">
        <v>897</v>
      </c>
      <c r="B543" s="102" t="s">
        <v>1612</v>
      </c>
      <c r="C543" s="102" t="s">
        <v>8</v>
      </c>
      <c r="D543" s="103" t="s">
        <v>1663</v>
      </c>
      <c r="E543" s="104">
        <v>0</v>
      </c>
      <c r="F543" s="103" t="s">
        <v>1664</v>
      </c>
      <c r="G543" s="103" t="s">
        <v>1665</v>
      </c>
      <c r="H543" s="103" t="s">
        <v>1666</v>
      </c>
      <c r="I543" s="103">
        <v>1</v>
      </c>
      <c r="J543" s="104">
        <v>16.95</v>
      </c>
      <c r="K543" s="103" t="s">
        <v>1910</v>
      </c>
      <c r="M543">
        <f t="shared" si="17"/>
        <v>0</v>
      </c>
      <c r="N543" s="103">
        <f t="shared" si="18"/>
        <v>538</v>
      </c>
    </row>
    <row r="544" spans="1:14" s="103" customFormat="1" x14ac:dyDescent="0.3">
      <c r="A544" s="118" t="s">
        <v>897</v>
      </c>
      <c r="B544" s="118" t="s">
        <v>1612</v>
      </c>
      <c r="C544" s="118" t="s">
        <v>1898</v>
      </c>
      <c r="D544" s="118" t="s">
        <v>2467</v>
      </c>
      <c r="E544" s="119">
        <v>1</v>
      </c>
      <c r="F544" s="105"/>
      <c r="G544" s="105"/>
      <c r="H544" s="118" t="s">
        <v>2466</v>
      </c>
      <c r="I544" s="120">
        <v>109</v>
      </c>
      <c r="J544" s="119">
        <v>27.5</v>
      </c>
      <c r="K544" s="102" t="s">
        <v>1910</v>
      </c>
      <c r="L544" s="105"/>
      <c r="M544">
        <f t="shared" si="17"/>
        <v>27.5</v>
      </c>
      <c r="N544" s="103">
        <f t="shared" si="18"/>
        <v>539</v>
      </c>
    </row>
    <row r="545" spans="1:14" s="103" customFormat="1" hidden="1" x14ac:dyDescent="0.3">
      <c r="A545" s="102" t="s">
        <v>897</v>
      </c>
      <c r="B545" s="102" t="s">
        <v>1612</v>
      </c>
      <c r="C545" s="102" t="s">
        <v>8</v>
      </c>
      <c r="D545" s="103" t="s">
        <v>1401</v>
      </c>
      <c r="E545" s="104">
        <v>0</v>
      </c>
      <c r="F545" s="103" t="s">
        <v>1402</v>
      </c>
      <c r="G545" s="103" t="s">
        <v>1403</v>
      </c>
      <c r="H545" s="103" t="s">
        <v>1404</v>
      </c>
      <c r="I545" s="103">
        <v>1</v>
      </c>
      <c r="J545" s="104">
        <v>2.5</v>
      </c>
      <c r="K545" s="103" t="s">
        <v>1912</v>
      </c>
      <c r="M545">
        <f t="shared" si="17"/>
        <v>0</v>
      </c>
      <c r="N545" s="103">
        <f t="shared" si="18"/>
        <v>540</v>
      </c>
    </row>
    <row r="546" spans="1:14" s="103" customFormat="1" hidden="1" x14ac:dyDescent="0.3">
      <c r="A546" s="102" t="s">
        <v>897</v>
      </c>
      <c r="B546" s="102" t="s">
        <v>1612</v>
      </c>
      <c r="C546" s="102" t="s">
        <v>8</v>
      </c>
      <c r="D546" s="103" t="s">
        <v>1393</v>
      </c>
      <c r="E546" s="104">
        <v>0</v>
      </c>
      <c r="F546" s="103" t="s">
        <v>1394</v>
      </c>
      <c r="G546" s="103" t="s">
        <v>1395</v>
      </c>
      <c r="H546" s="103" t="s">
        <v>1396</v>
      </c>
      <c r="I546" s="103">
        <v>1</v>
      </c>
      <c r="J546" s="104">
        <v>2.5</v>
      </c>
      <c r="K546" s="103" t="s">
        <v>1912</v>
      </c>
      <c r="M546">
        <f t="shared" si="17"/>
        <v>0</v>
      </c>
      <c r="N546" s="103">
        <f t="shared" si="18"/>
        <v>541</v>
      </c>
    </row>
    <row r="547" spans="1:14" s="103" customFormat="1" hidden="1" x14ac:dyDescent="0.3">
      <c r="A547" s="102" t="s">
        <v>897</v>
      </c>
      <c r="B547" s="102" t="s">
        <v>1612</v>
      </c>
      <c r="C547" s="102" t="s">
        <v>8</v>
      </c>
      <c r="D547" s="103" t="s">
        <v>1397</v>
      </c>
      <c r="E547" s="104">
        <v>0</v>
      </c>
      <c r="F547" s="103" t="s">
        <v>1398</v>
      </c>
      <c r="G547" s="103" t="s">
        <v>1399</v>
      </c>
      <c r="H547" s="103" t="s">
        <v>1400</v>
      </c>
      <c r="I547" s="103">
        <v>1</v>
      </c>
      <c r="J547" s="104">
        <v>2.5</v>
      </c>
      <c r="K547" s="103" t="s">
        <v>1912</v>
      </c>
      <c r="M547">
        <f t="shared" si="17"/>
        <v>0</v>
      </c>
      <c r="N547" s="103">
        <f t="shared" si="18"/>
        <v>542</v>
      </c>
    </row>
    <row r="548" spans="1:14" s="103" customFormat="1" hidden="1" x14ac:dyDescent="0.3">
      <c r="A548" s="102" t="s">
        <v>897</v>
      </c>
      <c r="B548" s="102" t="s">
        <v>1612</v>
      </c>
      <c r="C548" s="102" t="s">
        <v>8</v>
      </c>
      <c r="D548" s="103" t="s">
        <v>1655</v>
      </c>
      <c r="E548" s="104">
        <v>0</v>
      </c>
      <c r="F548" s="103" t="s">
        <v>1656</v>
      </c>
      <c r="G548" s="103" t="s">
        <v>1657</v>
      </c>
      <c r="H548" s="103" t="s">
        <v>1658</v>
      </c>
      <c r="J548" s="104">
        <v>2.95</v>
      </c>
      <c r="K548" s="103" t="s">
        <v>1910</v>
      </c>
      <c r="M548">
        <f t="shared" si="17"/>
        <v>0</v>
      </c>
      <c r="N548" s="103">
        <f t="shared" si="18"/>
        <v>543</v>
      </c>
    </row>
    <row r="549" spans="1:14" s="103" customFormat="1" hidden="1" x14ac:dyDescent="0.3">
      <c r="A549" s="102" t="s">
        <v>897</v>
      </c>
      <c r="B549" s="102" t="s">
        <v>1612</v>
      </c>
      <c r="C549" s="102" t="s">
        <v>8</v>
      </c>
      <c r="D549" s="103" t="s">
        <v>1389</v>
      </c>
      <c r="E549" s="104">
        <v>0</v>
      </c>
      <c r="F549" s="103" t="s">
        <v>1390</v>
      </c>
      <c r="G549" s="103" t="s">
        <v>1391</v>
      </c>
      <c r="H549" s="103" t="s">
        <v>1392</v>
      </c>
      <c r="I549" s="103">
        <v>1</v>
      </c>
      <c r="J549" s="104">
        <v>2.5</v>
      </c>
      <c r="K549" s="103" t="s">
        <v>1913</v>
      </c>
      <c r="M549">
        <f t="shared" si="17"/>
        <v>0</v>
      </c>
      <c r="N549" s="103">
        <f t="shared" si="18"/>
        <v>544</v>
      </c>
    </row>
    <row r="550" spans="1:14" s="103" customFormat="1" hidden="1" x14ac:dyDescent="0.3">
      <c r="A550" s="102" t="s">
        <v>897</v>
      </c>
      <c r="B550" s="102" t="s">
        <v>1612</v>
      </c>
      <c r="C550" s="102" t="s">
        <v>8</v>
      </c>
      <c r="D550" s="103" t="s">
        <v>1659</v>
      </c>
      <c r="E550" s="104">
        <v>0</v>
      </c>
      <c r="F550" s="103" t="s">
        <v>1660</v>
      </c>
      <c r="G550" s="103" t="s">
        <v>1661</v>
      </c>
      <c r="H550" s="103" t="s">
        <v>1662</v>
      </c>
      <c r="J550" s="104">
        <v>2.95</v>
      </c>
      <c r="K550" s="103" t="s">
        <v>1910</v>
      </c>
      <c r="M550">
        <f t="shared" si="17"/>
        <v>0</v>
      </c>
      <c r="N550" s="103">
        <f t="shared" si="18"/>
        <v>545</v>
      </c>
    </row>
    <row r="551" spans="1:14" s="103" customFormat="1" x14ac:dyDescent="0.3">
      <c r="A551" s="102" t="s">
        <v>897</v>
      </c>
      <c r="B551" s="102" t="s">
        <v>1612</v>
      </c>
      <c r="C551" s="102" t="s">
        <v>8</v>
      </c>
      <c r="D551" s="103" t="s">
        <v>417</v>
      </c>
      <c r="E551" s="104">
        <v>2</v>
      </c>
      <c r="F551" s="103" t="s">
        <v>418</v>
      </c>
      <c r="G551" s="103" t="s">
        <v>419</v>
      </c>
      <c r="H551" s="103" t="s">
        <v>420</v>
      </c>
      <c r="I551" s="103">
        <v>1</v>
      </c>
      <c r="J551" s="104">
        <v>6.95</v>
      </c>
      <c r="K551" s="103" t="s">
        <v>1910</v>
      </c>
      <c r="M551">
        <f t="shared" si="17"/>
        <v>13.9</v>
      </c>
      <c r="N551" s="103">
        <f t="shared" si="18"/>
        <v>546</v>
      </c>
    </row>
    <row r="552" spans="1:14" s="103" customFormat="1" hidden="1" x14ac:dyDescent="0.3">
      <c r="A552" s="118" t="s">
        <v>897</v>
      </c>
      <c r="B552" s="118" t="s">
        <v>1612</v>
      </c>
      <c r="C552" s="118" t="s">
        <v>1898</v>
      </c>
      <c r="D552" s="118" t="s">
        <v>2469</v>
      </c>
      <c r="E552" s="119">
        <v>0</v>
      </c>
      <c r="F552" s="105"/>
      <c r="G552" s="105"/>
      <c r="H552" s="118" t="s">
        <v>2468</v>
      </c>
      <c r="I552" s="120">
        <v>110</v>
      </c>
      <c r="J552" s="119">
        <v>7.95</v>
      </c>
      <c r="K552" s="102" t="s">
        <v>1910</v>
      </c>
      <c r="L552" s="105"/>
      <c r="M552">
        <f t="shared" si="17"/>
        <v>0</v>
      </c>
      <c r="N552" s="103">
        <f t="shared" si="18"/>
        <v>547</v>
      </c>
    </row>
    <row r="553" spans="1:14" s="103" customFormat="1" x14ac:dyDescent="0.3">
      <c r="A553" s="102" t="s">
        <v>17</v>
      </c>
      <c r="B553" s="102" t="s">
        <v>1614</v>
      </c>
      <c r="C553" s="102" t="s">
        <v>8</v>
      </c>
      <c r="D553" s="103" t="s">
        <v>1197</v>
      </c>
      <c r="E553" s="104">
        <v>0</v>
      </c>
      <c r="F553" s="103" t="s">
        <v>1198</v>
      </c>
      <c r="G553" s="103" t="s">
        <v>1199</v>
      </c>
      <c r="H553" s="103" t="s">
        <v>1200</v>
      </c>
      <c r="I553" s="103">
        <v>1</v>
      </c>
      <c r="J553" s="104">
        <v>34.950000000000003</v>
      </c>
      <c r="K553" s="103" t="s">
        <v>1914</v>
      </c>
      <c r="L553" s="105"/>
      <c r="M553">
        <f t="shared" si="17"/>
        <v>0</v>
      </c>
      <c r="N553" s="103">
        <f t="shared" si="18"/>
        <v>548</v>
      </c>
    </row>
    <row r="554" spans="1:14" s="103" customFormat="1" hidden="1" x14ac:dyDescent="0.3">
      <c r="A554" s="118" t="s">
        <v>17</v>
      </c>
      <c r="B554" s="118" t="s">
        <v>1614</v>
      </c>
      <c r="C554" s="118" t="s">
        <v>1898</v>
      </c>
      <c r="D554" s="118" t="s">
        <v>2465</v>
      </c>
      <c r="E554" s="119">
        <v>0</v>
      </c>
      <c r="F554" s="105"/>
      <c r="G554" s="105"/>
      <c r="H554" s="118" t="s">
        <v>2464</v>
      </c>
      <c r="I554" s="120">
        <v>108</v>
      </c>
      <c r="J554" s="119">
        <v>100</v>
      </c>
      <c r="K554" s="102" t="s">
        <v>1910</v>
      </c>
      <c r="L554" s="105"/>
      <c r="M554">
        <f t="shared" si="17"/>
        <v>0</v>
      </c>
      <c r="N554" s="103">
        <f t="shared" si="18"/>
        <v>549</v>
      </c>
    </row>
    <row r="555" spans="1:14" s="103" customFormat="1" hidden="1" x14ac:dyDescent="0.3">
      <c r="A555" s="102" t="s">
        <v>17</v>
      </c>
      <c r="B555" s="102" t="s">
        <v>1614</v>
      </c>
      <c r="C555" s="102" t="s">
        <v>8</v>
      </c>
      <c r="D555" s="103" t="s">
        <v>1642</v>
      </c>
      <c r="E555" s="104">
        <v>0</v>
      </c>
      <c r="F555" s="103" t="s">
        <v>1643</v>
      </c>
      <c r="G555" s="103" t="s">
        <v>1644</v>
      </c>
      <c r="H555" s="103" t="s">
        <v>1645</v>
      </c>
      <c r="J555" s="104">
        <v>59.95</v>
      </c>
      <c r="K555" s="103" t="s">
        <v>1914</v>
      </c>
      <c r="L555" s="105"/>
      <c r="M555">
        <f t="shared" si="17"/>
        <v>0</v>
      </c>
      <c r="N555" s="103">
        <f t="shared" si="18"/>
        <v>550</v>
      </c>
    </row>
    <row r="556" spans="1:14" s="103" customFormat="1" x14ac:dyDescent="0.3">
      <c r="A556" s="102" t="s">
        <v>17</v>
      </c>
      <c r="B556" s="102" t="s">
        <v>1614</v>
      </c>
      <c r="C556" s="102" t="s">
        <v>8</v>
      </c>
      <c r="D556" s="103" t="s">
        <v>1650</v>
      </c>
      <c r="E556" s="104">
        <v>0</v>
      </c>
      <c r="F556" s="103" t="s">
        <v>1651</v>
      </c>
      <c r="G556" s="103" t="s">
        <v>1652</v>
      </c>
      <c r="H556" s="103" t="s">
        <v>1653</v>
      </c>
      <c r="J556" s="104">
        <v>4.95</v>
      </c>
      <c r="K556" s="103" t="s">
        <v>1914</v>
      </c>
      <c r="L556" s="105"/>
      <c r="M556">
        <f t="shared" si="17"/>
        <v>0</v>
      </c>
      <c r="N556" s="103">
        <f t="shared" si="18"/>
        <v>551</v>
      </c>
    </row>
    <row r="557" spans="1:14" s="103" customFormat="1" x14ac:dyDescent="0.3">
      <c r="A557" s="102" t="s">
        <v>17</v>
      </c>
      <c r="B557" s="102" t="s">
        <v>1614</v>
      </c>
      <c r="C557" s="102" t="s">
        <v>8</v>
      </c>
      <c r="D557" s="103" t="s">
        <v>1622</v>
      </c>
      <c r="E557" s="104">
        <v>0</v>
      </c>
      <c r="F557" s="103" t="s">
        <v>1623</v>
      </c>
      <c r="G557" s="103" t="s">
        <v>1624</v>
      </c>
      <c r="H557" s="103" t="s">
        <v>1625</v>
      </c>
      <c r="I557" s="103">
        <v>1</v>
      </c>
      <c r="J557" s="104">
        <v>2.95</v>
      </c>
      <c r="K557" s="103" t="s">
        <v>1914</v>
      </c>
      <c r="L557" s="105"/>
      <c r="M557">
        <f t="shared" si="17"/>
        <v>0</v>
      </c>
      <c r="N557" s="103">
        <f t="shared" si="18"/>
        <v>552</v>
      </c>
    </row>
    <row r="558" spans="1:14" s="103" customFormat="1" x14ac:dyDescent="0.3">
      <c r="A558" s="102" t="s">
        <v>17</v>
      </c>
      <c r="B558" s="102" t="s">
        <v>1614</v>
      </c>
      <c r="C558" s="102" t="s">
        <v>8</v>
      </c>
      <c r="D558" s="103" t="s">
        <v>1441</v>
      </c>
      <c r="E558" s="104">
        <v>1</v>
      </c>
      <c r="F558" s="103" t="s">
        <v>1442</v>
      </c>
      <c r="G558" s="103" t="s">
        <v>1443</v>
      </c>
      <c r="H558" s="103" t="s">
        <v>1444</v>
      </c>
      <c r="I558" s="103">
        <v>1</v>
      </c>
      <c r="J558" s="104">
        <v>16.95</v>
      </c>
      <c r="K558" s="103" t="s">
        <v>1914</v>
      </c>
      <c r="L558" s="105"/>
      <c r="M558">
        <f t="shared" si="17"/>
        <v>16.95</v>
      </c>
      <c r="N558" s="103">
        <f t="shared" si="18"/>
        <v>553</v>
      </c>
    </row>
    <row r="559" spans="1:14" s="103" customFormat="1" x14ac:dyDescent="0.3">
      <c r="A559" s="102" t="s">
        <v>17</v>
      </c>
      <c r="B559" s="102" t="s">
        <v>1614</v>
      </c>
      <c r="C559" s="102" t="s">
        <v>8</v>
      </c>
      <c r="D559" s="103" t="s">
        <v>857</v>
      </c>
      <c r="E559" s="104">
        <v>0</v>
      </c>
      <c r="F559" s="103" t="s">
        <v>858</v>
      </c>
      <c r="G559" s="103" t="s">
        <v>859</v>
      </c>
      <c r="H559" s="103" t="s">
        <v>860</v>
      </c>
      <c r="J559" s="104">
        <v>114.95</v>
      </c>
      <c r="K559" s="103" t="s">
        <v>1914</v>
      </c>
      <c r="M559">
        <f t="shared" si="17"/>
        <v>0</v>
      </c>
      <c r="N559" s="103">
        <f t="shared" si="18"/>
        <v>554</v>
      </c>
    </row>
    <row r="560" spans="1:14" s="103" customFormat="1" hidden="1" x14ac:dyDescent="0.3">
      <c r="A560" s="103" t="s">
        <v>17</v>
      </c>
      <c r="B560" s="103" t="s">
        <v>1614</v>
      </c>
      <c r="C560" s="103" t="s">
        <v>1898</v>
      </c>
      <c r="D560" s="103" t="s">
        <v>2392</v>
      </c>
      <c r="E560" s="104">
        <v>0</v>
      </c>
      <c r="H560" s="102" t="s">
        <v>2393</v>
      </c>
      <c r="I560" s="105"/>
      <c r="J560" s="111">
        <v>97.5</v>
      </c>
      <c r="K560" s="102" t="s">
        <v>1913</v>
      </c>
      <c r="L560" s="105"/>
      <c r="M560">
        <f t="shared" si="17"/>
        <v>0</v>
      </c>
      <c r="N560" s="103">
        <f t="shared" si="18"/>
        <v>555</v>
      </c>
    </row>
    <row r="561" spans="1:14" s="103" customFormat="1" x14ac:dyDescent="0.3">
      <c r="A561" s="102" t="s">
        <v>17</v>
      </c>
      <c r="B561" s="102" t="s">
        <v>1614</v>
      </c>
      <c r="C561" s="102" t="s">
        <v>8</v>
      </c>
      <c r="D561" s="103" t="s">
        <v>1638</v>
      </c>
      <c r="E561" s="104">
        <v>0</v>
      </c>
      <c r="F561" s="103" t="s">
        <v>1639</v>
      </c>
      <c r="G561" s="103" t="s">
        <v>1640</v>
      </c>
      <c r="H561" s="103" t="s">
        <v>1641</v>
      </c>
      <c r="J561" s="104">
        <v>14.95</v>
      </c>
      <c r="K561" s="103" t="s">
        <v>1914</v>
      </c>
      <c r="L561" s="105"/>
      <c r="M561">
        <f t="shared" si="17"/>
        <v>0</v>
      </c>
      <c r="N561" s="103">
        <f t="shared" si="18"/>
        <v>556</v>
      </c>
    </row>
    <row r="562" spans="1:14" s="103" customFormat="1" hidden="1" x14ac:dyDescent="0.3">
      <c r="A562" s="102" t="s">
        <v>17</v>
      </c>
      <c r="B562" s="102" t="s">
        <v>1614</v>
      </c>
      <c r="C562" s="102" t="s">
        <v>8</v>
      </c>
      <c r="D562" s="103" t="s">
        <v>849</v>
      </c>
      <c r="E562" s="104">
        <v>0</v>
      </c>
      <c r="F562" s="103" t="s">
        <v>850</v>
      </c>
      <c r="G562" s="103" t="s">
        <v>851</v>
      </c>
      <c r="H562" s="103" t="s">
        <v>852</v>
      </c>
      <c r="I562" s="103">
        <v>1</v>
      </c>
      <c r="J562" s="104">
        <v>13.95</v>
      </c>
      <c r="K562" s="103" t="s">
        <v>1914</v>
      </c>
      <c r="L562" s="105" t="s">
        <v>1308</v>
      </c>
      <c r="M562">
        <f t="shared" si="17"/>
        <v>0</v>
      </c>
      <c r="N562" s="103">
        <f t="shared" si="18"/>
        <v>557</v>
      </c>
    </row>
    <row r="563" spans="1:14" s="103" customFormat="1" hidden="1" x14ac:dyDescent="0.3">
      <c r="A563" s="103" t="s">
        <v>17</v>
      </c>
      <c r="B563" s="103" t="s">
        <v>1614</v>
      </c>
      <c r="C563" s="103" t="s">
        <v>1898</v>
      </c>
      <c r="D563" s="103" t="s">
        <v>2396</v>
      </c>
      <c r="E563" s="104">
        <v>0</v>
      </c>
      <c r="H563" s="102" t="s">
        <v>2397</v>
      </c>
      <c r="I563" s="105"/>
      <c r="J563" s="111">
        <v>9.9499999999999993</v>
      </c>
      <c r="K563" s="102" t="s">
        <v>1910</v>
      </c>
      <c r="L563" s="105"/>
      <c r="M563">
        <f t="shared" si="17"/>
        <v>0</v>
      </c>
      <c r="N563" s="103">
        <f t="shared" si="18"/>
        <v>558</v>
      </c>
    </row>
    <row r="564" spans="1:14" s="103" customFormat="1" hidden="1" x14ac:dyDescent="0.3">
      <c r="A564" s="102" t="s">
        <v>17</v>
      </c>
      <c r="B564" s="102" t="s">
        <v>1615</v>
      </c>
      <c r="C564" s="102" t="s">
        <v>8</v>
      </c>
      <c r="D564" s="103" t="s">
        <v>881</v>
      </c>
      <c r="E564" s="104">
        <v>0</v>
      </c>
      <c r="F564" s="103" t="s">
        <v>882</v>
      </c>
      <c r="G564" s="103" t="s">
        <v>883</v>
      </c>
      <c r="H564" s="103" t="s">
        <v>884</v>
      </c>
      <c r="J564" s="104">
        <v>32.950000000000003</v>
      </c>
      <c r="K564" s="103" t="s">
        <v>1914</v>
      </c>
      <c r="L564" s="105"/>
      <c r="M564">
        <f t="shared" si="17"/>
        <v>0</v>
      </c>
      <c r="N564" s="103">
        <f t="shared" si="18"/>
        <v>559</v>
      </c>
    </row>
    <row r="565" spans="1:14" s="103" customFormat="1" hidden="1" x14ac:dyDescent="0.3">
      <c r="A565" s="102" t="s">
        <v>17</v>
      </c>
      <c r="B565" s="102" t="s">
        <v>1615</v>
      </c>
      <c r="C565" s="102" t="s">
        <v>8</v>
      </c>
      <c r="D565" s="103" t="s">
        <v>1144</v>
      </c>
      <c r="E565" s="104">
        <v>0</v>
      </c>
      <c r="F565" s="103" t="s">
        <v>1145</v>
      </c>
      <c r="G565" s="103" t="s">
        <v>1146</v>
      </c>
      <c r="H565" s="103" t="s">
        <v>1147</v>
      </c>
      <c r="I565" s="103">
        <v>1</v>
      </c>
      <c r="J565" s="104">
        <v>29.95</v>
      </c>
      <c r="K565" s="103" t="s">
        <v>1914</v>
      </c>
      <c r="L565" s="105"/>
      <c r="M565">
        <f t="shared" si="17"/>
        <v>0</v>
      </c>
      <c r="N565" s="103">
        <f t="shared" si="18"/>
        <v>560</v>
      </c>
    </row>
    <row r="566" spans="1:14" s="103" customFormat="1" hidden="1" x14ac:dyDescent="0.3">
      <c r="A566" s="102" t="s">
        <v>17</v>
      </c>
      <c r="B566" s="102" t="s">
        <v>1615</v>
      </c>
      <c r="C566" s="102" t="s">
        <v>8</v>
      </c>
      <c r="D566" s="103" t="s">
        <v>853</v>
      </c>
      <c r="E566" s="104">
        <v>0</v>
      </c>
      <c r="F566" s="103" t="s">
        <v>854</v>
      </c>
      <c r="G566" s="103" t="s">
        <v>855</v>
      </c>
      <c r="H566" s="103" t="s">
        <v>856</v>
      </c>
      <c r="I566" s="103">
        <v>1</v>
      </c>
      <c r="J566" s="104">
        <v>9.9499999999999993</v>
      </c>
      <c r="K566" s="103" t="s">
        <v>1914</v>
      </c>
      <c r="L566" s="105"/>
      <c r="M566">
        <f t="shared" si="17"/>
        <v>0</v>
      </c>
      <c r="N566" s="103">
        <f t="shared" si="18"/>
        <v>561</v>
      </c>
    </row>
    <row r="567" spans="1:14" s="103" customFormat="1" x14ac:dyDescent="0.3">
      <c r="A567" s="103" t="s">
        <v>17</v>
      </c>
      <c r="B567" s="103" t="s">
        <v>1615</v>
      </c>
      <c r="C567" s="103" t="s">
        <v>1898</v>
      </c>
      <c r="D567" s="103" t="s">
        <v>2394</v>
      </c>
      <c r="E567" s="104">
        <v>1</v>
      </c>
      <c r="H567" s="102" t="s">
        <v>2395</v>
      </c>
      <c r="I567" s="105"/>
      <c r="J567" s="111">
        <v>54.95</v>
      </c>
      <c r="K567" s="102" t="s">
        <v>1914</v>
      </c>
      <c r="L567" s="105"/>
      <c r="M567">
        <f t="shared" si="17"/>
        <v>54.95</v>
      </c>
      <c r="N567" s="103">
        <f t="shared" si="18"/>
        <v>562</v>
      </c>
    </row>
    <row r="568" spans="1:14" s="103" customFormat="1" x14ac:dyDescent="0.3">
      <c r="A568" s="102" t="s">
        <v>17</v>
      </c>
      <c r="B568" s="102" t="s">
        <v>1615</v>
      </c>
      <c r="C568" s="102" t="s">
        <v>8</v>
      </c>
      <c r="D568" s="103" t="s">
        <v>873</v>
      </c>
      <c r="E568" s="104">
        <v>1</v>
      </c>
      <c r="F568" s="103" t="s">
        <v>874</v>
      </c>
      <c r="G568" s="103" t="s">
        <v>875</v>
      </c>
      <c r="H568" s="103" t="s">
        <v>876</v>
      </c>
      <c r="I568" s="103">
        <v>1</v>
      </c>
      <c r="J568" s="104">
        <v>9.9499999999999993</v>
      </c>
      <c r="K568" s="103" t="s">
        <v>1914</v>
      </c>
      <c r="L568" s="105"/>
      <c r="M568">
        <f t="shared" si="17"/>
        <v>9.9499999999999993</v>
      </c>
      <c r="N568" s="103">
        <f t="shared" si="18"/>
        <v>563</v>
      </c>
    </row>
    <row r="569" spans="1:14" s="103" customFormat="1" x14ac:dyDescent="0.3">
      <c r="A569" s="102" t="s">
        <v>17</v>
      </c>
      <c r="B569" s="102" t="s">
        <v>1615</v>
      </c>
      <c r="C569" s="102" t="s">
        <v>8</v>
      </c>
      <c r="D569" s="103" t="s">
        <v>128</v>
      </c>
      <c r="E569" s="104">
        <v>1</v>
      </c>
      <c r="F569" s="103" t="s">
        <v>129</v>
      </c>
      <c r="G569" s="103" t="s">
        <v>130</v>
      </c>
      <c r="H569" s="103" t="s">
        <v>131</v>
      </c>
      <c r="J569" s="104">
        <v>14.95</v>
      </c>
      <c r="K569" s="103" t="s">
        <v>1913</v>
      </c>
      <c r="L569" s="105"/>
      <c r="M569">
        <f t="shared" si="17"/>
        <v>14.95</v>
      </c>
      <c r="N569" s="103">
        <f t="shared" si="18"/>
        <v>564</v>
      </c>
    </row>
    <row r="570" spans="1:14" s="103" customFormat="1" x14ac:dyDescent="0.3">
      <c r="A570" s="102" t="s">
        <v>17</v>
      </c>
      <c r="B570" s="102" t="s">
        <v>1615</v>
      </c>
      <c r="C570" s="102" t="s">
        <v>8</v>
      </c>
      <c r="D570" s="103" t="s">
        <v>132</v>
      </c>
      <c r="E570" s="104">
        <v>1</v>
      </c>
      <c r="F570" s="103" t="s">
        <v>133</v>
      </c>
      <c r="G570" s="103" t="s">
        <v>134</v>
      </c>
      <c r="H570" s="103" t="s">
        <v>135</v>
      </c>
      <c r="I570" s="103">
        <v>1</v>
      </c>
      <c r="J570" s="104">
        <v>0.1</v>
      </c>
      <c r="K570" s="103" t="s">
        <v>1910</v>
      </c>
      <c r="L570" s="105"/>
      <c r="M570">
        <f t="shared" si="17"/>
        <v>0.1</v>
      </c>
      <c r="N570" s="103">
        <f t="shared" si="18"/>
        <v>565</v>
      </c>
    </row>
    <row r="571" spans="1:14" s="103" customFormat="1" x14ac:dyDescent="0.3">
      <c r="A571" s="102" t="s">
        <v>17</v>
      </c>
      <c r="B571" s="102" t="s">
        <v>1613</v>
      </c>
      <c r="C571" s="102" t="s">
        <v>8</v>
      </c>
      <c r="D571" s="103" t="s">
        <v>1626</v>
      </c>
      <c r="E571" s="104">
        <v>1</v>
      </c>
      <c r="F571" s="103" t="s">
        <v>1627</v>
      </c>
      <c r="G571" s="103" t="s">
        <v>1628</v>
      </c>
      <c r="H571" s="103" t="s">
        <v>1629</v>
      </c>
      <c r="J571" s="104">
        <v>4.95</v>
      </c>
      <c r="K571" s="103" t="s">
        <v>1914</v>
      </c>
      <c r="L571" s="105"/>
      <c r="M571">
        <f t="shared" si="17"/>
        <v>4.95</v>
      </c>
      <c r="N571" s="103">
        <f t="shared" si="18"/>
        <v>566</v>
      </c>
    </row>
    <row r="572" spans="1:14" s="103" customFormat="1" x14ac:dyDescent="0.3">
      <c r="A572" s="102" t="s">
        <v>17</v>
      </c>
      <c r="B572" s="102" t="s">
        <v>1613</v>
      </c>
      <c r="C572" s="102" t="s">
        <v>8</v>
      </c>
      <c r="D572" s="103" t="s">
        <v>837</v>
      </c>
      <c r="E572" s="104">
        <v>1</v>
      </c>
      <c r="F572" s="103" t="s">
        <v>838</v>
      </c>
      <c r="G572" s="103" t="s">
        <v>839</v>
      </c>
      <c r="H572" s="103" t="s">
        <v>840</v>
      </c>
      <c r="J572" s="104">
        <v>4.95</v>
      </c>
      <c r="K572" s="103" t="s">
        <v>1914</v>
      </c>
      <c r="L572" s="105"/>
      <c r="M572">
        <f t="shared" si="17"/>
        <v>4.95</v>
      </c>
      <c r="N572" s="103">
        <f t="shared" si="18"/>
        <v>567</v>
      </c>
    </row>
    <row r="573" spans="1:14" s="103" customFormat="1" x14ac:dyDescent="0.3">
      <c r="A573" s="102" t="s">
        <v>17</v>
      </c>
      <c r="B573" s="102" t="s">
        <v>1613</v>
      </c>
      <c r="C573" s="102" t="s">
        <v>8</v>
      </c>
      <c r="D573" s="103" t="s">
        <v>869</v>
      </c>
      <c r="E573" s="104">
        <v>1</v>
      </c>
      <c r="F573" s="103" t="s">
        <v>870</v>
      </c>
      <c r="G573" s="103" t="s">
        <v>871</v>
      </c>
      <c r="H573" s="103" t="s">
        <v>872</v>
      </c>
      <c r="I573" s="103">
        <v>1</v>
      </c>
      <c r="J573" s="104">
        <v>3.95</v>
      </c>
      <c r="K573" s="103" t="s">
        <v>1914</v>
      </c>
      <c r="L573" s="105"/>
      <c r="M573">
        <f t="shared" si="17"/>
        <v>3.95</v>
      </c>
      <c r="N573" s="103">
        <f t="shared" si="18"/>
        <v>568</v>
      </c>
    </row>
    <row r="574" spans="1:14" s="103" customFormat="1" x14ac:dyDescent="0.3">
      <c r="A574" s="102" t="s">
        <v>17</v>
      </c>
      <c r="B574" s="102" t="s">
        <v>1613</v>
      </c>
      <c r="C574" s="102" t="s">
        <v>8</v>
      </c>
      <c r="D574" s="103" t="s">
        <v>861</v>
      </c>
      <c r="E574" s="104">
        <v>1</v>
      </c>
      <c r="F574" s="103" t="s">
        <v>862</v>
      </c>
      <c r="G574" s="103" t="s">
        <v>863</v>
      </c>
      <c r="H574" s="103" t="s">
        <v>864</v>
      </c>
      <c r="I574" s="103">
        <v>1</v>
      </c>
      <c r="J574" s="104">
        <v>3.95</v>
      </c>
      <c r="K574" s="103" t="s">
        <v>1914</v>
      </c>
      <c r="L574" s="105"/>
      <c r="M574">
        <f t="shared" si="17"/>
        <v>3.95</v>
      </c>
      <c r="N574" s="103">
        <f t="shared" si="18"/>
        <v>569</v>
      </c>
    </row>
    <row r="575" spans="1:14" s="103" customFormat="1" x14ac:dyDescent="0.3">
      <c r="A575" s="102" t="s">
        <v>17</v>
      </c>
      <c r="B575" s="102" t="s">
        <v>1613</v>
      </c>
      <c r="C575" s="102" t="s">
        <v>8</v>
      </c>
      <c r="D575" s="103" t="s">
        <v>845</v>
      </c>
      <c r="E575" s="104">
        <v>1</v>
      </c>
      <c r="F575" s="103" t="s">
        <v>846</v>
      </c>
      <c r="G575" s="103" t="s">
        <v>847</v>
      </c>
      <c r="H575" s="103" t="s">
        <v>848</v>
      </c>
      <c r="I575" s="103">
        <v>1</v>
      </c>
      <c r="J575" s="104">
        <v>3.95</v>
      </c>
      <c r="K575" s="103" t="s">
        <v>1914</v>
      </c>
      <c r="L575" s="105"/>
      <c r="M575">
        <f t="shared" si="17"/>
        <v>3.95</v>
      </c>
      <c r="N575" s="103">
        <f t="shared" si="18"/>
        <v>570</v>
      </c>
    </row>
    <row r="576" spans="1:14" s="103" customFormat="1" x14ac:dyDescent="0.3">
      <c r="A576" s="102" t="s">
        <v>17</v>
      </c>
      <c r="B576" s="102" t="s">
        <v>1613</v>
      </c>
      <c r="C576" s="102" t="s">
        <v>8</v>
      </c>
      <c r="D576" s="103" t="s">
        <v>1646</v>
      </c>
      <c r="E576" s="104">
        <v>0</v>
      </c>
      <c r="F576" s="103" t="s">
        <v>1647</v>
      </c>
      <c r="G576" s="103" t="s">
        <v>1648</v>
      </c>
      <c r="H576" s="103" t="s">
        <v>1649</v>
      </c>
      <c r="I576" s="103">
        <v>1</v>
      </c>
      <c r="J576" s="104">
        <v>1.95</v>
      </c>
      <c r="K576" s="103" t="s">
        <v>1914</v>
      </c>
      <c r="L576" s="105"/>
      <c r="M576">
        <f t="shared" si="17"/>
        <v>0</v>
      </c>
      <c r="N576" s="103">
        <f t="shared" si="18"/>
        <v>571</v>
      </c>
    </row>
    <row r="577" spans="1:14" s="103" customFormat="1" hidden="1" x14ac:dyDescent="0.3">
      <c r="A577" s="118" t="s">
        <v>17</v>
      </c>
      <c r="B577" s="118" t="s">
        <v>1613</v>
      </c>
      <c r="C577" s="118" t="s">
        <v>1898</v>
      </c>
      <c r="D577" s="118" t="s">
        <v>2475</v>
      </c>
      <c r="E577" s="119">
        <v>0</v>
      </c>
      <c r="F577" s="105"/>
      <c r="G577" s="105"/>
      <c r="H577" s="118" t="s">
        <v>2474</v>
      </c>
      <c r="I577" s="120">
        <v>113</v>
      </c>
      <c r="J577" s="119">
        <v>11.95</v>
      </c>
      <c r="K577" s="102" t="s">
        <v>1910</v>
      </c>
      <c r="L577" s="105"/>
      <c r="M577">
        <f t="shared" si="17"/>
        <v>0</v>
      </c>
      <c r="N577" s="103">
        <f t="shared" si="18"/>
        <v>572</v>
      </c>
    </row>
    <row r="578" spans="1:14" s="103" customFormat="1" hidden="1" x14ac:dyDescent="0.3">
      <c r="A578" s="118" t="s">
        <v>17</v>
      </c>
      <c r="B578" s="118" t="s">
        <v>1613</v>
      </c>
      <c r="C578" s="118" t="s">
        <v>1898</v>
      </c>
      <c r="D578" s="118" t="s">
        <v>2473</v>
      </c>
      <c r="E578" s="119">
        <v>0</v>
      </c>
      <c r="F578" s="105"/>
      <c r="G578" s="105"/>
      <c r="H578" s="118" t="s">
        <v>2472</v>
      </c>
      <c r="I578" s="120">
        <v>112</v>
      </c>
      <c r="J578" s="119">
        <v>14.95</v>
      </c>
      <c r="K578" s="102" t="s">
        <v>1910</v>
      </c>
      <c r="L578" s="105"/>
      <c r="M578">
        <f t="shared" si="17"/>
        <v>0</v>
      </c>
      <c r="N578" s="103">
        <f t="shared" si="18"/>
        <v>573</v>
      </c>
    </row>
    <row r="579" spans="1:14" s="103" customFormat="1" x14ac:dyDescent="0.3">
      <c r="A579" s="102" t="s">
        <v>17</v>
      </c>
      <c r="B579" s="102" t="s">
        <v>1613</v>
      </c>
      <c r="C579" s="102" t="s">
        <v>8</v>
      </c>
      <c r="D579" s="103" t="s">
        <v>2445</v>
      </c>
      <c r="E579" s="104">
        <v>0</v>
      </c>
      <c r="F579" s="103" t="s">
        <v>2446</v>
      </c>
      <c r="G579" s="103" t="s">
        <v>2447</v>
      </c>
      <c r="H579" s="103" t="s">
        <v>2448</v>
      </c>
      <c r="I579" s="103">
        <v>1</v>
      </c>
      <c r="J579" s="104">
        <v>9.9499999999999993</v>
      </c>
      <c r="K579" s="103" t="s">
        <v>1914</v>
      </c>
      <c r="M579">
        <f t="shared" si="17"/>
        <v>0</v>
      </c>
      <c r="N579" s="103">
        <f t="shared" si="18"/>
        <v>574</v>
      </c>
    </row>
    <row r="580" spans="1:14" s="103" customFormat="1" hidden="1" x14ac:dyDescent="0.3">
      <c r="A580" s="118" t="s">
        <v>17</v>
      </c>
      <c r="B580" s="118" t="s">
        <v>1613</v>
      </c>
      <c r="C580" s="118" t="s">
        <v>1898</v>
      </c>
      <c r="D580" s="118" t="s">
        <v>2471</v>
      </c>
      <c r="E580" s="119">
        <v>0</v>
      </c>
      <c r="F580" s="105"/>
      <c r="G580" s="105"/>
      <c r="H580" s="118" t="s">
        <v>2470</v>
      </c>
      <c r="I580" s="120">
        <v>111</v>
      </c>
      <c r="J580" s="119">
        <v>14.95</v>
      </c>
      <c r="K580" s="102" t="s">
        <v>1910</v>
      </c>
      <c r="L580" s="105"/>
      <c r="M580">
        <f t="shared" si="17"/>
        <v>0</v>
      </c>
      <c r="N580" s="103">
        <f t="shared" si="18"/>
        <v>575</v>
      </c>
    </row>
    <row r="581" spans="1:14" s="103" customFormat="1" x14ac:dyDescent="0.3">
      <c r="A581" s="102" t="s">
        <v>17</v>
      </c>
      <c r="B581" s="102" t="s">
        <v>1613</v>
      </c>
      <c r="C581" s="102" t="s">
        <v>8</v>
      </c>
      <c r="D581" s="103" t="s">
        <v>841</v>
      </c>
      <c r="E581" s="104">
        <v>0</v>
      </c>
      <c r="F581" s="103" t="s">
        <v>842</v>
      </c>
      <c r="G581" s="103" t="s">
        <v>843</v>
      </c>
      <c r="H581" s="103" t="s">
        <v>844</v>
      </c>
      <c r="I581" s="103">
        <v>1</v>
      </c>
      <c r="J581" s="104">
        <v>1.95</v>
      </c>
      <c r="K581" s="103" t="s">
        <v>1914</v>
      </c>
      <c r="M581">
        <f t="shared" si="17"/>
        <v>0</v>
      </c>
      <c r="N581" s="103">
        <f t="shared" si="18"/>
        <v>576</v>
      </c>
    </row>
    <row r="582" spans="1:14" s="103" customFormat="1" hidden="1" x14ac:dyDescent="0.3">
      <c r="A582" s="102" t="s">
        <v>17</v>
      </c>
      <c r="B582" s="102" t="s">
        <v>1613</v>
      </c>
      <c r="C582" s="102" t="s">
        <v>8</v>
      </c>
      <c r="D582" s="103" t="s">
        <v>877</v>
      </c>
      <c r="E582" s="104">
        <v>0</v>
      </c>
      <c r="F582" s="103" t="s">
        <v>878</v>
      </c>
      <c r="G582" s="103" t="s">
        <v>879</v>
      </c>
      <c r="H582" s="103" t="s">
        <v>880</v>
      </c>
      <c r="I582" s="103">
        <v>1</v>
      </c>
      <c r="J582" s="104">
        <v>6.95</v>
      </c>
      <c r="K582" s="103" t="s">
        <v>1914</v>
      </c>
      <c r="L582" s="103" t="s">
        <v>1209</v>
      </c>
      <c r="M582">
        <f t="shared" ref="M582:M592" si="19">E582*J582</f>
        <v>0</v>
      </c>
      <c r="N582" s="103">
        <f t="shared" ref="N582:N592" si="20">IF($N581="List #",1,$N581+1)</f>
        <v>577</v>
      </c>
    </row>
    <row r="583" spans="1:14" s="103" customFormat="1" x14ac:dyDescent="0.3">
      <c r="A583" s="102" t="s">
        <v>17</v>
      </c>
      <c r="B583" s="102" t="s">
        <v>1613</v>
      </c>
      <c r="C583" s="102" t="s">
        <v>8</v>
      </c>
      <c r="D583" s="103" t="s">
        <v>865</v>
      </c>
      <c r="E583" s="104">
        <v>0</v>
      </c>
      <c r="F583" s="103" t="s">
        <v>866</v>
      </c>
      <c r="G583" s="103" t="s">
        <v>867</v>
      </c>
      <c r="H583" s="103" t="s">
        <v>868</v>
      </c>
      <c r="I583" s="103">
        <v>1</v>
      </c>
      <c r="J583" s="104">
        <v>2.95</v>
      </c>
      <c r="K583" s="103" t="s">
        <v>1914</v>
      </c>
      <c r="L583" s="105"/>
      <c r="M583">
        <f t="shared" si="19"/>
        <v>0</v>
      </c>
      <c r="N583" s="103">
        <f t="shared" si="20"/>
        <v>578</v>
      </c>
    </row>
    <row r="584" spans="1:14" s="103" customFormat="1" x14ac:dyDescent="0.3">
      <c r="A584" s="102" t="s">
        <v>17</v>
      </c>
      <c r="B584" s="102" t="s">
        <v>1613</v>
      </c>
      <c r="C584" s="102" t="s">
        <v>8</v>
      </c>
      <c r="D584" s="103" t="s">
        <v>1176</v>
      </c>
      <c r="E584" s="104">
        <v>0</v>
      </c>
      <c r="F584" s="103" t="s">
        <v>1177</v>
      </c>
      <c r="G584" s="103" t="s">
        <v>1178</v>
      </c>
      <c r="H584" s="103" t="s">
        <v>1179</v>
      </c>
      <c r="J584" s="104">
        <v>1.95</v>
      </c>
      <c r="K584" s="103" t="s">
        <v>1914</v>
      </c>
      <c r="L584" s="105"/>
      <c r="M584">
        <f t="shared" si="19"/>
        <v>0</v>
      </c>
      <c r="N584" s="103">
        <f t="shared" si="20"/>
        <v>579</v>
      </c>
    </row>
    <row r="585" spans="1:14" s="103" customFormat="1" x14ac:dyDescent="0.3">
      <c r="A585" s="102" t="s">
        <v>17</v>
      </c>
      <c r="B585" s="102" t="s">
        <v>1613</v>
      </c>
      <c r="C585" s="102" t="s">
        <v>8</v>
      </c>
      <c r="D585" s="103" t="s">
        <v>833</v>
      </c>
      <c r="E585" s="104">
        <v>1</v>
      </c>
      <c r="F585" s="103" t="s">
        <v>834</v>
      </c>
      <c r="G585" s="103" t="s">
        <v>835</v>
      </c>
      <c r="H585" s="103" t="s">
        <v>836</v>
      </c>
      <c r="J585" s="104">
        <v>4.8</v>
      </c>
      <c r="K585" s="103" t="s">
        <v>1914</v>
      </c>
      <c r="L585" s="105"/>
      <c r="M585">
        <f t="shared" si="19"/>
        <v>4.8</v>
      </c>
      <c r="N585" s="103">
        <f t="shared" si="20"/>
        <v>580</v>
      </c>
    </row>
    <row r="586" spans="1:14" s="103" customFormat="1" hidden="1" x14ac:dyDescent="0.3">
      <c r="A586" s="102" t="s">
        <v>17</v>
      </c>
      <c r="B586" s="102" t="s">
        <v>1654</v>
      </c>
      <c r="C586" s="102" t="s">
        <v>8</v>
      </c>
      <c r="D586" s="103" t="s">
        <v>1630</v>
      </c>
      <c r="E586" s="104">
        <v>0</v>
      </c>
      <c r="F586" s="103" t="s">
        <v>1631</v>
      </c>
      <c r="G586" s="103" t="s">
        <v>1632</v>
      </c>
      <c r="H586" s="103" t="s">
        <v>1633</v>
      </c>
      <c r="J586" s="104">
        <v>3.95</v>
      </c>
      <c r="K586" s="103" t="s">
        <v>1910</v>
      </c>
      <c r="L586" s="105"/>
      <c r="M586">
        <f t="shared" si="19"/>
        <v>0</v>
      </c>
      <c r="N586" s="103">
        <f t="shared" si="20"/>
        <v>581</v>
      </c>
    </row>
    <row r="587" spans="1:14" s="103" customFormat="1" hidden="1" x14ac:dyDescent="0.3">
      <c r="A587" s="102" t="s">
        <v>17</v>
      </c>
      <c r="B587" s="102" t="s">
        <v>1654</v>
      </c>
      <c r="C587" s="102" t="s">
        <v>8</v>
      </c>
      <c r="D587" s="103" t="s">
        <v>1634</v>
      </c>
      <c r="E587" s="104">
        <v>0</v>
      </c>
      <c r="F587" s="103" t="s">
        <v>1635</v>
      </c>
      <c r="G587" s="103" t="s">
        <v>1636</v>
      </c>
      <c r="H587" s="103" t="s">
        <v>1637</v>
      </c>
      <c r="J587" s="104">
        <v>3.95</v>
      </c>
      <c r="K587" s="103" t="s">
        <v>1910</v>
      </c>
      <c r="L587" s="105"/>
      <c r="M587">
        <f t="shared" si="19"/>
        <v>0</v>
      </c>
      <c r="N587" s="103">
        <f t="shared" si="20"/>
        <v>582</v>
      </c>
    </row>
    <row r="588" spans="1:14" s="12" customFormat="1" hidden="1" x14ac:dyDescent="0.3">
      <c r="A588" s="12" t="s">
        <v>17</v>
      </c>
      <c r="B588" s="12" t="s">
        <v>1654</v>
      </c>
      <c r="C588" s="12" t="s">
        <v>1898</v>
      </c>
      <c r="D588" s="12" t="s">
        <v>2087</v>
      </c>
      <c r="E588" s="89">
        <v>0</v>
      </c>
      <c r="H588" s="51" t="s">
        <v>2086</v>
      </c>
      <c r="I588"/>
      <c r="J588" s="95">
        <v>2.5</v>
      </c>
      <c r="K588" s="51" t="s">
        <v>1910</v>
      </c>
      <c r="L588"/>
      <c r="M588">
        <f t="shared" si="19"/>
        <v>0</v>
      </c>
      <c r="N588" s="12">
        <f t="shared" si="20"/>
        <v>583</v>
      </c>
    </row>
    <row r="589" spans="1:14" s="12" customFormat="1" x14ac:dyDescent="0.3">
      <c r="A589" s="12" t="s">
        <v>17</v>
      </c>
      <c r="B589" s="12" t="s">
        <v>1654</v>
      </c>
      <c r="C589" s="12" t="s">
        <v>1898</v>
      </c>
      <c r="D589" s="12" t="s">
        <v>2085</v>
      </c>
      <c r="E589" s="89">
        <v>1</v>
      </c>
      <c r="H589" s="51" t="s">
        <v>2084</v>
      </c>
      <c r="I589"/>
      <c r="J589" s="95">
        <v>2.95</v>
      </c>
      <c r="K589" s="51" t="s">
        <v>1910</v>
      </c>
      <c r="L589"/>
      <c r="M589">
        <f t="shared" si="19"/>
        <v>2.95</v>
      </c>
      <c r="N589" s="12">
        <f t="shared" si="20"/>
        <v>584</v>
      </c>
    </row>
    <row r="590" spans="1:14" s="12" customFormat="1" x14ac:dyDescent="0.3">
      <c r="A590" s="12" t="s">
        <v>17</v>
      </c>
      <c r="B590" s="12" t="s">
        <v>1654</v>
      </c>
      <c r="C590" s="12" t="s">
        <v>1898</v>
      </c>
      <c r="D590" s="12" t="s">
        <v>2081</v>
      </c>
      <c r="E590" s="89">
        <v>1</v>
      </c>
      <c r="H590" s="51" t="s">
        <v>2080</v>
      </c>
      <c r="I590"/>
      <c r="J590" s="95">
        <v>2.95</v>
      </c>
      <c r="K590" s="51" t="s">
        <v>1910</v>
      </c>
      <c r="L590"/>
      <c r="M590">
        <f t="shared" si="19"/>
        <v>2.95</v>
      </c>
      <c r="N590" s="12">
        <f t="shared" si="20"/>
        <v>585</v>
      </c>
    </row>
    <row r="591" spans="1:14" s="12" customFormat="1" x14ac:dyDescent="0.3">
      <c r="A591" s="12" t="s">
        <v>17</v>
      </c>
      <c r="B591" s="12" t="s">
        <v>1654</v>
      </c>
      <c r="C591" s="12" t="s">
        <v>1898</v>
      </c>
      <c r="D591" s="12" t="s">
        <v>2083</v>
      </c>
      <c r="E591" s="89">
        <v>1</v>
      </c>
      <c r="H591" s="51" t="s">
        <v>2082</v>
      </c>
      <c r="I591"/>
      <c r="J591" s="95">
        <v>3.95</v>
      </c>
      <c r="K591" s="51" t="s">
        <v>1910</v>
      </c>
      <c r="L591"/>
      <c r="M591">
        <f t="shared" si="19"/>
        <v>3.95</v>
      </c>
      <c r="N591" s="12">
        <f t="shared" si="20"/>
        <v>586</v>
      </c>
    </row>
    <row r="592" spans="1:14" s="12" customFormat="1" x14ac:dyDescent="0.3">
      <c r="A592" s="12" t="s">
        <v>17</v>
      </c>
      <c r="B592" s="12" t="s">
        <v>1654</v>
      </c>
      <c r="C592" s="12" t="s">
        <v>1898</v>
      </c>
      <c r="D592" s="12" t="s">
        <v>2077</v>
      </c>
      <c r="E592" s="89">
        <v>1</v>
      </c>
      <c r="H592" s="51" t="s">
        <v>2076</v>
      </c>
      <c r="I592"/>
      <c r="J592" s="95">
        <v>3.95</v>
      </c>
      <c r="K592" s="51" t="s">
        <v>1910</v>
      </c>
      <c r="L592"/>
      <c r="M592">
        <f t="shared" si="19"/>
        <v>3.95</v>
      </c>
      <c r="N592" s="12">
        <f t="shared" si="20"/>
        <v>587</v>
      </c>
    </row>
    <row r="593" spans="1:14" s="12" customFormat="1" x14ac:dyDescent="0.3">
      <c r="A593" s="51" t="s">
        <v>1411</v>
      </c>
      <c r="B593" s="51">
        <f>SUBTOTAL(103,RawListTable[Category])</f>
        <v>278</v>
      </c>
      <c r="C593" s="51"/>
      <c r="E593" s="12">
        <f>SUBTOTAL(109,RawListTable[Quantity])</f>
        <v>1000</v>
      </c>
      <c r="J593" s="14">
        <f>SUBTOTAL(101,RawListTable[Price (USD)])</f>
        <v>7.0064028776978695</v>
      </c>
      <c r="K593" s="14"/>
      <c r="L593" s="12">
        <f>SUBTOTAL(103,RawListTable[Description/Comments])</f>
        <v>10</v>
      </c>
      <c r="M593" s="12">
        <f>SUBTOTAL(109,RawListTable[Total Price])</f>
        <v>4909.3699999999872</v>
      </c>
      <c r="N593" s="12">
        <f>SUBTOTAL(103,RawListTable[List '#])</f>
        <v>277</v>
      </c>
    </row>
    <row r="594" spans="1:14" x14ac:dyDescent="0.3">
      <c r="A594" s="51">
        <f>Primary!A154+Secondary!A42+'Advanced&amp;Optional'!A29+'SmartHome&amp;IoT'!A43+Hardware!A47+LowLevel!A242+Tools!A42</f>
        <v>585</v>
      </c>
      <c r="D594" s="12"/>
      <c r="E594" s="12"/>
      <c r="F594" s="12"/>
      <c r="G594" s="12"/>
      <c r="H594" s="12"/>
      <c r="I594" s="12"/>
      <c r="J594" s="12"/>
      <c r="K594" s="12"/>
      <c r="L594" s="12"/>
    </row>
    <row r="595" spans="1:14" x14ac:dyDescent="0.3">
      <c r="D595" s="12"/>
      <c r="E595" s="12"/>
      <c r="F595" s="12"/>
      <c r="G595" s="12"/>
      <c r="H595" s="12"/>
      <c r="I595" s="12"/>
      <c r="J595" s="12"/>
      <c r="K595" s="12"/>
      <c r="L595" s="12"/>
    </row>
    <row r="596" spans="1:14" x14ac:dyDescent="0.3">
      <c r="D596" s="12"/>
      <c r="E596" s="12"/>
      <c r="F596" s="12"/>
      <c r="G596" s="12"/>
    </row>
    <row r="597" spans="1:14" ht="33.6" x14ac:dyDescent="0.3">
      <c r="A597" s="166" t="s">
        <v>2485</v>
      </c>
      <c r="B597" s="166"/>
      <c r="C597" s="137"/>
      <c r="D597" s="12"/>
      <c r="E597" s="12"/>
      <c r="F597" s="12"/>
      <c r="G597" s="12"/>
      <c r="H597" s="144"/>
      <c r="I597" s="144"/>
      <c r="J597" s="144"/>
      <c r="K597" s="144"/>
      <c r="L597" s="144"/>
      <c r="M597" s="144"/>
      <c r="N597" s="144"/>
    </row>
    <row r="598" spans="1:14" x14ac:dyDescent="0.3">
      <c r="A598" s="51" t="s">
        <v>896</v>
      </c>
      <c r="B598" s="51" t="s">
        <v>994</v>
      </c>
      <c r="C598" s="51" t="s">
        <v>8</v>
      </c>
      <c r="D598" s="12" t="s">
        <v>1771</v>
      </c>
      <c r="E598" s="89">
        <v>1</v>
      </c>
      <c r="F598" s="12" t="s">
        <v>1772</v>
      </c>
      <c r="G598" s="12" t="s">
        <v>1773</v>
      </c>
      <c r="H598" s="12" t="s">
        <v>1774</v>
      </c>
      <c r="I598" s="12">
        <v>1</v>
      </c>
      <c r="J598" s="89">
        <v>9.9499999999999993</v>
      </c>
      <c r="K598" s="12" t="s">
        <v>1910</v>
      </c>
    </row>
    <row r="599" spans="1:14" x14ac:dyDescent="0.3">
      <c r="A599" s="12" t="s">
        <v>896</v>
      </c>
      <c r="B599" s="12" t="s">
        <v>994</v>
      </c>
      <c r="C599" s="12" t="s">
        <v>1898</v>
      </c>
      <c r="D599" s="12" t="s">
        <v>2112</v>
      </c>
      <c r="E599" s="89">
        <v>0</v>
      </c>
      <c r="F599" s="12"/>
      <c r="G599" s="12"/>
      <c r="H599" s="51" t="s">
        <v>2113</v>
      </c>
      <c r="J599" s="95">
        <v>14.95</v>
      </c>
      <c r="K599" s="51" t="s">
        <v>1910</v>
      </c>
    </row>
    <row r="600" spans="1:14" x14ac:dyDescent="0.3">
      <c r="A600" s="12" t="s">
        <v>896</v>
      </c>
      <c r="B600" s="12" t="s">
        <v>994</v>
      </c>
      <c r="C600" s="12" t="s">
        <v>1898</v>
      </c>
      <c r="D600" s="12" t="s">
        <v>2100</v>
      </c>
      <c r="E600" s="89">
        <v>0</v>
      </c>
      <c r="F600" s="12"/>
      <c r="G600" s="12"/>
      <c r="H600" s="51" t="s">
        <v>2101</v>
      </c>
      <c r="J600" s="95">
        <v>9.9499999999999993</v>
      </c>
      <c r="K600" s="51" t="s">
        <v>1910</v>
      </c>
    </row>
    <row r="601" spans="1:14" x14ac:dyDescent="0.3">
      <c r="A601" s="12" t="s">
        <v>896</v>
      </c>
      <c r="B601" s="12" t="s">
        <v>994</v>
      </c>
      <c r="C601" s="12" t="s">
        <v>1898</v>
      </c>
      <c r="D601" s="12" t="s">
        <v>2104</v>
      </c>
      <c r="E601" s="89">
        <v>0</v>
      </c>
      <c r="F601" s="12"/>
      <c r="G601" s="12"/>
      <c r="H601" s="51" t="s">
        <v>2105</v>
      </c>
      <c r="J601" s="95">
        <v>14.95</v>
      </c>
      <c r="K601" s="51" t="s">
        <v>1910</v>
      </c>
    </row>
    <row r="602" spans="1:14" x14ac:dyDescent="0.3">
      <c r="A602" s="103" t="s">
        <v>894</v>
      </c>
      <c r="B602" s="103" t="s">
        <v>2040</v>
      </c>
      <c r="C602" s="103" t="s">
        <v>8</v>
      </c>
      <c r="D602" s="103" t="s">
        <v>36</v>
      </c>
      <c r="E602" s="104">
        <v>5</v>
      </c>
      <c r="F602" s="103" t="s">
        <v>37</v>
      </c>
      <c r="G602" s="103" t="s">
        <v>38</v>
      </c>
      <c r="H602" s="102" t="s">
        <v>39</v>
      </c>
      <c r="I602" s="105">
        <v>1</v>
      </c>
      <c r="J602" s="111">
        <v>29.95</v>
      </c>
      <c r="K602" s="102" t="s">
        <v>1911</v>
      </c>
      <c r="L602" s="105"/>
      <c r="M602" s="105">
        <v>149.75</v>
      </c>
      <c r="N602" s="105"/>
    </row>
    <row r="603" spans="1:14" x14ac:dyDescent="0.3">
      <c r="A603" s="102" t="s">
        <v>894</v>
      </c>
      <c r="B603" s="102" t="s">
        <v>2031</v>
      </c>
      <c r="C603" s="102" t="s">
        <v>8</v>
      </c>
      <c r="D603" s="103" t="s">
        <v>116</v>
      </c>
      <c r="E603" s="104">
        <v>5</v>
      </c>
      <c r="F603" s="103" t="s">
        <v>117</v>
      </c>
      <c r="G603" s="103" t="s">
        <v>118</v>
      </c>
      <c r="H603" s="103" t="s">
        <v>119</v>
      </c>
      <c r="I603" s="103">
        <v>1</v>
      </c>
      <c r="J603" s="104">
        <v>12.95</v>
      </c>
      <c r="K603" s="103" t="s">
        <v>1911</v>
      </c>
      <c r="L603" s="105"/>
      <c r="M603" s="105">
        <v>64.75</v>
      </c>
      <c r="N603" s="105"/>
    </row>
    <row r="604" spans="1:14" x14ac:dyDescent="0.3">
      <c r="A604" s="102" t="s">
        <v>894</v>
      </c>
      <c r="B604" s="102" t="s">
        <v>13</v>
      </c>
      <c r="C604" s="102" t="s">
        <v>8</v>
      </c>
      <c r="D604" s="103" t="s">
        <v>260</v>
      </c>
      <c r="E604" s="104">
        <v>5</v>
      </c>
      <c r="F604" s="103" t="s">
        <v>261</v>
      </c>
      <c r="G604" s="103" t="s">
        <v>262</v>
      </c>
      <c r="H604" s="103" t="s">
        <v>263</v>
      </c>
      <c r="I604" s="103">
        <v>1</v>
      </c>
      <c r="J604" s="104">
        <v>6.95</v>
      </c>
      <c r="K604" s="103" t="s">
        <v>1911</v>
      </c>
      <c r="L604" s="105"/>
      <c r="M604" s="105">
        <v>34.75</v>
      </c>
      <c r="N604" s="105"/>
    </row>
    <row r="605" spans="1:14" x14ac:dyDescent="0.3">
      <c r="A605" s="102" t="s">
        <v>895</v>
      </c>
      <c r="B605" s="102" t="s">
        <v>899</v>
      </c>
      <c r="C605" s="102" t="s">
        <v>8</v>
      </c>
      <c r="D605" s="103" t="s">
        <v>363</v>
      </c>
      <c r="E605" s="104">
        <v>0</v>
      </c>
      <c r="F605" s="103" t="s">
        <v>364</v>
      </c>
      <c r="G605" s="103" t="s">
        <v>365</v>
      </c>
      <c r="H605" s="103" t="s">
        <v>366</v>
      </c>
      <c r="I605" s="103">
        <v>1</v>
      </c>
      <c r="J605" s="104">
        <v>2.95</v>
      </c>
      <c r="K605" s="103" t="s">
        <v>2487</v>
      </c>
      <c r="L605" s="103"/>
      <c r="M605" s="103">
        <v>0</v>
      </c>
      <c r="N605" s="105"/>
    </row>
    <row r="606" spans="1:14" x14ac:dyDescent="0.3">
      <c r="A606" s="102" t="s">
        <v>895</v>
      </c>
      <c r="B606" s="102" t="s">
        <v>899</v>
      </c>
      <c r="C606" s="102" t="s">
        <v>8</v>
      </c>
      <c r="D606" s="103" t="s">
        <v>1185</v>
      </c>
      <c r="E606" s="104">
        <v>0</v>
      </c>
      <c r="F606" s="103" t="s">
        <v>1186</v>
      </c>
      <c r="G606" s="103" t="s">
        <v>1187</v>
      </c>
      <c r="H606" s="103" t="s">
        <v>1188</v>
      </c>
      <c r="I606" s="103">
        <v>1</v>
      </c>
      <c r="J606" s="104">
        <v>9.9499999999999993</v>
      </c>
      <c r="K606" s="103" t="s">
        <v>2487</v>
      </c>
      <c r="L606" s="105"/>
      <c r="M606" s="103">
        <v>0</v>
      </c>
      <c r="N606" s="105"/>
    </row>
    <row r="607" spans="1:14" x14ac:dyDescent="0.3">
      <c r="A607" s="51" t="s">
        <v>895</v>
      </c>
      <c r="B607" s="51" t="s">
        <v>1607</v>
      </c>
      <c r="C607" s="51" t="s">
        <v>8</v>
      </c>
      <c r="D607" s="12" t="s">
        <v>1108</v>
      </c>
      <c r="E607" s="89">
        <v>1</v>
      </c>
      <c r="F607" s="12" t="s">
        <v>1109</v>
      </c>
      <c r="G607" s="12" t="s">
        <v>1110</v>
      </c>
      <c r="H607" s="12" t="s">
        <v>1111</v>
      </c>
      <c r="I607" s="12"/>
      <c r="J607" s="89">
        <v>24.95</v>
      </c>
      <c r="K607" s="12" t="s">
        <v>1910</v>
      </c>
      <c r="M607" s="12">
        <v>24.95</v>
      </c>
    </row>
    <row r="608" spans="1:14" x14ac:dyDescent="0.3">
      <c r="A608" s="99" t="s">
        <v>1070</v>
      </c>
      <c r="B608" s="100" t="s">
        <v>1013</v>
      </c>
      <c r="C608" s="100" t="s">
        <v>8</v>
      </c>
      <c r="D608" s="69" t="s">
        <v>989</v>
      </c>
      <c r="E608" s="98">
        <v>0</v>
      </c>
      <c r="F608" s="69" t="s">
        <v>990</v>
      </c>
      <c r="G608" s="69" t="s">
        <v>991</v>
      </c>
      <c r="H608" s="69" t="s">
        <v>992</v>
      </c>
      <c r="I608" s="69">
        <v>1</v>
      </c>
      <c r="J608" s="98">
        <v>44.95</v>
      </c>
      <c r="K608" s="69" t="s">
        <v>1914</v>
      </c>
      <c r="L608" s="69" t="s">
        <v>1057</v>
      </c>
      <c r="M608" s="69">
        <v>0</v>
      </c>
      <c r="N608" s="70"/>
    </row>
    <row r="609" spans="1:14" x14ac:dyDescent="0.3">
      <c r="A609" s="12" t="s">
        <v>1070</v>
      </c>
      <c r="B609" s="12" t="s">
        <v>1013</v>
      </c>
      <c r="C609" s="12" t="s">
        <v>1898</v>
      </c>
      <c r="D609" s="12" t="s">
        <v>2094</v>
      </c>
      <c r="E609" s="89">
        <v>0</v>
      </c>
      <c r="F609" s="12"/>
      <c r="G609" s="12"/>
      <c r="H609" s="12" t="s">
        <v>2095</v>
      </c>
      <c r="I609" s="12"/>
      <c r="J609" s="89">
        <v>44.95</v>
      </c>
      <c r="K609" s="12" t="s">
        <v>1910</v>
      </c>
    </row>
    <row r="610" spans="1:14" x14ac:dyDescent="0.3">
      <c r="A610" s="12" t="s">
        <v>1070</v>
      </c>
      <c r="B610" s="12" t="s">
        <v>2065</v>
      </c>
      <c r="C610" s="12" t="s">
        <v>1898</v>
      </c>
      <c r="D610" s="12" t="s">
        <v>2073</v>
      </c>
      <c r="E610" s="89">
        <v>1</v>
      </c>
      <c r="F610" s="12"/>
      <c r="G610" s="12"/>
      <c r="H610" s="12" t="s">
        <v>2072</v>
      </c>
      <c r="I610" s="12"/>
      <c r="J610" s="89">
        <v>39.950000000000003</v>
      </c>
      <c r="K610" s="12" t="s">
        <v>1910</v>
      </c>
    </row>
    <row r="611" spans="1:14" x14ac:dyDescent="0.3">
      <c r="A611" s="12" t="s">
        <v>1070</v>
      </c>
      <c r="B611" s="92" t="s">
        <v>2028</v>
      </c>
      <c r="C611" s="12" t="s">
        <v>1898</v>
      </c>
      <c r="D611" s="12" t="s">
        <v>2098</v>
      </c>
      <c r="E611" s="89">
        <v>0</v>
      </c>
      <c r="F611" s="12"/>
      <c r="G611" s="12"/>
      <c r="H611" s="51" t="s">
        <v>2099</v>
      </c>
      <c r="J611" s="95">
        <v>44.95</v>
      </c>
      <c r="K611" s="51" t="s">
        <v>1910</v>
      </c>
    </row>
    <row r="612" spans="1:14" x14ac:dyDescent="0.3">
      <c r="A612" s="102" t="s">
        <v>1070</v>
      </c>
      <c r="B612" s="117" t="s">
        <v>1437</v>
      </c>
      <c r="C612" s="117" t="s">
        <v>8</v>
      </c>
      <c r="D612" s="103" t="s">
        <v>977</v>
      </c>
      <c r="E612" s="104">
        <v>1</v>
      </c>
      <c r="F612" s="103" t="s">
        <v>978</v>
      </c>
      <c r="G612" s="103" t="s">
        <v>979</v>
      </c>
      <c r="H612" s="103" t="s">
        <v>980</v>
      </c>
      <c r="I612" s="103">
        <v>1</v>
      </c>
      <c r="J612" s="104">
        <v>49.95</v>
      </c>
      <c r="K612" s="103" t="s">
        <v>1910</v>
      </c>
      <c r="L612" s="103" t="s">
        <v>1061</v>
      </c>
      <c r="M612" s="103">
        <v>49.95</v>
      </c>
      <c r="N612" s="105"/>
    </row>
  </sheetData>
  <mergeCells count="1">
    <mergeCell ref="A597:B597"/>
  </mergeCells>
  <conditionalFormatting sqref="A1:M120 A123:M1048576">
    <cfRule type="expression" dxfId="301" priority="1073">
      <formula>AND($E1=0,NOT(ISBLANK($E1)))</formula>
    </cfRule>
  </conditionalFormatting>
  <conditionalFormatting sqref="N2">
    <cfRule type="expression" dxfId="300" priority="1293">
      <formula>AND($E2=0,NOT(ISBLANK($E2)))</formula>
    </cfRule>
  </conditionalFormatting>
  <dataValidations disablePrompts="1" count="3">
    <dataValidation allowBlank="1" showInputMessage="1" showErrorMessage="1" prompt="Title of this worksheet is in this cell" sqref="A1" xr:uid="{BFB0C8DF-CF3B-4E22-B4BC-3EBC6E027E80}"/>
    <dataValidation allowBlank="1" showInputMessage="1" showErrorMessage="1" prompt="Title of this worksheet is in cells B1 through D1" sqref="A597" xr:uid="{8E942F3C-5CA7-482C-8BDA-EC71D9192273}"/>
    <dataValidation type="list" allowBlank="1" showInputMessage="1" showErrorMessage="1" sqref="A257" xr:uid="{79283BEC-4A34-4A76-87B7-70434516C94E}">
      <formula1>$C$6:$C$13</formula1>
    </dataValidation>
  </dataValidations>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1069" id="{54B0C499-EDF7-4A72-9067-E7FE7F3D1CDD}">
            <xm:f>$K602=FilterSpecs!$F$13</xm:f>
            <x14:dxf>
              <font>
                <b/>
                <i val="0"/>
                <color theme="0"/>
              </font>
              <fill>
                <patternFill>
                  <bgColor theme="9" tint="-0.499984740745262"/>
                </patternFill>
              </fill>
            </x14:dxf>
          </x14:cfRule>
          <x14:cfRule type="expression" priority="1070" id="{55A52834-7ECF-45A3-AE4A-D69155792642}">
            <xm:f>$K602=FilterSpecs!$E$13</xm:f>
            <x14:dxf>
              <font>
                <b/>
                <i val="0"/>
                <color theme="0"/>
              </font>
              <fill>
                <patternFill>
                  <bgColor theme="9" tint="-0.499984740745262"/>
                </patternFill>
              </fill>
            </x14:dxf>
          </x14:cfRule>
          <x14:cfRule type="expression" priority="1071" id="{29807D33-E9C2-4918-A45B-2FCD2860DACC}">
            <xm:f>$K602=FilterSpecs!$F$12</xm:f>
            <x14:dxf>
              <font>
                <b/>
                <i val="0"/>
                <color theme="0"/>
              </font>
              <fill>
                <patternFill>
                  <bgColor rgb="FFFF4F4F"/>
                </patternFill>
              </fill>
            </x14:dxf>
          </x14:cfRule>
          <x14:cfRule type="expression" priority="1072" id="{2458F256-ADB8-4B4C-8F50-E95ED443D9F1}">
            <xm:f>$K602=FilterSpecs!$F$9</xm:f>
            <x14:dxf>
              <font>
                <b/>
                <i val="0"/>
                <color theme="0"/>
              </font>
              <fill>
                <patternFill>
                  <bgColor rgb="FFFF0000"/>
                </patternFill>
              </fill>
            </x14:dxf>
          </x14:cfRule>
          <x14:cfRule type="expression" priority="1074" id="{64A1DCD8-5AD2-46C9-B02E-1A4DE473B793}">
            <xm:f>$K602=FilterSpecs!$F$7</xm:f>
            <x14:dxf>
              <font>
                <b/>
                <i val="0"/>
                <color theme="0"/>
              </font>
              <fill>
                <patternFill>
                  <bgColor rgb="FF00B0F0"/>
                </patternFill>
              </fill>
            </x14:dxf>
          </x14:cfRule>
          <x14:cfRule type="expression" priority="1075" id="{1C33E49F-7E97-40DA-92B7-BCCDF9D29D6D}">
            <xm:f>$K602=FilterSpecs!$F$10</xm:f>
            <x14:dxf>
              <font>
                <b/>
                <i val="0"/>
                <color theme="0"/>
              </font>
              <fill>
                <patternFill>
                  <bgColor rgb="FF002060"/>
                </patternFill>
              </fill>
            </x14:dxf>
          </x14:cfRule>
          <x14:cfRule type="expression" priority="1079" id="{3886C0E2-B08D-447D-8EF4-FC17D61D9622}">
            <xm:f>$K602=FilterSpecs!$F$7</xm:f>
            <x14:dxf>
              <font>
                <b/>
                <i val="0"/>
                <color theme="0"/>
              </font>
              <fill>
                <patternFill>
                  <bgColor rgb="FF00B0F0"/>
                </patternFill>
              </fill>
            </x14:dxf>
          </x14:cfRule>
          <xm:sqref>A602:M612</xm:sqref>
        </x14:conditionalFormatting>
        <x14:conditionalFormatting xmlns:xm="http://schemas.microsoft.com/office/excel/2006/main">
          <x14:cfRule type="expression" priority="1523" id="{8D7BC319-4BB2-45AF-A7AC-22D3676BFA58}">
            <xm:f>$G158=FilterSpecs!$F$13</xm:f>
            <x14:dxf>
              <font>
                <b/>
                <i val="0"/>
                <color theme="0"/>
              </font>
              <fill>
                <patternFill>
                  <bgColor theme="9" tint="-0.499984740745262"/>
                </patternFill>
              </fill>
            </x14:dxf>
          </x14:cfRule>
          <x14:cfRule type="expression" priority="1524" id="{2789F04D-4D31-48CA-ADDE-B767870161FF}">
            <xm:f>$G158=FilterSpecs!$E$13</xm:f>
            <x14:dxf>
              <font>
                <b/>
                <i val="0"/>
                <color theme="0"/>
              </font>
              <fill>
                <patternFill>
                  <bgColor theme="9" tint="-0.499984740745262"/>
                </patternFill>
              </fill>
            </x14:dxf>
          </x14:cfRule>
          <x14:cfRule type="expression" priority="1525" id="{B34CF8E8-895B-4A9F-B9C1-9D04AC68ED63}">
            <xm:f>$G158=FilterSpecs!$F$12</xm:f>
            <x14:dxf>
              <font>
                <b/>
                <i val="0"/>
                <color theme="0"/>
              </font>
              <fill>
                <patternFill>
                  <bgColor rgb="FFFF4F4F"/>
                </patternFill>
              </fill>
            </x14:dxf>
          </x14:cfRule>
          <x14:cfRule type="expression" priority="1526" id="{7D897FA7-67A9-4CF9-ABE7-F31E1BC9BD90}">
            <xm:f>$G158=FilterSpecs!$F$9</xm:f>
            <x14:dxf>
              <font>
                <b/>
                <i val="0"/>
                <color theme="0"/>
              </font>
              <fill>
                <patternFill>
                  <bgColor rgb="FFFF0000"/>
                </patternFill>
              </fill>
            </x14:dxf>
          </x14:cfRule>
          <x14:cfRule type="expression" priority="1527" id="{8006B30B-1953-47CD-9D6E-C6D5C607BCAC}">
            <xm:f>$G158=FilterSpecs!$F$7</xm:f>
            <x14:dxf>
              <font>
                <b/>
                <i val="0"/>
                <color theme="0"/>
              </font>
              <fill>
                <patternFill>
                  <bgColor rgb="FF00B0F0"/>
                </patternFill>
              </fill>
            </x14:dxf>
          </x14:cfRule>
          <x14:cfRule type="expression" priority="1528" id="{01F18857-52CC-4A85-B007-4440EB795441}">
            <xm:f>$G158=FilterSpecs!$F$10</xm:f>
            <x14:dxf>
              <font>
                <b/>
                <i val="0"/>
                <color theme="0"/>
              </font>
              <fill>
                <patternFill>
                  <bgColor rgb="FF002060"/>
                </patternFill>
              </fill>
            </x14:dxf>
          </x14:cfRule>
          <x14:cfRule type="expression" priority="1529" id="{F1C31A38-C19F-4EB0-B7B3-F409B518B551}">
            <xm:f>$G158=FilterSpecs!$F$8</xm:f>
            <x14:dxf>
              <font>
                <b/>
                <i val="0"/>
                <color theme="0"/>
              </font>
              <fill>
                <patternFill>
                  <bgColor rgb="FFFFC000"/>
                </patternFill>
              </fill>
            </x14:dxf>
          </x14:cfRule>
          <x14:cfRule type="expression" priority="1530" id="{C0942B8F-B025-442A-8797-866B0FA90D62}">
            <xm:f>$G158=FilterSpecs!$F$10</xm:f>
            <x14:dxf>
              <font>
                <b/>
                <i val="0"/>
                <color theme="0"/>
              </font>
              <fill>
                <patternFill>
                  <bgColor rgb="FF002060"/>
                </patternFill>
              </fill>
            </x14:dxf>
          </x14:cfRule>
          <x14:cfRule type="expression" priority="1531" id="{8D042CA9-6DD0-4DF0-A718-12B2DA067062}">
            <xm:f>$G158=FilterSpecs!$F$8</xm:f>
            <x14:dxf>
              <font>
                <b/>
                <i val="0"/>
                <color theme="0"/>
              </font>
              <fill>
                <patternFill>
                  <bgColor rgb="FFFFC000"/>
                </patternFill>
              </fill>
            </x14:dxf>
          </x14:cfRule>
          <x14:cfRule type="expression" priority="1532" id="{64AC5D4E-6DAD-4AF3-B626-A9CD489993B3}">
            <xm:f>$G158=FilterSpecs!$F$7</xm:f>
            <x14:dxf>
              <font>
                <b/>
                <i val="0"/>
                <color theme="0"/>
              </font>
              <fill>
                <patternFill>
                  <bgColor rgb="FF00B0F0"/>
                </patternFill>
              </fill>
            </x14:dxf>
          </x14:cfRule>
          <xm:sqref>A596:G597</xm:sqref>
        </x14:conditionalFormatting>
        <x14:conditionalFormatting xmlns:xm="http://schemas.microsoft.com/office/excel/2006/main">
          <x14:cfRule type="expression" priority="1080" id="{8D7BC319-4BB2-45AF-A7AC-22D3676BFA58}">
            <xm:f>$K1=FilterSpecs!$F$13</xm:f>
            <x14:dxf>
              <font>
                <b/>
                <i val="0"/>
                <color theme="0"/>
              </font>
              <fill>
                <patternFill>
                  <bgColor theme="9" tint="-0.499984740745262"/>
                </patternFill>
              </fill>
            </x14:dxf>
          </x14:cfRule>
          <x14:cfRule type="expression" priority="1081" id="{2789F04D-4D31-48CA-ADDE-B767870161FF}">
            <xm:f>$K1=FilterSpecs!$E$13</xm:f>
            <x14:dxf>
              <font>
                <b/>
                <i val="0"/>
                <color theme="0"/>
              </font>
              <fill>
                <patternFill>
                  <bgColor theme="9" tint="-0.499984740745262"/>
                </patternFill>
              </fill>
            </x14:dxf>
          </x14:cfRule>
          <x14:cfRule type="expression" priority="1279" id="{B34CF8E8-895B-4A9F-B9C1-9D04AC68ED63}">
            <xm:f>$K1=FilterSpecs!$F$12</xm:f>
            <x14:dxf>
              <font>
                <b/>
                <i val="0"/>
                <color theme="0"/>
              </font>
              <fill>
                <patternFill>
                  <bgColor rgb="FFFF4F4F"/>
                </patternFill>
              </fill>
            </x14:dxf>
          </x14:cfRule>
          <x14:cfRule type="expression" priority="1280" id="{7D897FA7-67A9-4CF9-ABE7-F31E1BC9BD90}">
            <xm:f>$K1=FilterSpecs!$F$9</xm:f>
            <x14:dxf>
              <font>
                <b/>
                <i val="0"/>
                <color theme="0"/>
              </font>
              <fill>
                <patternFill>
                  <bgColor rgb="FFFF0000"/>
                </patternFill>
              </fill>
            </x14:dxf>
          </x14:cfRule>
          <x14:cfRule type="expression" priority="1294" id="{8006B30B-1953-47CD-9D6E-C6D5C607BCAC}">
            <xm:f>$K1=FilterSpecs!$F$7</xm:f>
            <x14:dxf>
              <font>
                <b/>
                <i val="0"/>
                <color theme="0"/>
              </font>
              <fill>
                <patternFill>
                  <bgColor rgb="FF00B0F0"/>
                </patternFill>
              </fill>
            </x14:dxf>
          </x14:cfRule>
          <x14:cfRule type="expression" priority="1295" id="{01F18857-52CC-4A85-B007-4440EB795441}">
            <xm:f>$K1=FilterSpecs!$F$10</xm:f>
            <x14:dxf>
              <font>
                <b/>
                <i val="0"/>
                <color theme="0"/>
              </font>
              <fill>
                <patternFill>
                  <bgColor rgb="FF002060"/>
                </patternFill>
              </fill>
            </x14:dxf>
          </x14:cfRule>
          <x14:cfRule type="expression" priority="1296" id="{F1C31A38-C19F-4EB0-B7B3-F409B518B551}">
            <xm:f>$K1=FilterSpecs!$F$8</xm:f>
            <x14:dxf>
              <font>
                <b/>
                <i val="0"/>
                <color theme="0"/>
              </font>
              <fill>
                <patternFill>
                  <bgColor rgb="FFFFC000"/>
                </patternFill>
              </fill>
            </x14:dxf>
          </x14:cfRule>
          <x14:cfRule type="expression" priority="1297" id="{C0942B8F-B025-442A-8797-866B0FA90D62}">
            <xm:f>$K1=FilterSpecs!$F$10</xm:f>
            <x14:dxf>
              <font>
                <b/>
                <i val="0"/>
                <color theme="0"/>
              </font>
              <fill>
                <patternFill>
                  <bgColor rgb="FF002060"/>
                </patternFill>
              </fill>
            </x14:dxf>
          </x14:cfRule>
          <x14:cfRule type="expression" priority="1298" id="{8D042CA9-6DD0-4DF0-A718-12B2DA067062}">
            <xm:f>$K1=FilterSpecs!$F$8</xm:f>
            <x14:dxf>
              <font>
                <b/>
                <i val="0"/>
                <color theme="0"/>
              </font>
              <fill>
                <patternFill>
                  <bgColor rgb="FFFFC000"/>
                </patternFill>
              </fill>
            </x14:dxf>
          </x14:cfRule>
          <x14:cfRule type="expression" priority="1299" id="{64AC5D4E-6DAD-4AF3-B626-A9CD489993B3}">
            <xm:f>$K1=FilterSpecs!$F$7</xm:f>
            <x14:dxf>
              <font>
                <b/>
                <i val="0"/>
                <color theme="0"/>
              </font>
              <fill>
                <patternFill>
                  <bgColor rgb="FF00B0F0"/>
                </patternFill>
              </fill>
            </x14:dxf>
          </x14:cfRule>
          <xm:sqref>N2 A1:M120 A123:M1048576</xm:sqref>
        </x14:conditionalFormatting>
        <x14:conditionalFormatting xmlns:xm="http://schemas.microsoft.com/office/excel/2006/main">
          <x14:cfRule type="expression" priority="4" id="{D415D142-E6EF-48B8-BFBF-D6861A6F4AEE}">
            <xm:f>AND((Primary!$E121=0),NOT(ISBLANK(Primary!$E121)))</xm:f>
            <x14:dxf>
              <font>
                <b/>
                <i val="0"/>
                <color theme="0"/>
              </font>
              <fill>
                <patternFill>
                  <bgColor rgb="FF00B050"/>
                </patternFill>
              </fill>
            </x14:dxf>
          </x14:cfRule>
          <xm:sqref>A122:M122</xm:sqref>
        </x14:conditionalFormatting>
        <x14:conditionalFormatting xmlns:xm="http://schemas.microsoft.com/office/excel/2006/main">
          <x14:cfRule type="expression" priority="1" id="{52B99984-8B96-4FA5-B32D-124E2B2DC276}">
            <xm:f>Primary!$K121=FilterSpecs!$F$13</xm:f>
            <x14:dxf>
              <font>
                <b/>
                <i val="0"/>
                <color theme="0"/>
              </font>
              <fill>
                <patternFill>
                  <bgColor theme="9" tint="-0.499984740745262"/>
                </patternFill>
              </fill>
            </x14:dxf>
          </x14:cfRule>
          <x14:cfRule type="expression" priority="2" id="{3223EF63-852B-4705-B6E7-92F0C8420593}">
            <xm:f>Primary!$K121=FilterSpecs!$F$12</xm:f>
            <x14:dxf>
              <font>
                <b/>
                <i val="0"/>
                <color theme="0"/>
              </font>
              <fill>
                <patternFill>
                  <bgColor rgb="FFFF4F4F"/>
                </patternFill>
              </fill>
            </x14:dxf>
          </x14:cfRule>
          <x14:cfRule type="expression" priority="3" id="{76098596-6507-4573-A649-09C08B8280CC}">
            <xm:f>Primary!$K121=FilterSpecs!$F$9</xm:f>
            <x14:dxf>
              <font>
                <b/>
                <i val="0"/>
                <color theme="0"/>
              </font>
              <fill>
                <patternFill>
                  <bgColor rgb="FFFF0000"/>
                </patternFill>
              </fill>
            </x14:dxf>
          </x14:cfRule>
          <x14:cfRule type="expression" priority="5" id="{BBC2610D-7FB6-49F6-BD09-2EE68F918B01}">
            <xm:f>Primary!$K121=FilterSpecs!$F$10</xm:f>
            <x14:dxf>
              <font>
                <b/>
                <i val="0"/>
                <color theme="0"/>
              </font>
              <fill>
                <patternFill>
                  <bgColor rgb="FF002060"/>
                </patternFill>
              </fill>
            </x14:dxf>
          </x14:cfRule>
          <x14:cfRule type="expression" priority="6" id="{FC3D7E5A-CAD7-4D05-B156-B3CC314099CB}">
            <xm:f>Primary!$K121=FilterSpecs!$F$8</xm:f>
            <x14:dxf>
              <font>
                <b/>
                <i val="0"/>
                <color theme="0"/>
              </font>
              <fill>
                <patternFill>
                  <bgColor rgb="FFFFC000"/>
                </patternFill>
              </fill>
            </x14:dxf>
          </x14:cfRule>
          <x14:cfRule type="expression" priority="7" id="{42F864C3-E8B3-48DE-9880-9376A3FB0BA1}">
            <xm:f>Primary!$K121=FilterSpecs!$F$7</xm:f>
            <x14:dxf>
              <font>
                <b/>
                <i val="0"/>
                <color theme="0"/>
              </font>
              <fill>
                <patternFill>
                  <bgColor rgb="FF00B0F0"/>
                </patternFill>
              </fill>
            </x14:dxf>
          </x14:cfRule>
          <xm:sqref>A122:M122</xm:sqref>
        </x14:conditionalFormatting>
        <x14:conditionalFormatting xmlns:xm="http://schemas.microsoft.com/office/excel/2006/main">
          <x14:cfRule type="expression" priority="5007" id="{D415D142-E6EF-48B8-BFBF-D6861A6F4AEE}">
            <xm:f>AND((Primary!$E122=0),NOT(ISBLANK(Primary!$E122)))</xm:f>
            <x14:dxf>
              <font>
                <b/>
                <i val="0"/>
                <color theme="0"/>
              </font>
              <fill>
                <patternFill>
                  <bgColor rgb="FF00B050"/>
                </patternFill>
              </fill>
            </x14:dxf>
          </x14:cfRule>
          <xm:sqref>A121:M121</xm:sqref>
        </x14:conditionalFormatting>
        <x14:conditionalFormatting xmlns:xm="http://schemas.microsoft.com/office/excel/2006/main">
          <x14:cfRule type="expression" priority="5014" id="{52B99984-8B96-4FA5-B32D-124E2B2DC276}">
            <xm:f>Primary!$K122=FilterSpecs!$F$13</xm:f>
            <x14:dxf>
              <font>
                <b/>
                <i val="0"/>
                <color theme="0"/>
              </font>
              <fill>
                <patternFill>
                  <bgColor theme="9" tint="-0.499984740745262"/>
                </patternFill>
              </fill>
            </x14:dxf>
          </x14:cfRule>
          <x14:cfRule type="expression" priority="5015" id="{3223EF63-852B-4705-B6E7-92F0C8420593}">
            <xm:f>Primary!$K122=FilterSpecs!$F$12</xm:f>
            <x14:dxf>
              <font>
                <b/>
                <i val="0"/>
                <color theme="0"/>
              </font>
              <fill>
                <patternFill>
                  <bgColor rgb="FFFF4F4F"/>
                </patternFill>
              </fill>
            </x14:dxf>
          </x14:cfRule>
          <x14:cfRule type="expression" priority="5016" id="{76098596-6507-4573-A649-09C08B8280CC}">
            <xm:f>Primary!$K122=FilterSpecs!$F$9</xm:f>
            <x14:dxf>
              <font>
                <b/>
                <i val="0"/>
                <color theme="0"/>
              </font>
              <fill>
                <patternFill>
                  <bgColor rgb="FFFF0000"/>
                </patternFill>
              </fill>
            </x14:dxf>
          </x14:cfRule>
          <x14:cfRule type="expression" priority="5017" id="{BBC2610D-7FB6-49F6-BD09-2EE68F918B01}">
            <xm:f>Primary!$K122=FilterSpecs!$F$10</xm:f>
            <x14:dxf>
              <font>
                <b/>
                <i val="0"/>
                <color theme="0"/>
              </font>
              <fill>
                <patternFill>
                  <bgColor rgb="FF002060"/>
                </patternFill>
              </fill>
            </x14:dxf>
          </x14:cfRule>
          <x14:cfRule type="expression" priority="5018" id="{FC3D7E5A-CAD7-4D05-B156-B3CC314099CB}">
            <xm:f>Primary!$K122=FilterSpecs!$F$8</xm:f>
            <x14:dxf>
              <font>
                <b/>
                <i val="0"/>
                <color theme="0"/>
              </font>
              <fill>
                <patternFill>
                  <bgColor rgb="FFFFC000"/>
                </patternFill>
              </fill>
            </x14:dxf>
          </x14:cfRule>
          <x14:cfRule type="expression" priority="5019" id="{42F864C3-E8B3-48DE-9880-9376A3FB0BA1}">
            <xm:f>Primary!$K122=FilterSpecs!$F$7</xm:f>
            <x14:dxf>
              <font>
                <b/>
                <i val="0"/>
                <color theme="0"/>
              </font>
              <fill>
                <patternFill>
                  <bgColor rgb="FF00B0F0"/>
                </patternFill>
              </fill>
            </x14:dxf>
          </x14:cfRule>
          <xm:sqref>A121:M121</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C16FEC18-6A69-4D28-9C45-10A95F19F123}">
          <x14:formula1>
            <xm:f>FilterSpecs!$C$6:$C$13</xm:f>
          </x14:formula1>
          <xm:sqref>A258:B258</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26567-421B-4D5C-9B4B-1B69DA9C635A}">
  <sheetPr codeName="Sheet20">
    <tabColor rgb="FF002060"/>
  </sheetPr>
  <dimension ref="A11:V622"/>
  <sheetViews>
    <sheetView topLeftCell="B503" zoomScaleNormal="100" workbookViewId="0">
      <selection activeCell="L510" sqref="L510:L514"/>
    </sheetView>
  </sheetViews>
  <sheetFormatPr defaultRowHeight="14.4" x14ac:dyDescent="0.3"/>
  <cols>
    <col min="1" max="1" width="45.33203125" style="51" bestFit="1" customWidth="1"/>
    <col min="2" max="2" width="43.21875" style="51" bestFit="1" customWidth="1"/>
    <col min="3" max="3" width="10.77734375" style="51" bestFit="1" customWidth="1"/>
    <col min="4" max="4" width="17.21875" style="51" customWidth="1"/>
    <col min="5" max="5" width="6.77734375" style="51" customWidth="1"/>
    <col min="6" max="6" width="8" customWidth="1"/>
    <col min="7" max="7" width="0.5546875" hidden="1" customWidth="1"/>
    <col min="8" max="8" width="0.44140625" style="51" hidden="1" customWidth="1"/>
    <col min="9" max="9" width="79.109375" bestFit="1" customWidth="1"/>
    <col min="10" max="10" width="12.6640625" style="51" hidden="1" customWidth="1"/>
    <col min="11" max="11" width="12.6640625" style="51" bestFit="1" customWidth="1"/>
    <col min="12" max="12" width="6.109375" customWidth="1"/>
    <col min="13" max="13" width="166.88671875" bestFit="1" customWidth="1"/>
    <col min="14" max="14" width="12.33203125" customWidth="1"/>
    <col min="15" max="15" width="12.88671875" customWidth="1"/>
    <col min="18" max="18" width="17.77734375" customWidth="1"/>
    <col min="19" max="19" width="18.88671875" bestFit="1" customWidth="1"/>
    <col min="20" max="20" width="16.6640625" bestFit="1" customWidth="1"/>
  </cols>
  <sheetData>
    <row r="11" spans="1:22" ht="72" customHeight="1" thickBot="1" x14ac:dyDescent="0.35">
      <c r="A11" s="59" t="s">
        <v>2486</v>
      </c>
    </row>
    <row r="12" spans="1:22" ht="6.6" customHeight="1" thickTop="1" x14ac:dyDescent="0.3">
      <c r="A12" s="108"/>
      <c r="B12" s="108"/>
      <c r="C12" s="108"/>
      <c r="D12" s="108"/>
      <c r="E12" s="108"/>
      <c r="F12" s="108"/>
      <c r="G12" s="108"/>
      <c r="H12" s="108"/>
      <c r="I12" s="108"/>
      <c r="J12" s="108"/>
      <c r="K12" s="108"/>
      <c r="L12" s="108"/>
      <c r="M12" s="108"/>
      <c r="N12" s="108"/>
      <c r="O12" s="108"/>
      <c r="P12" s="108"/>
      <c r="Q12" s="108"/>
    </row>
    <row r="13" spans="1:22" x14ac:dyDescent="0.3">
      <c r="A13" s="51" t="s">
        <v>893</v>
      </c>
      <c r="B13" s="97" t="s">
        <v>163</v>
      </c>
      <c r="C13" s="97" t="s">
        <v>7</v>
      </c>
      <c r="D13" s="12" t="s">
        <v>25</v>
      </c>
      <c r="E13" s="12" t="s">
        <v>2552</v>
      </c>
      <c r="F13" s="12" t="s">
        <v>2551</v>
      </c>
      <c r="G13" s="12" t="s">
        <v>27</v>
      </c>
      <c r="H13" s="12" t="s">
        <v>28</v>
      </c>
      <c r="I13" s="12" t="s">
        <v>29</v>
      </c>
      <c r="J13" s="12" t="s">
        <v>30</v>
      </c>
      <c r="K13" s="12" t="s">
        <v>31</v>
      </c>
      <c r="L13" s="12" t="s">
        <v>1918</v>
      </c>
      <c r="M13" s="12" t="s">
        <v>1621</v>
      </c>
      <c r="N13" s="12" t="s">
        <v>1412</v>
      </c>
      <c r="O13" s="12" t="s">
        <v>2548</v>
      </c>
      <c r="P13" s="12" t="s">
        <v>2549</v>
      </c>
      <c r="Q13" s="12" t="s">
        <v>2550</v>
      </c>
      <c r="R13" s="12" t="s">
        <v>2400</v>
      </c>
      <c r="S13" s="12" t="s">
        <v>18914</v>
      </c>
      <c r="T13" s="12" t="s">
        <v>18918</v>
      </c>
    </row>
    <row r="14" spans="1:22" s="151" customFormat="1" x14ac:dyDescent="0.3">
      <c r="A14" s="103" t="s">
        <v>894</v>
      </c>
      <c r="B14" s="103" t="s">
        <v>888</v>
      </c>
      <c r="C14" s="103" t="s">
        <v>8</v>
      </c>
      <c r="D14" s="103" t="str">
        <f>IF(MouserListTable[[#This Row],[Vendor]]=FilterSpecs!$A$8,MouserListTable[[#This Row],[Mouser SKU]], MouserListTable[[#This Row],[SKU2]])</f>
        <v>WIG-13660</v>
      </c>
      <c r="E14" s="104">
        <v>1</v>
      </c>
      <c r="F14" s="104" t="s">
        <v>18921</v>
      </c>
      <c r="G14" s="103" t="s">
        <v>137</v>
      </c>
      <c r="H14" s="103" t="s">
        <v>138</v>
      </c>
      <c r="I14" s="103" t="s">
        <v>139</v>
      </c>
      <c r="J14" s="103">
        <v>1</v>
      </c>
      <c r="K14" s="104">
        <v>49.95</v>
      </c>
      <c r="L14" s="103" t="s">
        <v>1910</v>
      </c>
      <c r="M14" s="106" t="s">
        <v>1489</v>
      </c>
      <c r="N14" s="104">
        <f t="shared" ref="N14:N31" si="0">E14*K14</f>
        <v>49.95</v>
      </c>
      <c r="O14" s="103" t="s">
        <v>136</v>
      </c>
      <c r="P14" s="103">
        <f t="shared" ref="P14:P77" si="1">IF($P13="List #",1,$P13+1)</f>
        <v>1</v>
      </c>
      <c r="Q14" s="103">
        <f t="shared" ref="Q14:Q77" si="2">IF($D14=$O14,1,0)</f>
        <v>1</v>
      </c>
      <c r="R14" s="103" t="s">
        <v>8</v>
      </c>
      <c r="S14" s="103" t="str">
        <f>_xlfn.IFS(MouserListTable[[#This Row],[Column1]]=FilterSpecs!$A$6, FilterSpecs!$B$6,MouserListTable[[#This Row],[Column1]]=FilterSpecs!$A$7,FilterSpecs!$B$7,MouserListTable[[#This Row],[Column1]]=FilterSpecs!$A$8,FilterSpecs!$B$8,MouserListTable[[#This Row],[Column1]]=FilterSpecs!$A$9,FilterSpecs!$B$9)</f>
        <v>474-</v>
      </c>
      <c r="T1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474-WIG-13660</v>
      </c>
      <c r="V14" s="151" t="str">
        <f>IF(MouserListTable[[#This Row],[Qty.]]=0, 0, "")</f>
        <v/>
      </c>
    </row>
    <row r="15" spans="1:22" s="146" customFormat="1" x14ac:dyDescent="0.3">
      <c r="A15" s="103" t="s">
        <v>894</v>
      </c>
      <c r="B15" s="103" t="s">
        <v>888</v>
      </c>
      <c r="C15" s="103" t="s">
        <v>8</v>
      </c>
      <c r="D15" s="103" t="str">
        <f>IF(MouserListTable[[#This Row],[Vendor]]=FilterSpecs!$A$8,MouserListTable[[#This Row],[Mouser SKU]], MouserListTable[[#This Row],[SKU2]])</f>
        <v>COM-14023</v>
      </c>
      <c r="E15" s="104">
        <v>1</v>
      </c>
      <c r="F15" s="104" t="s">
        <v>18921</v>
      </c>
      <c r="G15" s="103" t="s">
        <v>149</v>
      </c>
      <c r="H15" s="103" t="s">
        <v>150</v>
      </c>
      <c r="I15" s="103" t="s">
        <v>151</v>
      </c>
      <c r="J15" s="103"/>
      <c r="K15" s="104">
        <v>4.95</v>
      </c>
      <c r="L15" s="103" t="s">
        <v>1910</v>
      </c>
      <c r="M15" s="106"/>
      <c r="N15" s="104">
        <f t="shared" si="0"/>
        <v>4.95</v>
      </c>
      <c r="O15" s="103" t="s">
        <v>148</v>
      </c>
      <c r="P15" s="103">
        <f t="shared" si="1"/>
        <v>2</v>
      </c>
      <c r="Q15" s="103">
        <f t="shared" si="2"/>
        <v>1</v>
      </c>
      <c r="R15" s="103" t="s">
        <v>8</v>
      </c>
      <c r="S15" s="103" t="str">
        <f>_xlfn.IFS(MouserListTable[[#This Row],[Column1]]=FilterSpecs!$A$6, FilterSpecs!$B$6,MouserListTable[[#This Row],[Column1]]=FilterSpecs!$A$7,FilterSpecs!$B$7,MouserListTable[[#This Row],[Column1]]=FilterSpecs!$A$8,FilterSpecs!$B$8,MouserListTable[[#This Row],[Column1]]=FilterSpecs!$A$9,FilterSpecs!$B$9)</f>
        <v>474-</v>
      </c>
      <c r="T1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474-COM-14023</v>
      </c>
      <c r="V15" s="151" t="str">
        <f>IF(MouserListTable[[#This Row],[Qty.]]=0, 0, "")</f>
        <v/>
      </c>
    </row>
    <row r="16" spans="1:22" s="146" customFormat="1" x14ac:dyDescent="0.3">
      <c r="A16" s="103" t="s">
        <v>894</v>
      </c>
      <c r="B16" s="103" t="s">
        <v>888</v>
      </c>
      <c r="C16" s="103" t="s">
        <v>8</v>
      </c>
      <c r="D16" s="103" t="str">
        <f>IF(MouserListTable[[#This Row],[Vendor]]=FilterSpecs!$A$8,MouserListTable[[#This Row],[Mouser SKU]], MouserListTable[[#This Row],[SKU2]])</f>
        <v>COM-09151</v>
      </c>
      <c r="E16" s="104">
        <v>2</v>
      </c>
      <c r="F16" s="104" t="s">
        <v>18921</v>
      </c>
      <c r="G16" s="103" t="s">
        <v>153</v>
      </c>
      <c r="H16" s="103" t="s">
        <v>154</v>
      </c>
      <c r="I16" s="103" t="s">
        <v>155</v>
      </c>
      <c r="J16" s="103">
        <v>1</v>
      </c>
      <c r="K16" s="104">
        <v>1.95</v>
      </c>
      <c r="L16" s="103" t="s">
        <v>1910</v>
      </c>
      <c r="M16" s="106"/>
      <c r="N16" s="104">
        <f t="shared" si="0"/>
        <v>3.9</v>
      </c>
      <c r="O16" s="103" t="s">
        <v>152</v>
      </c>
      <c r="P16" s="103">
        <f t="shared" si="1"/>
        <v>3</v>
      </c>
      <c r="Q16" s="103">
        <f t="shared" si="2"/>
        <v>1</v>
      </c>
      <c r="R16" s="103" t="s">
        <v>8</v>
      </c>
      <c r="S16" s="103" t="str">
        <f>_xlfn.IFS(MouserListTable[[#This Row],[Column1]]=FilterSpecs!$A$6, FilterSpecs!$B$6,MouserListTable[[#This Row],[Column1]]=FilterSpecs!$A$7,FilterSpecs!$B$7,MouserListTable[[#This Row],[Column1]]=FilterSpecs!$A$8,FilterSpecs!$B$8,MouserListTable[[#This Row],[Column1]]=FilterSpecs!$A$9,FilterSpecs!$B$9)</f>
        <v>474-</v>
      </c>
      <c r="T1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474-COM-09151</v>
      </c>
      <c r="V16" s="151" t="str">
        <f>IF(MouserListTable[[#This Row],[Qty.]]=0, 0, "")</f>
        <v/>
      </c>
    </row>
    <row r="17" spans="1:22" s="146" customFormat="1" x14ac:dyDescent="0.3">
      <c r="A17" s="103" t="s">
        <v>894</v>
      </c>
      <c r="B17" s="103" t="s">
        <v>888</v>
      </c>
      <c r="C17" s="103" t="s">
        <v>8</v>
      </c>
      <c r="D17" s="103" t="str">
        <f>IF(MouserListTable[[#This Row],[Vendor]]=FilterSpecs!$A$8,MouserListTable[[#This Row],[Mouser SKU]], MouserListTable[[#This Row],[SKU2]])</f>
        <v>COM-11145</v>
      </c>
      <c r="E17" s="104">
        <v>1</v>
      </c>
      <c r="F17" s="104" t="s">
        <v>18921</v>
      </c>
      <c r="G17" s="103" t="s">
        <v>157</v>
      </c>
      <c r="H17" s="103" t="s">
        <v>158</v>
      </c>
      <c r="I17" s="103" t="s">
        <v>159</v>
      </c>
      <c r="J17" s="103"/>
      <c r="K17" s="104">
        <v>0.75</v>
      </c>
      <c r="L17" s="103" t="s">
        <v>1910</v>
      </c>
      <c r="M17" s="106"/>
      <c r="N17" s="104">
        <f t="shared" si="0"/>
        <v>0.75</v>
      </c>
      <c r="O17" s="103" t="s">
        <v>156</v>
      </c>
      <c r="P17" s="103">
        <f t="shared" si="1"/>
        <v>4</v>
      </c>
      <c r="Q17" s="103">
        <f t="shared" si="2"/>
        <v>1</v>
      </c>
      <c r="R17" s="103" t="s">
        <v>8</v>
      </c>
      <c r="S17" s="103" t="str">
        <f>_xlfn.IFS(MouserListTable[[#This Row],[Column1]]=FilterSpecs!$A$6, FilterSpecs!$B$6,MouserListTable[[#This Row],[Column1]]=FilterSpecs!$A$7,FilterSpecs!$B$7,MouserListTable[[#This Row],[Column1]]=FilterSpecs!$A$8,FilterSpecs!$B$8,MouserListTable[[#This Row],[Column1]]=FilterSpecs!$A$9,FilterSpecs!$B$9)</f>
        <v>474-</v>
      </c>
      <c r="T1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474-COM-11145</v>
      </c>
      <c r="V17" s="151" t="str">
        <f>IF(MouserListTable[[#This Row],[Qty.]]=0, 0, "")</f>
        <v/>
      </c>
    </row>
    <row r="18" spans="1:22" s="146" customFormat="1" x14ac:dyDescent="0.3">
      <c r="A18" s="103" t="s">
        <v>894</v>
      </c>
      <c r="B18" s="103" t="s">
        <v>888</v>
      </c>
      <c r="C18" s="103" t="s">
        <v>8</v>
      </c>
      <c r="D18" s="103" t="str">
        <f>IF(MouserListTable[[#This Row],[Vendor]]=FilterSpecs!$A$8,MouserListTable[[#This Row],[Mouser SKU]], MouserListTable[[#This Row],[SKU2]])</f>
        <v>ROB-08449</v>
      </c>
      <c r="E18" s="104">
        <v>2</v>
      </c>
      <c r="F18" s="104" t="s">
        <v>18921</v>
      </c>
      <c r="G18" s="103" t="s">
        <v>668</v>
      </c>
      <c r="H18" s="103" t="s">
        <v>669</v>
      </c>
      <c r="I18" s="103" t="s">
        <v>670</v>
      </c>
      <c r="J18" s="103">
        <v>1</v>
      </c>
      <c r="K18" s="104">
        <v>4.95</v>
      </c>
      <c r="L18" s="103" t="s">
        <v>1910</v>
      </c>
      <c r="M18" s="106"/>
      <c r="N18" s="104">
        <f t="shared" si="0"/>
        <v>9.9</v>
      </c>
      <c r="O18" s="103" t="s">
        <v>667</v>
      </c>
      <c r="P18" s="103">
        <f t="shared" si="1"/>
        <v>5</v>
      </c>
      <c r="Q18" s="103">
        <f t="shared" si="2"/>
        <v>1</v>
      </c>
      <c r="R18" s="103" t="s">
        <v>8</v>
      </c>
      <c r="S18" s="103" t="str">
        <f>_xlfn.IFS(MouserListTable[[#This Row],[Column1]]=FilterSpecs!$A$6, FilterSpecs!$B$6,MouserListTable[[#This Row],[Column1]]=FilterSpecs!$A$7,FilterSpecs!$B$7,MouserListTable[[#This Row],[Column1]]=FilterSpecs!$A$8,FilterSpecs!$B$8,MouserListTable[[#This Row],[Column1]]=FilterSpecs!$A$9,FilterSpecs!$B$9)</f>
        <v>474-</v>
      </c>
      <c r="T1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474-ROB-08449</v>
      </c>
      <c r="V18" s="151" t="str">
        <f>IF(MouserListTable[[#This Row],[Qty.]]=0, 0, "")</f>
        <v/>
      </c>
    </row>
    <row r="19" spans="1:22" s="146" customFormat="1" x14ac:dyDescent="0.3">
      <c r="A19" s="103" t="s">
        <v>894</v>
      </c>
      <c r="B19" s="103" t="s">
        <v>888</v>
      </c>
      <c r="C19" s="103" t="s">
        <v>8</v>
      </c>
      <c r="D19" s="103" t="str">
        <f>IF(MouserListTable[[#This Row],[Vendor]]=FilterSpecs!$A$8,MouserListTable[[#This Row],[Mouser SKU]], MouserListTable[[#This Row],[SKU2]])</f>
        <v>DEV-11711</v>
      </c>
      <c r="E19" s="104">
        <v>1</v>
      </c>
      <c r="F19" s="104" t="s">
        <v>18921</v>
      </c>
      <c r="G19" s="103" t="s">
        <v>141</v>
      </c>
      <c r="H19" s="103" t="s">
        <v>142</v>
      </c>
      <c r="I19" s="103" t="s">
        <v>143</v>
      </c>
      <c r="J19" s="103">
        <v>1</v>
      </c>
      <c r="K19" s="104">
        <v>59.95</v>
      </c>
      <c r="L19" s="103" t="s">
        <v>1910</v>
      </c>
      <c r="M19" s="106"/>
      <c r="N19" s="104">
        <f t="shared" si="0"/>
        <v>59.95</v>
      </c>
      <c r="O19" s="103" t="s">
        <v>140</v>
      </c>
      <c r="P19" s="103">
        <f t="shared" si="1"/>
        <v>6</v>
      </c>
      <c r="Q19" s="103">
        <f t="shared" si="2"/>
        <v>1</v>
      </c>
      <c r="R19" s="103" t="s">
        <v>8</v>
      </c>
      <c r="S19" s="103" t="str">
        <f>_xlfn.IFS(MouserListTable[[#This Row],[Column1]]=FilterSpecs!$A$6, FilterSpecs!$B$6,MouserListTable[[#This Row],[Column1]]=FilterSpecs!$A$7,FilterSpecs!$B$7,MouserListTable[[#This Row],[Column1]]=FilterSpecs!$A$8,FilterSpecs!$B$8,MouserListTable[[#This Row],[Column1]]=FilterSpecs!$A$9,FilterSpecs!$B$9)</f>
        <v>474-</v>
      </c>
      <c r="T1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474-DEV-11711</v>
      </c>
      <c r="V19" s="151" t="str">
        <f>IF(MouserListTable[[#This Row],[Qty.]]=0, 0, "")</f>
        <v/>
      </c>
    </row>
    <row r="20" spans="1:22" s="146" customFormat="1" x14ac:dyDescent="0.3">
      <c r="A20" s="103" t="s">
        <v>894</v>
      </c>
      <c r="B20" s="103" t="s">
        <v>888</v>
      </c>
      <c r="C20" s="103" t="s">
        <v>8</v>
      </c>
      <c r="D20" s="103" t="str">
        <f>IF(MouserListTable[[#This Row],[Vendor]]=FilterSpecs!$A$8,MouserListTable[[#This Row],[Mouser SKU]], MouserListTable[[#This Row],[SKU2]])</f>
        <v>BOB-09868</v>
      </c>
      <c r="E20" s="104">
        <v>1</v>
      </c>
      <c r="F20" s="104" t="s">
        <v>18921</v>
      </c>
      <c r="G20" s="103" t="s">
        <v>1499</v>
      </c>
      <c r="H20" s="103" t="s">
        <v>1500</v>
      </c>
      <c r="I20" s="103" t="s">
        <v>1501</v>
      </c>
      <c r="J20" s="103">
        <v>1</v>
      </c>
      <c r="K20" s="104">
        <v>9.9499999999999993</v>
      </c>
      <c r="L20" s="103" t="s">
        <v>1910</v>
      </c>
      <c r="M20" s="106"/>
      <c r="N20" s="104">
        <f t="shared" si="0"/>
        <v>9.9499999999999993</v>
      </c>
      <c r="O20" s="103" t="s">
        <v>1498</v>
      </c>
      <c r="P20" s="103">
        <f t="shared" si="1"/>
        <v>7</v>
      </c>
      <c r="Q20" s="103">
        <f t="shared" si="2"/>
        <v>1</v>
      </c>
      <c r="R20" s="103" t="s">
        <v>8</v>
      </c>
      <c r="S20" s="103" t="str">
        <f>_xlfn.IFS(MouserListTable[[#This Row],[Column1]]=FilterSpecs!$A$6, FilterSpecs!$B$6,MouserListTable[[#This Row],[Column1]]=FilterSpecs!$A$7,FilterSpecs!$B$7,MouserListTable[[#This Row],[Column1]]=FilterSpecs!$A$8,FilterSpecs!$B$8,MouserListTable[[#This Row],[Column1]]=FilterSpecs!$A$9,FilterSpecs!$B$9)</f>
        <v>474-</v>
      </c>
      <c r="T2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474-BOB-09868</v>
      </c>
      <c r="V20" s="151" t="str">
        <f>IF(MouserListTable[[#This Row],[Qty.]]=0, 0, "")</f>
        <v/>
      </c>
    </row>
    <row r="21" spans="1:22" s="146" customFormat="1" x14ac:dyDescent="0.3">
      <c r="A21" s="103" t="s">
        <v>894</v>
      </c>
      <c r="B21" s="103" t="s">
        <v>888</v>
      </c>
      <c r="C21" s="103" t="s">
        <v>8</v>
      </c>
      <c r="D21" s="103" t="str">
        <f>IF(MouserListTable[[#This Row],[Vendor]]=FilterSpecs!$A$8,MouserListTable[[#This Row],[Mouser SKU]], MouserListTable[[#This Row],[SKU2]])</f>
        <v>COM-08635</v>
      </c>
      <c r="E21" s="104">
        <v>1</v>
      </c>
      <c r="F21" s="104" t="s">
        <v>18921</v>
      </c>
      <c r="G21" s="103" t="s">
        <v>1520</v>
      </c>
      <c r="H21" s="103" t="s">
        <v>1521</v>
      </c>
      <c r="I21" s="103" t="s">
        <v>1522</v>
      </c>
      <c r="J21" s="103">
        <v>1</v>
      </c>
      <c r="K21" s="104">
        <v>0.95</v>
      </c>
      <c r="L21" s="103" t="s">
        <v>1910</v>
      </c>
      <c r="M21" s="106"/>
      <c r="N21" s="104">
        <f t="shared" si="0"/>
        <v>0.95</v>
      </c>
      <c r="O21" s="103" t="s">
        <v>1519</v>
      </c>
      <c r="P21" s="103">
        <f t="shared" si="1"/>
        <v>8</v>
      </c>
      <c r="Q21" s="103">
        <f t="shared" si="2"/>
        <v>1</v>
      </c>
      <c r="R21" s="103" t="s">
        <v>8</v>
      </c>
      <c r="S21" s="103" t="str">
        <f>_xlfn.IFS(MouserListTable[[#This Row],[Column1]]=FilterSpecs!$A$6, FilterSpecs!$B$6,MouserListTable[[#This Row],[Column1]]=FilterSpecs!$A$7,FilterSpecs!$B$7,MouserListTable[[#This Row],[Column1]]=FilterSpecs!$A$8,FilterSpecs!$B$8,MouserListTable[[#This Row],[Column1]]=FilterSpecs!$A$9,FilterSpecs!$B$9)</f>
        <v>474-</v>
      </c>
      <c r="T2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474-COM-08635</v>
      </c>
      <c r="V21" s="151" t="str">
        <f>IF(MouserListTable[[#This Row],[Qty.]]=0, 0, "")</f>
        <v/>
      </c>
    </row>
    <row r="22" spans="1:22" s="146" customFormat="1" x14ac:dyDescent="0.3">
      <c r="A22" s="103" t="s">
        <v>894</v>
      </c>
      <c r="B22" s="103" t="s">
        <v>888</v>
      </c>
      <c r="C22" s="103" t="s">
        <v>8</v>
      </c>
      <c r="D22" s="103" t="str">
        <f>IF(MouserListTable[[#This Row],[Vendor]]=FilterSpecs!$A$8,MouserListTable[[#This Row],[Mouser SKU]], MouserListTable[[#This Row],[SKU2]])</f>
        <v>BOB-12758</v>
      </c>
      <c r="E22" s="104">
        <v>1</v>
      </c>
      <c r="F22" s="104" t="s">
        <v>18921</v>
      </c>
      <c r="G22" s="103" t="s">
        <v>1852</v>
      </c>
      <c r="H22" s="103" t="s">
        <v>1853</v>
      </c>
      <c r="I22" s="103" t="s">
        <v>1854</v>
      </c>
      <c r="J22" s="103">
        <v>1</v>
      </c>
      <c r="K22" s="104">
        <v>5.95</v>
      </c>
      <c r="L22" s="103" t="s">
        <v>1910</v>
      </c>
      <c r="M22" s="106"/>
      <c r="N22" s="104">
        <f t="shared" si="0"/>
        <v>5.95</v>
      </c>
      <c r="O22" s="103" t="s">
        <v>1851</v>
      </c>
      <c r="P22" s="103">
        <f t="shared" si="1"/>
        <v>9</v>
      </c>
      <c r="Q22" s="103">
        <f t="shared" si="2"/>
        <v>1</v>
      </c>
      <c r="R22" s="103" t="s">
        <v>8</v>
      </c>
      <c r="S22" s="103" t="str">
        <f>_xlfn.IFS(MouserListTable[[#This Row],[Column1]]=FilterSpecs!$A$6, FilterSpecs!$B$6,MouserListTable[[#This Row],[Column1]]=FilterSpecs!$A$7,FilterSpecs!$B$7,MouserListTable[[#This Row],[Column1]]=FilterSpecs!$A$8,FilterSpecs!$B$8,MouserListTable[[#This Row],[Column1]]=FilterSpecs!$A$9,FilterSpecs!$B$9)</f>
        <v>474-</v>
      </c>
      <c r="T2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474-BOB-12758</v>
      </c>
      <c r="V22" s="151" t="str">
        <f>IF(MouserListTable[[#This Row],[Qty.]]=0, 0, "")</f>
        <v/>
      </c>
    </row>
    <row r="23" spans="1:22" s="146" customFormat="1" x14ac:dyDescent="0.3">
      <c r="A23" s="126" t="s">
        <v>894</v>
      </c>
      <c r="B23" s="126" t="s">
        <v>888</v>
      </c>
      <c r="C23" s="126" t="s">
        <v>8</v>
      </c>
      <c r="D23" s="103" t="str">
        <f>IF(MouserListTable[[#This Row],[Vendor]]=FilterSpecs!$A$8,MouserListTable[[#This Row],[Mouser SKU]], MouserListTable[[#This Row],[SKU2]])</f>
        <v>SEN-12642</v>
      </c>
      <c r="E23" s="104">
        <v>0</v>
      </c>
      <c r="F23" s="104">
        <v>0</v>
      </c>
      <c r="G23" s="103" t="s">
        <v>145</v>
      </c>
      <c r="H23" s="103" t="s">
        <v>146</v>
      </c>
      <c r="I23" s="103" t="s">
        <v>147</v>
      </c>
      <c r="J23" s="103">
        <v>1</v>
      </c>
      <c r="K23" s="104">
        <v>10.95</v>
      </c>
      <c r="L23" s="103" t="s">
        <v>1910</v>
      </c>
      <c r="N23" s="104">
        <f t="shared" si="0"/>
        <v>0</v>
      </c>
      <c r="O23" s="103" t="s">
        <v>144</v>
      </c>
      <c r="P23" s="103">
        <f t="shared" si="1"/>
        <v>10</v>
      </c>
      <c r="Q23" s="103">
        <f t="shared" si="2"/>
        <v>1</v>
      </c>
      <c r="R23" s="103" t="s">
        <v>8</v>
      </c>
      <c r="S23" s="103" t="str">
        <f>_xlfn.IFS(MouserListTable[[#This Row],[Column1]]=FilterSpecs!$A$6, FilterSpecs!$B$6,MouserListTable[[#This Row],[Column1]]=FilterSpecs!$A$7,FilterSpecs!$B$7,MouserListTable[[#This Row],[Column1]]=FilterSpecs!$A$8,FilterSpecs!$B$8,MouserListTable[[#This Row],[Column1]]=FilterSpecs!$A$9,FilterSpecs!$B$9)</f>
        <v>474-</v>
      </c>
      <c r="T2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474-SEN-12642</v>
      </c>
      <c r="V23" s="151">
        <f>IF(MouserListTable[[#This Row],[Qty.]]=0, 0, "")</f>
        <v>0</v>
      </c>
    </row>
    <row r="24" spans="1:22" s="146" customFormat="1" x14ac:dyDescent="0.3">
      <c r="A24" s="103" t="s">
        <v>894</v>
      </c>
      <c r="B24" s="103" t="s">
        <v>888</v>
      </c>
      <c r="C24" s="103" t="s">
        <v>1898</v>
      </c>
      <c r="D24" s="103" t="str">
        <f>IF(MouserListTable[[#This Row],[Vendor]]=FilterSpecs!$A$8,MouserListTable[[#This Row],[Mouser SKU]], MouserListTable[[#This Row],[SKU2]])</f>
        <v>94</v>
      </c>
      <c r="E24" s="104">
        <v>0</v>
      </c>
      <c r="F24" s="104">
        <v>0</v>
      </c>
      <c r="G24" s="103"/>
      <c r="H24" s="103"/>
      <c r="I24" s="126" t="s">
        <v>2252</v>
      </c>
      <c r="K24" s="148">
        <v>22</v>
      </c>
      <c r="L24" s="126" t="s">
        <v>1910</v>
      </c>
      <c r="N24" s="104">
        <f t="shared" si="0"/>
        <v>0</v>
      </c>
      <c r="O24" s="103" t="s">
        <v>2251</v>
      </c>
      <c r="P24" s="103">
        <f t="shared" si="1"/>
        <v>11</v>
      </c>
      <c r="Q24" s="103">
        <f t="shared" si="2"/>
        <v>1</v>
      </c>
      <c r="R24" s="103" t="s">
        <v>1898</v>
      </c>
      <c r="S24" s="103" t="str">
        <f>_xlfn.IFS(MouserListTable[[#This Row],[Column1]]=FilterSpecs!$A$6, FilterSpecs!$B$6,MouserListTable[[#This Row],[Column1]]=FilterSpecs!$A$7,FilterSpecs!$B$7,MouserListTable[[#This Row],[Column1]]=FilterSpecs!$A$8,FilterSpecs!$B$8,MouserListTable[[#This Row],[Column1]]=FilterSpecs!$A$9,FilterSpecs!$B$9)</f>
        <v>485-</v>
      </c>
      <c r="T2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485-94</v>
      </c>
      <c r="V24" s="151">
        <f>IF(MouserListTable[[#This Row],[Qty.]]=0, 0, "")</f>
        <v>0</v>
      </c>
    </row>
    <row r="25" spans="1:22" s="146" customFormat="1" x14ac:dyDescent="0.3">
      <c r="A25" s="103" t="s">
        <v>894</v>
      </c>
      <c r="B25" s="103" t="s">
        <v>888</v>
      </c>
      <c r="C25" s="103" t="s">
        <v>1898</v>
      </c>
      <c r="D25" s="103" t="str">
        <f>IF(MouserListTable[[#This Row],[Vendor]]=FilterSpecs!$A$8,MouserListTable[[#This Row],[Mouser SKU]], MouserListTable[[#This Row],[SKU2]])</f>
        <v>3369</v>
      </c>
      <c r="E25" s="104">
        <v>0</v>
      </c>
      <c r="F25" s="104">
        <v>0</v>
      </c>
      <c r="G25" s="103"/>
      <c r="H25" s="103"/>
      <c r="I25" s="126" t="s">
        <v>2254</v>
      </c>
      <c r="K25" s="148">
        <v>12.5</v>
      </c>
      <c r="L25" s="126" t="s">
        <v>1910</v>
      </c>
      <c r="N25" s="104">
        <f t="shared" si="0"/>
        <v>0</v>
      </c>
      <c r="O25" s="103" t="s">
        <v>2253</v>
      </c>
      <c r="P25" s="103">
        <f t="shared" si="1"/>
        <v>12</v>
      </c>
      <c r="Q25" s="103">
        <f t="shared" si="2"/>
        <v>1</v>
      </c>
      <c r="R25" s="103" t="s">
        <v>1898</v>
      </c>
      <c r="S25" s="103" t="str">
        <f>_xlfn.IFS(MouserListTable[[#This Row],[Column1]]=FilterSpecs!$A$6, FilterSpecs!$B$6,MouserListTable[[#This Row],[Column1]]=FilterSpecs!$A$7,FilterSpecs!$B$7,MouserListTable[[#This Row],[Column1]]=FilterSpecs!$A$8,FilterSpecs!$B$8,MouserListTable[[#This Row],[Column1]]=FilterSpecs!$A$9,FilterSpecs!$B$9)</f>
        <v>485-</v>
      </c>
      <c r="T2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485-3369</v>
      </c>
      <c r="V25" s="151">
        <f>IF(MouserListTable[[#This Row],[Qty.]]=0, 0, "")</f>
        <v>0</v>
      </c>
    </row>
    <row r="26" spans="1:22" s="146" customFormat="1" x14ac:dyDescent="0.3">
      <c r="A26" s="103" t="s">
        <v>894</v>
      </c>
      <c r="B26" s="103" t="s">
        <v>888</v>
      </c>
      <c r="C26" s="103" t="s">
        <v>1898</v>
      </c>
      <c r="D26" s="103" t="str">
        <f>IF(MouserListTable[[#This Row],[Vendor]]=FilterSpecs!$A$8,MouserListTable[[#This Row],[Mouser SKU]], MouserListTable[[#This Row],[SKU2]])</f>
        <v>3367</v>
      </c>
      <c r="E26" s="104">
        <v>0</v>
      </c>
      <c r="F26" s="104">
        <v>0</v>
      </c>
      <c r="G26" s="103"/>
      <c r="H26" s="103"/>
      <c r="I26" s="126" t="s">
        <v>2256</v>
      </c>
      <c r="K26" s="148">
        <v>5.95</v>
      </c>
      <c r="L26" s="126" t="s">
        <v>1910</v>
      </c>
      <c r="N26" s="104">
        <f t="shared" si="0"/>
        <v>0</v>
      </c>
      <c r="O26" s="103" t="s">
        <v>2255</v>
      </c>
      <c r="P26" s="103">
        <f t="shared" si="1"/>
        <v>13</v>
      </c>
      <c r="Q26" s="103">
        <f t="shared" si="2"/>
        <v>1</v>
      </c>
      <c r="R26" s="103" t="s">
        <v>1898</v>
      </c>
      <c r="S26" s="103" t="str">
        <f>_xlfn.IFS(MouserListTable[[#This Row],[Column1]]=FilterSpecs!$A$6, FilterSpecs!$B$6,MouserListTable[[#This Row],[Column1]]=FilterSpecs!$A$7,FilterSpecs!$B$7,MouserListTable[[#This Row],[Column1]]=FilterSpecs!$A$8,FilterSpecs!$B$8,MouserListTable[[#This Row],[Column1]]=FilterSpecs!$A$9,FilterSpecs!$B$9)</f>
        <v>485-</v>
      </c>
      <c r="T2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485-3367</v>
      </c>
      <c r="V26" s="151">
        <f>IF(MouserListTable[[#This Row],[Qty.]]=0, 0, "")</f>
        <v>0</v>
      </c>
    </row>
    <row r="27" spans="1:22" s="146" customFormat="1" x14ac:dyDescent="0.3">
      <c r="A27" s="103" t="s">
        <v>894</v>
      </c>
      <c r="B27" s="103" t="s">
        <v>888</v>
      </c>
      <c r="C27" s="103" t="s">
        <v>1898</v>
      </c>
      <c r="D27" s="103" t="str">
        <f>IF(MouserListTable[[#This Row],[Vendor]]=FilterSpecs!$A$8,MouserListTable[[#This Row],[Mouser SKU]], MouserListTable[[#This Row],[SKU2]])</f>
        <v>3351</v>
      </c>
      <c r="E27" s="104">
        <v>0</v>
      </c>
      <c r="F27" s="104">
        <v>0</v>
      </c>
      <c r="G27" s="103"/>
      <c r="H27" s="103"/>
      <c r="I27" s="126" t="s">
        <v>2258</v>
      </c>
      <c r="K27" s="148">
        <v>3.95</v>
      </c>
      <c r="L27" s="126" t="s">
        <v>1910</v>
      </c>
      <c r="N27" s="104">
        <f t="shared" si="0"/>
        <v>0</v>
      </c>
      <c r="O27" s="103" t="s">
        <v>2257</v>
      </c>
      <c r="P27" s="103">
        <f t="shared" si="1"/>
        <v>14</v>
      </c>
      <c r="Q27" s="103">
        <f t="shared" si="2"/>
        <v>1</v>
      </c>
      <c r="R27" s="103" t="s">
        <v>1898</v>
      </c>
      <c r="S27" s="103" t="str">
        <f>_xlfn.IFS(MouserListTable[[#This Row],[Column1]]=FilterSpecs!$A$6, FilterSpecs!$B$6,MouserListTable[[#This Row],[Column1]]=FilterSpecs!$A$7,FilterSpecs!$B$7,MouserListTable[[#This Row],[Column1]]=FilterSpecs!$A$8,FilterSpecs!$B$8,MouserListTable[[#This Row],[Column1]]=FilterSpecs!$A$9,FilterSpecs!$B$9)</f>
        <v>485-</v>
      </c>
      <c r="T2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485-3351</v>
      </c>
      <c r="V27" s="151">
        <f>IF(MouserListTable[[#This Row],[Qty.]]=0, 0, "")</f>
        <v>0</v>
      </c>
    </row>
    <row r="28" spans="1:22" s="146" customFormat="1" x14ac:dyDescent="0.3">
      <c r="A28" s="103" t="s">
        <v>894</v>
      </c>
      <c r="B28" s="103" t="s">
        <v>888</v>
      </c>
      <c r="C28" s="103" t="s">
        <v>1898</v>
      </c>
      <c r="D28" s="103" t="str">
        <f>IF(MouserListTable[[#This Row],[Vendor]]=FilterSpecs!$A$8,MouserListTable[[#This Row],[Mouser SKU]], MouserListTable[[#This Row],[SKU2]])</f>
        <v>1314</v>
      </c>
      <c r="E28" s="104">
        <v>0</v>
      </c>
      <c r="F28" s="104">
        <v>0</v>
      </c>
      <c r="G28" s="103"/>
      <c r="H28" s="103"/>
      <c r="I28" s="126" t="s">
        <v>2260</v>
      </c>
      <c r="K28" s="148">
        <v>1.95</v>
      </c>
      <c r="L28" s="126" t="s">
        <v>1910</v>
      </c>
      <c r="N28" s="104">
        <f t="shared" si="0"/>
        <v>0</v>
      </c>
      <c r="O28" s="103" t="s">
        <v>2259</v>
      </c>
      <c r="P28" s="103">
        <f t="shared" si="1"/>
        <v>15</v>
      </c>
      <c r="Q28" s="103">
        <f t="shared" si="2"/>
        <v>1</v>
      </c>
      <c r="R28" s="103" t="s">
        <v>1898</v>
      </c>
      <c r="S28" s="103" t="str">
        <f>_xlfn.IFS(MouserListTable[[#This Row],[Column1]]=FilterSpecs!$A$6, FilterSpecs!$B$6,MouserListTable[[#This Row],[Column1]]=FilterSpecs!$A$7,FilterSpecs!$B$7,MouserListTable[[#This Row],[Column1]]=FilterSpecs!$A$8,FilterSpecs!$B$8,MouserListTable[[#This Row],[Column1]]=FilterSpecs!$A$9,FilterSpecs!$B$9)</f>
        <v>485-</v>
      </c>
      <c r="T2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485-1314</v>
      </c>
      <c r="V28" s="151">
        <f>IF(MouserListTable[[#This Row],[Qty.]]=0, 0, "")</f>
        <v>0</v>
      </c>
    </row>
    <row r="29" spans="1:22" s="146" customFormat="1" x14ac:dyDescent="0.3">
      <c r="A29" s="103" t="s">
        <v>894</v>
      </c>
      <c r="B29" s="103" t="s">
        <v>888</v>
      </c>
      <c r="C29" s="103" t="s">
        <v>1898</v>
      </c>
      <c r="D29" s="103" t="str">
        <f>IF(MouserListTable[[#This Row],[Vendor]]=FilterSpecs!$A$8,MouserListTable[[#This Row],[Mouser SKU]], MouserListTable[[#This Row],[SKU2]])</f>
        <v>1313</v>
      </c>
      <c r="E29" s="104">
        <v>0</v>
      </c>
      <c r="F29" s="104">
        <v>0</v>
      </c>
      <c r="G29" s="103"/>
      <c r="H29" s="103"/>
      <c r="I29" s="126" t="s">
        <v>2262</v>
      </c>
      <c r="K29" s="148">
        <v>1.95</v>
      </c>
      <c r="L29" s="126" t="s">
        <v>1913</v>
      </c>
      <c r="N29" s="104">
        <f t="shared" si="0"/>
        <v>0</v>
      </c>
      <c r="O29" s="103" t="s">
        <v>2261</v>
      </c>
      <c r="P29" s="103">
        <f t="shared" si="1"/>
        <v>16</v>
      </c>
      <c r="Q29" s="103">
        <f t="shared" si="2"/>
        <v>1</v>
      </c>
      <c r="R29" s="103" t="s">
        <v>1898</v>
      </c>
      <c r="S29" s="103" t="str">
        <f>_xlfn.IFS(MouserListTable[[#This Row],[Column1]]=FilterSpecs!$A$6, FilterSpecs!$B$6,MouserListTable[[#This Row],[Column1]]=FilterSpecs!$A$7,FilterSpecs!$B$7,MouserListTable[[#This Row],[Column1]]=FilterSpecs!$A$8,FilterSpecs!$B$8,MouserListTable[[#This Row],[Column1]]=FilterSpecs!$A$9,FilterSpecs!$B$9)</f>
        <v>485-</v>
      </c>
      <c r="T2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485-1313</v>
      </c>
      <c r="V29" s="151">
        <f>IF(MouserListTable[[#This Row],[Qty.]]=0, 0, "")</f>
        <v>0</v>
      </c>
    </row>
    <row r="30" spans="1:22" s="146" customFormat="1" x14ac:dyDescent="0.3">
      <c r="A30" s="103" t="s">
        <v>894</v>
      </c>
      <c r="B30" s="103" t="s">
        <v>888</v>
      </c>
      <c r="C30" s="103" t="s">
        <v>1898</v>
      </c>
      <c r="D30" s="103" t="str">
        <f>IF(MouserListTable[[#This Row],[Vendor]]=FilterSpecs!$A$8,MouserListTable[[#This Row],[Mouser SKU]], MouserListTable[[#This Row],[SKU2]])</f>
        <v>1669</v>
      </c>
      <c r="E30" s="104">
        <v>0</v>
      </c>
      <c r="F30" s="104">
        <v>0</v>
      </c>
      <c r="G30" s="103"/>
      <c r="H30" s="103"/>
      <c r="I30" s="126" t="s">
        <v>2264</v>
      </c>
      <c r="K30" s="148">
        <v>7.5</v>
      </c>
      <c r="L30" s="126" t="s">
        <v>1913</v>
      </c>
      <c r="N30" s="104">
        <f t="shared" si="0"/>
        <v>0</v>
      </c>
      <c r="O30" s="103" t="s">
        <v>2263</v>
      </c>
      <c r="P30" s="103">
        <f t="shared" si="1"/>
        <v>17</v>
      </c>
      <c r="Q30" s="103">
        <f t="shared" si="2"/>
        <v>1</v>
      </c>
      <c r="R30" s="103" t="s">
        <v>1898</v>
      </c>
      <c r="S30" s="103" t="str">
        <f>_xlfn.IFS(MouserListTable[[#This Row],[Column1]]=FilterSpecs!$A$6, FilterSpecs!$B$6,MouserListTable[[#This Row],[Column1]]=FilterSpecs!$A$7,FilterSpecs!$B$7,MouserListTable[[#This Row],[Column1]]=FilterSpecs!$A$8,FilterSpecs!$B$8,MouserListTable[[#This Row],[Column1]]=FilterSpecs!$A$9,FilterSpecs!$B$9)</f>
        <v>485-</v>
      </c>
      <c r="T3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485-1669</v>
      </c>
      <c r="V30" s="151">
        <f>IF(MouserListTable[[#This Row],[Qty.]]=0, 0, "")</f>
        <v>0</v>
      </c>
    </row>
    <row r="31" spans="1:22" s="146" customFormat="1" x14ac:dyDescent="0.3">
      <c r="A31" s="103" t="s">
        <v>894</v>
      </c>
      <c r="B31" s="103" t="s">
        <v>888</v>
      </c>
      <c r="C31" s="103" t="s">
        <v>1898</v>
      </c>
      <c r="D31" s="103" t="str">
        <f>IF(MouserListTable[[#This Row],[Vendor]]=FilterSpecs!$A$8,MouserListTable[[#This Row],[Mouser SKU]], MouserListTable[[#This Row],[SKU2]])</f>
        <v>1363</v>
      </c>
      <c r="E31" s="104">
        <v>0</v>
      </c>
      <c r="F31" s="104">
        <v>0</v>
      </c>
      <c r="G31" s="103"/>
      <c r="H31" s="103"/>
      <c r="I31" s="126" t="s">
        <v>2266</v>
      </c>
      <c r="K31" s="148">
        <v>9.9499999999999993</v>
      </c>
      <c r="L31" s="126" t="s">
        <v>1910</v>
      </c>
      <c r="N31" s="104">
        <f t="shared" si="0"/>
        <v>0</v>
      </c>
      <c r="O31" s="103" t="s">
        <v>2265</v>
      </c>
      <c r="P31" s="103">
        <f t="shared" si="1"/>
        <v>18</v>
      </c>
      <c r="Q31" s="103">
        <f t="shared" si="2"/>
        <v>1</v>
      </c>
      <c r="R31" s="103" t="s">
        <v>1898</v>
      </c>
      <c r="S31" s="103" t="str">
        <f>_xlfn.IFS(MouserListTable[[#This Row],[Column1]]=FilterSpecs!$A$6, FilterSpecs!$B$6,MouserListTable[[#This Row],[Column1]]=FilterSpecs!$A$7,FilterSpecs!$B$7,MouserListTable[[#This Row],[Column1]]=FilterSpecs!$A$8,FilterSpecs!$B$8,MouserListTable[[#This Row],[Column1]]=FilterSpecs!$A$9,FilterSpecs!$B$9)</f>
        <v>485-</v>
      </c>
      <c r="T3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485-1363</v>
      </c>
      <c r="V31" s="151">
        <f>IF(MouserListTable[[#This Row],[Qty.]]=0, 0, "")</f>
        <v>0</v>
      </c>
    </row>
    <row r="32" spans="1:22" s="146" customFormat="1" x14ac:dyDescent="0.3">
      <c r="A32" s="103" t="s">
        <v>894</v>
      </c>
      <c r="B32" s="103" t="s">
        <v>12</v>
      </c>
      <c r="C32" s="103" t="s">
        <v>8</v>
      </c>
      <c r="D32" s="103" t="str">
        <f>IF(MouserListTable[[#This Row],[Vendor]]=FilterSpecs!$A$8,MouserListTable[[#This Row],[Mouser SKU]], MouserListTable[[#This Row],[SKU2]])</f>
        <v>WRL-11373</v>
      </c>
      <c r="E32" s="104">
        <f>FilterSpecs!$C$3</f>
        <v>5</v>
      </c>
      <c r="F32" s="104" t="s">
        <v>18921</v>
      </c>
      <c r="G32" s="103" t="s">
        <v>57</v>
      </c>
      <c r="H32" s="103" t="s">
        <v>58</v>
      </c>
      <c r="I32" s="103" t="s">
        <v>59</v>
      </c>
      <c r="J32" s="103">
        <v>1</v>
      </c>
      <c r="K32" s="104">
        <v>9.9499999999999993</v>
      </c>
      <c r="L32" s="103" t="s">
        <v>1911</v>
      </c>
      <c r="M32" s="106"/>
      <c r="N32" s="104">
        <f t="shared" ref="N32:N39" si="3">E32*K32</f>
        <v>49.75</v>
      </c>
      <c r="O32" s="103" t="s">
        <v>56</v>
      </c>
      <c r="P32" s="103">
        <f t="shared" si="1"/>
        <v>19</v>
      </c>
      <c r="Q32" s="103">
        <f t="shared" si="2"/>
        <v>1</v>
      </c>
      <c r="R32" s="103" t="s">
        <v>8</v>
      </c>
      <c r="S32" s="103" t="str">
        <f>_xlfn.IFS(MouserListTable[[#This Row],[Column1]]=FilterSpecs!$A$6, FilterSpecs!$B$6,MouserListTable[[#This Row],[Column1]]=FilterSpecs!$A$7,FilterSpecs!$B$7,MouserListTable[[#This Row],[Column1]]=FilterSpecs!$A$8,FilterSpecs!$B$8,MouserListTable[[#This Row],[Column1]]=FilterSpecs!$A$9,FilterSpecs!$B$9)</f>
        <v>474-</v>
      </c>
      <c r="T3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474-WRL-11373</v>
      </c>
      <c r="V32" s="151" t="str">
        <f>IF(MouserListTable[[#This Row],[Qty.]]=0, 0, "")</f>
        <v/>
      </c>
    </row>
    <row r="33" spans="1:22" s="146" customFormat="1" x14ac:dyDescent="0.3">
      <c r="A33" s="103" t="s">
        <v>894</v>
      </c>
      <c r="B33" s="103" t="s">
        <v>12</v>
      </c>
      <c r="C33" s="103" t="s">
        <v>8</v>
      </c>
      <c r="D33" s="103" t="str">
        <f>IF(MouserListTable[[#This Row],[Vendor]]=FilterSpecs!$A$8,MouserListTable[[#This Row],[Mouser SKU]], MouserListTable[[#This Row],[SKU2]])</f>
        <v>WRL-11697</v>
      </c>
      <c r="E33" s="104">
        <f>FilterSpecs!$C$3</f>
        <v>5</v>
      </c>
      <c r="F33" s="104" t="s">
        <v>18921</v>
      </c>
      <c r="G33" s="103" t="s">
        <v>61</v>
      </c>
      <c r="H33" s="103" t="s">
        <v>62</v>
      </c>
      <c r="I33" s="103" t="s">
        <v>63</v>
      </c>
      <c r="J33" s="103">
        <v>1</v>
      </c>
      <c r="K33" s="104">
        <v>24.95</v>
      </c>
      <c r="L33" s="103" t="s">
        <v>1911</v>
      </c>
      <c r="M33" s="106"/>
      <c r="N33" s="104">
        <f t="shared" si="3"/>
        <v>124.75</v>
      </c>
      <c r="O33" s="103" t="s">
        <v>60</v>
      </c>
      <c r="P33" s="103">
        <f t="shared" si="1"/>
        <v>20</v>
      </c>
      <c r="Q33" s="103">
        <f t="shared" si="2"/>
        <v>1</v>
      </c>
      <c r="R33" s="103" t="s">
        <v>8</v>
      </c>
      <c r="S33" s="103" t="str">
        <f>_xlfn.IFS(MouserListTable[[#This Row],[Column1]]=FilterSpecs!$A$6, FilterSpecs!$B$6,MouserListTable[[#This Row],[Column1]]=FilterSpecs!$A$7,FilterSpecs!$B$7,MouserListTable[[#This Row],[Column1]]=FilterSpecs!$A$8,FilterSpecs!$B$8,MouserListTable[[#This Row],[Column1]]=FilterSpecs!$A$9,FilterSpecs!$B$9)</f>
        <v>474-</v>
      </c>
      <c r="T3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474-WRL-11697</v>
      </c>
      <c r="V33" s="151" t="str">
        <f>IF(MouserListTable[[#This Row],[Qty.]]=0, 0, "")</f>
        <v/>
      </c>
    </row>
    <row r="34" spans="1:22" s="146" customFormat="1" x14ac:dyDescent="0.3">
      <c r="A34" s="103" t="s">
        <v>894</v>
      </c>
      <c r="B34" s="103" t="s">
        <v>12</v>
      </c>
      <c r="C34" s="103" t="s">
        <v>8</v>
      </c>
      <c r="D34" s="103" t="str">
        <f>IF(MouserListTable[[#This Row],[Vendor]]=FilterSpecs!$A$8,MouserListTable[[#This Row],[Mouser SKU]], MouserListTable[[#This Row],[SKU2]])</f>
        <v>WRL-09434</v>
      </c>
      <c r="E34" s="104">
        <f>FilterSpecs!$C$3</f>
        <v>5</v>
      </c>
      <c r="F34" s="104" t="s">
        <v>18921</v>
      </c>
      <c r="G34" s="103" t="s">
        <v>65</v>
      </c>
      <c r="H34" s="103" t="s">
        <v>66</v>
      </c>
      <c r="I34" s="103" t="s">
        <v>67</v>
      </c>
      <c r="J34" s="103"/>
      <c r="K34" s="104">
        <v>10.95</v>
      </c>
      <c r="L34" s="103" t="s">
        <v>1911</v>
      </c>
      <c r="M34" s="106"/>
      <c r="N34" s="104">
        <f t="shared" si="3"/>
        <v>54.75</v>
      </c>
      <c r="O34" s="103" t="s">
        <v>64</v>
      </c>
      <c r="P34" s="103">
        <f t="shared" si="1"/>
        <v>21</v>
      </c>
      <c r="Q34" s="103">
        <f t="shared" si="2"/>
        <v>1</v>
      </c>
      <c r="R34" s="103" t="s">
        <v>8</v>
      </c>
      <c r="S34" s="103" t="str">
        <f>_xlfn.IFS(MouserListTable[[#This Row],[Column1]]=FilterSpecs!$A$6, FilterSpecs!$B$6,MouserListTable[[#This Row],[Column1]]=FilterSpecs!$A$7,FilterSpecs!$B$7,MouserListTable[[#This Row],[Column1]]=FilterSpecs!$A$8,FilterSpecs!$B$8,MouserListTable[[#This Row],[Column1]]=FilterSpecs!$A$9,FilterSpecs!$B$9)</f>
        <v>474-</v>
      </c>
      <c r="T3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474-WRL-09434</v>
      </c>
      <c r="V34" s="151" t="str">
        <f>IF(MouserListTable[[#This Row],[Qty.]]=0, 0, "")</f>
        <v/>
      </c>
    </row>
    <row r="35" spans="1:22" s="146" customFormat="1" x14ac:dyDescent="0.3">
      <c r="A35" s="103" t="s">
        <v>894</v>
      </c>
      <c r="B35" s="103" t="s">
        <v>12</v>
      </c>
      <c r="C35" s="103" t="s">
        <v>8</v>
      </c>
      <c r="D35" s="103" t="str">
        <f>IF(MouserListTable[[#This Row],[Vendor]]=FilterSpecs!$A$8,MouserListTable[[#This Row],[Mouser SKU]], MouserListTable[[#This Row],[SKU2]])</f>
        <v>WRL-11601</v>
      </c>
      <c r="E35" s="104">
        <f>2*FilterSpecs!$C$3</f>
        <v>10</v>
      </c>
      <c r="F35" s="104" t="s">
        <v>18921</v>
      </c>
      <c r="G35" s="103" t="s">
        <v>69</v>
      </c>
      <c r="H35" s="103" t="s">
        <v>70</v>
      </c>
      <c r="I35" s="103" t="s">
        <v>71</v>
      </c>
      <c r="J35" s="103">
        <v>1</v>
      </c>
      <c r="K35" s="104">
        <v>24.95</v>
      </c>
      <c r="L35" s="103" t="s">
        <v>1911</v>
      </c>
      <c r="M35" s="106"/>
      <c r="N35" s="104">
        <f t="shared" si="3"/>
        <v>249.5</v>
      </c>
      <c r="O35" s="103" t="s">
        <v>68</v>
      </c>
      <c r="P35" s="103">
        <f t="shared" si="1"/>
        <v>22</v>
      </c>
      <c r="Q35" s="103">
        <f t="shared" si="2"/>
        <v>1</v>
      </c>
      <c r="R35" s="103" t="s">
        <v>8</v>
      </c>
      <c r="S35" s="103" t="str">
        <f>_xlfn.IFS(MouserListTable[[#This Row],[Column1]]=FilterSpecs!$A$6, FilterSpecs!$B$6,MouserListTable[[#This Row],[Column1]]=FilterSpecs!$A$7,FilterSpecs!$B$7,MouserListTable[[#This Row],[Column1]]=FilterSpecs!$A$8,FilterSpecs!$B$8,MouserListTable[[#This Row],[Column1]]=FilterSpecs!$A$9,FilterSpecs!$B$9)</f>
        <v>474-</v>
      </c>
      <c r="T3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474-WRL-11601</v>
      </c>
      <c r="V35" s="151" t="str">
        <f>IF(MouserListTable[[#This Row],[Qty.]]=0, 0, "")</f>
        <v/>
      </c>
    </row>
    <row r="36" spans="1:22" s="146" customFormat="1" x14ac:dyDescent="0.3">
      <c r="A36" s="103" t="s">
        <v>894</v>
      </c>
      <c r="B36" s="103" t="s">
        <v>1896</v>
      </c>
      <c r="C36" s="103" t="s">
        <v>8</v>
      </c>
      <c r="D36" s="103" t="str">
        <f>IF(MouserListTable[[#This Row],[Vendor]]=FilterSpecs!$A$8,MouserListTable[[#This Row],[Mouser SKU]], MouserListTable[[#This Row],[SKU2]])</f>
        <v>WIG-12772</v>
      </c>
      <c r="E36" s="104">
        <v>1</v>
      </c>
      <c r="F36" s="104" t="s">
        <v>18921</v>
      </c>
      <c r="G36" s="103" t="s">
        <v>231</v>
      </c>
      <c r="H36" s="103" t="s">
        <v>232</v>
      </c>
      <c r="I36" s="103" t="s">
        <v>198</v>
      </c>
      <c r="J36" s="103">
        <v>1</v>
      </c>
      <c r="K36" s="104">
        <v>54.95</v>
      </c>
      <c r="L36" s="103" t="s">
        <v>1910</v>
      </c>
      <c r="M36" s="106"/>
      <c r="N36" s="104">
        <f t="shared" si="3"/>
        <v>54.95</v>
      </c>
      <c r="O36" s="103" t="s">
        <v>230</v>
      </c>
      <c r="P36" s="103">
        <f t="shared" si="1"/>
        <v>23</v>
      </c>
      <c r="Q36" s="103">
        <f t="shared" si="2"/>
        <v>1</v>
      </c>
      <c r="R36" s="103" t="s">
        <v>8</v>
      </c>
      <c r="S36" s="103" t="str">
        <f>_xlfn.IFS(MouserListTable[[#This Row],[Column1]]=FilterSpecs!$A$6, FilterSpecs!$B$6,MouserListTable[[#This Row],[Column1]]=FilterSpecs!$A$7,FilterSpecs!$B$7,MouserListTable[[#This Row],[Column1]]=FilterSpecs!$A$8,FilterSpecs!$B$8,MouserListTable[[#This Row],[Column1]]=FilterSpecs!$A$9,FilterSpecs!$B$9)</f>
        <v>474-</v>
      </c>
      <c r="T3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474-WIG-12772</v>
      </c>
      <c r="V36" s="151" t="str">
        <f>IF(MouserListTable[[#This Row],[Qty.]]=0, 0, "")</f>
        <v/>
      </c>
    </row>
    <row r="37" spans="1:22" s="146" customFormat="1" x14ac:dyDescent="0.3">
      <c r="A37" s="103" t="s">
        <v>894</v>
      </c>
      <c r="B37" s="103" t="s">
        <v>1896</v>
      </c>
      <c r="C37" s="103" t="s">
        <v>8</v>
      </c>
      <c r="D37" s="103" t="str">
        <f>IF(MouserListTable[[#This Row],[Vendor]]=FilterSpecs!$A$8,MouserListTable[[#This Row],[Mouser SKU]], MouserListTable[[#This Row],[SKU2]])</f>
        <v>DEV-13712</v>
      </c>
      <c r="E37" s="104">
        <v>1</v>
      </c>
      <c r="F37" s="104" t="s">
        <v>18921</v>
      </c>
      <c r="G37" s="103" t="s">
        <v>1832</v>
      </c>
      <c r="H37" s="103" t="s">
        <v>1833</v>
      </c>
      <c r="I37" s="103" t="s">
        <v>1834</v>
      </c>
      <c r="J37" s="103">
        <v>1</v>
      </c>
      <c r="K37" s="104">
        <v>14.95</v>
      </c>
      <c r="L37" s="103" t="s">
        <v>1910</v>
      </c>
      <c r="M37" s="106"/>
      <c r="N37" s="104">
        <f t="shared" si="3"/>
        <v>14.95</v>
      </c>
      <c r="O37" s="103" t="s">
        <v>1831</v>
      </c>
      <c r="P37" s="103">
        <f t="shared" si="1"/>
        <v>24</v>
      </c>
      <c r="Q37" s="103">
        <f t="shared" si="2"/>
        <v>1</v>
      </c>
      <c r="R37" s="103" t="s">
        <v>8</v>
      </c>
      <c r="S37" s="103" t="str">
        <f>_xlfn.IFS(MouserListTable[[#This Row],[Column1]]=FilterSpecs!$A$6, FilterSpecs!$B$6,MouserListTable[[#This Row],[Column1]]=FilterSpecs!$A$7,FilterSpecs!$B$7,MouserListTable[[#This Row],[Column1]]=FilterSpecs!$A$8,FilterSpecs!$B$8,MouserListTable[[#This Row],[Column1]]=FilterSpecs!$A$9,FilterSpecs!$B$9)</f>
        <v>474-</v>
      </c>
      <c r="T3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474-DEV-13712</v>
      </c>
      <c r="V37" s="151" t="str">
        <f>IF(MouserListTable[[#This Row],[Qty.]]=0, 0, "")</f>
        <v/>
      </c>
    </row>
    <row r="38" spans="1:22" s="144" customFormat="1" x14ac:dyDescent="0.3">
      <c r="A38" s="103" t="s">
        <v>894</v>
      </c>
      <c r="B38" s="103" t="s">
        <v>1896</v>
      </c>
      <c r="C38" s="103" t="s">
        <v>8</v>
      </c>
      <c r="D38" s="103" t="str">
        <f>IF(MouserListTable[[#This Row],[Vendor]]=FilterSpecs!$A$8,MouserListTable[[#This Row],[Mouser SKU]], MouserListTable[[#This Row],[SKU2]])</f>
        <v>DEV-12761</v>
      </c>
      <c r="E38" s="103">
        <v>1</v>
      </c>
      <c r="F38" s="103" t="s">
        <v>18921</v>
      </c>
      <c r="G38" s="103" t="s">
        <v>2508</v>
      </c>
      <c r="H38" s="103" t="s">
        <v>2509</v>
      </c>
      <c r="I38" s="103" t="s">
        <v>2510</v>
      </c>
      <c r="J38" s="103">
        <v>1</v>
      </c>
      <c r="K38" s="104">
        <v>14.95</v>
      </c>
      <c r="L38" s="103" t="s">
        <v>1911</v>
      </c>
      <c r="M38" s="103"/>
      <c r="N38" s="104">
        <f t="shared" si="3"/>
        <v>14.95</v>
      </c>
      <c r="O38" s="103" t="s">
        <v>2507</v>
      </c>
      <c r="P38" s="103">
        <f t="shared" si="1"/>
        <v>25</v>
      </c>
      <c r="Q38" s="103">
        <f t="shared" si="2"/>
        <v>1</v>
      </c>
      <c r="R38" s="103" t="s">
        <v>8</v>
      </c>
      <c r="S38" s="103" t="str">
        <f>_xlfn.IFS(MouserListTable[[#This Row],[Column1]]=FilterSpecs!$A$6, FilterSpecs!$B$6,MouserListTable[[#This Row],[Column1]]=FilterSpecs!$A$7,FilterSpecs!$B$7,MouserListTable[[#This Row],[Column1]]=FilterSpecs!$A$8,FilterSpecs!$B$8,MouserListTable[[#This Row],[Column1]]=FilterSpecs!$A$9,FilterSpecs!$B$9)</f>
        <v>474-</v>
      </c>
      <c r="T3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474-DEV-12761</v>
      </c>
      <c r="V38" s="151" t="str">
        <f>IF(MouserListTable[[#This Row],[Qty.]]=0, 0, "")</f>
        <v/>
      </c>
    </row>
    <row r="39" spans="1:22" s="146" customFormat="1" x14ac:dyDescent="0.3">
      <c r="A39" s="103" t="s">
        <v>894</v>
      </c>
      <c r="B39" s="103" t="s">
        <v>1896</v>
      </c>
      <c r="C39" s="103" t="s">
        <v>8</v>
      </c>
      <c r="D39" s="103" t="str">
        <f>IF(MouserListTable[[#This Row],[Vendor]]=FilterSpecs!$A$8,MouserListTable[[#This Row],[Mouser SKU]], MouserListTable[[#This Row],[SKU2]])</f>
        <v>TOL-09419</v>
      </c>
      <c r="E39" s="104">
        <v>1</v>
      </c>
      <c r="F39" s="104" t="s">
        <v>18921</v>
      </c>
      <c r="G39" s="103" t="s">
        <v>234</v>
      </c>
      <c r="H39" s="103" t="s">
        <v>235</v>
      </c>
      <c r="I39" s="103" t="s">
        <v>205</v>
      </c>
      <c r="J39" s="103">
        <v>1</v>
      </c>
      <c r="K39" s="104">
        <v>9.9499999999999993</v>
      </c>
      <c r="L39" s="103" t="s">
        <v>1914</v>
      </c>
      <c r="M39" s="106"/>
      <c r="N39" s="104">
        <f t="shared" si="3"/>
        <v>9.9499999999999993</v>
      </c>
      <c r="O39" s="103" t="s">
        <v>233</v>
      </c>
      <c r="P39" s="103">
        <f t="shared" si="1"/>
        <v>26</v>
      </c>
      <c r="Q39" s="103">
        <f t="shared" si="2"/>
        <v>1</v>
      </c>
      <c r="R39" s="103" t="s">
        <v>8</v>
      </c>
      <c r="S39" s="103" t="str">
        <f>_xlfn.IFS(MouserListTable[[#This Row],[Column1]]=FilterSpecs!$A$6, FilterSpecs!$B$6,MouserListTable[[#This Row],[Column1]]=FilterSpecs!$A$7,FilterSpecs!$B$7,MouserListTable[[#This Row],[Column1]]=FilterSpecs!$A$8,FilterSpecs!$B$8,MouserListTable[[#This Row],[Column1]]=FilterSpecs!$A$9,FilterSpecs!$B$9)</f>
        <v>474-</v>
      </c>
      <c r="T3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474-TOL-09419</v>
      </c>
      <c r="V39" s="151" t="str">
        <f>IF(MouserListTable[[#This Row],[Qty.]]=0, 0, "")</f>
        <v/>
      </c>
    </row>
    <row r="40" spans="1:22" s="146" customFormat="1" x14ac:dyDescent="0.3">
      <c r="A40" s="126" t="s">
        <v>894</v>
      </c>
      <c r="B40" s="126" t="s">
        <v>1896</v>
      </c>
      <c r="C40" s="126" t="s">
        <v>8</v>
      </c>
      <c r="D40" s="103" t="str">
        <f>IF(MouserListTable[[#This Row],[Vendor]]=FilterSpecs!$A$8,MouserListTable[[#This Row],[Mouser SKU]], MouserListTable[[#This Row],[SKU2]])</f>
        <v>BOB-12941</v>
      </c>
      <c r="E40" s="104">
        <v>0</v>
      </c>
      <c r="F40" s="104">
        <v>0</v>
      </c>
      <c r="G40" s="103" t="s">
        <v>287</v>
      </c>
      <c r="H40" s="103" t="s">
        <v>288</v>
      </c>
      <c r="I40" s="103" t="s">
        <v>203</v>
      </c>
      <c r="J40" s="103">
        <v>1</v>
      </c>
      <c r="K40" s="104">
        <v>9.9499999999999993</v>
      </c>
      <c r="L40" s="103" t="s">
        <v>1911</v>
      </c>
      <c r="N40" s="148">
        <v>49.75</v>
      </c>
      <c r="O40" s="103" t="s">
        <v>286</v>
      </c>
      <c r="P40" s="103">
        <f t="shared" si="1"/>
        <v>27</v>
      </c>
      <c r="Q40" s="103">
        <f t="shared" si="2"/>
        <v>1</v>
      </c>
      <c r="R40" s="103" t="s">
        <v>8</v>
      </c>
      <c r="S40" s="103" t="str">
        <f>_xlfn.IFS(MouserListTable[[#This Row],[Column1]]=FilterSpecs!$A$6, FilterSpecs!$B$6,MouserListTable[[#This Row],[Column1]]=FilterSpecs!$A$7,FilterSpecs!$B$7,MouserListTable[[#This Row],[Column1]]=FilterSpecs!$A$8,FilterSpecs!$B$8,MouserListTable[[#This Row],[Column1]]=FilterSpecs!$A$9,FilterSpecs!$B$9)</f>
        <v>474-</v>
      </c>
      <c r="T4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474-BOB-12941</v>
      </c>
      <c r="V40" s="151">
        <f>IF(MouserListTable[[#This Row],[Qty.]]=0, 0, "")</f>
        <v>0</v>
      </c>
    </row>
    <row r="41" spans="1:22" s="146" customFormat="1" x14ac:dyDescent="0.3">
      <c r="A41" s="103" t="s">
        <v>894</v>
      </c>
      <c r="B41" s="103" t="s">
        <v>1896</v>
      </c>
      <c r="C41" s="103" t="s">
        <v>8</v>
      </c>
      <c r="D41" s="103" t="str">
        <f>IF(MouserListTable[[#This Row],[Vendor]]=FilterSpecs!$A$8,MouserListTable[[#This Row],[Mouser SKU]], MouserListTable[[#This Row],[SKU2]])</f>
        <v>DEV-13743</v>
      </c>
      <c r="E41" s="104">
        <f>FilterSpecs!$C$3</f>
        <v>5</v>
      </c>
      <c r="F41" s="104" t="s">
        <v>18921</v>
      </c>
      <c r="G41" s="103" t="s">
        <v>415</v>
      </c>
      <c r="H41" s="103" t="s">
        <v>416</v>
      </c>
      <c r="I41" s="103" t="s">
        <v>223</v>
      </c>
      <c r="J41" s="103">
        <v>1</v>
      </c>
      <c r="K41" s="104">
        <v>4.95</v>
      </c>
      <c r="L41" s="103" t="s">
        <v>1911</v>
      </c>
      <c r="M41" s="106"/>
      <c r="N41" s="104">
        <f>E41*K41</f>
        <v>24.75</v>
      </c>
      <c r="O41" s="103" t="s">
        <v>414</v>
      </c>
      <c r="P41" s="103">
        <f t="shared" si="1"/>
        <v>28</v>
      </c>
      <c r="Q41" s="103">
        <f t="shared" si="2"/>
        <v>1</v>
      </c>
      <c r="R41" s="103" t="s">
        <v>8</v>
      </c>
      <c r="S41" s="103" t="str">
        <f>_xlfn.IFS(MouserListTable[[#This Row],[Column1]]=FilterSpecs!$A$6, FilterSpecs!$B$6,MouserListTable[[#This Row],[Column1]]=FilterSpecs!$A$7,FilterSpecs!$B$7,MouserListTable[[#This Row],[Column1]]=FilterSpecs!$A$8,FilterSpecs!$B$8,MouserListTable[[#This Row],[Column1]]=FilterSpecs!$A$9,FilterSpecs!$B$9)</f>
        <v>474-</v>
      </c>
      <c r="T4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474-DEV-13743</v>
      </c>
      <c r="V41" s="151" t="str">
        <f>IF(MouserListTable[[#This Row],[Qty.]]=0, 0, "")</f>
        <v/>
      </c>
    </row>
    <row r="42" spans="1:22" s="146" customFormat="1" x14ac:dyDescent="0.3">
      <c r="A42" s="103" t="s">
        <v>894</v>
      </c>
      <c r="B42" s="103" t="s">
        <v>1896</v>
      </c>
      <c r="C42" s="103" t="s">
        <v>8</v>
      </c>
      <c r="D42" s="103" t="str">
        <f>IF(MouserListTable[[#This Row],[Vendor]]=FilterSpecs!$A$8,MouserListTable[[#This Row],[Mouser SKU]], MouserListTable[[#This Row],[SKU2]])</f>
        <v>COM-13833</v>
      </c>
      <c r="E42" s="104">
        <f>FilterSpecs!$C$3+1</f>
        <v>6</v>
      </c>
      <c r="F42" s="104" t="s">
        <v>18921</v>
      </c>
      <c r="G42" s="103" t="s">
        <v>636</v>
      </c>
      <c r="H42" s="103" t="s">
        <v>637</v>
      </c>
      <c r="I42" s="103" t="s">
        <v>638</v>
      </c>
      <c r="J42" s="103">
        <v>1</v>
      </c>
      <c r="K42" s="104">
        <v>19.95</v>
      </c>
      <c r="L42" s="103" t="s">
        <v>1911</v>
      </c>
      <c r="M42" s="106"/>
      <c r="N42" s="104">
        <f>E42*K42</f>
        <v>119.69999999999999</v>
      </c>
      <c r="O42" s="103" t="s">
        <v>635</v>
      </c>
      <c r="P42" s="103">
        <f t="shared" si="1"/>
        <v>29</v>
      </c>
      <c r="Q42" s="103">
        <f t="shared" si="2"/>
        <v>1</v>
      </c>
      <c r="R42" s="103" t="s">
        <v>8</v>
      </c>
      <c r="S42" s="103" t="str">
        <f>_xlfn.IFS(MouserListTable[[#This Row],[Column1]]=FilterSpecs!$A$6, FilterSpecs!$B$6,MouserListTable[[#This Row],[Column1]]=FilterSpecs!$A$7,FilterSpecs!$B$7,MouserListTable[[#This Row],[Column1]]=FilterSpecs!$A$8,FilterSpecs!$B$8,MouserListTable[[#This Row],[Column1]]=FilterSpecs!$A$9,FilterSpecs!$B$9)</f>
        <v>474-</v>
      </c>
      <c r="T4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474-COM-13833</v>
      </c>
      <c r="V42" s="151" t="str">
        <f>IF(MouserListTable[[#This Row],[Qty.]]=0, 0, "")</f>
        <v/>
      </c>
    </row>
    <row r="43" spans="1:22" s="146" customFormat="1" x14ac:dyDescent="0.3">
      <c r="A43" s="103" t="s">
        <v>894</v>
      </c>
      <c r="B43" s="103" t="s">
        <v>1896</v>
      </c>
      <c r="C43" s="103" t="s">
        <v>1898</v>
      </c>
      <c r="D43" s="103" t="str">
        <f>IF(MouserListTable[[#This Row],[Vendor]]=FilterSpecs!$A$8,MouserListTable[[#This Row],[Mouser SKU]], MouserListTable[[#This Row],[SKU2]])</f>
        <v>102</v>
      </c>
      <c r="E43" s="104">
        <v>2</v>
      </c>
      <c r="F43" s="104" t="s">
        <v>18921</v>
      </c>
      <c r="G43" s="103"/>
      <c r="H43" s="103"/>
      <c r="I43" s="103" t="s">
        <v>2268</v>
      </c>
      <c r="J43" s="103"/>
      <c r="K43" s="104">
        <v>7.95</v>
      </c>
      <c r="L43" s="103" t="s">
        <v>1910</v>
      </c>
      <c r="M43" s="106"/>
      <c r="N43" s="104">
        <f>E43*K43</f>
        <v>15.9</v>
      </c>
      <c r="O43" s="103" t="s">
        <v>2267</v>
      </c>
      <c r="P43" s="103">
        <f t="shared" si="1"/>
        <v>30</v>
      </c>
      <c r="Q43" s="103">
        <f t="shared" si="2"/>
        <v>1</v>
      </c>
      <c r="R43" s="103" t="s">
        <v>1898</v>
      </c>
      <c r="S43" s="103" t="str">
        <f>_xlfn.IFS(MouserListTable[[#This Row],[Column1]]=FilterSpecs!$A$6, FilterSpecs!$B$6,MouserListTable[[#This Row],[Column1]]=FilterSpecs!$A$7,FilterSpecs!$B$7,MouserListTable[[#This Row],[Column1]]=FilterSpecs!$A$8,FilterSpecs!$B$8,MouserListTable[[#This Row],[Column1]]=FilterSpecs!$A$9,FilterSpecs!$B$9)</f>
        <v>485-</v>
      </c>
      <c r="T4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485-102</v>
      </c>
      <c r="V43" s="151" t="str">
        <f>IF(MouserListTable[[#This Row],[Qty.]]=0, 0, "")</f>
        <v/>
      </c>
    </row>
    <row r="44" spans="1:22" s="146" customFormat="1" x14ac:dyDescent="0.3">
      <c r="A44" s="103" t="s">
        <v>894</v>
      </c>
      <c r="B44" s="103" t="s">
        <v>1896</v>
      </c>
      <c r="C44" s="103" t="s">
        <v>1898</v>
      </c>
      <c r="D44" s="103" t="str">
        <f>IF(MouserListTable[[#This Row],[Vendor]]=FilterSpecs!$A$8,MouserListTable[[#This Row],[Mouser SKU]], MouserListTable[[#This Row],[SKU2]])</f>
        <v>1969</v>
      </c>
      <c r="E44" s="104">
        <v>1</v>
      </c>
      <c r="F44" s="104" t="s">
        <v>18921</v>
      </c>
      <c r="G44" s="103"/>
      <c r="H44" s="103"/>
      <c r="I44" s="103" t="s">
        <v>2078</v>
      </c>
      <c r="J44" s="103"/>
      <c r="K44" s="104">
        <v>2.95</v>
      </c>
      <c r="L44" s="103" t="s">
        <v>1910</v>
      </c>
      <c r="M44" s="106"/>
      <c r="N44" s="104">
        <f>E44*K44</f>
        <v>2.95</v>
      </c>
      <c r="O44" s="103" t="s">
        <v>2079</v>
      </c>
      <c r="P44" s="103">
        <f t="shared" si="1"/>
        <v>31</v>
      </c>
      <c r="Q44" s="103">
        <f t="shared" si="2"/>
        <v>1</v>
      </c>
      <c r="R44" s="103" t="s">
        <v>1898</v>
      </c>
      <c r="S44" s="103" t="str">
        <f>_xlfn.IFS(MouserListTable[[#This Row],[Column1]]=FilterSpecs!$A$6, FilterSpecs!$B$6,MouserListTable[[#This Row],[Column1]]=FilterSpecs!$A$7,FilterSpecs!$B$7,MouserListTable[[#This Row],[Column1]]=FilterSpecs!$A$8,FilterSpecs!$B$8,MouserListTable[[#This Row],[Column1]]=FilterSpecs!$A$9,FilterSpecs!$B$9)</f>
        <v>485-</v>
      </c>
      <c r="T4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485-1969</v>
      </c>
      <c r="V44" s="151" t="str">
        <f>IF(MouserListTable[[#This Row],[Qty.]]=0, 0, "")</f>
        <v/>
      </c>
    </row>
    <row r="45" spans="1:22" s="146" customFormat="1" x14ac:dyDescent="0.3">
      <c r="A45" s="126" t="s">
        <v>894</v>
      </c>
      <c r="B45" s="126" t="s">
        <v>1896</v>
      </c>
      <c r="C45" s="126" t="s">
        <v>1898</v>
      </c>
      <c r="D45" s="103" t="str">
        <f>IF(MouserListTable[[#This Row],[Vendor]]=FilterSpecs!$A$8,MouserListTable[[#This Row],[Mouser SKU]], MouserListTable[[#This Row],[SKU2]])</f>
        <v>2693</v>
      </c>
      <c r="E45" s="104">
        <v>0</v>
      </c>
      <c r="F45" s="104">
        <v>0</v>
      </c>
      <c r="G45" s="103"/>
      <c r="H45" s="103"/>
      <c r="I45" s="103" t="s">
        <v>2270</v>
      </c>
      <c r="J45" s="103"/>
      <c r="K45" s="104">
        <v>19.95</v>
      </c>
      <c r="L45" s="103" t="s">
        <v>1913</v>
      </c>
      <c r="N45" s="148"/>
      <c r="O45" s="103" t="s">
        <v>2269</v>
      </c>
      <c r="P45" s="103">
        <f t="shared" si="1"/>
        <v>32</v>
      </c>
      <c r="Q45" s="103">
        <f t="shared" si="2"/>
        <v>1</v>
      </c>
      <c r="R45" s="103" t="s">
        <v>1898</v>
      </c>
      <c r="S45" s="103" t="str">
        <f>_xlfn.IFS(MouserListTable[[#This Row],[Column1]]=FilterSpecs!$A$6, FilterSpecs!$B$6,MouserListTable[[#This Row],[Column1]]=FilterSpecs!$A$7,FilterSpecs!$B$7,MouserListTable[[#This Row],[Column1]]=FilterSpecs!$A$8,FilterSpecs!$B$8,MouserListTable[[#This Row],[Column1]]=FilterSpecs!$A$9,FilterSpecs!$B$9)</f>
        <v>485-</v>
      </c>
      <c r="T4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485-2693</v>
      </c>
      <c r="V45" s="151">
        <f>IF(MouserListTable[[#This Row],[Qty.]]=0, 0, "")</f>
        <v>0</v>
      </c>
    </row>
    <row r="46" spans="1:22" s="146" customFormat="1" x14ac:dyDescent="0.3">
      <c r="A46" s="103" t="s">
        <v>894</v>
      </c>
      <c r="B46" s="103" t="s">
        <v>1896</v>
      </c>
      <c r="C46" s="103" t="s">
        <v>1898</v>
      </c>
      <c r="D46" s="103" t="str">
        <f>IF(MouserListTable[[#This Row],[Vendor]]=FilterSpecs!$A$8,MouserListTable[[#This Row],[Mouser SKU]], MouserListTable[[#This Row],[SKU2]])</f>
        <v>1294</v>
      </c>
      <c r="E46" s="104">
        <v>0</v>
      </c>
      <c r="F46" s="104">
        <v>0</v>
      </c>
      <c r="G46" s="103"/>
      <c r="H46" s="103"/>
      <c r="I46" s="126" t="s">
        <v>2272</v>
      </c>
      <c r="K46" s="148">
        <v>9.9499999999999993</v>
      </c>
      <c r="L46" s="126" t="s">
        <v>1910</v>
      </c>
      <c r="N46" s="148"/>
      <c r="O46" s="103" t="s">
        <v>2271</v>
      </c>
      <c r="P46" s="103">
        <f t="shared" si="1"/>
        <v>33</v>
      </c>
      <c r="Q46" s="103">
        <f t="shared" si="2"/>
        <v>1</v>
      </c>
      <c r="R46" s="103" t="s">
        <v>1898</v>
      </c>
      <c r="S46" s="103" t="str">
        <f>_xlfn.IFS(MouserListTable[[#This Row],[Column1]]=FilterSpecs!$A$6, FilterSpecs!$B$6,MouserListTable[[#This Row],[Column1]]=FilterSpecs!$A$7,FilterSpecs!$B$7,MouserListTable[[#This Row],[Column1]]=FilterSpecs!$A$8,FilterSpecs!$B$8,MouserListTable[[#This Row],[Column1]]=FilterSpecs!$A$9,FilterSpecs!$B$9)</f>
        <v>485-</v>
      </c>
      <c r="T4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485-1294</v>
      </c>
      <c r="V46" s="151">
        <f>IF(MouserListTable[[#This Row],[Qty.]]=0, 0, "")</f>
        <v>0</v>
      </c>
    </row>
    <row r="47" spans="1:22" s="146" customFormat="1" x14ac:dyDescent="0.3">
      <c r="A47" s="103" t="s">
        <v>894</v>
      </c>
      <c r="B47" s="103" t="s">
        <v>1896</v>
      </c>
      <c r="C47" s="103" t="s">
        <v>8</v>
      </c>
      <c r="D47" s="103" t="str">
        <f>IF(MouserListTable[[#This Row],[Vendor]]=FilterSpecs!$A$8,MouserListTable[[#This Row],[Mouser SKU]], MouserListTable[[#This Row],[SKU2]])</f>
        <v>DEV-11643</v>
      </c>
      <c r="E47" s="104">
        <v>1</v>
      </c>
      <c r="F47" s="104" t="s">
        <v>18921</v>
      </c>
      <c r="G47" s="103" t="s">
        <v>333</v>
      </c>
      <c r="H47" s="103" t="s">
        <v>334</v>
      </c>
      <c r="I47" s="103" t="s">
        <v>335</v>
      </c>
      <c r="J47" s="146">
        <v>1</v>
      </c>
      <c r="K47" s="104">
        <v>54.95</v>
      </c>
      <c r="L47" s="103" t="s">
        <v>2490</v>
      </c>
      <c r="M47" s="106"/>
      <c r="N47" s="104">
        <f t="shared" ref="N47:N57" si="4">E47*K47</f>
        <v>54.95</v>
      </c>
      <c r="O47" s="103" t="s">
        <v>332</v>
      </c>
      <c r="P47" s="103">
        <f t="shared" si="1"/>
        <v>34</v>
      </c>
      <c r="Q47" s="103">
        <f t="shared" si="2"/>
        <v>1</v>
      </c>
      <c r="R47" s="103" t="s">
        <v>8</v>
      </c>
      <c r="S47" s="103" t="str">
        <f>_xlfn.IFS(MouserListTable[[#This Row],[Column1]]=FilterSpecs!$A$6, FilterSpecs!$B$6,MouserListTable[[#This Row],[Column1]]=FilterSpecs!$A$7,FilterSpecs!$B$7,MouserListTable[[#This Row],[Column1]]=FilterSpecs!$A$8,FilterSpecs!$B$8,MouserListTable[[#This Row],[Column1]]=FilterSpecs!$A$9,FilterSpecs!$B$9)</f>
        <v>474-</v>
      </c>
      <c r="T4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474-DEV-11643</v>
      </c>
      <c r="V47" s="151" t="str">
        <f>IF(MouserListTable[[#This Row],[Qty.]]=0, 0, "")</f>
        <v/>
      </c>
    </row>
    <row r="48" spans="1:22" s="146" customFormat="1" x14ac:dyDescent="0.3">
      <c r="A48" s="103" t="s">
        <v>894</v>
      </c>
      <c r="B48" s="103" t="s">
        <v>1896</v>
      </c>
      <c r="C48" s="103" t="s">
        <v>8</v>
      </c>
      <c r="D48" s="103" t="str">
        <f>IF(MouserListTable[[#This Row],[Vendor]]=FilterSpecs!$A$8,MouserListTable[[#This Row],[Mouser SKU]], MouserListTable[[#This Row],[SKU2]])</f>
        <v>COM-13004</v>
      </c>
      <c r="E48" s="104">
        <f>FilterSpecs!$C$3</f>
        <v>5</v>
      </c>
      <c r="F48" s="104" t="s">
        <v>18921</v>
      </c>
      <c r="G48" s="103" t="s">
        <v>348</v>
      </c>
      <c r="H48" s="103" t="s">
        <v>349</v>
      </c>
      <c r="I48" s="103" t="s">
        <v>350</v>
      </c>
      <c r="K48" s="104">
        <v>4.95</v>
      </c>
      <c r="L48" s="103" t="s">
        <v>1911</v>
      </c>
      <c r="M48" s="106"/>
      <c r="N48" s="104">
        <f t="shared" si="4"/>
        <v>24.75</v>
      </c>
      <c r="O48" s="103" t="s">
        <v>347</v>
      </c>
      <c r="P48" s="103">
        <f t="shared" si="1"/>
        <v>35</v>
      </c>
      <c r="Q48" s="103">
        <f t="shared" si="2"/>
        <v>1</v>
      </c>
      <c r="R48" s="103" t="s">
        <v>8</v>
      </c>
      <c r="S48" s="103" t="str">
        <f>_xlfn.IFS(MouserListTable[[#This Row],[Column1]]=FilterSpecs!$A$6, FilterSpecs!$B$6,MouserListTable[[#This Row],[Column1]]=FilterSpecs!$A$7,FilterSpecs!$B$7,MouserListTable[[#This Row],[Column1]]=FilterSpecs!$A$8,FilterSpecs!$B$8,MouserListTable[[#This Row],[Column1]]=FilterSpecs!$A$9,FilterSpecs!$B$9)</f>
        <v>474-</v>
      </c>
      <c r="T4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474-COM-13004</v>
      </c>
      <c r="V48" s="151" t="str">
        <f>IF(MouserListTable[[#This Row],[Qty.]]=0, 0, "")</f>
        <v/>
      </c>
    </row>
    <row r="49" spans="1:22" s="146" customFormat="1" x14ac:dyDescent="0.3">
      <c r="A49" s="103" t="s">
        <v>894</v>
      </c>
      <c r="B49" s="103" t="s">
        <v>1896</v>
      </c>
      <c r="C49" s="103" t="s">
        <v>8</v>
      </c>
      <c r="D49" s="103" t="str">
        <f>IF(MouserListTable[[#This Row],[Vendor]]=FilterSpecs!$A$8,MouserListTable[[#This Row],[Mouser SKU]], MouserListTable[[#This Row],[SKU2]])</f>
        <v>BOB-10160</v>
      </c>
      <c r="E49" s="104">
        <v>1</v>
      </c>
      <c r="F49" s="104" t="s">
        <v>18921</v>
      </c>
      <c r="G49" s="103" t="s">
        <v>926</v>
      </c>
      <c r="H49" s="103" t="s">
        <v>927</v>
      </c>
      <c r="I49" s="103" t="s">
        <v>928</v>
      </c>
      <c r="J49" s="146">
        <v>1</v>
      </c>
      <c r="K49" s="104">
        <v>19.95</v>
      </c>
      <c r="L49" s="103" t="s">
        <v>1914</v>
      </c>
      <c r="M49" s="106"/>
      <c r="N49" s="104">
        <f t="shared" si="4"/>
        <v>19.95</v>
      </c>
      <c r="O49" s="103" t="s">
        <v>925</v>
      </c>
      <c r="P49" s="103">
        <f t="shared" si="1"/>
        <v>36</v>
      </c>
      <c r="Q49" s="103">
        <f t="shared" si="2"/>
        <v>1</v>
      </c>
      <c r="R49" s="103" t="s">
        <v>8</v>
      </c>
      <c r="S49" s="103" t="str">
        <f>_xlfn.IFS(MouserListTable[[#This Row],[Column1]]=FilterSpecs!$A$6, FilterSpecs!$B$6,MouserListTable[[#This Row],[Column1]]=FilterSpecs!$A$7,FilterSpecs!$B$7,MouserListTable[[#This Row],[Column1]]=FilterSpecs!$A$8,FilterSpecs!$B$8,MouserListTable[[#This Row],[Column1]]=FilterSpecs!$A$9,FilterSpecs!$B$9)</f>
        <v>474-</v>
      </c>
      <c r="T4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474-BOB-10160</v>
      </c>
      <c r="V49" s="151" t="str">
        <f>IF(MouserListTable[[#This Row],[Qty.]]=0, 0, "")</f>
        <v/>
      </c>
    </row>
    <row r="50" spans="1:22" s="146" customFormat="1" x14ac:dyDescent="0.3">
      <c r="A50" s="103" t="s">
        <v>894</v>
      </c>
      <c r="B50" s="103" t="s">
        <v>2030</v>
      </c>
      <c r="C50" s="103" t="s">
        <v>8</v>
      </c>
      <c r="D50" s="103" t="str">
        <f>IF(MouserListTable[[#This Row],[Vendor]]=FilterSpecs!$A$8,MouserListTable[[#This Row],[Mouser SKU]], MouserListTable[[#This Row],[SKU2]])</f>
        <v>COM-12014</v>
      </c>
      <c r="E50" s="104">
        <v>1</v>
      </c>
      <c r="F50" s="104" t="s">
        <v>18921</v>
      </c>
      <c r="G50" s="103" t="s">
        <v>1141</v>
      </c>
      <c r="H50" s="103" t="s">
        <v>1142</v>
      </c>
      <c r="I50" s="103" t="s">
        <v>1143</v>
      </c>
      <c r="J50" s="103">
        <v>1</v>
      </c>
      <c r="K50" s="104">
        <v>3.95</v>
      </c>
      <c r="L50" s="103" t="s">
        <v>1910</v>
      </c>
      <c r="M50" s="106"/>
      <c r="N50" s="104">
        <f t="shared" si="4"/>
        <v>3.95</v>
      </c>
      <c r="O50" s="103" t="s">
        <v>1140</v>
      </c>
      <c r="P50" s="103">
        <f t="shared" si="1"/>
        <v>37</v>
      </c>
      <c r="Q50" s="103">
        <f t="shared" si="2"/>
        <v>1</v>
      </c>
      <c r="R50" s="103" t="s">
        <v>8</v>
      </c>
      <c r="S50" s="103" t="str">
        <f>_xlfn.IFS(MouserListTable[[#This Row],[Column1]]=FilterSpecs!$A$6, FilterSpecs!$B$6,MouserListTable[[#This Row],[Column1]]=FilterSpecs!$A$7,FilterSpecs!$B$7,MouserListTable[[#This Row],[Column1]]=FilterSpecs!$A$8,FilterSpecs!$B$8,MouserListTable[[#This Row],[Column1]]=FilterSpecs!$A$9,FilterSpecs!$B$9)</f>
        <v>474-</v>
      </c>
      <c r="T5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474-COM-12014</v>
      </c>
      <c r="V50" s="151" t="str">
        <f>IF(MouserListTable[[#This Row],[Qty.]]=0, 0, "")</f>
        <v/>
      </c>
    </row>
    <row r="51" spans="1:22" s="146" customFormat="1" x14ac:dyDescent="0.3">
      <c r="A51" s="103" t="s">
        <v>894</v>
      </c>
      <c r="B51" s="103" t="s">
        <v>2030</v>
      </c>
      <c r="C51" s="103" t="s">
        <v>8</v>
      </c>
      <c r="D51" s="103" t="str">
        <f>IF(MouserListTable[[#This Row],[Vendor]]=FilterSpecs!$A$8,MouserListTable[[#This Row],[Mouser SKU]], MouserListTable[[#This Row],[SKU2]])</f>
        <v>COM-11408</v>
      </c>
      <c r="E51" s="104">
        <v>1</v>
      </c>
      <c r="F51" s="104" t="s">
        <v>18921</v>
      </c>
      <c r="G51" s="103" t="s">
        <v>1730</v>
      </c>
      <c r="H51" s="103" t="s">
        <v>1731</v>
      </c>
      <c r="I51" s="103" t="s">
        <v>1732</v>
      </c>
      <c r="J51" s="103">
        <v>1</v>
      </c>
      <c r="K51" s="104">
        <v>2.95</v>
      </c>
      <c r="L51" s="103" t="s">
        <v>1910</v>
      </c>
      <c r="M51" s="106"/>
      <c r="N51" s="104">
        <f t="shared" si="4"/>
        <v>2.95</v>
      </c>
      <c r="O51" s="103" t="s">
        <v>1729</v>
      </c>
      <c r="P51" s="103">
        <f t="shared" si="1"/>
        <v>38</v>
      </c>
      <c r="Q51" s="103">
        <f t="shared" si="2"/>
        <v>1</v>
      </c>
      <c r="R51" s="103" t="s">
        <v>8</v>
      </c>
      <c r="S51" s="103" t="str">
        <f>_xlfn.IFS(MouserListTable[[#This Row],[Column1]]=FilterSpecs!$A$6, FilterSpecs!$B$6,MouserListTable[[#This Row],[Column1]]=FilterSpecs!$A$7,FilterSpecs!$B$7,MouserListTable[[#This Row],[Column1]]=FilterSpecs!$A$8,FilterSpecs!$B$8,MouserListTable[[#This Row],[Column1]]=FilterSpecs!$A$9,FilterSpecs!$B$9)</f>
        <v>474-</v>
      </c>
      <c r="T5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474-COM-11408</v>
      </c>
      <c r="V51" s="151" t="str">
        <f>IF(MouserListTable[[#This Row],[Qty.]]=0, 0, "")</f>
        <v/>
      </c>
    </row>
    <row r="52" spans="1:22" s="146" customFormat="1" x14ac:dyDescent="0.3">
      <c r="A52" s="103" t="s">
        <v>894</v>
      </c>
      <c r="B52" s="103" t="s">
        <v>2030</v>
      </c>
      <c r="C52" s="103" t="s">
        <v>8</v>
      </c>
      <c r="D52" s="103" t="str">
        <f>IF(MouserListTable[[#This Row],[Vendor]]=FilterSpecs!$A$8,MouserListTable[[#This Row],[Mouser SKU]], MouserListTable[[#This Row],[SKU2]])</f>
        <v>COM-13999</v>
      </c>
      <c r="E52" s="104">
        <v>1</v>
      </c>
      <c r="F52" s="104" t="s">
        <v>18921</v>
      </c>
      <c r="G52" s="103" t="s">
        <v>1674</v>
      </c>
      <c r="H52" s="103" t="s">
        <v>1675</v>
      </c>
      <c r="I52" s="103" t="s">
        <v>1676</v>
      </c>
      <c r="J52" s="103"/>
      <c r="K52" s="104">
        <v>3.95</v>
      </c>
      <c r="L52" s="103" t="s">
        <v>1910</v>
      </c>
      <c r="M52" s="106"/>
      <c r="N52" s="104">
        <f t="shared" si="4"/>
        <v>3.95</v>
      </c>
      <c r="O52" s="103" t="s">
        <v>1673</v>
      </c>
      <c r="P52" s="103">
        <f t="shared" si="1"/>
        <v>39</v>
      </c>
      <c r="Q52" s="103">
        <f t="shared" si="2"/>
        <v>1</v>
      </c>
      <c r="R52" s="103" t="s">
        <v>8</v>
      </c>
      <c r="S52" s="103" t="str">
        <f>_xlfn.IFS(MouserListTable[[#This Row],[Column1]]=FilterSpecs!$A$6, FilterSpecs!$B$6,MouserListTable[[#This Row],[Column1]]=FilterSpecs!$A$7,FilterSpecs!$B$7,MouserListTable[[#This Row],[Column1]]=FilterSpecs!$A$8,FilterSpecs!$B$8,MouserListTable[[#This Row],[Column1]]=FilterSpecs!$A$9,FilterSpecs!$B$9)</f>
        <v>474-</v>
      </c>
      <c r="T5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474-COM-13999</v>
      </c>
      <c r="V52" s="151" t="str">
        <f>IF(MouserListTable[[#This Row],[Qty.]]=0, 0, "")</f>
        <v/>
      </c>
    </row>
    <row r="53" spans="1:22" s="146" customFormat="1" x14ac:dyDescent="0.3">
      <c r="A53" s="103" t="s">
        <v>894</v>
      </c>
      <c r="B53" s="103" t="s">
        <v>2030</v>
      </c>
      <c r="C53" s="103" t="s">
        <v>8</v>
      </c>
      <c r="D53" s="103" t="str">
        <f>IF(MouserListTable[[#This Row],[Vendor]]=FilterSpecs!$A$8,MouserListTable[[#This Row],[Mouser SKU]], MouserListTable[[#This Row],[SKU2]])</f>
        <v>COM-09938</v>
      </c>
      <c r="E53" s="104">
        <f>2*FilterSpecs!$C$3</f>
        <v>10</v>
      </c>
      <c r="F53" s="104" t="s">
        <v>18921</v>
      </c>
      <c r="G53" s="103" t="s">
        <v>1446</v>
      </c>
      <c r="H53" s="103" t="s">
        <v>1447</v>
      </c>
      <c r="I53" s="103" t="s">
        <v>1448</v>
      </c>
      <c r="J53" s="103">
        <v>1</v>
      </c>
      <c r="K53" s="104">
        <v>1.95</v>
      </c>
      <c r="L53" s="103" t="s">
        <v>1911</v>
      </c>
      <c r="M53" s="106"/>
      <c r="N53" s="104">
        <f t="shared" si="4"/>
        <v>19.5</v>
      </c>
      <c r="O53" s="103" t="s">
        <v>1445</v>
      </c>
      <c r="P53" s="103">
        <f t="shared" si="1"/>
        <v>40</v>
      </c>
      <c r="Q53" s="103">
        <f t="shared" si="2"/>
        <v>1</v>
      </c>
      <c r="R53" s="103" t="s">
        <v>8</v>
      </c>
      <c r="S53" s="103" t="str">
        <f>_xlfn.IFS(MouserListTable[[#This Row],[Column1]]=FilterSpecs!$A$6, FilterSpecs!$B$6,MouserListTable[[#This Row],[Column1]]=FilterSpecs!$A$7,FilterSpecs!$B$7,MouserListTable[[#This Row],[Column1]]=FilterSpecs!$A$8,FilterSpecs!$B$8,MouserListTable[[#This Row],[Column1]]=FilterSpecs!$A$9,FilterSpecs!$B$9)</f>
        <v>474-</v>
      </c>
      <c r="T5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474-COM-09938</v>
      </c>
      <c r="V53" s="151" t="str">
        <f>IF(MouserListTable[[#This Row],[Qty.]]=0, 0, "")</f>
        <v/>
      </c>
    </row>
    <row r="54" spans="1:22" s="146" customFormat="1" x14ac:dyDescent="0.3">
      <c r="A54" s="103" t="s">
        <v>894</v>
      </c>
      <c r="B54" s="103" t="s">
        <v>2030</v>
      </c>
      <c r="C54" s="103" t="s">
        <v>8</v>
      </c>
      <c r="D54" s="103" t="str">
        <f>IF(MouserListTable[[#This Row],[Vendor]]=FilterSpecs!$A$8,MouserListTable[[#This Row],[Mouser SKU]], MouserListTable[[#This Row],[SKU2]])</f>
        <v>BOB-13282</v>
      </c>
      <c r="E54" s="104">
        <v>2</v>
      </c>
      <c r="F54" s="104" t="s">
        <v>18921</v>
      </c>
      <c r="G54" s="103" t="s">
        <v>1137</v>
      </c>
      <c r="H54" s="103" t="s">
        <v>1138</v>
      </c>
      <c r="I54" s="103" t="s">
        <v>1139</v>
      </c>
      <c r="J54" s="103">
        <v>1</v>
      </c>
      <c r="K54" s="104">
        <v>2.95</v>
      </c>
      <c r="L54" s="103" t="s">
        <v>1910</v>
      </c>
      <c r="M54" s="106"/>
      <c r="N54" s="104">
        <f t="shared" si="4"/>
        <v>5.9</v>
      </c>
      <c r="O54" s="103" t="s">
        <v>1136</v>
      </c>
      <c r="P54" s="103">
        <f t="shared" si="1"/>
        <v>41</v>
      </c>
      <c r="Q54" s="103">
        <f t="shared" si="2"/>
        <v>1</v>
      </c>
      <c r="R54" s="103" t="s">
        <v>8</v>
      </c>
      <c r="S54" s="103" t="str">
        <f>_xlfn.IFS(MouserListTable[[#This Row],[Column1]]=FilterSpecs!$A$6, FilterSpecs!$B$6,MouserListTable[[#This Row],[Column1]]=FilterSpecs!$A$7,FilterSpecs!$B$7,MouserListTable[[#This Row],[Column1]]=FilterSpecs!$A$8,FilterSpecs!$B$8,MouserListTable[[#This Row],[Column1]]=FilterSpecs!$A$9,FilterSpecs!$B$9)</f>
        <v>474-</v>
      </c>
      <c r="T5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474-BOB-13282</v>
      </c>
      <c r="V54" s="151" t="str">
        <f>IF(MouserListTable[[#This Row],[Qty.]]=0, 0, "")</f>
        <v/>
      </c>
    </row>
    <row r="55" spans="1:22" s="146" customFormat="1" x14ac:dyDescent="0.3">
      <c r="A55" s="103" t="s">
        <v>894</v>
      </c>
      <c r="B55" s="103" t="s">
        <v>2030</v>
      </c>
      <c r="C55" s="103" t="s">
        <v>8</v>
      </c>
      <c r="D55" s="103" t="str">
        <f>IF(MouserListTable[[#This Row],[Vendor]]=FilterSpecs!$A$8,MouserListTable[[#This Row],[Mouser SKU]], MouserListTable[[#This Row],[SKU2]])</f>
        <v>BOB-13884</v>
      </c>
      <c r="E55" s="104">
        <f>FilterSpecs!$C$3</f>
        <v>5</v>
      </c>
      <c r="F55" s="104" t="s">
        <v>18921</v>
      </c>
      <c r="G55" s="103" t="s">
        <v>1133</v>
      </c>
      <c r="H55" s="103" t="s">
        <v>1134</v>
      </c>
      <c r="I55" s="103" t="s">
        <v>1135</v>
      </c>
      <c r="J55" s="103">
        <v>1</v>
      </c>
      <c r="K55" s="104">
        <v>7.95</v>
      </c>
      <c r="L55" s="103" t="s">
        <v>1911</v>
      </c>
      <c r="M55" s="106"/>
      <c r="N55" s="104">
        <f t="shared" si="4"/>
        <v>39.75</v>
      </c>
      <c r="O55" s="103" t="s">
        <v>1132</v>
      </c>
      <c r="P55" s="103">
        <f t="shared" si="1"/>
        <v>42</v>
      </c>
      <c r="Q55" s="103">
        <f t="shared" si="2"/>
        <v>1</v>
      </c>
      <c r="R55" s="103" t="s">
        <v>8</v>
      </c>
      <c r="S55" s="103" t="str">
        <f>_xlfn.IFS(MouserListTable[[#This Row],[Column1]]=FilterSpecs!$A$6, FilterSpecs!$B$6,MouserListTable[[#This Row],[Column1]]=FilterSpecs!$A$7,FilterSpecs!$B$7,MouserListTable[[#This Row],[Column1]]=FilterSpecs!$A$8,FilterSpecs!$B$8,MouserListTable[[#This Row],[Column1]]=FilterSpecs!$A$9,FilterSpecs!$B$9)</f>
        <v>474-</v>
      </c>
      <c r="T5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474-BOB-13884</v>
      </c>
      <c r="V55" s="151" t="str">
        <f>IF(MouserListTable[[#This Row],[Qty.]]=0, 0, "")</f>
        <v/>
      </c>
    </row>
    <row r="56" spans="1:22" s="146" customFormat="1" x14ac:dyDescent="0.3">
      <c r="A56" s="103" t="s">
        <v>894</v>
      </c>
      <c r="B56" s="103" t="s">
        <v>2030</v>
      </c>
      <c r="C56" s="103" t="s">
        <v>8</v>
      </c>
      <c r="D56" s="103" t="str">
        <f>IF(MouserListTable[[#This Row],[Vendor]]=FilterSpecs!$A$8,MouserListTable[[#This Row],[Mouser SKU]], MouserListTable[[#This Row],[SKU2]])</f>
        <v>COM-12661</v>
      </c>
      <c r="E56" s="104">
        <v>1</v>
      </c>
      <c r="F56" s="104" t="s">
        <v>18921</v>
      </c>
      <c r="G56" s="103" t="s">
        <v>121</v>
      </c>
      <c r="H56" s="103" t="s">
        <v>122</v>
      </c>
      <c r="I56" s="103" t="s">
        <v>123</v>
      </c>
      <c r="J56" s="103">
        <v>1</v>
      </c>
      <c r="K56" s="104">
        <v>5.95</v>
      </c>
      <c r="L56" s="103" t="s">
        <v>1910</v>
      </c>
      <c r="M56" s="106"/>
      <c r="N56" s="104">
        <f t="shared" si="4"/>
        <v>5.95</v>
      </c>
      <c r="O56" s="103" t="s">
        <v>120</v>
      </c>
      <c r="P56" s="103">
        <f t="shared" si="1"/>
        <v>43</v>
      </c>
      <c r="Q56" s="103">
        <f t="shared" si="2"/>
        <v>1</v>
      </c>
      <c r="R56" s="103" t="s">
        <v>8</v>
      </c>
      <c r="S56" s="103" t="str">
        <f>_xlfn.IFS(MouserListTable[[#This Row],[Column1]]=FilterSpecs!$A$6, FilterSpecs!$B$6,MouserListTable[[#This Row],[Column1]]=FilterSpecs!$A$7,FilterSpecs!$B$7,MouserListTable[[#This Row],[Column1]]=FilterSpecs!$A$8,FilterSpecs!$B$8,MouserListTable[[#This Row],[Column1]]=FilterSpecs!$A$9,FilterSpecs!$B$9)</f>
        <v>474-</v>
      </c>
      <c r="T5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474-COM-12661</v>
      </c>
      <c r="V56" s="151" t="str">
        <f>IF(MouserListTable[[#This Row],[Qty.]]=0, 0, "")</f>
        <v/>
      </c>
    </row>
    <row r="57" spans="1:22" s="146" customFormat="1" x14ac:dyDescent="0.3">
      <c r="A57" s="103" t="s">
        <v>894</v>
      </c>
      <c r="B57" s="103" t="s">
        <v>2030</v>
      </c>
      <c r="C57" s="103" t="s">
        <v>8</v>
      </c>
      <c r="D57" s="103" t="str">
        <f>IF(MouserListTable[[#This Row],[Vendor]]=FilterSpecs!$A$8,MouserListTable[[#This Row],[Mouser SKU]], MouserListTable[[#This Row],[SKU2]])</f>
        <v>COM-09637</v>
      </c>
      <c r="E57" s="104">
        <v>3</v>
      </c>
      <c r="F57" s="104" t="s">
        <v>18921</v>
      </c>
      <c r="G57" s="103" t="s">
        <v>125</v>
      </c>
      <c r="H57" s="103" t="s">
        <v>126</v>
      </c>
      <c r="I57" s="103" t="s">
        <v>127</v>
      </c>
      <c r="J57" s="103">
        <v>1</v>
      </c>
      <c r="K57" s="104">
        <v>4.95</v>
      </c>
      <c r="L57" s="103" t="s">
        <v>1910</v>
      </c>
      <c r="M57" s="106"/>
      <c r="N57" s="104">
        <f t="shared" si="4"/>
        <v>14.850000000000001</v>
      </c>
      <c r="O57" s="103" t="s">
        <v>124</v>
      </c>
      <c r="P57" s="103">
        <f t="shared" si="1"/>
        <v>44</v>
      </c>
      <c r="Q57" s="103">
        <f t="shared" si="2"/>
        <v>1</v>
      </c>
      <c r="R57" s="103" t="s">
        <v>8</v>
      </c>
      <c r="S57" s="103" t="str">
        <f>_xlfn.IFS(MouserListTable[[#This Row],[Column1]]=FilterSpecs!$A$6, FilterSpecs!$B$6,MouserListTable[[#This Row],[Column1]]=FilterSpecs!$A$7,FilterSpecs!$B$7,MouserListTable[[#This Row],[Column1]]=FilterSpecs!$A$8,FilterSpecs!$B$8,MouserListTable[[#This Row],[Column1]]=FilterSpecs!$A$9,FilterSpecs!$B$9)</f>
        <v>474-</v>
      </c>
      <c r="T5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474-COM-09637</v>
      </c>
      <c r="V57" s="151" t="str">
        <f>IF(MouserListTable[[#This Row],[Qty.]]=0, 0, "")</f>
        <v/>
      </c>
    </row>
    <row r="58" spans="1:22" s="146" customFormat="1" x14ac:dyDescent="0.3">
      <c r="A58" s="103" t="s">
        <v>894</v>
      </c>
      <c r="B58" s="103" t="s">
        <v>2030</v>
      </c>
      <c r="C58" s="103" t="s">
        <v>1898</v>
      </c>
      <c r="D58" s="103" t="str">
        <f>IF(MouserListTable[[#This Row],[Vendor]]=FilterSpecs!$A$8,MouserListTable[[#This Row],[Mouser SKU]], MouserListTable[[#This Row],[SKU2]])</f>
        <v>1621</v>
      </c>
      <c r="E58" s="104">
        <v>0</v>
      </c>
      <c r="F58" s="104">
        <v>0</v>
      </c>
      <c r="G58" s="103"/>
      <c r="H58" s="103"/>
      <c r="I58" s="126" t="s">
        <v>2345</v>
      </c>
      <c r="K58" s="148">
        <v>2.95</v>
      </c>
      <c r="L58" s="126" t="s">
        <v>1910</v>
      </c>
      <c r="N58" s="148"/>
      <c r="O58" s="103" t="s">
        <v>2344</v>
      </c>
      <c r="P58" s="103">
        <f t="shared" si="1"/>
        <v>45</v>
      </c>
      <c r="Q58" s="103">
        <f t="shared" si="2"/>
        <v>1</v>
      </c>
      <c r="R58" s="103" t="s">
        <v>1898</v>
      </c>
      <c r="S58" s="103" t="str">
        <f>_xlfn.IFS(MouserListTable[[#This Row],[Column1]]=FilterSpecs!$A$6, FilterSpecs!$B$6,MouserListTable[[#This Row],[Column1]]=FilterSpecs!$A$7,FilterSpecs!$B$7,MouserListTable[[#This Row],[Column1]]=FilterSpecs!$A$8,FilterSpecs!$B$8,MouserListTable[[#This Row],[Column1]]=FilterSpecs!$A$9,FilterSpecs!$B$9)</f>
        <v>485-</v>
      </c>
      <c r="T5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485-1621</v>
      </c>
      <c r="V58" s="151">
        <f>IF(MouserListTable[[#This Row],[Qty.]]=0, 0, "")</f>
        <v>0</v>
      </c>
    </row>
    <row r="59" spans="1:22" s="146" customFormat="1" x14ac:dyDescent="0.3">
      <c r="A59" s="103" t="s">
        <v>894</v>
      </c>
      <c r="B59" s="103" t="s">
        <v>2030</v>
      </c>
      <c r="C59" s="103" t="s">
        <v>1898</v>
      </c>
      <c r="D59" s="103" t="str">
        <f>IF(MouserListTable[[#This Row],[Vendor]]=FilterSpecs!$A$8,MouserListTable[[#This Row],[Mouser SKU]], MouserListTable[[#This Row],[SKU2]])</f>
        <v>1622</v>
      </c>
      <c r="E59" s="104">
        <v>0</v>
      </c>
      <c r="F59" s="104">
        <v>0</v>
      </c>
      <c r="G59" s="103"/>
      <c r="H59" s="103"/>
      <c r="I59" s="126" t="s">
        <v>2347</v>
      </c>
      <c r="K59" s="148">
        <v>2.5</v>
      </c>
      <c r="L59" s="126" t="s">
        <v>1910</v>
      </c>
      <c r="N59" s="148"/>
      <c r="O59" s="103" t="s">
        <v>2346</v>
      </c>
      <c r="P59" s="103">
        <f t="shared" si="1"/>
        <v>46</v>
      </c>
      <c r="Q59" s="103">
        <f t="shared" si="2"/>
        <v>1</v>
      </c>
      <c r="R59" s="103" t="s">
        <v>1898</v>
      </c>
      <c r="S59" s="103" t="str">
        <f>_xlfn.IFS(MouserListTable[[#This Row],[Column1]]=FilterSpecs!$A$6, FilterSpecs!$B$6,MouserListTable[[#This Row],[Column1]]=FilterSpecs!$A$7,FilterSpecs!$B$7,MouserListTable[[#This Row],[Column1]]=FilterSpecs!$A$8,FilterSpecs!$B$8,MouserListTable[[#This Row],[Column1]]=FilterSpecs!$A$9,FilterSpecs!$B$9)</f>
        <v>485-</v>
      </c>
      <c r="T5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485-1622</v>
      </c>
      <c r="V59" s="151">
        <f>IF(MouserListTable[[#This Row],[Qty.]]=0, 0, "")</f>
        <v>0</v>
      </c>
    </row>
    <row r="60" spans="1:22" s="146" customFormat="1" x14ac:dyDescent="0.3">
      <c r="A60" s="103" t="s">
        <v>894</v>
      </c>
      <c r="B60" s="103" t="s">
        <v>1616</v>
      </c>
      <c r="C60" s="103" t="s">
        <v>8</v>
      </c>
      <c r="D60" s="103" t="str">
        <f>IF(MouserListTable[[#This Row],[Vendor]]=FilterSpecs!$A$8,MouserListTable[[#This Row],[Mouser SKU]], MouserListTable[[#This Row],[SKU2]])</f>
        <v>DEV-11061</v>
      </c>
      <c r="E60" s="104">
        <f>FilterSpecs!$C$3</f>
        <v>5</v>
      </c>
      <c r="F60" s="104" t="s">
        <v>18921</v>
      </c>
      <c r="G60" s="103" t="s">
        <v>33</v>
      </c>
      <c r="H60" s="103" t="s">
        <v>34</v>
      </c>
      <c r="I60" s="103" t="s">
        <v>35</v>
      </c>
      <c r="J60" s="103">
        <v>1</v>
      </c>
      <c r="K60" s="104">
        <v>45.95</v>
      </c>
      <c r="L60" s="103" t="s">
        <v>1911</v>
      </c>
      <c r="M60" s="106"/>
      <c r="N60" s="104">
        <f>E60*K60</f>
        <v>229.75</v>
      </c>
      <c r="O60" s="103" t="s">
        <v>32</v>
      </c>
      <c r="P60" s="103">
        <f t="shared" si="1"/>
        <v>47</v>
      </c>
      <c r="Q60" s="103">
        <f t="shared" si="2"/>
        <v>1</v>
      </c>
      <c r="R60" s="103" t="s">
        <v>8</v>
      </c>
      <c r="S60" s="103" t="str">
        <f>_xlfn.IFS(MouserListTable[[#This Row],[Column1]]=FilterSpecs!$A$6, FilterSpecs!$B$6,MouserListTable[[#This Row],[Column1]]=FilterSpecs!$A$7,FilterSpecs!$B$7,MouserListTable[[#This Row],[Column1]]=FilterSpecs!$A$8,FilterSpecs!$B$8,MouserListTable[[#This Row],[Column1]]=FilterSpecs!$A$9,FilterSpecs!$B$9)</f>
        <v>474-</v>
      </c>
      <c r="T6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474-DEV-11061</v>
      </c>
      <c r="V60" s="151" t="str">
        <f>IF(MouserListTable[[#This Row],[Qty.]]=0, 0, "")</f>
        <v/>
      </c>
    </row>
    <row r="61" spans="1:22" s="146" customFormat="1" x14ac:dyDescent="0.3">
      <c r="A61" s="126" t="s">
        <v>894</v>
      </c>
      <c r="B61" s="126" t="s">
        <v>2039</v>
      </c>
      <c r="C61" s="126" t="s">
        <v>8</v>
      </c>
      <c r="D61" s="103" t="str">
        <f>IF(MouserListTable[[#This Row],[Vendor]]=FilterSpecs!$A$8,MouserListTable[[#This Row],[Mouser SKU]], MouserListTable[[#This Row],[SKU2]])</f>
        <v>TOL-12889</v>
      </c>
      <c r="E61" s="104">
        <v>0</v>
      </c>
      <c r="F61" s="104">
        <v>0</v>
      </c>
      <c r="G61" s="103" t="s">
        <v>792</v>
      </c>
      <c r="H61" s="103" t="s">
        <v>793</v>
      </c>
      <c r="I61" s="103" t="s">
        <v>794</v>
      </c>
      <c r="J61" s="103">
        <v>1</v>
      </c>
      <c r="K61" s="104">
        <v>5.95</v>
      </c>
      <c r="L61" s="103" t="s">
        <v>1911</v>
      </c>
      <c r="N61" s="148">
        <v>0</v>
      </c>
      <c r="O61" s="103" t="s">
        <v>791</v>
      </c>
      <c r="P61" s="103">
        <f t="shared" si="1"/>
        <v>48</v>
      </c>
      <c r="Q61" s="103">
        <f t="shared" si="2"/>
        <v>1</v>
      </c>
      <c r="R61" s="103" t="s">
        <v>8</v>
      </c>
      <c r="S61" s="103" t="str">
        <f>_xlfn.IFS(MouserListTable[[#This Row],[Column1]]=FilterSpecs!$A$6, FilterSpecs!$B$6,MouserListTable[[#This Row],[Column1]]=FilterSpecs!$A$7,FilterSpecs!$B$7,MouserListTable[[#This Row],[Column1]]=FilterSpecs!$A$8,FilterSpecs!$B$8,MouserListTable[[#This Row],[Column1]]=FilterSpecs!$A$9,FilterSpecs!$B$9)</f>
        <v>474-</v>
      </c>
      <c r="T6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474-TOL-12889</v>
      </c>
      <c r="V61" s="151">
        <f>IF(MouserListTable[[#This Row],[Qty.]]=0, 0, "")</f>
        <v>0</v>
      </c>
    </row>
    <row r="62" spans="1:22" s="146" customFormat="1" x14ac:dyDescent="0.3">
      <c r="A62" s="126" t="s">
        <v>894</v>
      </c>
      <c r="B62" s="126" t="s">
        <v>2039</v>
      </c>
      <c r="C62" s="126" t="s">
        <v>8</v>
      </c>
      <c r="D62" s="103" t="str">
        <f>IF(MouserListTable[[#This Row],[Vendor]]=FilterSpecs!$A$8,MouserListTable[[#This Row],[Mouser SKU]], MouserListTable[[#This Row],[SKU2]])</f>
        <v>TOL-09442</v>
      </c>
      <c r="E62" s="104">
        <v>0</v>
      </c>
      <c r="F62" s="104">
        <v>0</v>
      </c>
      <c r="G62" s="103" t="s">
        <v>1780</v>
      </c>
      <c r="H62" s="103" t="s">
        <v>1781</v>
      </c>
      <c r="I62" s="103" t="s">
        <v>1782</v>
      </c>
      <c r="J62" s="103">
        <v>1</v>
      </c>
      <c r="K62" s="104">
        <v>5.95</v>
      </c>
      <c r="L62" s="103" t="s">
        <v>1910</v>
      </c>
      <c r="N62" s="148">
        <v>0</v>
      </c>
      <c r="O62" s="103" t="s">
        <v>1779</v>
      </c>
      <c r="P62" s="103">
        <f t="shared" si="1"/>
        <v>49</v>
      </c>
      <c r="Q62" s="103">
        <f t="shared" si="2"/>
        <v>1</v>
      </c>
      <c r="R62" s="103" t="s">
        <v>8</v>
      </c>
      <c r="S62" s="103" t="str">
        <f>_xlfn.IFS(MouserListTable[[#This Row],[Column1]]=FilterSpecs!$A$6, FilterSpecs!$B$6,MouserListTable[[#This Row],[Column1]]=FilterSpecs!$A$7,FilterSpecs!$B$7,MouserListTable[[#This Row],[Column1]]=FilterSpecs!$A$8,FilterSpecs!$B$8,MouserListTable[[#This Row],[Column1]]=FilterSpecs!$A$9,FilterSpecs!$B$9)</f>
        <v>474-</v>
      </c>
      <c r="T6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474-TOL-09442</v>
      </c>
      <c r="V62" s="151">
        <f>IF(MouserListTable[[#This Row],[Qty.]]=0, 0, "")</f>
        <v>0</v>
      </c>
    </row>
    <row r="63" spans="1:22" s="146" customFormat="1" x14ac:dyDescent="0.3">
      <c r="A63" s="126" t="s">
        <v>894</v>
      </c>
      <c r="B63" s="126" t="s">
        <v>2039</v>
      </c>
      <c r="C63" s="126" t="s">
        <v>1898</v>
      </c>
      <c r="D63" s="103" t="str">
        <f>IF(MouserListTable[[#This Row],[Vendor]]=FilterSpecs!$A$8,MouserListTable[[#This Row],[Mouser SKU]], MouserListTable[[#This Row],[SKU2]])</f>
        <v>276</v>
      </c>
      <c r="E63" s="104">
        <v>0</v>
      </c>
      <c r="F63" s="104">
        <v>0</v>
      </c>
      <c r="G63" s="103"/>
      <c r="H63" s="103"/>
      <c r="I63" s="103" t="s">
        <v>2284</v>
      </c>
      <c r="J63" s="103"/>
      <c r="K63" s="104">
        <v>7.95</v>
      </c>
      <c r="L63" s="103" t="s">
        <v>1910</v>
      </c>
      <c r="N63" s="148"/>
      <c r="O63" s="103" t="s">
        <v>2283</v>
      </c>
      <c r="P63" s="103">
        <f t="shared" si="1"/>
        <v>50</v>
      </c>
      <c r="Q63" s="103">
        <f t="shared" si="2"/>
        <v>1</v>
      </c>
      <c r="R63" s="103" t="s">
        <v>1898</v>
      </c>
      <c r="S63" s="103" t="str">
        <f>_xlfn.IFS(MouserListTable[[#This Row],[Column1]]=FilterSpecs!$A$6, FilterSpecs!$B$6,MouserListTable[[#This Row],[Column1]]=FilterSpecs!$A$7,FilterSpecs!$B$7,MouserListTable[[#This Row],[Column1]]=FilterSpecs!$A$8,FilterSpecs!$B$8,MouserListTable[[#This Row],[Column1]]=FilterSpecs!$A$9,FilterSpecs!$B$9)</f>
        <v>485-</v>
      </c>
      <c r="T6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485-276</v>
      </c>
      <c r="V63" s="151">
        <f>IF(MouserListTable[[#This Row],[Qty.]]=0, 0, "")</f>
        <v>0</v>
      </c>
    </row>
    <row r="64" spans="1:22" s="146" customFormat="1" x14ac:dyDescent="0.3">
      <c r="A64" s="126" t="s">
        <v>894</v>
      </c>
      <c r="B64" s="126" t="s">
        <v>2039</v>
      </c>
      <c r="C64" s="126" t="s">
        <v>1898</v>
      </c>
      <c r="D64" s="103" t="str">
        <f>IF(MouserListTable[[#This Row],[Vendor]]=FilterSpecs!$A$8,MouserListTable[[#This Row],[Mouser SKU]], MouserListTable[[#This Row],[SKU2]])</f>
        <v>1448</v>
      </c>
      <c r="E64" s="104">
        <v>0</v>
      </c>
      <c r="F64" s="104">
        <v>0</v>
      </c>
      <c r="G64" s="103"/>
      <c r="H64" s="103"/>
      <c r="I64" s="103" t="s">
        <v>2286</v>
      </c>
      <c r="J64" s="103"/>
      <c r="K64" s="104">
        <v>14.95</v>
      </c>
      <c r="L64" s="103" t="s">
        <v>1910</v>
      </c>
      <c r="N64" s="148"/>
      <c r="O64" s="103" t="s">
        <v>2285</v>
      </c>
      <c r="P64" s="103">
        <f t="shared" si="1"/>
        <v>51</v>
      </c>
      <c r="Q64" s="103">
        <f t="shared" si="2"/>
        <v>1</v>
      </c>
      <c r="R64" s="103" t="s">
        <v>1898</v>
      </c>
      <c r="S64" s="103" t="str">
        <f>_xlfn.IFS(MouserListTable[[#This Row],[Column1]]=FilterSpecs!$A$6, FilterSpecs!$B$6,MouserListTable[[#This Row],[Column1]]=FilterSpecs!$A$7,FilterSpecs!$B$7,MouserListTable[[#This Row],[Column1]]=FilterSpecs!$A$8,FilterSpecs!$B$8,MouserListTable[[#This Row],[Column1]]=FilterSpecs!$A$9,FilterSpecs!$B$9)</f>
        <v>485-</v>
      </c>
      <c r="T6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485-1448</v>
      </c>
      <c r="V64" s="151">
        <f>IF(MouserListTable[[#This Row],[Qty.]]=0, 0, "")</f>
        <v>0</v>
      </c>
    </row>
    <row r="65" spans="1:22" s="146" customFormat="1" x14ac:dyDescent="0.3">
      <c r="A65" s="103" t="s">
        <v>894</v>
      </c>
      <c r="B65" s="103" t="s">
        <v>2043</v>
      </c>
      <c r="C65" s="103" t="s">
        <v>8</v>
      </c>
      <c r="D65" s="103" t="str">
        <f>IF(MouserListTable[[#This Row],[Vendor]]=FilterSpecs!$A$8,MouserListTable[[#This Row],[Mouser SKU]], MouserListTable[[#This Row],[SKU2]])</f>
        <v>COM-11707</v>
      </c>
      <c r="E65" s="104">
        <f>FilterSpecs!$C$3</f>
        <v>5</v>
      </c>
      <c r="F65" s="104" t="s">
        <v>18921</v>
      </c>
      <c r="G65" s="103" t="s">
        <v>388</v>
      </c>
      <c r="H65" s="103" t="s">
        <v>389</v>
      </c>
      <c r="I65" s="103" t="s">
        <v>390</v>
      </c>
      <c r="J65" s="103"/>
      <c r="K65" s="104">
        <v>1.95</v>
      </c>
      <c r="L65" s="103" t="s">
        <v>1911</v>
      </c>
      <c r="M65" s="106"/>
      <c r="N65" s="104">
        <f>E65*K65</f>
        <v>9.75</v>
      </c>
      <c r="O65" s="103" t="s">
        <v>387</v>
      </c>
      <c r="P65" s="103">
        <f t="shared" si="1"/>
        <v>52</v>
      </c>
      <c r="Q65" s="103">
        <f t="shared" si="2"/>
        <v>1</v>
      </c>
      <c r="R65" s="103" t="s">
        <v>8</v>
      </c>
      <c r="S65" s="103" t="str">
        <f>_xlfn.IFS(MouserListTable[[#This Row],[Column1]]=FilterSpecs!$A$6, FilterSpecs!$B$6,MouserListTable[[#This Row],[Column1]]=FilterSpecs!$A$7,FilterSpecs!$B$7,MouserListTable[[#This Row],[Column1]]=FilterSpecs!$A$8,FilterSpecs!$B$8,MouserListTable[[#This Row],[Column1]]=FilterSpecs!$A$9,FilterSpecs!$B$9)</f>
        <v>474-</v>
      </c>
      <c r="T6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474-COM-11707</v>
      </c>
      <c r="V65" s="151" t="str">
        <f>IF(MouserListTable[[#This Row],[Qty.]]=0, 0, "")</f>
        <v/>
      </c>
    </row>
    <row r="66" spans="1:22" s="146" customFormat="1" x14ac:dyDescent="0.3">
      <c r="A66" s="103" t="s">
        <v>894</v>
      </c>
      <c r="B66" s="103" t="s">
        <v>2043</v>
      </c>
      <c r="C66" s="103" t="s">
        <v>8</v>
      </c>
      <c r="D66" s="103" t="str">
        <f>IF(MouserListTable[[#This Row],[Vendor]]=FilterSpecs!$A$8,MouserListTable[[#This Row],[Mouser SKU]], MouserListTable[[#This Row],[SKU2]])</f>
        <v>TOL-08734</v>
      </c>
      <c r="E66" s="104">
        <f>FilterSpecs!$C$3</f>
        <v>5</v>
      </c>
      <c r="F66" s="104" t="s">
        <v>18921</v>
      </c>
      <c r="G66" s="103" t="s">
        <v>804</v>
      </c>
      <c r="H66" s="103" t="s">
        <v>805</v>
      </c>
      <c r="I66" s="103" t="s">
        <v>806</v>
      </c>
      <c r="J66" s="103">
        <v>1</v>
      </c>
      <c r="K66" s="104">
        <v>2.95</v>
      </c>
      <c r="L66" s="103" t="s">
        <v>1911</v>
      </c>
      <c r="M66" s="106"/>
      <c r="N66" s="104">
        <f>E66*K66</f>
        <v>14.75</v>
      </c>
      <c r="O66" s="103" t="s">
        <v>803</v>
      </c>
      <c r="P66" s="103">
        <f t="shared" si="1"/>
        <v>53</v>
      </c>
      <c r="Q66" s="103">
        <f t="shared" si="2"/>
        <v>1</v>
      </c>
      <c r="R66" s="103" t="s">
        <v>8</v>
      </c>
      <c r="S66" s="103" t="str">
        <f>_xlfn.IFS(MouserListTable[[#This Row],[Column1]]=FilterSpecs!$A$6, FilterSpecs!$B$6,MouserListTable[[#This Row],[Column1]]=FilterSpecs!$A$7,FilterSpecs!$B$7,MouserListTable[[#This Row],[Column1]]=FilterSpecs!$A$8,FilterSpecs!$B$8,MouserListTable[[#This Row],[Column1]]=FilterSpecs!$A$9,FilterSpecs!$B$9)</f>
        <v>474-</v>
      </c>
      <c r="T6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474-TOL-08734</v>
      </c>
      <c r="V66" s="151" t="str">
        <f>IF(MouserListTable[[#This Row],[Qty.]]=0, 0, "")</f>
        <v/>
      </c>
    </row>
    <row r="67" spans="1:22" s="146" customFormat="1" x14ac:dyDescent="0.3">
      <c r="A67" s="103" t="s">
        <v>894</v>
      </c>
      <c r="B67" s="103" t="s">
        <v>2043</v>
      </c>
      <c r="C67" s="103" t="s">
        <v>8</v>
      </c>
      <c r="D67" s="103" t="str">
        <f>IF(MouserListTable[[#This Row],[Vendor]]=FilterSpecs!$A$8,MouserListTable[[#This Row],[Mouser SKU]], MouserListTable[[#This Row],[SKU2]])</f>
        <v>TOL-08639</v>
      </c>
      <c r="E67" s="104">
        <f>FilterSpecs!$C$3</f>
        <v>5</v>
      </c>
      <c r="F67" s="104" t="s">
        <v>18921</v>
      </c>
      <c r="G67" s="103" t="s">
        <v>462</v>
      </c>
      <c r="H67" s="103" t="s">
        <v>463</v>
      </c>
      <c r="I67" s="103" t="s">
        <v>464</v>
      </c>
      <c r="J67" s="103">
        <v>1</v>
      </c>
      <c r="K67" s="104">
        <v>2.95</v>
      </c>
      <c r="L67" s="103" t="s">
        <v>1911</v>
      </c>
      <c r="M67" s="106"/>
      <c r="N67" s="104">
        <f>E67*K67</f>
        <v>14.75</v>
      </c>
      <c r="O67" s="103" t="s">
        <v>461</v>
      </c>
      <c r="P67" s="103">
        <f t="shared" si="1"/>
        <v>54</v>
      </c>
      <c r="Q67" s="103">
        <f t="shared" si="2"/>
        <v>1</v>
      </c>
      <c r="R67" s="103" t="s">
        <v>8</v>
      </c>
      <c r="S67" s="103" t="str">
        <f>_xlfn.IFS(MouserListTable[[#This Row],[Column1]]=FilterSpecs!$A$6, FilterSpecs!$B$6,MouserListTable[[#This Row],[Column1]]=FilterSpecs!$A$7,FilterSpecs!$B$7,MouserListTable[[#This Row],[Column1]]=FilterSpecs!$A$8,FilterSpecs!$B$8,MouserListTable[[#This Row],[Column1]]=FilterSpecs!$A$9,FilterSpecs!$B$9)</f>
        <v>474-</v>
      </c>
      <c r="T6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474-TOL-08639</v>
      </c>
      <c r="V67" s="151" t="str">
        <f>IF(MouserListTable[[#This Row],[Qty.]]=0, 0, "")</f>
        <v/>
      </c>
    </row>
    <row r="68" spans="1:22" s="146" customFormat="1" x14ac:dyDescent="0.3">
      <c r="A68" s="103" t="s">
        <v>894</v>
      </c>
      <c r="B68" s="103" t="s">
        <v>2043</v>
      </c>
      <c r="C68" s="103" t="s">
        <v>8</v>
      </c>
      <c r="D68" s="103" t="str">
        <f>IF(MouserListTable[[#This Row],[Vendor]]=FilterSpecs!$A$8,MouserListTable[[#This Row],[Mouser SKU]], MouserListTable[[#This Row],[SKU2]])</f>
        <v>COM-11705</v>
      </c>
      <c r="E68" s="104">
        <f>FilterSpecs!$C$3</f>
        <v>5</v>
      </c>
      <c r="F68" s="104" t="s">
        <v>18921</v>
      </c>
      <c r="G68" s="103" t="s">
        <v>812</v>
      </c>
      <c r="H68" s="103" t="s">
        <v>813</v>
      </c>
      <c r="I68" s="103" t="s">
        <v>814</v>
      </c>
      <c r="J68" s="103"/>
      <c r="K68" s="104">
        <v>2.5</v>
      </c>
      <c r="L68" s="106" t="s">
        <v>1911</v>
      </c>
      <c r="M68" s="106"/>
      <c r="N68" s="104">
        <f>E68*K68</f>
        <v>12.5</v>
      </c>
      <c r="O68" s="103" t="s">
        <v>811</v>
      </c>
      <c r="P68" s="103">
        <f t="shared" si="1"/>
        <v>55</v>
      </c>
      <c r="Q68" s="103">
        <f t="shared" si="2"/>
        <v>1</v>
      </c>
      <c r="R68" s="103" t="s">
        <v>8</v>
      </c>
      <c r="S68" s="103" t="str">
        <f>_xlfn.IFS(MouserListTable[[#This Row],[Column1]]=FilterSpecs!$A$6, FilterSpecs!$B$6,MouserListTable[[#This Row],[Column1]]=FilterSpecs!$A$7,FilterSpecs!$B$7,MouserListTable[[#This Row],[Column1]]=FilterSpecs!$A$8,FilterSpecs!$B$8,MouserListTable[[#This Row],[Column1]]=FilterSpecs!$A$9,FilterSpecs!$B$9)</f>
        <v>474-</v>
      </c>
      <c r="T6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474-COM-11705</v>
      </c>
      <c r="V68" s="151" t="str">
        <f>IF(MouserListTable[[#This Row],[Qty.]]=0, 0, "")</f>
        <v/>
      </c>
    </row>
    <row r="69" spans="1:22" s="146" customFormat="1" x14ac:dyDescent="0.3">
      <c r="A69" s="103" t="s">
        <v>894</v>
      </c>
      <c r="B69" s="103" t="s">
        <v>2043</v>
      </c>
      <c r="C69" s="103" t="s">
        <v>1898</v>
      </c>
      <c r="D69" s="103" t="str">
        <f>IF(MouserListTable[[#This Row],[Vendor]]=FilterSpecs!$A$8,MouserListTable[[#This Row],[Mouser SKU]], MouserListTable[[#This Row],[SKU2]])</f>
        <v>327</v>
      </c>
      <c r="E69" s="104">
        <v>0</v>
      </c>
      <c r="F69" s="104">
        <v>0</v>
      </c>
      <c r="G69" s="103"/>
      <c r="H69" s="103"/>
      <c r="I69" s="126" t="s">
        <v>2274</v>
      </c>
      <c r="K69" s="148">
        <v>2.95</v>
      </c>
      <c r="L69" s="126" t="s">
        <v>1910</v>
      </c>
      <c r="N69" s="148"/>
      <c r="O69" s="103" t="s">
        <v>2273</v>
      </c>
      <c r="P69" s="103">
        <f t="shared" si="1"/>
        <v>56</v>
      </c>
      <c r="Q69" s="103">
        <f t="shared" si="2"/>
        <v>1</v>
      </c>
      <c r="R69" s="103" t="s">
        <v>1898</v>
      </c>
      <c r="S69" s="103" t="str">
        <f>_xlfn.IFS(MouserListTable[[#This Row],[Column1]]=FilterSpecs!$A$6, FilterSpecs!$B$6,MouserListTable[[#This Row],[Column1]]=FilterSpecs!$A$7,FilterSpecs!$B$7,MouserListTable[[#This Row],[Column1]]=FilterSpecs!$A$8,FilterSpecs!$B$8,MouserListTable[[#This Row],[Column1]]=FilterSpecs!$A$9,FilterSpecs!$B$9)</f>
        <v>485-</v>
      </c>
      <c r="T6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485-327</v>
      </c>
      <c r="V69" s="151">
        <f>IF(MouserListTable[[#This Row],[Qty.]]=0, 0, "")</f>
        <v>0</v>
      </c>
    </row>
    <row r="70" spans="1:22" s="146" customFormat="1" x14ac:dyDescent="0.3">
      <c r="A70" s="103" t="s">
        <v>894</v>
      </c>
      <c r="B70" s="103" t="s">
        <v>2043</v>
      </c>
      <c r="C70" s="103" t="s">
        <v>1898</v>
      </c>
      <c r="D70" s="103" t="str">
        <f>IF(MouserListTable[[#This Row],[Vendor]]=FilterSpecs!$A$8,MouserListTable[[#This Row],[Mouser SKU]], MouserListTable[[#This Row],[SKU2]])</f>
        <v>411</v>
      </c>
      <c r="E70" s="104">
        <v>1</v>
      </c>
      <c r="F70" s="104" t="s">
        <v>18921</v>
      </c>
      <c r="G70" s="103"/>
      <c r="H70" s="103"/>
      <c r="I70" s="103" t="s">
        <v>2276</v>
      </c>
      <c r="K70" s="104">
        <v>2.5</v>
      </c>
      <c r="L70" s="103" t="s">
        <v>1910</v>
      </c>
      <c r="M70" s="106"/>
      <c r="N70" s="104">
        <f>E70*K70</f>
        <v>2.5</v>
      </c>
      <c r="O70" s="103" t="s">
        <v>2275</v>
      </c>
      <c r="P70" s="103">
        <f t="shared" si="1"/>
        <v>57</v>
      </c>
      <c r="Q70" s="103">
        <f t="shared" si="2"/>
        <v>1</v>
      </c>
      <c r="R70" s="103" t="s">
        <v>1898</v>
      </c>
      <c r="S70" s="103" t="str">
        <f>_xlfn.IFS(MouserListTable[[#This Row],[Column1]]=FilterSpecs!$A$6, FilterSpecs!$B$6,MouserListTable[[#This Row],[Column1]]=FilterSpecs!$A$7,FilterSpecs!$B$7,MouserListTable[[#This Row],[Column1]]=FilterSpecs!$A$8,FilterSpecs!$B$8,MouserListTable[[#This Row],[Column1]]=FilterSpecs!$A$9,FilterSpecs!$B$9)</f>
        <v>485-</v>
      </c>
      <c r="T7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485-411</v>
      </c>
      <c r="V70" s="151" t="str">
        <f>IF(MouserListTable[[#This Row],[Qty.]]=0, 0, "")</f>
        <v/>
      </c>
    </row>
    <row r="71" spans="1:22" s="146" customFormat="1" x14ac:dyDescent="0.3">
      <c r="A71" s="103" t="s">
        <v>894</v>
      </c>
      <c r="B71" s="103" t="s">
        <v>2043</v>
      </c>
      <c r="C71" s="103" t="s">
        <v>1898</v>
      </c>
      <c r="D71" s="103" t="str">
        <f>IF(MouserListTable[[#This Row],[Vendor]]=FilterSpecs!$A$8,MouserListTable[[#This Row],[Mouser SKU]], MouserListTable[[#This Row],[SKU2]])</f>
        <v>2897</v>
      </c>
      <c r="E71" s="104">
        <v>1</v>
      </c>
      <c r="F71" s="104" t="s">
        <v>18921</v>
      </c>
      <c r="G71" s="103"/>
      <c r="H71" s="103"/>
      <c r="I71" s="103" t="s">
        <v>2278</v>
      </c>
      <c r="K71" s="104">
        <v>0.95</v>
      </c>
      <c r="L71" s="103" t="s">
        <v>1910</v>
      </c>
      <c r="M71" s="106"/>
      <c r="N71" s="104">
        <f>E71*K71</f>
        <v>0.95</v>
      </c>
      <c r="O71" s="103" t="s">
        <v>2277</v>
      </c>
      <c r="P71" s="103">
        <f t="shared" si="1"/>
        <v>58</v>
      </c>
      <c r="Q71" s="103">
        <f t="shared" si="2"/>
        <v>1</v>
      </c>
      <c r="R71" s="103" t="s">
        <v>1898</v>
      </c>
      <c r="S71" s="103" t="str">
        <f>_xlfn.IFS(MouserListTable[[#This Row],[Column1]]=FilterSpecs!$A$6, FilterSpecs!$B$6,MouserListTable[[#This Row],[Column1]]=FilterSpecs!$A$7,FilterSpecs!$B$7,MouserListTable[[#This Row],[Column1]]=FilterSpecs!$A$8,FilterSpecs!$B$8,MouserListTable[[#This Row],[Column1]]=FilterSpecs!$A$9,FilterSpecs!$B$9)</f>
        <v>485-</v>
      </c>
      <c r="T7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485-2897</v>
      </c>
      <c r="V71" s="151" t="str">
        <f>IF(MouserListTable[[#This Row],[Qty.]]=0, 0, "")</f>
        <v/>
      </c>
    </row>
    <row r="72" spans="1:22" s="146" customFormat="1" x14ac:dyDescent="0.3">
      <c r="A72" s="103" t="s">
        <v>894</v>
      </c>
      <c r="B72" s="103" t="s">
        <v>2043</v>
      </c>
      <c r="C72" s="103" t="s">
        <v>1898</v>
      </c>
      <c r="D72" s="103" t="str">
        <f>IF(MouserListTable[[#This Row],[Vendor]]=FilterSpecs!$A$8,MouserListTable[[#This Row],[Mouser SKU]], MouserListTable[[#This Row],[SKU2]])</f>
        <v>2788</v>
      </c>
      <c r="E72" s="104">
        <v>1</v>
      </c>
      <c r="F72" s="104" t="s">
        <v>18921</v>
      </c>
      <c r="G72" s="103"/>
      <c r="H72" s="103"/>
      <c r="I72" s="103" t="s">
        <v>2280</v>
      </c>
      <c r="K72" s="104">
        <v>0.95</v>
      </c>
      <c r="L72" s="103" t="s">
        <v>1910</v>
      </c>
      <c r="M72" s="106"/>
      <c r="N72" s="104">
        <f>E72*K72</f>
        <v>0.95</v>
      </c>
      <c r="O72" s="103" t="s">
        <v>2279</v>
      </c>
      <c r="P72" s="103">
        <f t="shared" si="1"/>
        <v>59</v>
      </c>
      <c r="Q72" s="103">
        <f t="shared" si="2"/>
        <v>1</v>
      </c>
      <c r="R72" s="103" t="s">
        <v>1898</v>
      </c>
      <c r="S72" s="103" t="str">
        <f>_xlfn.IFS(MouserListTable[[#This Row],[Column1]]=FilterSpecs!$A$6, FilterSpecs!$B$6,MouserListTable[[#This Row],[Column1]]=FilterSpecs!$A$7,FilterSpecs!$B$7,MouserListTable[[#This Row],[Column1]]=FilterSpecs!$A$8,FilterSpecs!$B$8,MouserListTable[[#This Row],[Column1]]=FilterSpecs!$A$9,FilterSpecs!$B$9)</f>
        <v>485-</v>
      </c>
      <c r="T7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485-2788</v>
      </c>
      <c r="V72" s="151" t="str">
        <f>IF(MouserListTable[[#This Row],[Qty.]]=0, 0, "")</f>
        <v/>
      </c>
    </row>
    <row r="73" spans="1:22" s="146" customFormat="1" x14ac:dyDescent="0.3">
      <c r="A73" s="103" t="s">
        <v>894</v>
      </c>
      <c r="B73" s="103" t="s">
        <v>2045</v>
      </c>
      <c r="C73" s="103" t="s">
        <v>8</v>
      </c>
      <c r="D73" s="103" t="str">
        <f>IF(MouserListTable[[#This Row],[Vendor]]=FilterSpecs!$A$8,MouserListTable[[#This Row],[Mouser SKU]], MouserListTable[[#This Row],[SKU2]])</f>
        <v>TOL-12890</v>
      </c>
      <c r="E73" s="104">
        <v>0</v>
      </c>
      <c r="F73" s="104">
        <v>0</v>
      </c>
      <c r="G73" s="103" t="s">
        <v>1113</v>
      </c>
      <c r="H73" s="103" t="s">
        <v>1114</v>
      </c>
      <c r="I73" s="126" t="s">
        <v>1115</v>
      </c>
      <c r="J73" s="146">
        <v>1</v>
      </c>
      <c r="K73" s="148">
        <v>5.95</v>
      </c>
      <c r="L73" s="126" t="s">
        <v>1910</v>
      </c>
      <c r="N73" s="148">
        <v>0</v>
      </c>
      <c r="O73" s="103" t="s">
        <v>1112</v>
      </c>
      <c r="P73" s="103">
        <f t="shared" si="1"/>
        <v>60</v>
      </c>
      <c r="Q73" s="103">
        <f t="shared" si="2"/>
        <v>1</v>
      </c>
      <c r="R73" s="103" t="s">
        <v>8</v>
      </c>
      <c r="S73" s="103" t="str">
        <f>_xlfn.IFS(MouserListTable[[#This Row],[Column1]]=FilterSpecs!$A$6, FilterSpecs!$B$6,MouserListTable[[#This Row],[Column1]]=FilterSpecs!$A$7,FilterSpecs!$B$7,MouserListTable[[#This Row],[Column1]]=FilterSpecs!$A$8,FilterSpecs!$B$8,MouserListTable[[#This Row],[Column1]]=FilterSpecs!$A$9,FilterSpecs!$B$9)</f>
        <v>474-</v>
      </c>
      <c r="T7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474-TOL-12890</v>
      </c>
      <c r="V73" s="151">
        <f>IF(MouserListTable[[#This Row],[Qty.]]=0, 0, "")</f>
        <v>0</v>
      </c>
    </row>
    <row r="74" spans="1:22" s="146" customFormat="1" x14ac:dyDescent="0.3">
      <c r="A74" s="103" t="s">
        <v>894</v>
      </c>
      <c r="B74" s="103" t="s">
        <v>2045</v>
      </c>
      <c r="C74" s="103" t="s">
        <v>1898</v>
      </c>
      <c r="D74" s="103" t="str">
        <f>IF(MouserListTable[[#This Row],[Vendor]]=FilterSpecs!$A$8,MouserListTable[[#This Row],[Mouser SKU]], MouserListTable[[#This Row],[SKU2]])</f>
        <v>501</v>
      </c>
      <c r="E74" s="104">
        <v>0</v>
      </c>
      <c r="F74" s="104">
        <v>0</v>
      </c>
      <c r="G74" s="103"/>
      <c r="H74" s="103"/>
      <c r="I74" s="126" t="s">
        <v>2315</v>
      </c>
      <c r="K74" s="148">
        <v>5.95</v>
      </c>
      <c r="L74" s="126" t="s">
        <v>1910</v>
      </c>
      <c r="N74" s="148"/>
      <c r="O74" s="103" t="s">
        <v>2314</v>
      </c>
      <c r="P74" s="103">
        <f t="shared" si="1"/>
        <v>61</v>
      </c>
      <c r="Q74" s="103">
        <f t="shared" si="2"/>
        <v>1</v>
      </c>
      <c r="R74" s="103" t="s">
        <v>1898</v>
      </c>
      <c r="S74" s="103" t="str">
        <f>_xlfn.IFS(MouserListTable[[#This Row],[Column1]]=FilterSpecs!$A$6, FilterSpecs!$B$6,MouserListTable[[#This Row],[Column1]]=FilterSpecs!$A$7,FilterSpecs!$B$7,MouserListTable[[#This Row],[Column1]]=FilterSpecs!$A$8,FilterSpecs!$B$8,MouserListTable[[#This Row],[Column1]]=FilterSpecs!$A$9,FilterSpecs!$B$9)</f>
        <v>485-</v>
      </c>
      <c r="T7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485-501</v>
      </c>
      <c r="V74" s="151">
        <f>IF(MouserListTable[[#This Row],[Qty.]]=0, 0, "")</f>
        <v>0</v>
      </c>
    </row>
    <row r="75" spans="1:22" s="146" customFormat="1" x14ac:dyDescent="0.3">
      <c r="A75" s="103" t="s">
        <v>894</v>
      </c>
      <c r="B75" s="103" t="s">
        <v>2045</v>
      </c>
      <c r="C75" s="103" t="s">
        <v>1898</v>
      </c>
      <c r="D75" s="103" t="str">
        <f>IF(MouserListTable[[#This Row],[Vendor]]=FilterSpecs!$A$8,MouserListTable[[#This Row],[Mouser SKU]], MouserListTable[[#This Row],[SKU2]])</f>
        <v>1994</v>
      </c>
      <c r="E75" s="104">
        <f>FilterSpecs!$C$3</f>
        <v>5</v>
      </c>
      <c r="F75" s="104" t="s">
        <v>18921</v>
      </c>
      <c r="G75" s="103"/>
      <c r="H75" s="103"/>
      <c r="I75" s="103" t="s">
        <v>2317</v>
      </c>
      <c r="K75" s="104">
        <v>6.95</v>
      </c>
      <c r="L75" s="103" t="s">
        <v>1911</v>
      </c>
      <c r="M75" s="106"/>
      <c r="N75" s="104">
        <f>E75*K75</f>
        <v>34.75</v>
      </c>
      <c r="O75" s="103" t="s">
        <v>2316</v>
      </c>
      <c r="P75" s="103">
        <f t="shared" si="1"/>
        <v>62</v>
      </c>
      <c r="Q75" s="103">
        <f t="shared" si="2"/>
        <v>1</v>
      </c>
      <c r="R75" s="103" t="s">
        <v>1898</v>
      </c>
      <c r="S75" s="103" t="str">
        <f>_xlfn.IFS(MouserListTable[[#This Row],[Column1]]=FilterSpecs!$A$6, FilterSpecs!$B$6,MouserListTable[[#This Row],[Column1]]=FilterSpecs!$A$7,FilterSpecs!$B$7,MouserListTable[[#This Row],[Column1]]=FilterSpecs!$A$8,FilterSpecs!$B$8,MouserListTable[[#This Row],[Column1]]=FilterSpecs!$A$9,FilterSpecs!$B$9)</f>
        <v>485-</v>
      </c>
      <c r="T7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485-1994</v>
      </c>
      <c r="V75" s="151" t="str">
        <f>IF(MouserListTable[[#This Row],[Qty.]]=0, 0, "")</f>
        <v/>
      </c>
    </row>
    <row r="76" spans="1:22" s="144" customFormat="1" x14ac:dyDescent="0.3">
      <c r="A76" s="103" t="s">
        <v>894</v>
      </c>
      <c r="B76" s="103" t="s">
        <v>2036</v>
      </c>
      <c r="C76" s="103" t="s">
        <v>8</v>
      </c>
      <c r="D76" s="103" t="str">
        <f>IF(MouserListTable[[#This Row],[Vendor]]=FilterSpecs!$A$8,MouserListTable[[#This Row],[Mouser SKU]], MouserListTable[[#This Row],[SKU2]])</f>
        <v>CAB-00512</v>
      </c>
      <c r="E76" s="104">
        <f>FilterSpecs!$C$3</f>
        <v>5</v>
      </c>
      <c r="F76" s="104" t="s">
        <v>18921</v>
      </c>
      <c r="G76" s="103" t="s">
        <v>2492</v>
      </c>
      <c r="H76" s="103" t="s">
        <v>2493</v>
      </c>
      <c r="I76" s="103" t="s">
        <v>2494</v>
      </c>
      <c r="J76" s="103">
        <v>1</v>
      </c>
      <c r="K76" s="104">
        <v>3.95</v>
      </c>
      <c r="L76" s="103" t="s">
        <v>1911</v>
      </c>
      <c r="M76" s="103"/>
      <c r="N76" s="104">
        <f>E76*K76</f>
        <v>19.75</v>
      </c>
      <c r="O76" s="103" t="s">
        <v>2491</v>
      </c>
      <c r="P76" s="103">
        <f t="shared" si="1"/>
        <v>63</v>
      </c>
      <c r="Q76" s="103">
        <f t="shared" si="2"/>
        <v>1</v>
      </c>
      <c r="R76" s="103" t="s">
        <v>8</v>
      </c>
      <c r="S76" s="103" t="str">
        <f>_xlfn.IFS(MouserListTable[[#This Row],[Column1]]=FilterSpecs!$A$6, FilterSpecs!$B$6,MouserListTable[[#This Row],[Column1]]=FilterSpecs!$A$7,FilterSpecs!$B$7,MouserListTable[[#This Row],[Column1]]=FilterSpecs!$A$8,FilterSpecs!$B$8,MouserListTable[[#This Row],[Column1]]=FilterSpecs!$A$9,FilterSpecs!$B$9)</f>
        <v>474-</v>
      </c>
      <c r="T7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474-CAB-00512</v>
      </c>
      <c r="V76" s="151" t="str">
        <f>IF(MouserListTable[[#This Row],[Qty.]]=0, 0, "")</f>
        <v/>
      </c>
    </row>
    <row r="77" spans="1:22" s="144" customFormat="1" x14ac:dyDescent="0.3">
      <c r="A77" s="103" t="s">
        <v>894</v>
      </c>
      <c r="B77" s="103" t="s">
        <v>2036</v>
      </c>
      <c r="C77" s="103" t="s">
        <v>8</v>
      </c>
      <c r="D77" s="103" t="str">
        <f>IF(MouserListTable[[#This Row],[Vendor]]=FilterSpecs!$A$8,MouserListTable[[#This Row],[Mouser SKU]], MouserListTable[[#This Row],[SKU2]])</f>
        <v>CAB-11301</v>
      </c>
      <c r="E77" s="104">
        <f>FilterSpecs!$C$3</f>
        <v>5</v>
      </c>
      <c r="F77" s="104" t="s">
        <v>18921</v>
      </c>
      <c r="G77" s="103" t="s">
        <v>2496</v>
      </c>
      <c r="H77" s="103" t="s">
        <v>2497</v>
      </c>
      <c r="I77" s="103" t="s">
        <v>2498</v>
      </c>
      <c r="J77" s="103">
        <v>1</v>
      </c>
      <c r="K77" s="104">
        <v>3.95</v>
      </c>
      <c r="L77" s="103" t="s">
        <v>1911</v>
      </c>
      <c r="M77" s="103"/>
      <c r="N77" s="104">
        <f>E77*K77</f>
        <v>19.75</v>
      </c>
      <c r="O77" s="103" t="s">
        <v>2495</v>
      </c>
      <c r="P77" s="103">
        <f t="shared" si="1"/>
        <v>64</v>
      </c>
      <c r="Q77" s="103">
        <f t="shared" si="2"/>
        <v>1</v>
      </c>
      <c r="R77" s="103" t="s">
        <v>8</v>
      </c>
      <c r="S77" s="103" t="str">
        <f>_xlfn.IFS(MouserListTable[[#This Row],[Column1]]=FilterSpecs!$A$6, FilterSpecs!$B$6,MouserListTable[[#This Row],[Column1]]=FilterSpecs!$A$7,FilterSpecs!$B$7,MouserListTable[[#This Row],[Column1]]=FilterSpecs!$A$8,FilterSpecs!$B$8,MouserListTable[[#This Row],[Column1]]=FilterSpecs!$A$9,FilterSpecs!$B$9)</f>
        <v>474-</v>
      </c>
      <c r="T7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474-CAB-11301</v>
      </c>
      <c r="V77" s="151" t="str">
        <f>IF(MouserListTable[[#This Row],[Qty.]]=0, 0, "")</f>
        <v/>
      </c>
    </row>
    <row r="78" spans="1:22" s="144" customFormat="1" x14ac:dyDescent="0.3">
      <c r="A78" s="126" t="s">
        <v>894</v>
      </c>
      <c r="B78" s="126" t="s">
        <v>2036</v>
      </c>
      <c r="C78" s="126" t="s">
        <v>8</v>
      </c>
      <c r="D78" s="103" t="str">
        <f>IF(MouserListTable[[#This Row],[Vendor]]=FilterSpecs!$A$8,MouserListTable[[#This Row],[Mouser SKU]], MouserListTable[[#This Row],[SKU2]])</f>
        <v>CAB-13243</v>
      </c>
      <c r="E78" s="103">
        <v>0</v>
      </c>
      <c r="F78" s="103">
        <v>0</v>
      </c>
      <c r="G78" s="103" t="s">
        <v>2500</v>
      </c>
      <c r="H78" s="103" t="s">
        <v>2501</v>
      </c>
      <c r="I78" s="103" t="s">
        <v>2502</v>
      </c>
      <c r="J78" s="103">
        <v>1</v>
      </c>
      <c r="K78" s="104">
        <v>1.95</v>
      </c>
      <c r="L78" s="103" t="s">
        <v>1911</v>
      </c>
      <c r="M78" s="103"/>
      <c r="N78" s="148"/>
      <c r="O78" s="103" t="s">
        <v>2499</v>
      </c>
      <c r="P78" s="103">
        <f t="shared" ref="P78:P143" si="5">IF($P77="List #",1,$P77+1)</f>
        <v>65</v>
      </c>
      <c r="Q78" s="103">
        <f t="shared" ref="Q78:Q143" si="6">IF($D78=$O78,1,0)</f>
        <v>1</v>
      </c>
      <c r="R78" s="103" t="s">
        <v>8</v>
      </c>
      <c r="S78" s="103" t="str">
        <f>_xlfn.IFS(MouserListTable[[#This Row],[Column1]]=FilterSpecs!$A$6, FilterSpecs!$B$6,MouserListTable[[#This Row],[Column1]]=FilterSpecs!$A$7,FilterSpecs!$B$7,MouserListTable[[#This Row],[Column1]]=FilterSpecs!$A$8,FilterSpecs!$B$8,MouserListTable[[#This Row],[Column1]]=FilterSpecs!$A$9,FilterSpecs!$B$9)</f>
        <v>474-</v>
      </c>
      <c r="T7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474-CAB-13243</v>
      </c>
      <c r="V78" s="151">
        <f>IF(MouserListTable[[#This Row],[Qty.]]=0, 0, "")</f>
        <v>0</v>
      </c>
    </row>
    <row r="79" spans="1:22" s="144" customFormat="1" x14ac:dyDescent="0.3">
      <c r="A79" s="103" t="s">
        <v>894</v>
      </c>
      <c r="B79" s="103" t="s">
        <v>2036</v>
      </c>
      <c r="C79" s="103" t="s">
        <v>8</v>
      </c>
      <c r="D79" s="103" t="str">
        <f>IF(MouserListTable[[#This Row],[Vendor]]=FilterSpecs!$A$8,MouserListTable[[#This Row],[Mouser SKU]], MouserListTable[[#This Row],[SKU2]])</f>
        <v>CAB-10177</v>
      </c>
      <c r="E79" s="103">
        <v>1</v>
      </c>
      <c r="F79" s="103" t="s">
        <v>18921</v>
      </c>
      <c r="G79" s="103" t="s">
        <v>2504</v>
      </c>
      <c r="H79" s="103" t="s">
        <v>2505</v>
      </c>
      <c r="I79" s="103" t="s">
        <v>2506</v>
      </c>
      <c r="J79" s="103">
        <v>1</v>
      </c>
      <c r="K79" s="104">
        <v>2.95</v>
      </c>
      <c r="L79" s="103" t="s">
        <v>1910</v>
      </c>
      <c r="M79" s="103"/>
      <c r="N79" s="104">
        <f>E79*K79</f>
        <v>2.95</v>
      </c>
      <c r="O79" s="103" t="s">
        <v>2503</v>
      </c>
      <c r="P79" s="103">
        <f t="shared" si="5"/>
        <v>66</v>
      </c>
      <c r="Q79" s="103">
        <f t="shared" si="6"/>
        <v>1</v>
      </c>
      <c r="R79" s="103" t="s">
        <v>8</v>
      </c>
      <c r="S79" s="103" t="str">
        <f>_xlfn.IFS(MouserListTable[[#This Row],[Column1]]=FilterSpecs!$A$6, FilterSpecs!$B$6,MouserListTable[[#This Row],[Column1]]=FilterSpecs!$A$7,FilterSpecs!$B$7,MouserListTable[[#This Row],[Column1]]=FilterSpecs!$A$8,FilterSpecs!$B$8,MouserListTable[[#This Row],[Column1]]=FilterSpecs!$A$9,FilterSpecs!$B$9)</f>
        <v>474-</v>
      </c>
      <c r="T7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474-CAB-10177</v>
      </c>
      <c r="V79" s="151" t="str">
        <f>IF(MouserListTable[[#This Row],[Qty.]]=0, 0, "")</f>
        <v/>
      </c>
    </row>
    <row r="80" spans="1:22" s="144" customFormat="1" x14ac:dyDescent="0.3">
      <c r="A80" s="103" t="s">
        <v>894</v>
      </c>
      <c r="B80" s="103" t="s">
        <v>2036</v>
      </c>
      <c r="C80" s="103" t="s">
        <v>8</v>
      </c>
      <c r="D80" s="103" t="str">
        <f>IF(MouserListTable[[#This Row],[Vendor]]=FilterSpecs!$A$8,MouserListTable[[#This Row],[Mouser SKU]], MouserListTable[[#This Row],[SKU2]])</f>
        <v>CAB-10215</v>
      </c>
      <c r="E80" s="104">
        <f>FilterSpecs!$C$3</f>
        <v>5</v>
      </c>
      <c r="F80" s="104" t="s">
        <v>18921</v>
      </c>
      <c r="G80" s="103" t="s">
        <v>1508</v>
      </c>
      <c r="H80" s="103" t="s">
        <v>1509</v>
      </c>
      <c r="I80" s="103" t="s">
        <v>1510</v>
      </c>
      <c r="J80" s="103">
        <v>1</v>
      </c>
      <c r="K80" s="104">
        <v>4.95</v>
      </c>
      <c r="L80" s="103" t="s">
        <v>1911</v>
      </c>
      <c r="M80" s="103"/>
      <c r="N80" s="104">
        <f>E80*K80</f>
        <v>24.75</v>
      </c>
      <c r="O80" s="103" t="s">
        <v>1507</v>
      </c>
      <c r="P80" s="103">
        <f t="shared" si="5"/>
        <v>67</v>
      </c>
      <c r="Q80" s="103">
        <f t="shared" si="6"/>
        <v>1</v>
      </c>
      <c r="R80" s="103" t="s">
        <v>8</v>
      </c>
      <c r="S80" s="103" t="str">
        <f>_xlfn.IFS(MouserListTable[[#This Row],[Column1]]=FilterSpecs!$A$6, FilterSpecs!$B$6,MouserListTable[[#This Row],[Column1]]=FilterSpecs!$A$7,FilterSpecs!$B$7,MouserListTable[[#This Row],[Column1]]=FilterSpecs!$A$8,FilterSpecs!$B$8,MouserListTable[[#This Row],[Column1]]=FilterSpecs!$A$9,FilterSpecs!$B$9)</f>
        <v>474-</v>
      </c>
      <c r="T8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474-CAB-10215</v>
      </c>
      <c r="V80" s="151" t="str">
        <f>IF(MouserListTable[[#This Row],[Qty.]]=0, 0, "")</f>
        <v/>
      </c>
    </row>
    <row r="81" spans="1:22" s="144" customFormat="1" x14ac:dyDescent="0.3">
      <c r="A81" s="126" t="s">
        <v>894</v>
      </c>
      <c r="B81" s="126" t="s">
        <v>2036</v>
      </c>
      <c r="C81" s="126" t="s">
        <v>8</v>
      </c>
      <c r="D81" s="103" t="str">
        <f>IF(MouserListTable[[#This Row],[Vendor]]=FilterSpecs!$A$8,MouserListTable[[#This Row],[Mouser SKU]], MouserListTable[[#This Row],[SKU2]])</f>
        <v>CAB-13244</v>
      </c>
      <c r="E81" s="104">
        <v>0</v>
      </c>
      <c r="F81" s="104">
        <v>0</v>
      </c>
      <c r="G81" s="103" t="s">
        <v>1512</v>
      </c>
      <c r="H81" s="103" t="s">
        <v>1513</v>
      </c>
      <c r="I81" s="103" t="s">
        <v>1514</v>
      </c>
      <c r="J81" s="103">
        <v>1</v>
      </c>
      <c r="K81" s="104">
        <v>1.95</v>
      </c>
      <c r="L81" s="103" t="s">
        <v>1913</v>
      </c>
      <c r="M81" s="103"/>
      <c r="N81" s="104">
        <v>0</v>
      </c>
      <c r="O81" s="103" t="s">
        <v>1511</v>
      </c>
      <c r="P81" s="103">
        <f t="shared" si="5"/>
        <v>68</v>
      </c>
      <c r="Q81" s="103">
        <f t="shared" si="6"/>
        <v>1</v>
      </c>
      <c r="R81" s="103" t="s">
        <v>8</v>
      </c>
      <c r="S81" s="103" t="str">
        <f>_xlfn.IFS(MouserListTable[[#This Row],[Column1]]=FilterSpecs!$A$6, FilterSpecs!$B$6,MouserListTable[[#This Row],[Column1]]=FilterSpecs!$A$7,FilterSpecs!$B$7,MouserListTable[[#This Row],[Column1]]=FilterSpecs!$A$8,FilterSpecs!$B$8,MouserListTable[[#This Row],[Column1]]=FilterSpecs!$A$9,FilterSpecs!$B$9)</f>
        <v>474-</v>
      </c>
      <c r="T8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474-CAB-13244</v>
      </c>
      <c r="V81" s="151">
        <f>IF(MouserListTable[[#This Row],[Qty.]]=0, 0, "")</f>
        <v>0</v>
      </c>
    </row>
    <row r="82" spans="1:22" s="146" customFormat="1" x14ac:dyDescent="0.3">
      <c r="A82" s="103" t="s">
        <v>894</v>
      </c>
      <c r="B82" s="103" t="s">
        <v>2036</v>
      </c>
      <c r="C82" s="103" t="s">
        <v>8</v>
      </c>
      <c r="D82" s="103" t="str">
        <f>IF(MouserListTable[[#This Row],[Vendor]]=FilterSpecs!$A$8,MouserListTable[[#This Row],[Mouser SKU]], MouserListTable[[#This Row],[SKU2]])</f>
        <v>CAB-11579</v>
      </c>
      <c r="E82" s="104">
        <v>1</v>
      </c>
      <c r="F82" s="104" t="s">
        <v>18921</v>
      </c>
      <c r="G82" s="103" t="s">
        <v>249</v>
      </c>
      <c r="H82" s="103" t="s">
        <v>250</v>
      </c>
      <c r="I82" s="103" t="s">
        <v>251</v>
      </c>
      <c r="J82" s="146">
        <v>1</v>
      </c>
      <c r="K82" s="104">
        <v>4.95</v>
      </c>
      <c r="L82" s="103" t="s">
        <v>1910</v>
      </c>
      <c r="M82" s="106"/>
      <c r="N82" s="104">
        <f>E82*K82</f>
        <v>4.95</v>
      </c>
      <c r="O82" s="103" t="s">
        <v>248</v>
      </c>
      <c r="P82" s="103">
        <f t="shared" si="5"/>
        <v>69</v>
      </c>
      <c r="Q82" s="103">
        <f t="shared" si="6"/>
        <v>1</v>
      </c>
      <c r="R82" s="103" t="s">
        <v>8</v>
      </c>
      <c r="S82" s="103" t="str">
        <f>_xlfn.IFS(MouserListTable[[#This Row],[Column1]]=FilterSpecs!$A$6, FilterSpecs!$B$6,MouserListTable[[#This Row],[Column1]]=FilterSpecs!$A$7,FilterSpecs!$B$7,MouserListTable[[#This Row],[Column1]]=FilterSpecs!$A$8,FilterSpecs!$B$8,MouserListTable[[#This Row],[Column1]]=FilterSpecs!$A$9,FilterSpecs!$B$9)</f>
        <v>474-</v>
      </c>
      <c r="T8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474-CAB-11579</v>
      </c>
      <c r="V82" s="151" t="str">
        <f>IF(MouserListTable[[#This Row],[Qty.]]=0, 0, "")</f>
        <v/>
      </c>
    </row>
    <row r="83" spans="1:22" s="146" customFormat="1" x14ac:dyDescent="0.3">
      <c r="A83" s="103" t="s">
        <v>894</v>
      </c>
      <c r="B83" s="103" t="s">
        <v>2064</v>
      </c>
      <c r="C83" s="103" t="s">
        <v>1898</v>
      </c>
      <c r="D83" s="103" t="str">
        <f>IF(MouserListTable[[#This Row],[Vendor]]=FilterSpecs!$A$8,MouserListTable[[#This Row],[Mouser SKU]], MouserListTable[[#This Row],[SKU2]])</f>
        <v>2727</v>
      </c>
      <c r="E83" s="104">
        <v>0</v>
      </c>
      <c r="F83" s="104">
        <v>0</v>
      </c>
      <c r="G83" s="103"/>
      <c r="H83" s="103"/>
      <c r="I83" s="126" t="s">
        <v>2302</v>
      </c>
      <c r="K83" s="148">
        <v>1.95</v>
      </c>
      <c r="L83" s="126" t="s">
        <v>1910</v>
      </c>
      <c r="N83" s="148"/>
      <c r="O83" s="103" t="s">
        <v>2301</v>
      </c>
      <c r="P83" s="103">
        <f t="shared" si="5"/>
        <v>70</v>
      </c>
      <c r="Q83" s="103">
        <f t="shared" si="6"/>
        <v>1</v>
      </c>
      <c r="R83" s="103" t="s">
        <v>1898</v>
      </c>
      <c r="S83" s="103" t="str">
        <f>_xlfn.IFS(MouserListTable[[#This Row],[Column1]]=FilterSpecs!$A$6, FilterSpecs!$B$6,MouserListTable[[#This Row],[Column1]]=FilterSpecs!$A$7,FilterSpecs!$B$7,MouserListTable[[#This Row],[Column1]]=FilterSpecs!$A$8,FilterSpecs!$B$8,MouserListTable[[#This Row],[Column1]]=FilterSpecs!$A$9,FilterSpecs!$B$9)</f>
        <v>485-</v>
      </c>
      <c r="T8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485-2727</v>
      </c>
      <c r="V83" s="151">
        <f>IF(MouserListTable[[#This Row],[Qty.]]=0, 0, "")</f>
        <v>0</v>
      </c>
    </row>
    <row r="84" spans="1:22" s="146" customFormat="1" x14ac:dyDescent="0.3">
      <c r="A84" s="103" t="s">
        <v>894</v>
      </c>
      <c r="B84" s="103" t="s">
        <v>2064</v>
      </c>
      <c r="C84" s="103" t="s">
        <v>1898</v>
      </c>
      <c r="D84" s="103" t="str">
        <f>IF(MouserListTable[[#This Row],[Vendor]]=FilterSpecs!$A$8,MouserListTable[[#This Row],[Mouser SKU]], MouserListTable[[#This Row],[SKU2]])</f>
        <v>988</v>
      </c>
      <c r="E84" s="104">
        <v>0</v>
      </c>
      <c r="F84" s="104">
        <v>0</v>
      </c>
      <c r="G84" s="103"/>
      <c r="H84" s="103"/>
      <c r="I84" s="126" t="s">
        <v>2304</v>
      </c>
      <c r="K84" s="148">
        <v>2.95</v>
      </c>
      <c r="L84" s="126" t="s">
        <v>1910</v>
      </c>
      <c r="N84" s="148"/>
      <c r="O84" s="103" t="s">
        <v>2303</v>
      </c>
      <c r="P84" s="103">
        <f t="shared" si="5"/>
        <v>71</v>
      </c>
      <c r="Q84" s="103">
        <f t="shared" si="6"/>
        <v>1</v>
      </c>
      <c r="R84" s="103" t="s">
        <v>1898</v>
      </c>
      <c r="S84" s="103" t="str">
        <f>_xlfn.IFS(MouserListTable[[#This Row],[Column1]]=FilterSpecs!$A$6, FilterSpecs!$B$6,MouserListTable[[#This Row],[Column1]]=FilterSpecs!$A$7,FilterSpecs!$B$7,MouserListTable[[#This Row],[Column1]]=FilterSpecs!$A$8,FilterSpecs!$B$8,MouserListTable[[#This Row],[Column1]]=FilterSpecs!$A$9,FilterSpecs!$B$9)</f>
        <v>485-</v>
      </c>
      <c r="T8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485-988</v>
      </c>
      <c r="V84" s="151">
        <f>IF(MouserListTable[[#This Row],[Qty.]]=0, 0, "")</f>
        <v>0</v>
      </c>
    </row>
    <row r="85" spans="1:22" s="146" customFormat="1" x14ac:dyDescent="0.3">
      <c r="A85" s="103" t="s">
        <v>894</v>
      </c>
      <c r="B85" s="103" t="s">
        <v>2064</v>
      </c>
      <c r="C85" s="103" t="s">
        <v>1898</v>
      </c>
      <c r="D85" s="103" t="str">
        <f>IF(MouserListTable[[#This Row],[Vendor]]=FilterSpecs!$A$8,MouserListTable[[#This Row],[Mouser SKU]], MouserListTable[[#This Row],[SKU2]])</f>
        <v>2778</v>
      </c>
      <c r="E85" s="104">
        <v>2</v>
      </c>
      <c r="F85" s="104" t="s">
        <v>18921</v>
      </c>
      <c r="G85" s="103"/>
      <c r="H85" s="103"/>
      <c r="I85" s="103" t="s">
        <v>2306</v>
      </c>
      <c r="K85" s="104">
        <v>6.5</v>
      </c>
      <c r="L85" s="103" t="s">
        <v>1910</v>
      </c>
      <c r="M85" s="106"/>
      <c r="N85" s="104">
        <f>E85*K85</f>
        <v>13</v>
      </c>
      <c r="O85" s="103" t="s">
        <v>2305</v>
      </c>
      <c r="P85" s="103">
        <f t="shared" si="5"/>
        <v>72</v>
      </c>
      <c r="Q85" s="103">
        <f t="shared" si="6"/>
        <v>1</v>
      </c>
      <c r="R85" s="103" t="s">
        <v>1898</v>
      </c>
      <c r="S85" s="103" t="str">
        <f>_xlfn.IFS(MouserListTable[[#This Row],[Column1]]=FilterSpecs!$A$6, FilterSpecs!$B$6,MouserListTable[[#This Row],[Column1]]=FilterSpecs!$A$7,FilterSpecs!$B$7,MouserListTable[[#This Row],[Column1]]=FilterSpecs!$A$8,FilterSpecs!$B$8,MouserListTable[[#This Row],[Column1]]=FilterSpecs!$A$9,FilterSpecs!$B$9)</f>
        <v>485-</v>
      </c>
      <c r="T8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485-2778</v>
      </c>
      <c r="V85" s="151" t="str">
        <f>IF(MouserListTable[[#This Row],[Qty.]]=0, 0, "")</f>
        <v/>
      </c>
    </row>
    <row r="86" spans="1:22" s="146" customFormat="1" x14ac:dyDescent="0.3">
      <c r="A86" s="103" t="s">
        <v>894</v>
      </c>
      <c r="B86" s="103" t="s">
        <v>2064</v>
      </c>
      <c r="C86" s="103" t="s">
        <v>1898</v>
      </c>
      <c r="D86" s="103" t="str">
        <f>IF(MouserListTable[[#This Row],[Vendor]]=FilterSpecs!$A$8,MouserListTable[[#This Row],[Mouser SKU]], MouserListTable[[#This Row],[SKU2]])</f>
        <v>2777</v>
      </c>
      <c r="E86" s="104">
        <v>0</v>
      </c>
      <c r="F86" s="104">
        <v>0</v>
      </c>
      <c r="G86" s="103"/>
      <c r="H86" s="103"/>
      <c r="I86" s="126" t="s">
        <v>2308</v>
      </c>
      <c r="K86" s="148">
        <v>6.5</v>
      </c>
      <c r="L86" s="126" t="s">
        <v>1910</v>
      </c>
      <c r="N86" s="148"/>
      <c r="O86" s="103" t="s">
        <v>2307</v>
      </c>
      <c r="P86" s="103">
        <f t="shared" si="5"/>
        <v>73</v>
      </c>
      <c r="Q86" s="103">
        <f t="shared" si="6"/>
        <v>1</v>
      </c>
      <c r="R86" s="103" t="s">
        <v>1898</v>
      </c>
      <c r="S86" s="103" t="str">
        <f>_xlfn.IFS(MouserListTable[[#This Row],[Column1]]=FilterSpecs!$A$6, FilterSpecs!$B$6,MouserListTable[[#This Row],[Column1]]=FilterSpecs!$A$7,FilterSpecs!$B$7,MouserListTable[[#This Row],[Column1]]=FilterSpecs!$A$8,FilterSpecs!$B$8,MouserListTable[[#This Row],[Column1]]=FilterSpecs!$A$9,FilterSpecs!$B$9)</f>
        <v>485-</v>
      </c>
      <c r="T8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485-2777</v>
      </c>
      <c r="V86" s="151">
        <f>IF(MouserListTable[[#This Row],[Qty.]]=0, 0, "")</f>
        <v>0</v>
      </c>
    </row>
    <row r="87" spans="1:22" s="146" customFormat="1" x14ac:dyDescent="0.3">
      <c r="A87" s="103" t="s">
        <v>894</v>
      </c>
      <c r="B87" s="103" t="s">
        <v>2064</v>
      </c>
      <c r="C87" s="103" t="s">
        <v>1898</v>
      </c>
      <c r="D87" s="103" t="str">
        <f>IF(MouserListTable[[#This Row],[Vendor]]=FilterSpecs!$A$8,MouserListTable[[#This Row],[Mouser SKU]], MouserListTable[[#This Row],[SKU2]])</f>
        <v>2697</v>
      </c>
      <c r="E87" s="104">
        <v>0</v>
      </c>
      <c r="F87" s="104">
        <v>0</v>
      </c>
      <c r="G87" s="103"/>
      <c r="H87" s="103"/>
      <c r="I87" s="126" t="s">
        <v>2310</v>
      </c>
      <c r="K87" s="148">
        <v>2.75</v>
      </c>
      <c r="L87" s="126" t="s">
        <v>1910</v>
      </c>
      <c r="N87" s="148"/>
      <c r="O87" s="103" t="s">
        <v>2309</v>
      </c>
      <c r="P87" s="103">
        <f t="shared" si="5"/>
        <v>74</v>
      </c>
      <c r="Q87" s="103">
        <f t="shared" si="6"/>
        <v>1</v>
      </c>
      <c r="R87" s="103" t="s">
        <v>1898</v>
      </c>
      <c r="S87" s="103" t="str">
        <f>_xlfn.IFS(MouserListTable[[#This Row],[Column1]]=FilterSpecs!$A$6, FilterSpecs!$B$6,MouserListTable[[#This Row],[Column1]]=FilterSpecs!$A$7,FilterSpecs!$B$7,MouserListTable[[#This Row],[Column1]]=FilterSpecs!$A$8,FilterSpecs!$B$8,MouserListTable[[#This Row],[Column1]]=FilterSpecs!$A$9,FilterSpecs!$B$9)</f>
        <v>485-</v>
      </c>
      <c r="T8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485-2697</v>
      </c>
      <c r="V87" s="151">
        <f>IF(MouserListTable[[#This Row],[Qty.]]=0, 0, "")</f>
        <v>0</v>
      </c>
    </row>
    <row r="88" spans="1:22" s="146" customFormat="1" x14ac:dyDescent="0.3">
      <c r="A88" s="103" t="s">
        <v>894</v>
      </c>
      <c r="B88" s="103" t="s">
        <v>2064</v>
      </c>
      <c r="C88" s="103" t="s">
        <v>1898</v>
      </c>
      <c r="D88" s="103" t="str">
        <f>IF(MouserListTable[[#This Row],[Vendor]]=FilterSpecs!$A$8,MouserListTable[[#This Row],[Mouser SKU]], MouserListTable[[#This Row],[SKU2]])</f>
        <v>2789</v>
      </c>
      <c r="E88" s="104">
        <f>FilterSpecs!$C$3</f>
        <v>5</v>
      </c>
      <c r="F88" s="104" t="s">
        <v>18921</v>
      </c>
      <c r="G88" s="103"/>
      <c r="H88" s="103"/>
      <c r="I88" s="103" t="s">
        <v>2313</v>
      </c>
      <c r="K88" s="104">
        <v>1.95</v>
      </c>
      <c r="L88" s="103" t="s">
        <v>1911</v>
      </c>
      <c r="M88" s="106"/>
      <c r="N88" s="104">
        <f t="shared" ref="N88:N95" si="7">E88*K88</f>
        <v>9.75</v>
      </c>
      <c r="O88" s="103" t="s">
        <v>2312</v>
      </c>
      <c r="P88" s="103">
        <f t="shared" si="5"/>
        <v>75</v>
      </c>
      <c r="Q88" s="103">
        <f t="shared" si="6"/>
        <v>1</v>
      </c>
      <c r="R88" s="103" t="s">
        <v>1898</v>
      </c>
      <c r="S88" s="103" t="str">
        <f>_xlfn.IFS(MouserListTable[[#This Row],[Column1]]=FilterSpecs!$A$6, FilterSpecs!$B$6,MouserListTable[[#This Row],[Column1]]=FilterSpecs!$A$7,FilterSpecs!$B$7,MouserListTable[[#This Row],[Column1]]=FilterSpecs!$A$8,FilterSpecs!$B$8,MouserListTable[[#This Row],[Column1]]=FilterSpecs!$A$9,FilterSpecs!$B$9)</f>
        <v>485-</v>
      </c>
      <c r="T8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485-2789</v>
      </c>
      <c r="V88" s="151" t="str">
        <f>IF(MouserListTable[[#This Row],[Qty.]]=0, 0, "")</f>
        <v/>
      </c>
    </row>
    <row r="89" spans="1:22" s="146" customFormat="1" x14ac:dyDescent="0.3">
      <c r="A89" s="103" t="s">
        <v>894</v>
      </c>
      <c r="B89" s="103" t="s">
        <v>2040</v>
      </c>
      <c r="C89" s="103" t="s">
        <v>8</v>
      </c>
      <c r="D89" s="103" t="str">
        <f>IF(MouserListTable[[#This Row],[Vendor]]=FilterSpecs!$A$8,MouserListTable[[#This Row],[Mouser SKU]], MouserListTable[[#This Row],[SKU2]])</f>
        <v>DEV-13158</v>
      </c>
      <c r="E89" s="104">
        <f>FilterSpecs!$C$3</f>
        <v>5</v>
      </c>
      <c r="F89" s="104" t="s">
        <v>18921</v>
      </c>
      <c r="G89" s="103" t="s">
        <v>37</v>
      </c>
      <c r="H89" s="103" t="s">
        <v>38</v>
      </c>
      <c r="I89" s="103" t="s">
        <v>39</v>
      </c>
      <c r="J89" s="146">
        <v>1</v>
      </c>
      <c r="K89" s="104">
        <v>29.95</v>
      </c>
      <c r="L89" s="103" t="s">
        <v>1911</v>
      </c>
      <c r="M89" s="106"/>
      <c r="N89" s="104">
        <f t="shared" si="7"/>
        <v>149.75</v>
      </c>
      <c r="O89" s="103" t="s">
        <v>36</v>
      </c>
      <c r="P89" s="103">
        <f t="shared" si="5"/>
        <v>76</v>
      </c>
      <c r="Q89" s="103">
        <f t="shared" si="6"/>
        <v>1</v>
      </c>
      <c r="R89" s="103" t="s">
        <v>8</v>
      </c>
      <c r="S89" s="103" t="str">
        <f>_xlfn.IFS(MouserListTable[[#This Row],[Column1]]=FilterSpecs!$A$6, FilterSpecs!$B$6,MouserListTable[[#This Row],[Column1]]=FilterSpecs!$A$7,FilterSpecs!$B$7,MouserListTable[[#This Row],[Column1]]=FilterSpecs!$A$8,FilterSpecs!$B$8,MouserListTable[[#This Row],[Column1]]=FilterSpecs!$A$9,FilterSpecs!$B$9)</f>
        <v>474-</v>
      </c>
      <c r="T8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474-DEV-13158</v>
      </c>
      <c r="V89" s="151" t="str">
        <f>IF(MouserListTable[[#This Row],[Qty.]]=0, 0, "")</f>
        <v/>
      </c>
    </row>
    <row r="90" spans="1:22" s="146" customFormat="1" x14ac:dyDescent="0.3">
      <c r="A90" s="103" t="s">
        <v>894</v>
      </c>
      <c r="B90" s="103" t="s">
        <v>2040</v>
      </c>
      <c r="C90" s="103" t="s">
        <v>8</v>
      </c>
      <c r="D90" s="103" t="str">
        <f>IF(MouserListTable[[#This Row],[Vendor]]=FilterSpecs!$A$8,MouserListTable[[#This Row],[Mouser SKU]], MouserListTable[[#This Row],[SKU2]])</f>
        <v>PRT-12711</v>
      </c>
      <c r="E90" s="104">
        <f>FilterSpecs!$C$3</f>
        <v>5</v>
      </c>
      <c r="F90" s="104" t="s">
        <v>18921</v>
      </c>
      <c r="G90" s="103" t="s">
        <v>41</v>
      </c>
      <c r="H90" s="103" t="s">
        <v>42</v>
      </c>
      <c r="I90" s="103" t="s">
        <v>43</v>
      </c>
      <c r="J90" s="146">
        <v>1</v>
      </c>
      <c r="K90" s="104">
        <v>14.95</v>
      </c>
      <c r="L90" s="103" t="s">
        <v>1911</v>
      </c>
      <c r="M90" s="106"/>
      <c r="N90" s="104">
        <f t="shared" si="7"/>
        <v>74.75</v>
      </c>
      <c r="O90" s="103" t="s">
        <v>40</v>
      </c>
      <c r="P90" s="103">
        <f t="shared" si="5"/>
        <v>77</v>
      </c>
      <c r="Q90" s="103">
        <f t="shared" si="6"/>
        <v>1</v>
      </c>
      <c r="R90" s="103" t="s">
        <v>8</v>
      </c>
      <c r="S90" s="103" t="str">
        <f>_xlfn.IFS(MouserListTable[[#This Row],[Column1]]=FilterSpecs!$A$6, FilterSpecs!$B$6,MouserListTable[[#This Row],[Column1]]=FilterSpecs!$A$7,FilterSpecs!$B$7,MouserListTable[[#This Row],[Column1]]=FilterSpecs!$A$8,FilterSpecs!$B$8,MouserListTable[[#This Row],[Column1]]=FilterSpecs!$A$9,FilterSpecs!$B$9)</f>
        <v>474-</v>
      </c>
      <c r="T9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474-PRT-12711</v>
      </c>
      <c r="V90" s="151" t="str">
        <f>IF(MouserListTable[[#This Row],[Qty.]]=0, 0, "")</f>
        <v/>
      </c>
    </row>
    <row r="91" spans="1:22" s="146" customFormat="1" x14ac:dyDescent="0.3">
      <c r="A91" s="103" t="s">
        <v>894</v>
      </c>
      <c r="B91" s="103" t="s">
        <v>2040</v>
      </c>
      <c r="C91" s="103" t="s">
        <v>8</v>
      </c>
      <c r="D91" s="103" t="str">
        <f>IF(MouserListTable[[#This Row],[Vendor]]=FilterSpecs!$A$8,MouserListTable[[#This Row],[Mouser SKU]], MouserListTable[[#This Row],[SKU2]])</f>
        <v>PRT-13777</v>
      </c>
      <c r="E91" s="104">
        <v>1</v>
      </c>
      <c r="F91" s="104" t="s">
        <v>18921</v>
      </c>
      <c r="G91" s="103" t="s">
        <v>49</v>
      </c>
      <c r="H91" s="103" t="s">
        <v>50</v>
      </c>
      <c r="I91" s="103" t="s">
        <v>51</v>
      </c>
      <c r="J91" s="146">
        <v>1</v>
      </c>
      <c r="K91" s="104">
        <v>19.95</v>
      </c>
      <c r="L91" s="103" t="s">
        <v>1910</v>
      </c>
      <c r="M91" s="106"/>
      <c r="N91" s="104">
        <f t="shared" si="7"/>
        <v>19.95</v>
      </c>
      <c r="O91" s="103" t="s">
        <v>48</v>
      </c>
      <c r="P91" s="103">
        <f t="shared" si="5"/>
        <v>78</v>
      </c>
      <c r="Q91" s="103">
        <f t="shared" si="6"/>
        <v>1</v>
      </c>
      <c r="R91" s="103" t="s">
        <v>8</v>
      </c>
      <c r="S91" s="103" t="str">
        <f>_xlfn.IFS(MouserListTable[[#This Row],[Column1]]=FilterSpecs!$A$6, FilterSpecs!$B$6,MouserListTable[[#This Row],[Column1]]=FilterSpecs!$A$7,FilterSpecs!$B$7,MouserListTable[[#This Row],[Column1]]=FilterSpecs!$A$8,FilterSpecs!$B$8,MouserListTable[[#This Row],[Column1]]=FilterSpecs!$A$9,FilterSpecs!$B$9)</f>
        <v>474-</v>
      </c>
      <c r="T9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474-PRT-13777</v>
      </c>
      <c r="V91" s="151" t="str">
        <f>IF(MouserListTable[[#This Row],[Qty.]]=0, 0, "")</f>
        <v/>
      </c>
    </row>
    <row r="92" spans="1:22" s="146" customFormat="1" x14ac:dyDescent="0.3">
      <c r="A92" s="103" t="s">
        <v>894</v>
      </c>
      <c r="B92" s="103" t="s">
        <v>2040</v>
      </c>
      <c r="C92" s="103" t="s">
        <v>8</v>
      </c>
      <c r="D92" s="103" t="str">
        <f>IF(MouserListTable[[#This Row],[Vendor]]=FilterSpecs!$A$8,MouserListTable[[#This Row],[Mouser SKU]], MouserListTable[[#This Row],[SKU2]])</f>
        <v>PRT-13856</v>
      </c>
      <c r="E92" s="104">
        <f>FilterSpecs!$C$3+1</f>
        <v>6</v>
      </c>
      <c r="F92" s="104" t="s">
        <v>18921</v>
      </c>
      <c r="G92" s="103" t="s">
        <v>53</v>
      </c>
      <c r="H92" s="103" t="s">
        <v>54</v>
      </c>
      <c r="I92" s="103" t="s">
        <v>55</v>
      </c>
      <c r="J92" s="146">
        <v>1</v>
      </c>
      <c r="K92" s="104">
        <v>29.95</v>
      </c>
      <c r="L92" s="103" t="s">
        <v>1910</v>
      </c>
      <c r="M92" s="106"/>
      <c r="N92" s="104">
        <f t="shared" si="7"/>
        <v>179.7</v>
      </c>
      <c r="O92" s="103" t="s">
        <v>52</v>
      </c>
      <c r="P92" s="103">
        <f t="shared" si="5"/>
        <v>79</v>
      </c>
      <c r="Q92" s="103">
        <f t="shared" si="6"/>
        <v>1</v>
      </c>
      <c r="R92" s="103" t="s">
        <v>8</v>
      </c>
      <c r="S92" s="103" t="str">
        <f>_xlfn.IFS(MouserListTable[[#This Row],[Column1]]=FilterSpecs!$A$6, FilterSpecs!$B$6,MouserListTable[[#This Row],[Column1]]=FilterSpecs!$A$7,FilterSpecs!$B$7,MouserListTable[[#This Row],[Column1]]=FilterSpecs!$A$8,FilterSpecs!$B$8,MouserListTable[[#This Row],[Column1]]=FilterSpecs!$A$9,FilterSpecs!$B$9)</f>
        <v>474-</v>
      </c>
      <c r="T9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474-PRT-13856</v>
      </c>
      <c r="V92" s="151" t="str">
        <f>IF(MouserListTable[[#This Row],[Qty.]]=0, 0, "")</f>
        <v/>
      </c>
    </row>
    <row r="93" spans="1:22" s="146" customFormat="1" x14ac:dyDescent="0.3">
      <c r="A93" s="103" t="s">
        <v>894</v>
      </c>
      <c r="B93" s="103" t="s">
        <v>2040</v>
      </c>
      <c r="C93" s="103" t="s">
        <v>8</v>
      </c>
      <c r="D93" s="103" t="str">
        <f>IF(MouserListTable[[#This Row],[Vendor]]=FilterSpecs!$A$8,MouserListTable[[#This Row],[Mouser SKU]], MouserListTable[[#This Row],[SKU2]])</f>
        <v>PRT-13855</v>
      </c>
      <c r="E93" s="104">
        <v>2</v>
      </c>
      <c r="F93" s="104" t="s">
        <v>18921</v>
      </c>
      <c r="G93" s="103" t="s">
        <v>796</v>
      </c>
      <c r="H93" s="103" t="s">
        <v>797</v>
      </c>
      <c r="I93" s="103" t="s">
        <v>798</v>
      </c>
      <c r="J93" s="146">
        <v>1</v>
      </c>
      <c r="K93" s="104">
        <v>12.95</v>
      </c>
      <c r="L93" s="103" t="s">
        <v>1910</v>
      </c>
      <c r="M93" s="106"/>
      <c r="N93" s="104">
        <f t="shared" si="7"/>
        <v>25.9</v>
      </c>
      <c r="O93" s="103" t="s">
        <v>795</v>
      </c>
      <c r="P93" s="103">
        <f t="shared" si="5"/>
        <v>80</v>
      </c>
      <c r="Q93" s="103">
        <f t="shared" si="6"/>
        <v>1</v>
      </c>
      <c r="R93" s="103" t="s">
        <v>8</v>
      </c>
      <c r="S93" s="103" t="str">
        <f>_xlfn.IFS(MouserListTable[[#This Row],[Column1]]=FilterSpecs!$A$6, FilterSpecs!$B$6,MouserListTable[[#This Row],[Column1]]=FilterSpecs!$A$7,FilterSpecs!$B$7,MouserListTable[[#This Row],[Column1]]=FilterSpecs!$A$8,FilterSpecs!$B$8,MouserListTable[[#This Row],[Column1]]=FilterSpecs!$A$9,FilterSpecs!$B$9)</f>
        <v>474-</v>
      </c>
      <c r="T9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474-PRT-13855</v>
      </c>
      <c r="V93" s="151" t="str">
        <f>IF(MouserListTable[[#This Row],[Qty.]]=0, 0, "")</f>
        <v/>
      </c>
    </row>
    <row r="94" spans="1:22" s="146" customFormat="1" x14ac:dyDescent="0.3">
      <c r="A94" s="103" t="s">
        <v>894</v>
      </c>
      <c r="B94" s="103" t="s">
        <v>2034</v>
      </c>
      <c r="C94" s="103" t="s">
        <v>8</v>
      </c>
      <c r="D94" s="103" t="str">
        <f>IF(MouserListTable[[#This Row],[Vendor]]=FilterSpecs!$A$8,MouserListTable[[#This Row],[Mouser SKU]], MouserListTable[[#This Row],[SKU2]])</f>
        <v>PRT-13032</v>
      </c>
      <c r="E94" s="104">
        <f>FilterSpecs!$C$3</f>
        <v>5</v>
      </c>
      <c r="F94" s="104" t="s">
        <v>18921</v>
      </c>
      <c r="G94" s="103" t="s">
        <v>45</v>
      </c>
      <c r="H94" s="103" t="s">
        <v>46</v>
      </c>
      <c r="I94" s="103" t="s">
        <v>47</v>
      </c>
      <c r="J94" s="146">
        <v>1</v>
      </c>
      <c r="K94" s="104">
        <v>9.9499999999999993</v>
      </c>
      <c r="L94" s="103" t="s">
        <v>1911</v>
      </c>
      <c r="M94" s="106"/>
      <c r="N94" s="104">
        <f t="shared" si="7"/>
        <v>49.75</v>
      </c>
      <c r="O94" s="103" t="s">
        <v>44</v>
      </c>
      <c r="P94" s="103">
        <f t="shared" si="5"/>
        <v>81</v>
      </c>
      <c r="Q94" s="103">
        <f t="shared" si="6"/>
        <v>1</v>
      </c>
      <c r="R94" s="103" t="s">
        <v>8</v>
      </c>
      <c r="S94" s="103" t="str">
        <f>_xlfn.IFS(MouserListTable[[#This Row],[Column1]]=FilterSpecs!$A$6, FilterSpecs!$B$6,MouserListTable[[#This Row],[Column1]]=FilterSpecs!$A$7,FilterSpecs!$B$7,MouserListTable[[#This Row],[Column1]]=FilterSpecs!$A$8,FilterSpecs!$B$8,MouserListTable[[#This Row],[Column1]]=FilterSpecs!$A$9,FilterSpecs!$B$9)</f>
        <v>474-</v>
      </c>
      <c r="T9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474-PRT-13032</v>
      </c>
      <c r="V94" s="151" t="str">
        <f>IF(MouserListTable[[#This Row],[Qty.]]=0, 0, "")</f>
        <v/>
      </c>
    </row>
    <row r="95" spans="1:22" s="146" customFormat="1" x14ac:dyDescent="0.3">
      <c r="A95" s="103" t="s">
        <v>894</v>
      </c>
      <c r="B95" s="103" t="s">
        <v>2034</v>
      </c>
      <c r="C95" s="103" t="s">
        <v>8</v>
      </c>
      <c r="D95" s="103" t="str">
        <f>IF(MouserListTable[[#This Row],[Vendor]]=FilterSpecs!$A$8,MouserListTable[[#This Row],[Mouser SKU]], MouserListTable[[#This Row],[SKU2]])</f>
        <v>PRT-00114</v>
      </c>
      <c r="E95" s="104">
        <v>2</v>
      </c>
      <c r="F95" s="104" t="s">
        <v>18921</v>
      </c>
      <c r="G95" s="103" t="s">
        <v>1206</v>
      </c>
      <c r="H95" s="103" t="s">
        <v>1207</v>
      </c>
      <c r="I95" s="103" t="s">
        <v>1208</v>
      </c>
      <c r="J95" s="146">
        <v>1</v>
      </c>
      <c r="K95" s="104">
        <v>9.9499999999999993</v>
      </c>
      <c r="L95" s="103" t="s">
        <v>1913</v>
      </c>
      <c r="M95" s="106"/>
      <c r="N95" s="104">
        <f t="shared" si="7"/>
        <v>19.899999999999999</v>
      </c>
      <c r="O95" s="103" t="s">
        <v>1205</v>
      </c>
      <c r="P95" s="103">
        <f t="shared" si="5"/>
        <v>82</v>
      </c>
      <c r="Q95" s="103">
        <f t="shared" si="6"/>
        <v>1</v>
      </c>
      <c r="R95" s="103" t="s">
        <v>8</v>
      </c>
      <c r="S95" s="103" t="str">
        <f>_xlfn.IFS(MouserListTable[[#This Row],[Column1]]=FilterSpecs!$A$6, FilterSpecs!$B$6,MouserListTable[[#This Row],[Column1]]=FilterSpecs!$A$7,FilterSpecs!$B$7,MouserListTable[[#This Row],[Column1]]=FilterSpecs!$A$8,FilterSpecs!$B$8,MouserListTable[[#This Row],[Column1]]=FilterSpecs!$A$9,FilterSpecs!$B$9)</f>
        <v>474-</v>
      </c>
      <c r="T9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474-PRT-00114</v>
      </c>
      <c r="V95" s="151" t="str">
        <f>IF(MouserListTable[[#This Row],[Qty.]]=0, 0, "")</f>
        <v/>
      </c>
    </row>
    <row r="96" spans="1:22" s="146" customFormat="1" x14ac:dyDescent="0.3">
      <c r="A96" s="126" t="s">
        <v>894</v>
      </c>
      <c r="B96" s="103" t="s">
        <v>2034</v>
      </c>
      <c r="C96" s="103" t="s">
        <v>1898</v>
      </c>
      <c r="D96" s="103" t="str">
        <f>IF(MouserListTable[[#This Row],[Vendor]]=FilterSpecs!$A$8,MouserListTable[[#This Row],[Mouser SKU]], MouserListTable[[#This Row],[SKU2]])</f>
        <v>184</v>
      </c>
      <c r="E96" s="104">
        <v>0</v>
      </c>
      <c r="F96" s="104">
        <v>0</v>
      </c>
      <c r="G96" s="103"/>
      <c r="H96" s="103"/>
      <c r="I96" s="126" t="s">
        <v>2288</v>
      </c>
      <c r="K96" s="148">
        <v>14.95</v>
      </c>
      <c r="L96" s="126" t="s">
        <v>1910</v>
      </c>
      <c r="N96" s="148"/>
      <c r="O96" s="103" t="s">
        <v>2287</v>
      </c>
      <c r="P96" s="103">
        <f t="shared" si="5"/>
        <v>83</v>
      </c>
      <c r="Q96" s="103">
        <f t="shared" si="6"/>
        <v>1</v>
      </c>
      <c r="R96" s="103" t="s">
        <v>1898</v>
      </c>
      <c r="S96" s="103" t="str">
        <f>_xlfn.IFS(MouserListTable[[#This Row],[Column1]]=FilterSpecs!$A$6, FilterSpecs!$B$6,MouserListTable[[#This Row],[Column1]]=FilterSpecs!$A$7,FilterSpecs!$B$7,MouserListTable[[#This Row],[Column1]]=FilterSpecs!$A$8,FilterSpecs!$B$8,MouserListTable[[#This Row],[Column1]]=FilterSpecs!$A$9,FilterSpecs!$B$9)</f>
        <v>485-</v>
      </c>
      <c r="T9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485-184</v>
      </c>
      <c r="V96" s="151">
        <f>IF(MouserListTable[[#This Row],[Qty.]]=0, 0, "")</f>
        <v>0</v>
      </c>
    </row>
    <row r="97" spans="1:22" s="146" customFormat="1" x14ac:dyDescent="0.3">
      <c r="A97" s="103" t="s">
        <v>894</v>
      </c>
      <c r="B97" s="103" t="s">
        <v>2034</v>
      </c>
      <c r="C97" s="103" t="s">
        <v>8</v>
      </c>
      <c r="D97" s="103" t="str">
        <f>IF(MouserListTable[[#This Row],[Vendor]]=FilterSpecs!$A$8,MouserListTable[[#This Row],[Mouser SKU]], MouserListTable[[#This Row],[SKU2]])</f>
        <v>PRT-10811</v>
      </c>
      <c r="E97" s="104">
        <f>FilterSpecs!$C$3+1</f>
        <v>6</v>
      </c>
      <c r="F97" s="104" t="s">
        <v>18921</v>
      </c>
      <c r="G97" s="103" t="s">
        <v>572</v>
      </c>
      <c r="H97" s="103" t="s">
        <v>573</v>
      </c>
      <c r="I97" s="103" t="s">
        <v>574</v>
      </c>
      <c r="K97" s="104">
        <v>0.95</v>
      </c>
      <c r="L97" s="103" t="s">
        <v>1911</v>
      </c>
      <c r="M97" s="106"/>
      <c r="N97" s="104">
        <f>E97*K97</f>
        <v>5.6999999999999993</v>
      </c>
      <c r="O97" s="103" t="s">
        <v>571</v>
      </c>
      <c r="P97" s="103">
        <f t="shared" si="5"/>
        <v>84</v>
      </c>
      <c r="Q97" s="103">
        <f t="shared" si="6"/>
        <v>1</v>
      </c>
      <c r="R97" s="103" t="s">
        <v>8</v>
      </c>
      <c r="S97" s="103" t="str">
        <f>_xlfn.IFS(MouserListTable[[#This Row],[Column1]]=FilterSpecs!$A$6, FilterSpecs!$B$6,MouserListTable[[#This Row],[Column1]]=FilterSpecs!$A$7,FilterSpecs!$B$7,MouserListTable[[#This Row],[Column1]]=FilterSpecs!$A$8,FilterSpecs!$B$8,MouserListTable[[#This Row],[Column1]]=FilterSpecs!$A$9,FilterSpecs!$B$9)</f>
        <v>474-</v>
      </c>
      <c r="T9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474-PRT-10811</v>
      </c>
      <c r="V97" s="151" t="str">
        <f>IF(MouserListTable[[#This Row],[Qty.]]=0, 0, "")</f>
        <v/>
      </c>
    </row>
    <row r="98" spans="1:22" s="146" customFormat="1" x14ac:dyDescent="0.3">
      <c r="A98" s="126" t="s">
        <v>894</v>
      </c>
      <c r="B98" s="103" t="s">
        <v>2034</v>
      </c>
      <c r="C98" s="103" t="s">
        <v>1898</v>
      </c>
      <c r="D98" s="103" t="str">
        <f>IF(MouserListTable[[#This Row],[Vendor]]=FilterSpecs!$A$8,MouserListTable[[#This Row],[Mouser SKU]], MouserListTable[[#This Row],[SKU2]])</f>
        <v>373</v>
      </c>
      <c r="E98" s="104">
        <v>0</v>
      </c>
      <c r="F98" s="104">
        <v>0</v>
      </c>
      <c r="G98" s="103"/>
      <c r="H98" s="103"/>
      <c r="I98" s="126" t="s">
        <v>2222</v>
      </c>
      <c r="K98" s="148">
        <v>0.95</v>
      </c>
      <c r="L98" s="126" t="s">
        <v>1910</v>
      </c>
      <c r="N98" s="148"/>
      <c r="O98" s="103" t="s">
        <v>2221</v>
      </c>
      <c r="P98" s="103">
        <f t="shared" si="5"/>
        <v>85</v>
      </c>
      <c r="Q98" s="103">
        <f t="shared" si="6"/>
        <v>1</v>
      </c>
      <c r="R98" s="103" t="s">
        <v>1898</v>
      </c>
      <c r="S98" s="103" t="str">
        <f>_xlfn.IFS(MouserListTable[[#This Row],[Column1]]=FilterSpecs!$A$6, FilterSpecs!$B$6,MouserListTable[[#This Row],[Column1]]=FilterSpecs!$A$7,FilterSpecs!$B$7,MouserListTable[[#This Row],[Column1]]=FilterSpecs!$A$8,FilterSpecs!$B$8,MouserListTable[[#This Row],[Column1]]=FilterSpecs!$A$9,FilterSpecs!$B$9)</f>
        <v>485-</v>
      </c>
      <c r="T9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485-373</v>
      </c>
      <c r="V98" s="151">
        <f>IF(MouserListTable[[#This Row],[Qty.]]=0, 0, "")</f>
        <v>0</v>
      </c>
    </row>
    <row r="99" spans="1:22" s="146" customFormat="1" x14ac:dyDescent="0.3">
      <c r="A99" s="103" t="s">
        <v>894</v>
      </c>
      <c r="B99" s="106" t="s">
        <v>2035</v>
      </c>
      <c r="C99" s="103" t="s">
        <v>8</v>
      </c>
      <c r="D99" s="103" t="str">
        <f>IF(MouserListTable[[#This Row],[Vendor]]=FilterSpecs!$A$8,MouserListTable[[#This Row],[Mouser SKU]], MouserListTable[[#This Row],[SKU2]])</f>
        <v>PRT-11214</v>
      </c>
      <c r="E99" s="104">
        <f>FilterSpecs!$C$3</f>
        <v>5</v>
      </c>
      <c r="F99" s="104" t="s">
        <v>18921</v>
      </c>
      <c r="G99" s="103" t="s">
        <v>808</v>
      </c>
      <c r="H99" s="103" t="s">
        <v>809</v>
      </c>
      <c r="I99" s="103" t="s">
        <v>810</v>
      </c>
      <c r="J99" s="103">
        <v>1</v>
      </c>
      <c r="K99" s="104">
        <v>6.95</v>
      </c>
      <c r="L99" s="103" t="s">
        <v>1911</v>
      </c>
      <c r="M99" s="106"/>
      <c r="N99" s="104">
        <f>E99*K99</f>
        <v>34.75</v>
      </c>
      <c r="O99" s="103" t="s">
        <v>807</v>
      </c>
      <c r="P99" s="103">
        <f t="shared" si="5"/>
        <v>86</v>
      </c>
      <c r="Q99" s="103">
        <f t="shared" si="6"/>
        <v>1</v>
      </c>
      <c r="R99" s="103" t="s">
        <v>8</v>
      </c>
      <c r="S99" s="103" t="str">
        <f>_xlfn.IFS(MouserListTable[[#This Row],[Column1]]=FilterSpecs!$A$6, FilterSpecs!$B$6,MouserListTable[[#This Row],[Column1]]=FilterSpecs!$A$7,FilterSpecs!$B$7,MouserListTable[[#This Row],[Column1]]=FilterSpecs!$A$8,FilterSpecs!$B$8,MouserListTable[[#This Row],[Column1]]=FilterSpecs!$A$9,FilterSpecs!$B$9)</f>
        <v>474-</v>
      </c>
      <c r="T9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474-PRT-11214</v>
      </c>
      <c r="V99" s="151" t="str">
        <f>IF(MouserListTable[[#This Row],[Qty.]]=0, 0, "")</f>
        <v/>
      </c>
    </row>
    <row r="100" spans="1:22" s="146" customFormat="1" x14ac:dyDescent="0.3">
      <c r="A100" s="126" t="s">
        <v>894</v>
      </c>
      <c r="B100" s="126" t="s">
        <v>2035</v>
      </c>
      <c r="C100" s="126" t="s">
        <v>1898</v>
      </c>
      <c r="D100" s="103" t="str">
        <f>IF(MouserListTable[[#This Row],[Vendor]]=FilterSpecs!$A$8,MouserListTable[[#This Row],[Mouser SKU]], MouserListTable[[#This Row],[SKU2]])</f>
        <v>1125</v>
      </c>
      <c r="E100" s="104">
        <v>0</v>
      </c>
      <c r="F100" s="104">
        <v>0</v>
      </c>
      <c r="G100" s="103"/>
      <c r="H100" s="103"/>
      <c r="I100" s="103" t="s">
        <v>2282</v>
      </c>
      <c r="J100" s="103"/>
      <c r="K100" s="104">
        <v>2.5</v>
      </c>
      <c r="L100" s="103" t="s">
        <v>1910</v>
      </c>
      <c r="N100" s="148"/>
      <c r="O100" s="103" t="s">
        <v>2281</v>
      </c>
      <c r="P100" s="103">
        <f t="shared" si="5"/>
        <v>87</v>
      </c>
      <c r="Q100" s="103">
        <f t="shared" si="6"/>
        <v>1</v>
      </c>
      <c r="R100" s="103" t="s">
        <v>1898</v>
      </c>
      <c r="S100" s="103" t="str">
        <f>_xlfn.IFS(MouserListTable[[#This Row],[Column1]]=FilterSpecs!$A$6, FilterSpecs!$B$6,MouserListTable[[#This Row],[Column1]]=FilterSpecs!$A$7,FilterSpecs!$B$7,MouserListTable[[#This Row],[Column1]]=FilterSpecs!$A$8,FilterSpecs!$B$8,MouserListTable[[#This Row],[Column1]]=FilterSpecs!$A$9,FilterSpecs!$B$9)</f>
        <v>485-</v>
      </c>
      <c r="T10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485-1125</v>
      </c>
      <c r="V100" s="151">
        <f>IF(MouserListTable[[#This Row],[Qty.]]=0, 0, "")</f>
        <v>0</v>
      </c>
    </row>
    <row r="101" spans="1:22" s="146" customFormat="1" x14ac:dyDescent="0.3">
      <c r="A101" s="103" t="s">
        <v>894</v>
      </c>
      <c r="B101" s="103" t="s">
        <v>2037</v>
      </c>
      <c r="C101" s="103" t="s">
        <v>1898</v>
      </c>
      <c r="D101" s="103" t="str">
        <f>IF(MouserListTable[[#This Row],[Vendor]]=FilterSpecs!$A$8,MouserListTable[[#This Row],[Mouser SKU]], MouserListTable[[#This Row],[SKU2]])</f>
        <v>743</v>
      </c>
      <c r="E101" s="104">
        <f>FilterSpecs!$C$3+1</f>
        <v>6</v>
      </c>
      <c r="F101" s="104" t="s">
        <v>18921</v>
      </c>
      <c r="G101" s="103"/>
      <c r="H101" s="103"/>
      <c r="I101" s="103" t="s">
        <v>2088</v>
      </c>
      <c r="J101" s="103"/>
      <c r="K101" s="104">
        <v>2.5</v>
      </c>
      <c r="L101" s="103" t="s">
        <v>1911</v>
      </c>
      <c r="M101" s="106"/>
      <c r="N101" s="104">
        <f>E101*K101</f>
        <v>15</v>
      </c>
      <c r="O101" s="103" t="s">
        <v>2089</v>
      </c>
      <c r="P101" s="103">
        <f t="shared" si="5"/>
        <v>88</v>
      </c>
      <c r="Q101" s="103">
        <f t="shared" si="6"/>
        <v>1</v>
      </c>
      <c r="R101" s="103" t="s">
        <v>1898</v>
      </c>
      <c r="S101" s="103" t="str">
        <f>_xlfn.IFS(MouserListTable[[#This Row],[Column1]]=FilterSpecs!$A$6, FilterSpecs!$B$6,MouserListTable[[#This Row],[Column1]]=FilterSpecs!$A$7,FilterSpecs!$B$7,MouserListTable[[#This Row],[Column1]]=FilterSpecs!$A$8,FilterSpecs!$B$8,MouserListTable[[#This Row],[Column1]]=FilterSpecs!$A$9,FilterSpecs!$B$9)</f>
        <v>485-</v>
      </c>
      <c r="T10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485-743</v>
      </c>
      <c r="V101" s="151" t="str">
        <f>IF(MouserListTable[[#This Row],[Qty.]]=0, 0, "")</f>
        <v/>
      </c>
    </row>
    <row r="102" spans="1:22" s="146" customFormat="1" x14ac:dyDescent="0.3">
      <c r="A102" s="126" t="s">
        <v>894</v>
      </c>
      <c r="B102" s="126" t="s">
        <v>2037</v>
      </c>
      <c r="C102" s="126" t="s">
        <v>8</v>
      </c>
      <c r="D102" s="103" t="str">
        <f>IF(MouserListTable[[#This Row],[Vendor]]=FilterSpecs!$A$8,MouserListTable[[#This Row],[Mouser SKU]], MouserListTable[[#This Row],[SKU2]])</f>
        <v>PRT-10288</v>
      </c>
      <c r="E102" s="104">
        <v>0</v>
      </c>
      <c r="F102" s="104">
        <v>0</v>
      </c>
      <c r="G102" s="103" t="s">
        <v>1028</v>
      </c>
      <c r="H102" s="103" t="s">
        <v>1029</v>
      </c>
      <c r="I102" s="103" t="s">
        <v>1030</v>
      </c>
      <c r="J102" s="103"/>
      <c r="K102" s="104">
        <v>2.95</v>
      </c>
      <c r="L102" s="103" t="s">
        <v>1912</v>
      </c>
      <c r="M102" s="103"/>
      <c r="N102" s="104">
        <v>0</v>
      </c>
      <c r="O102" s="103" t="s">
        <v>1027</v>
      </c>
      <c r="P102" s="103">
        <f t="shared" si="5"/>
        <v>89</v>
      </c>
      <c r="Q102" s="103">
        <f t="shared" si="6"/>
        <v>1</v>
      </c>
      <c r="R102" s="103" t="s">
        <v>8</v>
      </c>
      <c r="S102" s="103" t="str">
        <f>_xlfn.IFS(MouserListTable[[#This Row],[Column1]]=FilterSpecs!$A$6, FilterSpecs!$B$6,MouserListTable[[#This Row],[Column1]]=FilterSpecs!$A$7,FilterSpecs!$B$7,MouserListTable[[#This Row],[Column1]]=FilterSpecs!$A$8,FilterSpecs!$B$8,MouserListTable[[#This Row],[Column1]]=FilterSpecs!$A$9,FilterSpecs!$B$9)</f>
        <v>474-</v>
      </c>
      <c r="T10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474-PRT-10288</v>
      </c>
      <c r="V102" s="151">
        <f>IF(MouserListTable[[#This Row],[Qty.]]=0, 0, "")</f>
        <v>0</v>
      </c>
    </row>
    <row r="103" spans="1:22" s="146" customFormat="1" x14ac:dyDescent="0.3">
      <c r="A103" s="126" t="s">
        <v>894</v>
      </c>
      <c r="B103" s="126" t="s">
        <v>2037</v>
      </c>
      <c r="C103" s="126" t="s">
        <v>8</v>
      </c>
      <c r="D103" s="103" t="str">
        <f>IF(MouserListTable[[#This Row],[Vendor]]=FilterSpecs!$A$8,MouserListTable[[#This Row],[Mouser SKU]], MouserListTable[[#This Row],[SKU2]])</f>
        <v>PRT-10287</v>
      </c>
      <c r="E103" s="104">
        <v>0</v>
      </c>
      <c r="F103" s="104">
        <v>0</v>
      </c>
      <c r="G103" s="103" t="s">
        <v>816</v>
      </c>
      <c r="H103" s="103" t="s">
        <v>817</v>
      </c>
      <c r="I103" s="103" t="s">
        <v>818</v>
      </c>
      <c r="J103" s="103"/>
      <c r="K103" s="104">
        <v>2.95</v>
      </c>
      <c r="L103" s="103" t="s">
        <v>1912</v>
      </c>
      <c r="M103" s="103"/>
      <c r="N103" s="104">
        <v>0</v>
      </c>
      <c r="O103" s="103" t="s">
        <v>815</v>
      </c>
      <c r="P103" s="103">
        <f t="shared" si="5"/>
        <v>90</v>
      </c>
      <c r="Q103" s="103">
        <f t="shared" si="6"/>
        <v>1</v>
      </c>
      <c r="R103" s="103" t="s">
        <v>8</v>
      </c>
      <c r="S103" s="103" t="str">
        <f>_xlfn.IFS(MouserListTable[[#This Row],[Column1]]=FilterSpecs!$A$6, FilterSpecs!$B$6,MouserListTable[[#This Row],[Column1]]=FilterSpecs!$A$7,FilterSpecs!$B$7,MouserListTable[[#This Row],[Column1]]=FilterSpecs!$A$8,FilterSpecs!$B$8,MouserListTable[[#This Row],[Column1]]=FilterSpecs!$A$9,FilterSpecs!$B$9)</f>
        <v>474-</v>
      </c>
      <c r="T10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474-PRT-10287</v>
      </c>
      <c r="V103" s="151">
        <f>IF(MouserListTable[[#This Row],[Qty.]]=0, 0, "")</f>
        <v>0</v>
      </c>
    </row>
    <row r="104" spans="1:22" s="146" customFormat="1" x14ac:dyDescent="0.3">
      <c r="A104" s="126" t="s">
        <v>894</v>
      </c>
      <c r="B104" s="126" t="s">
        <v>2037</v>
      </c>
      <c r="C104" s="126" t="s">
        <v>1898</v>
      </c>
      <c r="D104" s="103" t="str">
        <f>IF(MouserListTable[[#This Row],[Vendor]]=FilterSpecs!$A$8,MouserListTable[[#This Row],[Mouser SKU]], MouserListTable[[#This Row],[SKU2]])</f>
        <v>368</v>
      </c>
      <c r="E104" s="104">
        <v>0</v>
      </c>
      <c r="F104" s="104">
        <v>0</v>
      </c>
      <c r="G104" s="103"/>
      <c r="H104" s="103"/>
      <c r="I104" s="103" t="s">
        <v>2224</v>
      </c>
      <c r="J104" s="103"/>
      <c r="K104" s="104">
        <v>2</v>
      </c>
      <c r="L104" s="103" t="s">
        <v>1910</v>
      </c>
      <c r="M104" s="103"/>
      <c r="N104" s="104"/>
      <c r="O104" s="103" t="s">
        <v>2223</v>
      </c>
      <c r="P104" s="103">
        <f t="shared" si="5"/>
        <v>91</v>
      </c>
      <c r="Q104" s="103">
        <f t="shared" si="6"/>
        <v>1</v>
      </c>
      <c r="R104" s="103" t="s">
        <v>1898</v>
      </c>
      <c r="S104" s="103" t="str">
        <f>_xlfn.IFS(MouserListTable[[#This Row],[Column1]]=FilterSpecs!$A$6, FilterSpecs!$B$6,MouserListTable[[#This Row],[Column1]]=FilterSpecs!$A$7,FilterSpecs!$B$7,MouserListTable[[#This Row],[Column1]]=FilterSpecs!$A$8,FilterSpecs!$B$8,MouserListTable[[#This Row],[Column1]]=FilterSpecs!$A$9,FilterSpecs!$B$9)</f>
        <v>485-</v>
      </c>
      <c r="T10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485-368</v>
      </c>
      <c r="V104" s="151">
        <f>IF(MouserListTable[[#This Row],[Qty.]]=0, 0, "")</f>
        <v>0</v>
      </c>
    </row>
    <row r="105" spans="1:22" s="146" customFormat="1" x14ac:dyDescent="0.3">
      <c r="A105" s="126" t="s">
        <v>894</v>
      </c>
      <c r="B105" s="126" t="s">
        <v>2037</v>
      </c>
      <c r="C105" s="126" t="s">
        <v>1898</v>
      </c>
      <c r="D105" s="103" t="str">
        <f>IF(MouserListTable[[#This Row],[Vendor]]=FilterSpecs!$A$8,MouserListTable[[#This Row],[Mouser SKU]], MouserListTable[[#This Row],[SKU2]])</f>
        <v>369</v>
      </c>
      <c r="E105" s="104">
        <v>0</v>
      </c>
      <c r="F105" s="104">
        <v>0</v>
      </c>
      <c r="G105" s="103"/>
      <c r="H105" s="103"/>
      <c r="I105" s="103" t="s">
        <v>2226</v>
      </c>
      <c r="J105" s="103"/>
      <c r="K105" s="104">
        <v>2</v>
      </c>
      <c r="L105" s="103" t="s">
        <v>1910</v>
      </c>
      <c r="M105" s="103"/>
      <c r="N105" s="104"/>
      <c r="O105" s="103" t="s">
        <v>2225</v>
      </c>
      <c r="P105" s="103">
        <f t="shared" si="5"/>
        <v>92</v>
      </c>
      <c r="Q105" s="103">
        <f t="shared" si="6"/>
        <v>1</v>
      </c>
      <c r="R105" s="103" t="s">
        <v>1898</v>
      </c>
      <c r="S105" s="103" t="str">
        <f>_xlfn.IFS(MouserListTable[[#This Row],[Column1]]=FilterSpecs!$A$6, FilterSpecs!$B$6,MouserListTable[[#This Row],[Column1]]=FilterSpecs!$A$7,FilterSpecs!$B$7,MouserListTable[[#This Row],[Column1]]=FilterSpecs!$A$8,FilterSpecs!$B$8,MouserListTable[[#This Row],[Column1]]=FilterSpecs!$A$9,FilterSpecs!$B$9)</f>
        <v>485-</v>
      </c>
      <c r="T10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485-369</v>
      </c>
      <c r="V105" s="151">
        <f>IF(MouserListTable[[#This Row],[Qty.]]=0, 0, "")</f>
        <v>0</v>
      </c>
    </row>
    <row r="106" spans="1:22" s="146" customFormat="1" x14ac:dyDescent="0.3">
      <c r="A106" s="103" t="s">
        <v>894</v>
      </c>
      <c r="B106" s="103" t="s">
        <v>2037</v>
      </c>
      <c r="C106" s="103" t="s">
        <v>8</v>
      </c>
      <c r="D106" s="103" t="str">
        <f>IF(MouserListTable[[#This Row],[Vendor]]=FilterSpecs!$A$8,MouserListTable[[#This Row],[Mouser SKU]], MouserListTable[[#This Row],[SKU2]])</f>
        <v>PRT-13126</v>
      </c>
      <c r="E106" s="104">
        <v>2</v>
      </c>
      <c r="F106" s="104" t="s">
        <v>18921</v>
      </c>
      <c r="G106" s="103" t="s">
        <v>966</v>
      </c>
      <c r="H106" s="103" t="s">
        <v>967</v>
      </c>
      <c r="I106" s="103" t="s">
        <v>968</v>
      </c>
      <c r="J106" s="103">
        <v>1</v>
      </c>
      <c r="K106" s="104">
        <v>0.95</v>
      </c>
      <c r="L106" s="103" t="s">
        <v>1911</v>
      </c>
      <c r="M106" s="103"/>
      <c r="N106" s="104">
        <f>E106*K106</f>
        <v>1.9</v>
      </c>
      <c r="O106" s="103" t="s">
        <v>965</v>
      </c>
      <c r="P106" s="103">
        <f t="shared" si="5"/>
        <v>93</v>
      </c>
      <c r="Q106" s="103">
        <f t="shared" si="6"/>
        <v>1</v>
      </c>
      <c r="R106" s="103" t="s">
        <v>8</v>
      </c>
      <c r="S106" s="103" t="str">
        <f>_xlfn.IFS(MouserListTable[[#This Row],[Column1]]=FilterSpecs!$A$6, FilterSpecs!$B$6,MouserListTable[[#This Row],[Column1]]=FilterSpecs!$A$7,FilterSpecs!$B$7,MouserListTable[[#This Row],[Column1]]=FilterSpecs!$A$8,FilterSpecs!$B$8,MouserListTable[[#This Row],[Column1]]=FilterSpecs!$A$9,FilterSpecs!$B$9)</f>
        <v>474-</v>
      </c>
      <c r="T10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474-PRT-13126</v>
      </c>
      <c r="V106" s="151" t="str">
        <f>IF(MouserListTable[[#This Row],[Qty.]]=0, 0, "")</f>
        <v/>
      </c>
    </row>
    <row r="107" spans="1:22" s="146" customFormat="1" x14ac:dyDescent="0.3">
      <c r="A107" s="103" t="s">
        <v>894</v>
      </c>
      <c r="B107" s="103" t="s">
        <v>2037</v>
      </c>
      <c r="C107" s="103" t="s">
        <v>8</v>
      </c>
      <c r="D107" s="103" t="str">
        <f>IF(MouserListTable[[#This Row],[Vendor]]=FilterSpecs!$A$8,MouserListTable[[#This Row],[Mouser SKU]], MouserListTable[[#This Row],[SKU2]])</f>
        <v>PRT-11476</v>
      </c>
      <c r="E107" s="104">
        <f>FilterSpecs!$C$3+1</f>
        <v>6</v>
      </c>
      <c r="F107" s="104" t="s">
        <v>18921</v>
      </c>
      <c r="G107" s="103" t="s">
        <v>1024</v>
      </c>
      <c r="H107" s="103" t="s">
        <v>1025</v>
      </c>
      <c r="I107" s="103" t="s">
        <v>1026</v>
      </c>
      <c r="J107" s="146">
        <v>1</v>
      </c>
      <c r="K107" s="104">
        <v>0.95</v>
      </c>
      <c r="L107" s="103" t="s">
        <v>1911</v>
      </c>
      <c r="M107" s="106"/>
      <c r="N107" s="104">
        <f>E107*K107</f>
        <v>5.6999999999999993</v>
      </c>
      <c r="O107" s="103" t="s">
        <v>1023</v>
      </c>
      <c r="P107" s="103">
        <f t="shared" si="5"/>
        <v>94</v>
      </c>
      <c r="Q107" s="103">
        <f t="shared" si="6"/>
        <v>1</v>
      </c>
      <c r="R107" s="103" t="s">
        <v>8</v>
      </c>
      <c r="S107" s="103" t="str">
        <f>_xlfn.IFS(MouserListTable[[#This Row],[Column1]]=FilterSpecs!$A$6, FilterSpecs!$B$6,MouserListTable[[#This Row],[Column1]]=FilterSpecs!$A$7,FilterSpecs!$B$7,MouserListTable[[#This Row],[Column1]]=FilterSpecs!$A$8,FilterSpecs!$B$8,MouserListTable[[#This Row],[Column1]]=FilterSpecs!$A$9,FilterSpecs!$B$9)</f>
        <v>474-</v>
      </c>
      <c r="T10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474-PRT-11476</v>
      </c>
      <c r="V107" s="151" t="str">
        <f>IF(MouserListTable[[#This Row],[Qty.]]=0, 0, "")</f>
        <v/>
      </c>
    </row>
    <row r="108" spans="1:22" s="146" customFormat="1" x14ac:dyDescent="0.3">
      <c r="A108" s="103" t="s">
        <v>894</v>
      </c>
      <c r="B108" s="103" t="s">
        <v>2037</v>
      </c>
      <c r="C108" s="103" t="s">
        <v>8</v>
      </c>
      <c r="D108" s="103" t="str">
        <f>IF(MouserListTable[[#This Row],[Vendor]]=FilterSpecs!$A$8,MouserListTable[[#This Row],[Mouser SKU]], MouserListTable[[#This Row],[SKU2]])</f>
        <v>PRT-11474</v>
      </c>
      <c r="E108" s="104">
        <v>4</v>
      </c>
      <c r="F108" s="104" t="s">
        <v>18921</v>
      </c>
      <c r="G108" s="103" t="s">
        <v>2423</v>
      </c>
      <c r="H108" s="103" t="s">
        <v>2424</v>
      </c>
      <c r="I108" s="103" t="s">
        <v>2425</v>
      </c>
      <c r="J108" s="146">
        <v>1</v>
      </c>
      <c r="K108" s="104">
        <v>0.3</v>
      </c>
      <c r="L108" s="103" t="s">
        <v>1910</v>
      </c>
      <c r="M108" s="106"/>
      <c r="N108" s="104">
        <f>E108*K108</f>
        <v>1.2</v>
      </c>
      <c r="O108" s="103" t="s">
        <v>2422</v>
      </c>
      <c r="P108" s="103">
        <f t="shared" si="5"/>
        <v>95</v>
      </c>
      <c r="Q108" s="103">
        <f t="shared" si="6"/>
        <v>1</v>
      </c>
      <c r="R108" s="103" t="s">
        <v>8</v>
      </c>
      <c r="S108" s="103" t="str">
        <f>_xlfn.IFS(MouserListTable[[#This Row],[Column1]]=FilterSpecs!$A$6, FilterSpecs!$B$6,MouserListTable[[#This Row],[Column1]]=FilterSpecs!$A$7,FilterSpecs!$B$7,MouserListTable[[#This Row],[Column1]]=FilterSpecs!$A$8,FilterSpecs!$B$8,MouserListTable[[#This Row],[Column1]]=FilterSpecs!$A$9,FilterSpecs!$B$9)</f>
        <v>474-</v>
      </c>
      <c r="T10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474-PRT-11474</v>
      </c>
      <c r="V108" s="151" t="str">
        <f>IF(MouserListTable[[#This Row],[Qty.]]=0, 0, "")</f>
        <v/>
      </c>
    </row>
    <row r="109" spans="1:22" s="146" customFormat="1" x14ac:dyDescent="0.3">
      <c r="A109" s="103" t="s">
        <v>894</v>
      </c>
      <c r="B109" s="103" t="s">
        <v>2037</v>
      </c>
      <c r="C109" s="103" t="s">
        <v>1898</v>
      </c>
      <c r="D109" s="103" t="str">
        <f>IF(MouserListTable[[#This Row],[Vendor]]=FilterSpecs!$A$8,MouserListTable[[#This Row],[Mouser SKU]], MouserListTable[[#This Row],[SKU2]])</f>
        <v>1829</v>
      </c>
      <c r="E109" s="104">
        <v>0</v>
      </c>
      <c r="F109" s="104">
        <v>0</v>
      </c>
      <c r="G109" s="103"/>
      <c r="H109" s="103"/>
      <c r="I109" s="126" t="s">
        <v>2290</v>
      </c>
      <c r="K109" s="148">
        <v>0.95</v>
      </c>
      <c r="L109" s="126" t="s">
        <v>1910</v>
      </c>
      <c r="N109" s="148"/>
      <c r="O109" s="103" t="s">
        <v>2289</v>
      </c>
      <c r="P109" s="103">
        <f t="shared" si="5"/>
        <v>96</v>
      </c>
      <c r="Q109" s="103">
        <f t="shared" si="6"/>
        <v>1</v>
      </c>
      <c r="R109" s="103" t="s">
        <v>1898</v>
      </c>
      <c r="S109" s="103" t="str">
        <f>_xlfn.IFS(MouserListTable[[#This Row],[Column1]]=FilterSpecs!$A$6, FilterSpecs!$B$6,MouserListTable[[#This Row],[Column1]]=FilterSpecs!$A$7,FilterSpecs!$B$7,MouserListTable[[#This Row],[Column1]]=FilterSpecs!$A$8,FilterSpecs!$B$8,MouserListTable[[#This Row],[Column1]]=FilterSpecs!$A$9,FilterSpecs!$B$9)</f>
        <v>485-</v>
      </c>
      <c r="T10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485-1829</v>
      </c>
      <c r="V109" s="151">
        <f>IF(MouserListTable[[#This Row],[Qty.]]=0, 0, "")</f>
        <v>0</v>
      </c>
    </row>
    <row r="110" spans="1:22" s="146" customFormat="1" x14ac:dyDescent="0.3">
      <c r="A110" s="126" t="s">
        <v>894</v>
      </c>
      <c r="B110" s="126" t="s">
        <v>2037</v>
      </c>
      <c r="C110" s="126" t="s">
        <v>1898</v>
      </c>
      <c r="D110" s="103" t="str">
        <f>IF(MouserListTable[[#This Row],[Vendor]]=FilterSpecs!$A$8,MouserListTable[[#This Row],[Mouser SKU]], MouserListTable[[#This Row],[SKU2]])</f>
        <v>1388</v>
      </c>
      <c r="E110" s="104">
        <v>0</v>
      </c>
      <c r="F110" s="104">
        <v>0</v>
      </c>
      <c r="G110" s="103"/>
      <c r="H110" s="103"/>
      <c r="I110" s="103" t="s">
        <v>2292</v>
      </c>
      <c r="J110" s="103"/>
      <c r="K110" s="104">
        <v>0.95</v>
      </c>
      <c r="L110" s="146" t="s">
        <v>1910</v>
      </c>
      <c r="M110" s="103"/>
      <c r="N110" s="148"/>
      <c r="O110" s="103" t="s">
        <v>2291</v>
      </c>
      <c r="P110" s="103">
        <f t="shared" si="5"/>
        <v>97</v>
      </c>
      <c r="Q110" s="103">
        <f t="shared" si="6"/>
        <v>1</v>
      </c>
      <c r="R110" s="103" t="s">
        <v>1898</v>
      </c>
      <c r="S110" s="103" t="str">
        <f>_xlfn.IFS(MouserListTable[[#This Row],[Column1]]=FilterSpecs!$A$6, FilterSpecs!$B$6,MouserListTable[[#This Row],[Column1]]=FilterSpecs!$A$7,FilterSpecs!$B$7,MouserListTable[[#This Row],[Column1]]=FilterSpecs!$A$8,FilterSpecs!$B$8,MouserListTable[[#This Row],[Column1]]=FilterSpecs!$A$9,FilterSpecs!$B$9)</f>
        <v>485-</v>
      </c>
      <c r="T11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485-1388</v>
      </c>
      <c r="V110" s="151">
        <f>IF(MouserListTable[[#This Row],[Qty.]]=0, 0, "")</f>
        <v>0</v>
      </c>
    </row>
    <row r="111" spans="1:22" s="146" customFormat="1" x14ac:dyDescent="0.3">
      <c r="A111" s="126" t="s">
        <v>894</v>
      </c>
      <c r="B111" s="126" t="s">
        <v>2037</v>
      </c>
      <c r="C111" s="126" t="s">
        <v>1898</v>
      </c>
      <c r="D111" s="103" t="str">
        <f>IF(MouserListTable[[#This Row],[Vendor]]=FilterSpecs!$A$8,MouserListTable[[#This Row],[Mouser SKU]], MouserListTable[[#This Row],[SKU2]])</f>
        <v>1390</v>
      </c>
      <c r="E111" s="104">
        <v>0</v>
      </c>
      <c r="F111" s="104">
        <v>0</v>
      </c>
      <c r="G111" s="103"/>
      <c r="H111" s="103"/>
      <c r="I111" s="103" t="s">
        <v>2294</v>
      </c>
      <c r="J111" s="103"/>
      <c r="K111" s="104">
        <v>0.95</v>
      </c>
      <c r="L111" s="146" t="s">
        <v>1910</v>
      </c>
      <c r="M111" s="103"/>
      <c r="N111" s="148"/>
      <c r="O111" s="103" t="s">
        <v>2293</v>
      </c>
      <c r="P111" s="103">
        <f t="shared" si="5"/>
        <v>98</v>
      </c>
      <c r="Q111" s="103">
        <f t="shared" si="6"/>
        <v>1</v>
      </c>
      <c r="R111" s="103" t="s">
        <v>1898</v>
      </c>
      <c r="S111" s="103" t="str">
        <f>_xlfn.IFS(MouserListTable[[#This Row],[Column1]]=FilterSpecs!$A$6, FilterSpecs!$B$6,MouserListTable[[#This Row],[Column1]]=FilterSpecs!$A$7,FilterSpecs!$B$7,MouserListTable[[#This Row],[Column1]]=FilterSpecs!$A$8,FilterSpecs!$B$8,MouserListTable[[#This Row],[Column1]]=FilterSpecs!$A$9,FilterSpecs!$B$9)</f>
        <v>485-</v>
      </c>
      <c r="T11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485-1390</v>
      </c>
      <c r="V111" s="151">
        <f>IF(MouserListTable[[#This Row],[Qty.]]=0, 0, "")</f>
        <v>0</v>
      </c>
    </row>
    <row r="112" spans="1:22" s="146" customFormat="1" x14ac:dyDescent="0.3">
      <c r="A112" s="126" t="s">
        <v>894</v>
      </c>
      <c r="B112" s="126" t="s">
        <v>2037</v>
      </c>
      <c r="C112" s="126" t="s">
        <v>1898</v>
      </c>
      <c r="D112" s="103" t="str">
        <f>IF(MouserListTable[[#This Row],[Vendor]]=FilterSpecs!$A$8,MouserListTable[[#This Row],[Mouser SKU]], MouserListTable[[#This Row],[SKU2]])</f>
        <v>1389</v>
      </c>
      <c r="E112" s="104">
        <v>0</v>
      </c>
      <c r="F112" s="104">
        <v>0</v>
      </c>
      <c r="G112" s="103"/>
      <c r="H112" s="103"/>
      <c r="I112" s="103" t="s">
        <v>2296</v>
      </c>
      <c r="J112" s="103"/>
      <c r="K112" s="104">
        <v>0.95</v>
      </c>
      <c r="L112" s="146" t="s">
        <v>1910</v>
      </c>
      <c r="M112" s="103"/>
      <c r="N112" s="148"/>
      <c r="O112" s="103" t="s">
        <v>2295</v>
      </c>
      <c r="P112" s="103">
        <f t="shared" si="5"/>
        <v>99</v>
      </c>
      <c r="Q112" s="103">
        <f t="shared" si="6"/>
        <v>1</v>
      </c>
      <c r="R112" s="103" t="s">
        <v>1898</v>
      </c>
      <c r="S112" s="103" t="str">
        <f>_xlfn.IFS(MouserListTable[[#This Row],[Column1]]=FilterSpecs!$A$6, FilterSpecs!$B$6,MouserListTable[[#This Row],[Column1]]=FilterSpecs!$A$7,FilterSpecs!$B$7,MouserListTable[[#This Row],[Column1]]=FilterSpecs!$A$8,FilterSpecs!$B$8,MouserListTable[[#This Row],[Column1]]=FilterSpecs!$A$9,FilterSpecs!$B$9)</f>
        <v>485-</v>
      </c>
      <c r="T11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485-1389</v>
      </c>
      <c r="V112" s="151">
        <f>IF(MouserListTable[[#This Row],[Qty.]]=0, 0, "")</f>
        <v>0</v>
      </c>
    </row>
    <row r="113" spans="1:22" s="146" customFormat="1" x14ac:dyDescent="0.3">
      <c r="A113" s="126" t="s">
        <v>894</v>
      </c>
      <c r="B113" s="126" t="s">
        <v>2037</v>
      </c>
      <c r="C113" s="126" t="s">
        <v>1898</v>
      </c>
      <c r="D113" s="103" t="str">
        <f>IF(MouserListTable[[#This Row],[Vendor]]=FilterSpecs!$A$8,MouserListTable[[#This Row],[Mouser SKU]], MouserListTable[[#This Row],[SKU2]])</f>
        <v>1827</v>
      </c>
      <c r="E113" s="104">
        <v>0</v>
      </c>
      <c r="F113" s="104">
        <v>0</v>
      </c>
      <c r="G113" s="103"/>
      <c r="H113" s="103"/>
      <c r="I113" s="103" t="s">
        <v>2298</v>
      </c>
      <c r="J113" s="103"/>
      <c r="K113" s="104">
        <v>0.95</v>
      </c>
      <c r="L113" s="146" t="s">
        <v>1910</v>
      </c>
      <c r="M113" s="103"/>
      <c r="N113" s="148"/>
      <c r="O113" s="103" t="s">
        <v>2297</v>
      </c>
      <c r="P113" s="103">
        <f t="shared" si="5"/>
        <v>100</v>
      </c>
      <c r="Q113" s="103">
        <f t="shared" si="6"/>
        <v>1</v>
      </c>
      <c r="R113" s="103" t="s">
        <v>1898</v>
      </c>
      <c r="S113" s="103" t="str">
        <f>_xlfn.IFS(MouserListTable[[#This Row],[Column1]]=FilterSpecs!$A$6, FilterSpecs!$B$6,MouserListTable[[#This Row],[Column1]]=FilterSpecs!$A$7,FilterSpecs!$B$7,MouserListTable[[#This Row],[Column1]]=FilterSpecs!$A$8,FilterSpecs!$B$8,MouserListTable[[#This Row],[Column1]]=FilterSpecs!$A$9,FilterSpecs!$B$9)</f>
        <v>485-</v>
      </c>
      <c r="T11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485-1827</v>
      </c>
      <c r="V113" s="151">
        <f>IF(MouserListTable[[#This Row],[Qty.]]=0, 0, "")</f>
        <v>0</v>
      </c>
    </row>
    <row r="114" spans="1:22" s="146" customFormat="1" x14ac:dyDescent="0.3">
      <c r="A114" s="126" t="s">
        <v>894</v>
      </c>
      <c r="B114" s="126" t="s">
        <v>2037</v>
      </c>
      <c r="C114" s="126" t="s">
        <v>1898</v>
      </c>
      <c r="D114" s="103" t="str">
        <f>IF(MouserListTable[[#This Row],[Vendor]]=FilterSpecs!$A$8,MouserListTable[[#This Row],[Mouser SKU]], MouserListTable[[#This Row],[SKU2]])</f>
        <v>1826</v>
      </c>
      <c r="E114" s="104">
        <v>0</v>
      </c>
      <c r="F114" s="104">
        <v>0</v>
      </c>
      <c r="G114" s="103"/>
      <c r="H114" s="103"/>
      <c r="I114" s="103" t="s">
        <v>2300</v>
      </c>
      <c r="J114" s="103"/>
      <c r="K114" s="104">
        <v>0.95</v>
      </c>
      <c r="L114" s="146" t="s">
        <v>1910</v>
      </c>
      <c r="M114" s="103"/>
      <c r="N114" s="148"/>
      <c r="O114" s="103" t="s">
        <v>2299</v>
      </c>
      <c r="P114" s="103">
        <f t="shared" si="5"/>
        <v>101</v>
      </c>
      <c r="Q114" s="103">
        <f t="shared" si="6"/>
        <v>1</v>
      </c>
      <c r="R114" s="103" t="s">
        <v>1898</v>
      </c>
      <c r="S114" s="103" t="str">
        <f>_xlfn.IFS(MouserListTable[[#This Row],[Column1]]=FilterSpecs!$A$6, FilterSpecs!$B$6,MouserListTable[[#This Row],[Column1]]=FilterSpecs!$A$7,FilterSpecs!$B$7,MouserListTable[[#This Row],[Column1]]=FilterSpecs!$A$8,FilterSpecs!$B$8,MouserListTable[[#This Row],[Column1]]=FilterSpecs!$A$9,FilterSpecs!$B$9)</f>
        <v>485-</v>
      </c>
      <c r="T11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485-1826</v>
      </c>
      <c r="V114" s="151">
        <f>IF(MouserListTable[[#This Row],[Qty.]]=0, 0, "")</f>
        <v>0</v>
      </c>
    </row>
    <row r="115" spans="1:22" s="146" customFormat="1" x14ac:dyDescent="0.3">
      <c r="A115" s="103" t="s">
        <v>894</v>
      </c>
      <c r="B115" s="103" t="s">
        <v>14</v>
      </c>
      <c r="C115" s="103" t="s">
        <v>8</v>
      </c>
      <c r="D115" s="103" t="str">
        <f>IF(MouserListTable[[#This Row],[Vendor]]=FilterSpecs!$A$8,MouserListTable[[#This Row],[Mouser SKU]], MouserListTable[[#This Row],[SKU2]])</f>
        <v>SEN-00246</v>
      </c>
      <c r="E115" s="104">
        <f>FilterSpecs!$C$3</f>
        <v>5</v>
      </c>
      <c r="F115" s="104" t="s">
        <v>18921</v>
      </c>
      <c r="G115" s="103" t="s">
        <v>73</v>
      </c>
      <c r="H115" s="103" t="s">
        <v>74</v>
      </c>
      <c r="I115" s="103" t="s">
        <v>75</v>
      </c>
      <c r="J115" s="103">
        <v>1</v>
      </c>
      <c r="K115" s="104">
        <v>0.95</v>
      </c>
      <c r="L115" s="103" t="s">
        <v>1911</v>
      </c>
      <c r="M115" s="106"/>
      <c r="N115" s="104">
        <f>E115*K115</f>
        <v>4.75</v>
      </c>
      <c r="O115" s="103" t="s">
        <v>72</v>
      </c>
      <c r="P115" s="103">
        <f t="shared" si="5"/>
        <v>102</v>
      </c>
      <c r="Q115" s="103">
        <f t="shared" si="6"/>
        <v>1</v>
      </c>
      <c r="R115" s="103" t="s">
        <v>8</v>
      </c>
      <c r="S115" s="103" t="str">
        <f>_xlfn.IFS(MouserListTable[[#This Row],[Column1]]=FilterSpecs!$A$6, FilterSpecs!$B$6,MouserListTable[[#This Row],[Column1]]=FilterSpecs!$A$7,FilterSpecs!$B$7,MouserListTable[[#This Row],[Column1]]=FilterSpecs!$A$8,FilterSpecs!$B$8,MouserListTable[[#This Row],[Column1]]=FilterSpecs!$A$9,FilterSpecs!$B$9)</f>
        <v>474-</v>
      </c>
      <c r="T11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474-SEN-00246</v>
      </c>
      <c r="V115" s="151" t="str">
        <f>IF(MouserListTable[[#This Row],[Qty.]]=0, 0, "")</f>
        <v/>
      </c>
    </row>
    <row r="116" spans="1:22" s="146" customFormat="1" x14ac:dyDescent="0.3">
      <c r="A116" s="103" t="s">
        <v>894</v>
      </c>
      <c r="B116" s="103" t="s">
        <v>14</v>
      </c>
      <c r="C116" s="103" t="s">
        <v>8</v>
      </c>
      <c r="D116" s="103" t="str">
        <f>IF(MouserListTable[[#This Row],[Vendor]]=FilterSpecs!$A$8,MouserListTable[[#This Row],[Mouser SKU]], MouserListTable[[#This Row],[SKU2]])</f>
        <v>SEN-00241</v>
      </c>
      <c r="E116" s="104">
        <f>4*FilterSpecs!$C$3</f>
        <v>20</v>
      </c>
      <c r="F116" s="104" t="s">
        <v>18921</v>
      </c>
      <c r="G116" s="103" t="s">
        <v>77</v>
      </c>
      <c r="H116" s="103" t="s">
        <v>78</v>
      </c>
      <c r="I116" s="103" t="s">
        <v>79</v>
      </c>
      <c r="J116" s="103">
        <v>1</v>
      </c>
      <c r="K116" s="104">
        <v>1.95</v>
      </c>
      <c r="L116" s="103" t="s">
        <v>1911</v>
      </c>
      <c r="M116" s="106"/>
      <c r="N116" s="104">
        <f>E116*K116</f>
        <v>39</v>
      </c>
      <c r="O116" s="103" t="s">
        <v>76</v>
      </c>
      <c r="P116" s="103">
        <f t="shared" si="5"/>
        <v>103</v>
      </c>
      <c r="Q116" s="103">
        <f t="shared" si="6"/>
        <v>1</v>
      </c>
      <c r="R116" s="103" t="s">
        <v>8</v>
      </c>
      <c r="S116" s="103" t="str">
        <f>_xlfn.IFS(MouserListTable[[#This Row],[Column1]]=FilterSpecs!$A$6, FilterSpecs!$B$6,MouserListTable[[#This Row],[Column1]]=FilterSpecs!$A$7,FilterSpecs!$B$7,MouserListTable[[#This Row],[Column1]]=FilterSpecs!$A$8,FilterSpecs!$B$8,MouserListTable[[#This Row],[Column1]]=FilterSpecs!$A$9,FilterSpecs!$B$9)</f>
        <v>474-</v>
      </c>
      <c r="T11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474-SEN-00241</v>
      </c>
      <c r="V116" s="151" t="str">
        <f>IF(MouserListTable[[#This Row],[Qty.]]=0, 0, "")</f>
        <v/>
      </c>
    </row>
    <row r="117" spans="1:22" s="146" customFormat="1" x14ac:dyDescent="0.3">
      <c r="A117" s="103" t="s">
        <v>894</v>
      </c>
      <c r="B117" s="103" t="s">
        <v>14</v>
      </c>
      <c r="C117" s="103" t="s">
        <v>8</v>
      </c>
      <c r="D117" s="103" t="str">
        <f>IF(MouserListTable[[#This Row],[Vendor]]=FilterSpecs!$A$8,MouserListTable[[#This Row],[Mouser SKU]], MouserListTable[[#This Row],[SKU2]])</f>
        <v>SEN-13968</v>
      </c>
      <c r="E117" s="104">
        <f>FilterSpecs!$C$3</f>
        <v>5</v>
      </c>
      <c r="F117" s="104" t="s">
        <v>18921</v>
      </c>
      <c r="G117" s="103" t="s">
        <v>81</v>
      </c>
      <c r="H117" s="103" t="s">
        <v>82</v>
      </c>
      <c r="I117" s="103" t="s">
        <v>83</v>
      </c>
      <c r="J117" s="103"/>
      <c r="K117" s="104">
        <v>14.95</v>
      </c>
      <c r="L117" s="116" t="s">
        <v>1911</v>
      </c>
      <c r="M117" s="106"/>
      <c r="N117" s="104">
        <f>E117*K117</f>
        <v>74.75</v>
      </c>
      <c r="O117" s="103" t="s">
        <v>80</v>
      </c>
      <c r="P117" s="103">
        <f t="shared" si="5"/>
        <v>104</v>
      </c>
      <c r="Q117" s="103">
        <f t="shared" si="6"/>
        <v>1</v>
      </c>
      <c r="R117" s="103" t="s">
        <v>8</v>
      </c>
      <c r="S117" s="103" t="str">
        <f>_xlfn.IFS(MouserListTable[[#This Row],[Column1]]=FilterSpecs!$A$6, FilterSpecs!$B$6,MouserListTable[[#This Row],[Column1]]=FilterSpecs!$A$7,FilterSpecs!$B$7,MouserListTable[[#This Row],[Column1]]=FilterSpecs!$A$8,FilterSpecs!$B$8,MouserListTable[[#This Row],[Column1]]=FilterSpecs!$A$9,FilterSpecs!$B$9)</f>
        <v>474-</v>
      </c>
      <c r="T11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474-SEN-13968</v>
      </c>
      <c r="V117" s="151" t="str">
        <f>IF(MouserListTable[[#This Row],[Qty.]]=0, 0, "")</f>
        <v/>
      </c>
    </row>
    <row r="118" spans="1:22" s="146" customFormat="1" x14ac:dyDescent="0.3">
      <c r="A118" s="103" t="s">
        <v>894</v>
      </c>
      <c r="B118" s="103" t="s">
        <v>14</v>
      </c>
      <c r="C118" s="103" t="s">
        <v>8</v>
      </c>
      <c r="D118" s="103" t="str">
        <f>IF(MouserListTable[[#This Row],[Vendor]]=FilterSpecs!$A$8,MouserListTable[[#This Row],[Mouser SKU]], MouserListTable[[#This Row],[SKU2]])</f>
        <v>SEN-13959</v>
      </c>
      <c r="E118" s="104">
        <f>2*FilterSpecs!$C$3</f>
        <v>10</v>
      </c>
      <c r="F118" s="104" t="s">
        <v>18921</v>
      </c>
      <c r="G118" s="103" t="s">
        <v>85</v>
      </c>
      <c r="H118" s="103" t="s">
        <v>86</v>
      </c>
      <c r="I118" s="103" t="s">
        <v>87</v>
      </c>
      <c r="J118" s="103">
        <v>1</v>
      </c>
      <c r="K118" s="104">
        <v>3.95</v>
      </c>
      <c r="L118" s="103" t="s">
        <v>1911</v>
      </c>
      <c r="M118" s="106"/>
      <c r="N118" s="104">
        <f>E118*K118</f>
        <v>39.5</v>
      </c>
      <c r="O118" s="103" t="s">
        <v>84</v>
      </c>
      <c r="P118" s="103">
        <f t="shared" si="5"/>
        <v>105</v>
      </c>
      <c r="Q118" s="103">
        <f t="shared" si="6"/>
        <v>1</v>
      </c>
      <c r="R118" s="103" t="s">
        <v>8</v>
      </c>
      <c r="S118" s="103" t="str">
        <f>_xlfn.IFS(MouserListTable[[#This Row],[Column1]]=FilterSpecs!$A$6, FilterSpecs!$B$6,MouserListTable[[#This Row],[Column1]]=FilterSpecs!$A$7,FilterSpecs!$B$7,MouserListTable[[#This Row],[Column1]]=FilterSpecs!$A$8,FilterSpecs!$B$8,MouserListTable[[#This Row],[Column1]]=FilterSpecs!$A$9,FilterSpecs!$B$9)</f>
        <v>474-</v>
      </c>
      <c r="T11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474-SEN-13959</v>
      </c>
      <c r="V118" s="151" t="str">
        <f>IF(MouserListTable[[#This Row],[Qty.]]=0, 0, "")</f>
        <v/>
      </c>
    </row>
    <row r="119" spans="1:22" s="146" customFormat="1" x14ac:dyDescent="0.3">
      <c r="A119" s="126" t="s">
        <v>894</v>
      </c>
      <c r="B119" s="126" t="s">
        <v>14</v>
      </c>
      <c r="C119" s="126" t="s">
        <v>8</v>
      </c>
      <c r="D119" s="103" t="str">
        <f>IF(MouserListTable[[#This Row],[Vendor]]=FilterSpecs!$A$8,MouserListTable[[#This Row],[Mouser SKU]], MouserListTable[[#This Row],[SKU2]])</f>
        <v>SEN-12785</v>
      </c>
      <c r="E119" s="104">
        <v>0</v>
      </c>
      <c r="F119" s="104">
        <v>0</v>
      </c>
      <c r="G119" s="103" t="s">
        <v>89</v>
      </c>
      <c r="H119" s="103" t="s">
        <v>90</v>
      </c>
      <c r="I119" s="103" t="s">
        <v>91</v>
      </c>
      <c r="J119" s="103">
        <v>1</v>
      </c>
      <c r="K119" s="104">
        <v>24.95</v>
      </c>
      <c r="L119" s="103" t="s">
        <v>1911</v>
      </c>
      <c r="N119" s="148">
        <v>0</v>
      </c>
      <c r="O119" s="103" t="s">
        <v>88</v>
      </c>
      <c r="P119" s="103">
        <f t="shared" si="5"/>
        <v>106</v>
      </c>
      <c r="Q119" s="103">
        <f t="shared" si="6"/>
        <v>1</v>
      </c>
      <c r="R119" s="103" t="s">
        <v>8</v>
      </c>
      <c r="S119" s="103" t="str">
        <f>_xlfn.IFS(MouserListTable[[#This Row],[Column1]]=FilterSpecs!$A$6, FilterSpecs!$B$6,MouserListTable[[#This Row],[Column1]]=FilterSpecs!$A$7,FilterSpecs!$B$7,MouserListTable[[#This Row],[Column1]]=FilterSpecs!$A$8,FilterSpecs!$B$8,MouserListTable[[#This Row],[Column1]]=FilterSpecs!$A$9,FilterSpecs!$B$9)</f>
        <v>474-</v>
      </c>
      <c r="T11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474-SEN-12785</v>
      </c>
      <c r="V119" s="151">
        <f>IF(MouserListTable[[#This Row],[Qty.]]=0, 0, "")</f>
        <v>0</v>
      </c>
    </row>
    <row r="120" spans="1:22" s="146" customFormat="1" x14ac:dyDescent="0.3">
      <c r="A120" s="103" t="s">
        <v>894</v>
      </c>
      <c r="B120" s="103" t="s">
        <v>14</v>
      </c>
      <c r="C120" s="103" t="s">
        <v>8</v>
      </c>
      <c r="D120" s="103" t="str">
        <f>IF(MouserListTable[[#This Row],[Vendor]]=FilterSpecs!$A$8,MouserListTable[[#This Row],[Mouser SKU]], MouserListTable[[#This Row],[SKU2]])</f>
        <v>SEN-13162</v>
      </c>
      <c r="E120" s="104">
        <f>FilterSpecs!$C$3</f>
        <v>5</v>
      </c>
      <c r="F120" s="104" t="s">
        <v>18921</v>
      </c>
      <c r="G120" s="103" t="s">
        <v>93</v>
      </c>
      <c r="H120" s="103" t="s">
        <v>94</v>
      </c>
      <c r="I120" s="103" t="s">
        <v>95</v>
      </c>
      <c r="J120" s="103"/>
      <c r="K120" s="104">
        <v>24.95</v>
      </c>
      <c r="L120" s="103" t="s">
        <v>1911</v>
      </c>
      <c r="M120" s="106"/>
      <c r="N120" s="104">
        <f>E120*K120</f>
        <v>124.75</v>
      </c>
      <c r="O120" s="103" t="s">
        <v>92</v>
      </c>
      <c r="P120" s="103">
        <f t="shared" si="5"/>
        <v>107</v>
      </c>
      <c r="Q120" s="103">
        <f t="shared" si="6"/>
        <v>1</v>
      </c>
      <c r="R120" s="103" t="s">
        <v>8</v>
      </c>
      <c r="S120" s="103" t="str">
        <f>_xlfn.IFS(MouserListTable[[#This Row],[Column1]]=FilterSpecs!$A$6, FilterSpecs!$B$6,MouserListTable[[#This Row],[Column1]]=FilterSpecs!$A$7,FilterSpecs!$B$7,MouserListTable[[#This Row],[Column1]]=FilterSpecs!$A$8,FilterSpecs!$B$8,MouserListTable[[#This Row],[Column1]]=FilterSpecs!$A$9,FilterSpecs!$B$9)</f>
        <v>474-</v>
      </c>
      <c r="T12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474-SEN-13162</v>
      </c>
      <c r="V120" s="151" t="str">
        <f>IF(MouserListTable[[#This Row],[Qty.]]=0, 0, "")</f>
        <v/>
      </c>
    </row>
    <row r="121" spans="1:22" s="146" customFormat="1" x14ac:dyDescent="0.3">
      <c r="A121" s="126" t="s">
        <v>894</v>
      </c>
      <c r="B121" s="126" t="s">
        <v>14</v>
      </c>
      <c r="C121" s="126" t="s">
        <v>8</v>
      </c>
      <c r="D121" s="103" t="str">
        <f>IF(MouserListTable[[#This Row],[Vendor]]=FilterSpecs!$A$8,MouserListTable[[#This Row],[Mouser SKU]], MouserListTable[[#This Row],[SKU2]])</f>
        <v>SEN-12787</v>
      </c>
      <c r="E121" s="104">
        <v>0</v>
      </c>
      <c r="F121" s="104">
        <v>0</v>
      </c>
      <c r="G121" s="103" t="s">
        <v>97</v>
      </c>
      <c r="H121" s="103" t="s">
        <v>98</v>
      </c>
      <c r="I121" s="103" t="s">
        <v>99</v>
      </c>
      <c r="J121" s="103">
        <v>1</v>
      </c>
      <c r="K121" s="104">
        <v>14.95</v>
      </c>
      <c r="L121" s="103" t="s">
        <v>1911</v>
      </c>
      <c r="N121" s="148">
        <v>0</v>
      </c>
      <c r="O121" s="103" t="s">
        <v>96</v>
      </c>
      <c r="P121" s="103">
        <f t="shared" si="5"/>
        <v>108</v>
      </c>
      <c r="Q121" s="103">
        <f t="shared" si="6"/>
        <v>1</v>
      </c>
      <c r="R121" s="103" t="s">
        <v>8</v>
      </c>
      <c r="S121" s="103" t="str">
        <f>_xlfn.IFS(MouserListTable[[#This Row],[Column1]]=FilterSpecs!$A$6, FilterSpecs!$B$6,MouserListTable[[#This Row],[Column1]]=FilterSpecs!$A$7,FilterSpecs!$B$7,MouserListTable[[#This Row],[Column1]]=FilterSpecs!$A$8,FilterSpecs!$B$8,MouserListTable[[#This Row],[Column1]]=FilterSpecs!$A$9,FilterSpecs!$B$9)</f>
        <v>474-</v>
      </c>
      <c r="T12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474-SEN-12787</v>
      </c>
      <c r="V121" s="151">
        <f>IF(MouserListTable[[#This Row],[Qty.]]=0, 0, "")</f>
        <v>0</v>
      </c>
    </row>
    <row r="122" spans="1:22" s="146" customFormat="1" x14ac:dyDescent="0.3">
      <c r="A122" s="103" t="s">
        <v>894</v>
      </c>
      <c r="B122" s="103" t="s">
        <v>14</v>
      </c>
      <c r="C122" s="103" t="s">
        <v>8</v>
      </c>
      <c r="D122" s="103" t="str">
        <f>IF(MouserListTable[[#This Row],[Vendor]]=FilterSpecs!$A$8,MouserListTable[[#This Row],[Mouser SKU]], MouserListTable[[#This Row],[SKU2]])</f>
        <v>SPX-14343</v>
      </c>
      <c r="E122" s="104">
        <v>3</v>
      </c>
      <c r="F122" s="104" t="s">
        <v>18921</v>
      </c>
      <c r="G122" s="103" t="s">
        <v>101</v>
      </c>
      <c r="H122" s="103" t="s">
        <v>102</v>
      </c>
      <c r="I122" s="103" t="s">
        <v>103</v>
      </c>
      <c r="J122" s="103">
        <v>1</v>
      </c>
      <c r="K122" s="104">
        <v>19.95</v>
      </c>
      <c r="L122" s="103" t="s">
        <v>1912</v>
      </c>
      <c r="M122" s="106"/>
      <c r="N122" s="104">
        <f>E122*K122</f>
        <v>59.849999999999994</v>
      </c>
      <c r="O122" s="103" t="s">
        <v>100</v>
      </c>
      <c r="P122" s="103">
        <f t="shared" si="5"/>
        <v>109</v>
      </c>
      <c r="Q122" s="103">
        <f t="shared" si="6"/>
        <v>1</v>
      </c>
      <c r="R122" s="103" t="s">
        <v>8</v>
      </c>
      <c r="S122" s="103" t="str">
        <f>_xlfn.IFS(MouserListTable[[#This Row],[Column1]]=FilterSpecs!$A$6, FilterSpecs!$B$6,MouserListTable[[#This Row],[Column1]]=FilterSpecs!$A$7,FilterSpecs!$B$7,MouserListTable[[#This Row],[Column1]]=FilterSpecs!$A$8,FilterSpecs!$B$8,MouserListTable[[#This Row],[Column1]]=FilterSpecs!$A$9,FilterSpecs!$B$9)</f>
        <v>474-</v>
      </c>
      <c r="T12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474-SPX-14343</v>
      </c>
      <c r="V122" s="151" t="str">
        <f>IF(MouserListTable[[#This Row],[Qty.]]=0, 0, "")</f>
        <v/>
      </c>
    </row>
    <row r="123" spans="1:22" s="144" customFormat="1" x14ac:dyDescent="0.3">
      <c r="A123" s="126" t="s">
        <v>894</v>
      </c>
      <c r="B123" s="126" t="s">
        <v>14</v>
      </c>
      <c r="C123" s="126" t="s">
        <v>8</v>
      </c>
      <c r="D123" s="103" t="str">
        <f>IF(MouserListTable[[#This Row],[Vendor]]=FilterSpecs!$A$8,MouserListTable[[#This Row],[Mouser SKU]], MouserListTable[[#This Row],[SKU2]])</f>
        <v>SEN-00242</v>
      </c>
      <c r="E123" s="104">
        <v>0</v>
      </c>
      <c r="F123" s="104">
        <v>0</v>
      </c>
      <c r="G123" s="103" t="s">
        <v>105</v>
      </c>
      <c r="H123" s="103" t="s">
        <v>106</v>
      </c>
      <c r="I123" s="103" t="s">
        <v>107</v>
      </c>
      <c r="J123" s="103">
        <v>1</v>
      </c>
      <c r="K123" s="104">
        <v>13.95</v>
      </c>
      <c r="L123" s="103" t="s">
        <v>1911</v>
      </c>
      <c r="M123" s="146"/>
      <c r="N123" s="148">
        <v>0</v>
      </c>
      <c r="O123" s="103" t="s">
        <v>104</v>
      </c>
      <c r="P123" s="103">
        <f t="shared" si="5"/>
        <v>110</v>
      </c>
      <c r="Q123" s="103">
        <f t="shared" si="6"/>
        <v>1</v>
      </c>
      <c r="R123" s="103" t="s">
        <v>8</v>
      </c>
      <c r="S123" s="103" t="str">
        <f>_xlfn.IFS(MouserListTable[[#This Row],[Column1]]=FilterSpecs!$A$6, FilterSpecs!$B$6,MouserListTable[[#This Row],[Column1]]=FilterSpecs!$A$7,FilterSpecs!$B$7,MouserListTable[[#This Row],[Column1]]=FilterSpecs!$A$8,FilterSpecs!$B$8,MouserListTable[[#This Row],[Column1]]=FilterSpecs!$A$9,FilterSpecs!$B$9)</f>
        <v>474-</v>
      </c>
      <c r="T12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474-SEN-00242</v>
      </c>
      <c r="V123" s="151">
        <f>IF(MouserListTable[[#This Row],[Qty.]]=0, 0, "")</f>
        <v>0</v>
      </c>
    </row>
    <row r="124" spans="1:22" s="144" customFormat="1" x14ac:dyDescent="0.3">
      <c r="A124" s="126" t="s">
        <v>894</v>
      </c>
      <c r="B124" s="126" t="s">
        <v>14</v>
      </c>
      <c r="C124" s="126" t="s">
        <v>8</v>
      </c>
      <c r="D124" s="103" t="str">
        <f>IF(MouserListTable[[#This Row],[Vendor]]=FilterSpecs!$A$8,MouserListTable[[#This Row],[Mouser SKU]], MouserListTable[[#This Row],[SKU2]])</f>
        <v>SEN-08733</v>
      </c>
      <c r="E124" s="104">
        <v>0</v>
      </c>
      <c r="F124" s="104">
        <v>0</v>
      </c>
      <c r="G124" s="103" t="s">
        <v>1093</v>
      </c>
      <c r="H124" s="103" t="s">
        <v>1094</v>
      </c>
      <c r="I124" s="103" t="s">
        <v>1095</v>
      </c>
      <c r="J124" s="103">
        <v>1</v>
      </c>
      <c r="K124" s="104">
        <v>1.5</v>
      </c>
      <c r="L124" s="103" t="s">
        <v>1911</v>
      </c>
      <c r="M124" s="146"/>
      <c r="N124" s="148">
        <v>0</v>
      </c>
      <c r="O124" s="103" t="s">
        <v>1092</v>
      </c>
      <c r="P124" s="103">
        <f t="shared" si="5"/>
        <v>111</v>
      </c>
      <c r="Q124" s="103">
        <f t="shared" si="6"/>
        <v>1</v>
      </c>
      <c r="R124" s="103" t="s">
        <v>8</v>
      </c>
      <c r="S124" s="103" t="str">
        <f>_xlfn.IFS(MouserListTable[[#This Row],[Column1]]=FilterSpecs!$A$6, FilterSpecs!$B$6,MouserListTable[[#This Row],[Column1]]=FilterSpecs!$A$7,FilterSpecs!$B$7,MouserListTable[[#This Row],[Column1]]=FilterSpecs!$A$8,FilterSpecs!$B$8,MouserListTable[[#This Row],[Column1]]=FilterSpecs!$A$9,FilterSpecs!$B$9)</f>
        <v>474-</v>
      </c>
      <c r="T12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474-SEN-08733</v>
      </c>
      <c r="V124" s="151">
        <f>IF(MouserListTable[[#This Row],[Qty.]]=0, 0, "")</f>
        <v>0</v>
      </c>
    </row>
    <row r="125" spans="1:22" s="144" customFormat="1" x14ac:dyDescent="0.3">
      <c r="A125" s="103" t="s">
        <v>894</v>
      </c>
      <c r="B125" s="103" t="s">
        <v>14</v>
      </c>
      <c r="C125" s="103" t="s">
        <v>1898</v>
      </c>
      <c r="D125" s="103" t="str">
        <f>IF(MouserListTable[[#This Row],[Vendor]]=FilterSpecs!$A$8,MouserListTable[[#This Row],[Mouser SKU]], MouserListTable[[#This Row],[SKU2]])</f>
        <v>3538</v>
      </c>
      <c r="E125" s="104">
        <v>0</v>
      </c>
      <c r="F125" s="104">
        <v>0</v>
      </c>
      <c r="G125" s="103"/>
      <c r="H125" s="103"/>
      <c r="I125" s="126" t="s">
        <v>2319</v>
      </c>
      <c r="J125" s="146"/>
      <c r="K125" s="148">
        <v>39.950000000000003</v>
      </c>
      <c r="L125" s="126" t="s">
        <v>1910</v>
      </c>
      <c r="M125" s="146"/>
      <c r="N125" s="148"/>
      <c r="O125" s="103" t="s">
        <v>2318</v>
      </c>
      <c r="P125" s="103">
        <f t="shared" si="5"/>
        <v>112</v>
      </c>
      <c r="Q125" s="103">
        <f t="shared" si="6"/>
        <v>1</v>
      </c>
      <c r="R125" s="103" t="s">
        <v>1898</v>
      </c>
      <c r="S125" s="103" t="str">
        <f>_xlfn.IFS(MouserListTable[[#This Row],[Column1]]=FilterSpecs!$A$6, FilterSpecs!$B$6,MouserListTable[[#This Row],[Column1]]=FilterSpecs!$A$7,FilterSpecs!$B$7,MouserListTable[[#This Row],[Column1]]=FilterSpecs!$A$8,FilterSpecs!$B$8,MouserListTable[[#This Row],[Column1]]=FilterSpecs!$A$9,FilterSpecs!$B$9)</f>
        <v>485-</v>
      </c>
      <c r="T12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485-3538</v>
      </c>
      <c r="V125" s="151">
        <f>IF(MouserListTable[[#This Row],[Qty.]]=0, 0, "")</f>
        <v>0</v>
      </c>
    </row>
    <row r="126" spans="1:22" s="144" customFormat="1" x14ac:dyDescent="0.3">
      <c r="A126" s="103" t="s">
        <v>894</v>
      </c>
      <c r="B126" s="103" t="s">
        <v>14</v>
      </c>
      <c r="C126" s="103" t="s">
        <v>1898</v>
      </c>
      <c r="D126" s="103" t="str">
        <f>IF(MouserListTable[[#This Row],[Vendor]]=FilterSpecs!$A$8,MouserListTable[[#This Row],[Mouser SKU]], MouserListTable[[#This Row],[SKU2]])</f>
        <v>3317</v>
      </c>
      <c r="E126" s="104">
        <f>2*FilterSpecs!$C$3</f>
        <v>10</v>
      </c>
      <c r="F126" s="104" t="s">
        <v>18921</v>
      </c>
      <c r="G126" s="103"/>
      <c r="H126" s="103"/>
      <c r="I126" s="103" t="s">
        <v>2321</v>
      </c>
      <c r="J126" s="146"/>
      <c r="K126" s="104">
        <v>14.95</v>
      </c>
      <c r="L126" s="103" t="s">
        <v>1911</v>
      </c>
      <c r="M126" s="106"/>
      <c r="N126" s="104">
        <f>E126*K126</f>
        <v>149.5</v>
      </c>
      <c r="O126" s="103" t="s">
        <v>2320</v>
      </c>
      <c r="P126" s="103">
        <f t="shared" si="5"/>
        <v>113</v>
      </c>
      <c r="Q126" s="103">
        <f t="shared" si="6"/>
        <v>1</v>
      </c>
      <c r="R126" s="103" t="s">
        <v>1898</v>
      </c>
      <c r="S126" s="103" t="str">
        <f>_xlfn.IFS(MouserListTable[[#This Row],[Column1]]=FilterSpecs!$A$6, FilterSpecs!$B$6,MouserListTable[[#This Row],[Column1]]=FilterSpecs!$A$7,FilterSpecs!$B$7,MouserListTable[[#This Row],[Column1]]=FilterSpecs!$A$8,FilterSpecs!$B$8,MouserListTable[[#This Row],[Column1]]=FilterSpecs!$A$9,FilterSpecs!$B$9)</f>
        <v>485-</v>
      </c>
      <c r="T12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485-3317</v>
      </c>
      <c r="V126" s="151" t="str">
        <f>IF(MouserListTable[[#This Row],[Qty.]]=0, 0, "")</f>
        <v/>
      </c>
    </row>
    <row r="127" spans="1:22" s="144" customFormat="1" x14ac:dyDescent="0.3">
      <c r="A127" s="103" t="s">
        <v>894</v>
      </c>
      <c r="B127" s="103" t="s">
        <v>14</v>
      </c>
      <c r="C127" s="103" t="s">
        <v>1898</v>
      </c>
      <c r="D127" s="103" t="str">
        <f>IF(MouserListTable[[#This Row],[Vendor]]=FilterSpecs!$A$8,MouserListTable[[#This Row],[Mouser SKU]], MouserListTable[[#This Row],[SKU2]])</f>
        <v>3316</v>
      </c>
      <c r="E127" s="104">
        <v>0</v>
      </c>
      <c r="F127" s="104">
        <v>0</v>
      </c>
      <c r="G127" s="103"/>
      <c r="H127" s="103"/>
      <c r="I127" s="126" t="s">
        <v>2323</v>
      </c>
      <c r="J127" s="146"/>
      <c r="K127" s="148">
        <v>13.95</v>
      </c>
      <c r="L127" s="126" t="s">
        <v>1910</v>
      </c>
      <c r="M127" s="146"/>
      <c r="N127" s="148"/>
      <c r="O127" s="103" t="s">
        <v>2322</v>
      </c>
      <c r="P127" s="103">
        <f t="shared" si="5"/>
        <v>114</v>
      </c>
      <c r="Q127" s="103">
        <f t="shared" si="6"/>
        <v>1</v>
      </c>
      <c r="R127" s="103" t="s">
        <v>1898</v>
      </c>
      <c r="S127" s="103" t="str">
        <f>_xlfn.IFS(MouserListTable[[#This Row],[Column1]]=FilterSpecs!$A$6, FilterSpecs!$B$6,MouserListTable[[#This Row],[Column1]]=FilterSpecs!$A$7,FilterSpecs!$B$7,MouserListTable[[#This Row],[Column1]]=FilterSpecs!$A$8,FilterSpecs!$B$8,MouserListTable[[#This Row],[Column1]]=FilterSpecs!$A$9,FilterSpecs!$B$9)</f>
        <v>485-</v>
      </c>
      <c r="T12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485-3316</v>
      </c>
      <c r="V127" s="151">
        <f>IF(MouserListTable[[#This Row],[Qty.]]=0, 0, "")</f>
        <v>0</v>
      </c>
    </row>
    <row r="128" spans="1:22" s="144" customFormat="1" x14ac:dyDescent="0.3">
      <c r="A128" s="103" t="s">
        <v>894</v>
      </c>
      <c r="B128" s="103" t="s">
        <v>14</v>
      </c>
      <c r="C128" s="103" t="s">
        <v>1898</v>
      </c>
      <c r="D128" s="103" t="str">
        <f>IF(MouserListTable[[#This Row],[Vendor]]=FilterSpecs!$A$8,MouserListTable[[#This Row],[Mouser SKU]], MouserListTable[[#This Row],[SKU2]])</f>
        <v>1568</v>
      </c>
      <c r="E128" s="104">
        <v>0</v>
      </c>
      <c r="F128" s="104">
        <v>0</v>
      </c>
      <c r="G128" s="103"/>
      <c r="H128" s="103"/>
      <c r="I128" s="126" t="s">
        <v>2325</v>
      </c>
      <c r="J128" s="146"/>
      <c r="K128" s="148">
        <v>24.95</v>
      </c>
      <c r="L128" s="126" t="s">
        <v>1910</v>
      </c>
      <c r="M128" s="146"/>
      <c r="N128" s="148"/>
      <c r="O128" s="103" t="s">
        <v>2324</v>
      </c>
      <c r="P128" s="103">
        <f t="shared" si="5"/>
        <v>115</v>
      </c>
      <c r="Q128" s="103">
        <f t="shared" si="6"/>
        <v>1</v>
      </c>
      <c r="R128" s="103" t="s">
        <v>1898</v>
      </c>
      <c r="S128" s="103" t="str">
        <f>_xlfn.IFS(MouserListTable[[#This Row],[Column1]]=FilterSpecs!$A$6, FilterSpecs!$B$6,MouserListTable[[#This Row],[Column1]]=FilterSpecs!$A$7,FilterSpecs!$B$7,MouserListTable[[#This Row],[Column1]]=FilterSpecs!$A$8,FilterSpecs!$B$8,MouserListTable[[#This Row],[Column1]]=FilterSpecs!$A$9,FilterSpecs!$B$9)</f>
        <v>485-</v>
      </c>
      <c r="T12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485-1568</v>
      </c>
      <c r="V128" s="151">
        <f>IF(MouserListTable[[#This Row],[Qty.]]=0, 0, "")</f>
        <v>0</v>
      </c>
    </row>
    <row r="129" spans="1:22" s="144" customFormat="1" x14ac:dyDescent="0.3">
      <c r="A129" s="103" t="s">
        <v>894</v>
      </c>
      <c r="B129" s="103" t="s">
        <v>14</v>
      </c>
      <c r="C129" s="103" t="s">
        <v>1898</v>
      </c>
      <c r="D129" s="103" t="str">
        <f>IF(MouserListTable[[#This Row],[Vendor]]=FilterSpecs!$A$8,MouserListTable[[#This Row],[Mouser SKU]], MouserListTable[[#This Row],[SKU2]])</f>
        <v>164</v>
      </c>
      <c r="E129" s="104">
        <v>0</v>
      </c>
      <c r="F129" s="104">
        <v>0</v>
      </c>
      <c r="G129" s="103"/>
      <c r="H129" s="103"/>
      <c r="I129" s="126" t="s">
        <v>2327</v>
      </c>
      <c r="J129" s="146"/>
      <c r="K129" s="148">
        <v>14.95</v>
      </c>
      <c r="L129" s="126" t="s">
        <v>1910</v>
      </c>
      <c r="M129" s="146"/>
      <c r="N129" s="148"/>
      <c r="O129" s="103" t="s">
        <v>2326</v>
      </c>
      <c r="P129" s="103">
        <f t="shared" si="5"/>
        <v>116</v>
      </c>
      <c r="Q129" s="103">
        <f t="shared" si="6"/>
        <v>1</v>
      </c>
      <c r="R129" s="103" t="s">
        <v>1898</v>
      </c>
      <c r="S129" s="103" t="str">
        <f>_xlfn.IFS(MouserListTable[[#This Row],[Column1]]=FilterSpecs!$A$6, FilterSpecs!$B$6,MouserListTable[[#This Row],[Column1]]=FilterSpecs!$A$7,FilterSpecs!$B$7,MouserListTable[[#This Row],[Column1]]=FilterSpecs!$A$8,FilterSpecs!$B$8,MouserListTable[[#This Row],[Column1]]=FilterSpecs!$A$9,FilterSpecs!$B$9)</f>
        <v>485-</v>
      </c>
      <c r="T12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485-164</v>
      </c>
      <c r="V129" s="151">
        <f>IF(MouserListTable[[#This Row],[Qty.]]=0, 0, "")</f>
        <v>0</v>
      </c>
    </row>
    <row r="130" spans="1:22" s="144" customFormat="1" x14ac:dyDescent="0.3">
      <c r="A130" s="103" t="s">
        <v>894</v>
      </c>
      <c r="B130" s="103" t="s">
        <v>14</v>
      </c>
      <c r="C130" s="103" t="s">
        <v>1898</v>
      </c>
      <c r="D130" s="103" t="str">
        <f>IF(MouserListTable[[#This Row],[Vendor]]=FilterSpecs!$A$8,MouserListTable[[#This Row],[Mouser SKU]], MouserListTable[[#This Row],[SKU2]])</f>
        <v>1031</v>
      </c>
      <c r="E130" s="104">
        <v>0</v>
      </c>
      <c r="F130" s="104">
        <v>0</v>
      </c>
      <c r="G130" s="103"/>
      <c r="H130" s="103"/>
      <c r="I130" s="126" t="s">
        <v>2329</v>
      </c>
      <c r="J130" s="146"/>
      <c r="K130" s="148">
        <v>15.95</v>
      </c>
      <c r="L130" s="126" t="s">
        <v>1910</v>
      </c>
      <c r="M130" s="146"/>
      <c r="N130" s="148"/>
      <c r="O130" s="103" t="s">
        <v>2328</v>
      </c>
      <c r="P130" s="103">
        <f t="shared" si="5"/>
        <v>117</v>
      </c>
      <c r="Q130" s="103">
        <f t="shared" si="6"/>
        <v>1</v>
      </c>
      <c r="R130" s="103" t="s">
        <v>1898</v>
      </c>
      <c r="S130" s="103" t="str">
        <f>_xlfn.IFS(MouserListTable[[#This Row],[Column1]]=FilterSpecs!$A$6, FilterSpecs!$B$6,MouserListTable[[#This Row],[Column1]]=FilterSpecs!$A$7,FilterSpecs!$B$7,MouserListTable[[#This Row],[Column1]]=FilterSpecs!$A$8,FilterSpecs!$B$8,MouserListTable[[#This Row],[Column1]]=FilterSpecs!$A$9,FilterSpecs!$B$9)</f>
        <v>485-</v>
      </c>
      <c r="T13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485-1031</v>
      </c>
      <c r="V130" s="151">
        <f>IF(MouserListTable[[#This Row],[Qty.]]=0, 0, "")</f>
        <v>0</v>
      </c>
    </row>
    <row r="131" spans="1:22" s="144" customFormat="1" x14ac:dyDescent="0.3">
      <c r="A131" s="103" t="s">
        <v>894</v>
      </c>
      <c r="B131" s="103" t="s">
        <v>14</v>
      </c>
      <c r="C131" s="103" t="s">
        <v>2555</v>
      </c>
      <c r="D131" s="103" t="str">
        <f>IF(MouserListTable[[#This Row],[Vendor]]=FilterSpecs!$A$8,MouserListTable[[#This Row],[Mouser SKU]], MouserListTable[[#This Row],[SKU2]])</f>
        <v>53L0-SATEL-I1</v>
      </c>
      <c r="E131" s="104">
        <v>0</v>
      </c>
      <c r="F131" s="104">
        <v>0</v>
      </c>
      <c r="G131" s="103"/>
      <c r="H131" s="103"/>
      <c r="I131" s="103" t="s">
        <v>2556</v>
      </c>
      <c r="J131" s="103"/>
      <c r="K131" s="104">
        <v>18.13</v>
      </c>
      <c r="L131" s="121" t="s">
        <v>1910</v>
      </c>
      <c r="M131" s="103"/>
      <c r="N131" s="149">
        <v>0</v>
      </c>
      <c r="O131" s="103" t="s">
        <v>2554</v>
      </c>
      <c r="P131" s="103">
        <f t="shared" si="5"/>
        <v>118</v>
      </c>
      <c r="Q131" s="121">
        <f t="shared" ref="Q131:Q132" si="8">IF($D131=$O131,1,0)</f>
        <v>1</v>
      </c>
      <c r="R131" s="103" t="s">
        <v>18913</v>
      </c>
      <c r="S131" s="103" t="str">
        <f>_xlfn.IFS(MouserListTable[[#This Row],[Column1]]=FilterSpecs!$A$6, FilterSpecs!$B$6,MouserListTable[[#This Row],[Column1]]=FilterSpecs!$A$7,FilterSpecs!$B$7,MouserListTable[[#This Row],[Column1]]=FilterSpecs!$A$8,FilterSpecs!$B$8,MouserListTable[[#This Row],[Column1]]=FilterSpecs!$A$9,FilterSpecs!$B$9)</f>
        <v>511-</v>
      </c>
      <c r="T13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511-53L0-SATEL-I1</v>
      </c>
      <c r="V131" s="151">
        <f>IF(MouserListTable[[#This Row],[Qty.]]=0, 0, "")</f>
        <v>0</v>
      </c>
    </row>
    <row r="132" spans="1:22" s="144" customFormat="1" x14ac:dyDescent="0.3">
      <c r="A132" s="103" t="s">
        <v>894</v>
      </c>
      <c r="B132" s="103" t="s">
        <v>14</v>
      </c>
      <c r="C132" s="103" t="s">
        <v>1906</v>
      </c>
      <c r="D132" s="103" t="str">
        <f>IF(MouserListTable[[#This Row],[Vendor]]=FilterSpecs!$A$8,MouserListTable[[#This Row],[Mouser SKU]], MouserListTable[[#This Row],[SKU2]])</f>
        <v>511-53L0-SATEL-I1</v>
      </c>
      <c r="E132" s="104">
        <v>5</v>
      </c>
      <c r="F132" s="104" t="s">
        <v>18921</v>
      </c>
      <c r="G132" s="103"/>
      <c r="H132" s="103"/>
      <c r="I132" s="103" t="s">
        <v>2556</v>
      </c>
      <c r="J132" s="103"/>
      <c r="K132" s="104">
        <v>18.5</v>
      </c>
      <c r="L132" s="121" t="s">
        <v>1911</v>
      </c>
      <c r="M132" s="103"/>
      <c r="N132" s="149">
        <v>92.5</v>
      </c>
      <c r="O132" s="103" t="s">
        <v>2553</v>
      </c>
      <c r="P132" s="103">
        <f t="shared" si="5"/>
        <v>119</v>
      </c>
      <c r="Q132" s="121">
        <f t="shared" si="8"/>
        <v>1</v>
      </c>
      <c r="R132" s="103" t="s">
        <v>1906</v>
      </c>
      <c r="S132" s="103">
        <f>_xlfn.IFS(MouserListTable[[#This Row],[Column1]]=FilterSpecs!$A$6, FilterSpecs!$B$6,MouserListTable[[#This Row],[Column1]]=FilterSpecs!$A$7,FilterSpecs!$B$7,MouserListTable[[#This Row],[Column1]]=FilterSpecs!$A$8,FilterSpecs!$B$8,MouserListTable[[#This Row],[Column1]]=FilterSpecs!$A$9,FilterSpecs!$B$9)</f>
        <v>0</v>
      </c>
      <c r="T13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511-53L0-SATEL-I1</v>
      </c>
      <c r="V132" s="151" t="str">
        <f>IF(MouserListTable[[#This Row],[Qty.]]=0, 0, "")</f>
        <v/>
      </c>
    </row>
    <row r="133" spans="1:22" s="146" customFormat="1" x14ac:dyDescent="0.3">
      <c r="A133" s="103" t="s">
        <v>894</v>
      </c>
      <c r="B133" s="103" t="s">
        <v>15</v>
      </c>
      <c r="C133" s="103" t="s">
        <v>8</v>
      </c>
      <c r="D133" s="103" t="str">
        <f>IF(MouserListTable[[#This Row],[Vendor]]=FilterSpecs!$A$8,MouserListTable[[#This Row],[Mouser SKU]], MouserListTable[[#This Row],[SKU2]])</f>
        <v>SEN-09196</v>
      </c>
      <c r="E133" s="104">
        <f>FilterSpecs!$C$3</f>
        <v>5</v>
      </c>
      <c r="F133" s="104" t="s">
        <v>18921</v>
      </c>
      <c r="G133" s="103" t="s">
        <v>109</v>
      </c>
      <c r="H133" s="103" t="s">
        <v>110</v>
      </c>
      <c r="I133" s="103" t="s">
        <v>111</v>
      </c>
      <c r="J133" s="146">
        <v>1</v>
      </c>
      <c r="K133" s="104">
        <v>2.95</v>
      </c>
      <c r="L133" s="103" t="s">
        <v>1911</v>
      </c>
      <c r="M133" s="106"/>
      <c r="N133" s="104">
        <f>E133*K133</f>
        <v>14.75</v>
      </c>
      <c r="O133" s="103" t="s">
        <v>108</v>
      </c>
      <c r="P133" s="103">
        <f t="shared" si="5"/>
        <v>120</v>
      </c>
      <c r="Q133" s="103">
        <f t="shared" si="6"/>
        <v>1</v>
      </c>
      <c r="R133" s="103" t="s">
        <v>8</v>
      </c>
      <c r="S133" s="103" t="str">
        <f>_xlfn.IFS(MouserListTable[[#This Row],[Column1]]=FilterSpecs!$A$6, FilterSpecs!$B$6,MouserListTable[[#This Row],[Column1]]=FilterSpecs!$A$7,FilterSpecs!$B$7,MouserListTable[[#This Row],[Column1]]=FilterSpecs!$A$8,FilterSpecs!$B$8,MouserListTable[[#This Row],[Column1]]=FilterSpecs!$A$9,FilterSpecs!$B$9)</f>
        <v>474-</v>
      </c>
      <c r="T13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474-SEN-09196</v>
      </c>
      <c r="V133" s="151" t="str">
        <f>IF(MouserListTable[[#This Row],[Qty.]]=0, 0, "")</f>
        <v/>
      </c>
    </row>
    <row r="134" spans="1:22" s="146" customFormat="1" x14ac:dyDescent="0.3">
      <c r="A134" s="103" t="s">
        <v>894</v>
      </c>
      <c r="B134" s="103" t="s">
        <v>15</v>
      </c>
      <c r="C134" s="103" t="s">
        <v>8</v>
      </c>
      <c r="D134" s="103" t="str">
        <f>IF(MouserListTable[[#This Row],[Vendor]]=FilterSpecs!$A$8,MouserListTable[[#This Row],[Mouser SKU]], MouserListTable[[#This Row],[SKU2]])</f>
        <v>SEN-09197</v>
      </c>
      <c r="E134" s="104">
        <v>0</v>
      </c>
      <c r="F134" s="104">
        <v>0</v>
      </c>
      <c r="G134" s="103" t="s">
        <v>1339</v>
      </c>
      <c r="H134" s="103" t="s">
        <v>1340</v>
      </c>
      <c r="I134" s="126" t="s">
        <v>1341</v>
      </c>
      <c r="J134" s="146">
        <v>1</v>
      </c>
      <c r="K134" s="148">
        <v>2.95</v>
      </c>
      <c r="L134" s="126" t="s">
        <v>1910</v>
      </c>
      <c r="N134" s="148">
        <v>0</v>
      </c>
      <c r="O134" s="103" t="s">
        <v>1338</v>
      </c>
      <c r="P134" s="103">
        <f t="shared" si="5"/>
        <v>121</v>
      </c>
      <c r="Q134" s="103">
        <f t="shared" si="6"/>
        <v>1</v>
      </c>
      <c r="R134" s="103" t="s">
        <v>8</v>
      </c>
      <c r="S134" s="103" t="str">
        <f>_xlfn.IFS(MouserListTable[[#This Row],[Column1]]=FilterSpecs!$A$6, FilterSpecs!$B$6,MouserListTable[[#This Row],[Column1]]=FilterSpecs!$A$7,FilterSpecs!$B$7,MouserListTable[[#This Row],[Column1]]=FilterSpecs!$A$8,FilterSpecs!$B$8,MouserListTable[[#This Row],[Column1]]=FilterSpecs!$A$9,FilterSpecs!$B$9)</f>
        <v>474-</v>
      </c>
      <c r="T13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474-SEN-09197</v>
      </c>
      <c r="V134" s="151">
        <f>IF(MouserListTable[[#This Row],[Qty.]]=0, 0, "")</f>
        <v>0</v>
      </c>
    </row>
    <row r="135" spans="1:22" s="146" customFormat="1" x14ac:dyDescent="0.3">
      <c r="A135" s="103" t="s">
        <v>894</v>
      </c>
      <c r="B135" s="103" t="s">
        <v>15</v>
      </c>
      <c r="C135" s="103" t="s">
        <v>8</v>
      </c>
      <c r="D135" s="103" t="str">
        <f>IF(MouserListTable[[#This Row],[Vendor]]=FilterSpecs!$A$8,MouserListTable[[#This Row],[Mouser SKU]], MouserListTable[[#This Row],[SKU2]])</f>
        <v>SEN-09198</v>
      </c>
      <c r="E135" s="104">
        <v>0</v>
      </c>
      <c r="F135" s="104">
        <v>0</v>
      </c>
      <c r="G135" s="103" t="s">
        <v>1343</v>
      </c>
      <c r="H135" s="103" t="s">
        <v>1344</v>
      </c>
      <c r="I135" s="126" t="s">
        <v>1345</v>
      </c>
      <c r="J135" s="146">
        <v>1</v>
      </c>
      <c r="K135" s="148">
        <v>2.95</v>
      </c>
      <c r="L135" s="126" t="s">
        <v>1910</v>
      </c>
      <c r="N135" s="148">
        <v>0</v>
      </c>
      <c r="O135" s="103" t="s">
        <v>1342</v>
      </c>
      <c r="P135" s="103">
        <f t="shared" si="5"/>
        <v>122</v>
      </c>
      <c r="Q135" s="103">
        <f t="shared" si="6"/>
        <v>1</v>
      </c>
      <c r="R135" s="103" t="s">
        <v>8</v>
      </c>
      <c r="S135" s="103" t="str">
        <f>_xlfn.IFS(MouserListTable[[#This Row],[Column1]]=FilterSpecs!$A$6, FilterSpecs!$B$6,MouserListTable[[#This Row],[Column1]]=FilterSpecs!$A$7,FilterSpecs!$B$7,MouserListTable[[#This Row],[Column1]]=FilterSpecs!$A$8,FilterSpecs!$B$8,MouserListTable[[#This Row],[Column1]]=FilterSpecs!$A$9,FilterSpecs!$B$9)</f>
        <v>474-</v>
      </c>
      <c r="T13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474-SEN-09198</v>
      </c>
      <c r="V135" s="151">
        <f>IF(MouserListTable[[#This Row],[Qty.]]=0, 0, "")</f>
        <v>0</v>
      </c>
    </row>
    <row r="136" spans="1:22" s="146" customFormat="1" x14ac:dyDescent="0.3">
      <c r="A136" s="103" t="s">
        <v>894</v>
      </c>
      <c r="B136" s="103" t="s">
        <v>15</v>
      </c>
      <c r="C136" s="103" t="s">
        <v>8</v>
      </c>
      <c r="D136" s="103" t="str">
        <f>IF(MouserListTable[[#This Row],[Vendor]]=FilterSpecs!$A$8,MouserListTable[[#This Row],[Mouser SKU]], MouserListTable[[#This Row],[SKU2]])</f>
        <v>SEN-09199</v>
      </c>
      <c r="E136" s="104">
        <v>0</v>
      </c>
      <c r="F136" s="104">
        <v>0</v>
      </c>
      <c r="G136" s="103" t="s">
        <v>1347</v>
      </c>
      <c r="H136" s="103" t="s">
        <v>1348</v>
      </c>
      <c r="I136" s="126" t="s">
        <v>1349</v>
      </c>
      <c r="J136" s="146">
        <v>1</v>
      </c>
      <c r="K136" s="148">
        <v>2.95</v>
      </c>
      <c r="L136" s="126" t="s">
        <v>1910</v>
      </c>
      <c r="N136" s="148">
        <v>0</v>
      </c>
      <c r="O136" s="103" t="s">
        <v>1346</v>
      </c>
      <c r="P136" s="103">
        <f t="shared" si="5"/>
        <v>123</v>
      </c>
      <c r="Q136" s="103">
        <f t="shared" si="6"/>
        <v>1</v>
      </c>
      <c r="R136" s="103" t="s">
        <v>8</v>
      </c>
      <c r="S136" s="103" t="str">
        <f>_xlfn.IFS(MouserListTable[[#This Row],[Column1]]=FilterSpecs!$A$6, FilterSpecs!$B$6,MouserListTable[[#This Row],[Column1]]=FilterSpecs!$A$7,FilterSpecs!$B$7,MouserListTable[[#This Row],[Column1]]=FilterSpecs!$A$8,FilterSpecs!$B$8,MouserListTable[[#This Row],[Column1]]=FilterSpecs!$A$9,FilterSpecs!$B$9)</f>
        <v>474-</v>
      </c>
      <c r="T13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474-SEN-09199</v>
      </c>
      <c r="V136" s="151">
        <f>IF(MouserListTable[[#This Row],[Qty.]]=0, 0, "")</f>
        <v>0</v>
      </c>
    </row>
    <row r="137" spans="1:22" s="146" customFormat="1" x14ac:dyDescent="0.3">
      <c r="A137" s="103" t="s">
        <v>894</v>
      </c>
      <c r="B137" s="103" t="s">
        <v>15</v>
      </c>
      <c r="C137" s="103" t="s">
        <v>1898</v>
      </c>
      <c r="D137" s="103" t="str">
        <f>IF(MouserListTable[[#This Row],[Vendor]]=FilterSpecs!$A$8,MouserListTable[[#This Row],[Mouser SKU]], MouserListTable[[#This Row],[SKU2]])</f>
        <v>1071</v>
      </c>
      <c r="E137" s="104">
        <v>0</v>
      </c>
      <c r="F137" s="104">
        <v>0</v>
      </c>
      <c r="G137" s="103"/>
      <c r="H137" s="103"/>
      <c r="I137" s="126" t="s">
        <v>2333</v>
      </c>
      <c r="K137" s="148">
        <v>17.95</v>
      </c>
      <c r="L137" s="126" t="s">
        <v>1910</v>
      </c>
      <c r="N137" s="148"/>
      <c r="O137" s="103" t="s">
        <v>2332</v>
      </c>
      <c r="P137" s="103">
        <f t="shared" si="5"/>
        <v>124</v>
      </c>
      <c r="Q137" s="103">
        <f t="shared" si="6"/>
        <v>1</v>
      </c>
      <c r="R137" s="103" t="s">
        <v>1898</v>
      </c>
      <c r="S137" s="103" t="str">
        <f>_xlfn.IFS(MouserListTable[[#This Row],[Column1]]=FilterSpecs!$A$6, FilterSpecs!$B$6,MouserListTable[[#This Row],[Column1]]=FilterSpecs!$A$7,FilterSpecs!$B$7,MouserListTable[[#This Row],[Column1]]=FilterSpecs!$A$8,FilterSpecs!$B$8,MouserListTable[[#This Row],[Column1]]=FilterSpecs!$A$9,FilterSpecs!$B$9)</f>
        <v>485-</v>
      </c>
      <c r="T13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485-1071</v>
      </c>
      <c r="V137" s="151">
        <f>IF(MouserListTable[[#This Row],[Qty.]]=0, 0, "")</f>
        <v>0</v>
      </c>
    </row>
    <row r="138" spans="1:22" s="146" customFormat="1" x14ac:dyDescent="0.3">
      <c r="A138" s="103" t="s">
        <v>894</v>
      </c>
      <c r="B138" s="103" t="s">
        <v>15</v>
      </c>
      <c r="C138" s="103" t="s">
        <v>8</v>
      </c>
      <c r="D138" s="103" t="str">
        <f>IF(MouserListTable[[#This Row],[Vendor]]=FilterSpecs!$A$8,MouserListTable[[#This Row],[Mouser SKU]], MouserListTable[[#This Row],[SKU2]])</f>
        <v>SEN-09674</v>
      </c>
      <c r="E138" s="104">
        <v>0</v>
      </c>
      <c r="F138" s="104">
        <v>0</v>
      </c>
      <c r="G138" s="103" t="s">
        <v>1430</v>
      </c>
      <c r="H138" s="103" t="s">
        <v>1431</v>
      </c>
      <c r="I138" s="126" t="s">
        <v>1432</v>
      </c>
      <c r="J138" s="146">
        <v>1</v>
      </c>
      <c r="K138" s="148">
        <v>20.95</v>
      </c>
      <c r="L138" s="126" t="s">
        <v>1910</v>
      </c>
      <c r="N138" s="148">
        <v>0</v>
      </c>
      <c r="O138" s="103" t="s">
        <v>1429</v>
      </c>
      <c r="P138" s="103">
        <f t="shared" si="5"/>
        <v>125</v>
      </c>
      <c r="Q138" s="103">
        <f t="shared" si="6"/>
        <v>1</v>
      </c>
      <c r="R138" s="103" t="s">
        <v>8</v>
      </c>
      <c r="S138" s="103" t="str">
        <f>_xlfn.IFS(MouserListTable[[#This Row],[Column1]]=FilterSpecs!$A$6, FilterSpecs!$B$6,MouserListTable[[#This Row],[Column1]]=FilterSpecs!$A$7,FilterSpecs!$B$7,MouserListTable[[#This Row],[Column1]]=FilterSpecs!$A$8,FilterSpecs!$B$8,MouserListTable[[#This Row],[Column1]]=FilterSpecs!$A$9,FilterSpecs!$B$9)</f>
        <v>474-</v>
      </c>
      <c r="T13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474-SEN-09674</v>
      </c>
      <c r="V138" s="151">
        <f>IF(MouserListTable[[#This Row],[Qty.]]=0, 0, "")</f>
        <v>0</v>
      </c>
    </row>
    <row r="139" spans="1:22" s="146" customFormat="1" x14ac:dyDescent="0.3">
      <c r="A139" s="126" t="s">
        <v>894</v>
      </c>
      <c r="B139" s="126" t="s">
        <v>15</v>
      </c>
      <c r="C139" s="126" t="s">
        <v>8</v>
      </c>
      <c r="D139" s="103" t="str">
        <f>IF(MouserListTable[[#This Row],[Vendor]]=FilterSpecs!$A$8,MouserListTable[[#This Row],[Mouser SKU]], MouserListTable[[#This Row],[SKU2]])</f>
        <v>SEN-09673</v>
      </c>
      <c r="E139" s="104">
        <v>0</v>
      </c>
      <c r="F139" s="104">
        <v>0</v>
      </c>
      <c r="G139" s="103" t="s">
        <v>1434</v>
      </c>
      <c r="H139" s="103" t="s">
        <v>1435</v>
      </c>
      <c r="I139" s="103" t="s">
        <v>1436</v>
      </c>
      <c r="J139" s="103">
        <v>1</v>
      </c>
      <c r="K139" s="104">
        <v>5.95</v>
      </c>
      <c r="L139" s="103" t="s">
        <v>1910</v>
      </c>
      <c r="N139" s="148">
        <v>0</v>
      </c>
      <c r="O139" s="103" t="s">
        <v>1433</v>
      </c>
      <c r="P139" s="103">
        <f t="shared" si="5"/>
        <v>126</v>
      </c>
      <c r="Q139" s="103">
        <f t="shared" si="6"/>
        <v>1</v>
      </c>
      <c r="R139" s="103" t="s">
        <v>8</v>
      </c>
      <c r="S139" s="103" t="str">
        <f>_xlfn.IFS(MouserListTable[[#This Row],[Column1]]=FilterSpecs!$A$6, FilterSpecs!$B$6,MouserListTable[[#This Row],[Column1]]=FilterSpecs!$A$7,FilterSpecs!$B$7,MouserListTable[[#This Row],[Column1]]=FilterSpecs!$A$8,FilterSpecs!$B$8,MouserListTable[[#This Row],[Column1]]=FilterSpecs!$A$9,FilterSpecs!$B$9)</f>
        <v>474-</v>
      </c>
      <c r="T13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474-SEN-09673</v>
      </c>
      <c r="V139" s="151">
        <f>IF(MouserListTable[[#This Row],[Qty.]]=0, 0, "")</f>
        <v>0</v>
      </c>
    </row>
    <row r="140" spans="1:22" s="146" customFormat="1" x14ac:dyDescent="0.3">
      <c r="A140" s="126" t="s">
        <v>894</v>
      </c>
      <c r="B140" s="126" t="s">
        <v>15</v>
      </c>
      <c r="C140" s="126" t="s">
        <v>8</v>
      </c>
      <c r="D140" s="103" t="str">
        <f>IF(MouserListTable[[#This Row],[Vendor]]=FilterSpecs!$A$8,MouserListTable[[#This Row],[Mouser SKU]], MouserListTable[[#This Row],[SKU2]])</f>
        <v>SEN-09376</v>
      </c>
      <c r="E140" s="104">
        <v>0</v>
      </c>
      <c r="F140" s="104">
        <v>0</v>
      </c>
      <c r="G140" s="103" t="s">
        <v>676</v>
      </c>
      <c r="H140" s="103" t="s">
        <v>677</v>
      </c>
      <c r="I140" s="103" t="s">
        <v>678</v>
      </c>
      <c r="J140" s="103">
        <v>1</v>
      </c>
      <c r="K140" s="104">
        <v>9.9499999999999993</v>
      </c>
      <c r="L140" s="103" t="s">
        <v>1910</v>
      </c>
      <c r="N140" s="148">
        <v>0</v>
      </c>
      <c r="O140" s="103" t="s">
        <v>675</v>
      </c>
      <c r="P140" s="103">
        <f t="shared" si="5"/>
        <v>127</v>
      </c>
      <c r="Q140" s="103">
        <f t="shared" si="6"/>
        <v>1</v>
      </c>
      <c r="R140" s="103" t="s">
        <v>8</v>
      </c>
      <c r="S140" s="103" t="str">
        <f>_xlfn.IFS(MouserListTable[[#This Row],[Column1]]=FilterSpecs!$A$6, FilterSpecs!$B$6,MouserListTable[[#This Row],[Column1]]=FilterSpecs!$A$7,FilterSpecs!$B$7,MouserListTable[[#This Row],[Column1]]=FilterSpecs!$A$8,FilterSpecs!$B$8,MouserListTable[[#This Row],[Column1]]=FilterSpecs!$A$9,FilterSpecs!$B$9)</f>
        <v>474-</v>
      </c>
      <c r="T14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474-SEN-09376</v>
      </c>
      <c r="V140" s="151">
        <f>IF(MouserListTable[[#This Row],[Qty.]]=0, 0, "")</f>
        <v>0</v>
      </c>
    </row>
    <row r="141" spans="1:22" s="146" customFormat="1" x14ac:dyDescent="0.3">
      <c r="A141" s="103" t="s">
        <v>894</v>
      </c>
      <c r="B141" s="103" t="s">
        <v>15</v>
      </c>
      <c r="C141" s="103" t="s">
        <v>1898</v>
      </c>
      <c r="D141" s="103" t="str">
        <f>IF(MouserListTable[[#This Row],[Vendor]]=FilterSpecs!$A$8,MouserListTable[[#This Row],[Mouser SKU]], MouserListTable[[#This Row],[SKU2]])</f>
        <v>1075</v>
      </c>
      <c r="E141" s="104">
        <v>4</v>
      </c>
      <c r="F141" s="104" t="s">
        <v>18921</v>
      </c>
      <c r="G141" s="103"/>
      <c r="H141" s="103"/>
      <c r="I141" s="103" t="s">
        <v>2339</v>
      </c>
      <c r="J141" s="103"/>
      <c r="K141" s="104">
        <v>7.95</v>
      </c>
      <c r="L141" s="103" t="s">
        <v>1910</v>
      </c>
      <c r="M141" s="106"/>
      <c r="N141" s="104">
        <f>E141*K141</f>
        <v>31.8</v>
      </c>
      <c r="O141" s="103" t="s">
        <v>2338</v>
      </c>
      <c r="P141" s="103">
        <f t="shared" si="5"/>
        <v>128</v>
      </c>
      <c r="Q141" s="103">
        <f t="shared" si="6"/>
        <v>1</v>
      </c>
      <c r="R141" s="103" t="s">
        <v>1898</v>
      </c>
      <c r="S141" s="103" t="str">
        <f>_xlfn.IFS(MouserListTable[[#This Row],[Column1]]=FilterSpecs!$A$6, FilterSpecs!$B$6,MouserListTable[[#This Row],[Column1]]=FilterSpecs!$A$7,FilterSpecs!$B$7,MouserListTable[[#This Row],[Column1]]=FilterSpecs!$A$8,FilterSpecs!$B$8,MouserListTable[[#This Row],[Column1]]=FilterSpecs!$A$9,FilterSpecs!$B$9)</f>
        <v>485-</v>
      </c>
      <c r="T14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485-1075</v>
      </c>
      <c r="V141" s="151" t="str">
        <f>IF(MouserListTable[[#This Row],[Qty.]]=0, 0, "")</f>
        <v/>
      </c>
    </row>
    <row r="142" spans="1:22" s="146" customFormat="1" x14ac:dyDescent="0.3">
      <c r="A142" s="126" t="s">
        <v>894</v>
      </c>
      <c r="B142" s="126" t="s">
        <v>15</v>
      </c>
      <c r="C142" s="126" t="s">
        <v>8</v>
      </c>
      <c r="D142" s="103" t="str">
        <f>IF(MouserListTable[[#This Row],[Vendor]]=FilterSpecs!$A$8,MouserListTable[[#This Row],[Mouser SKU]], MouserListTable[[#This Row],[SKU2]])</f>
        <v>SEN-09375</v>
      </c>
      <c r="E142" s="104">
        <v>0</v>
      </c>
      <c r="F142" s="104">
        <v>0</v>
      </c>
      <c r="G142" s="103" t="s">
        <v>1422</v>
      </c>
      <c r="H142" s="103" t="s">
        <v>1423</v>
      </c>
      <c r="I142" s="103" t="s">
        <v>1424</v>
      </c>
      <c r="J142" s="103">
        <v>1</v>
      </c>
      <c r="K142" s="104">
        <v>6.95</v>
      </c>
      <c r="L142" s="103" t="s">
        <v>1910</v>
      </c>
      <c r="N142" s="148">
        <v>0</v>
      </c>
      <c r="O142" s="103" t="s">
        <v>1421</v>
      </c>
      <c r="P142" s="103">
        <f t="shared" si="5"/>
        <v>129</v>
      </c>
      <c r="Q142" s="103">
        <f t="shared" si="6"/>
        <v>1</v>
      </c>
      <c r="R142" s="103" t="s">
        <v>8</v>
      </c>
      <c r="S142" s="103" t="str">
        <f>_xlfn.IFS(MouserListTable[[#This Row],[Column1]]=FilterSpecs!$A$6, FilterSpecs!$B$6,MouserListTable[[#This Row],[Column1]]=FilterSpecs!$A$7,FilterSpecs!$B$7,MouserListTable[[#This Row],[Column1]]=FilterSpecs!$A$8,FilterSpecs!$B$8,MouserListTable[[#This Row],[Column1]]=FilterSpecs!$A$9,FilterSpecs!$B$9)</f>
        <v>474-</v>
      </c>
      <c r="T14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474-SEN-09375</v>
      </c>
      <c r="V142" s="151">
        <f>IF(MouserListTable[[#This Row],[Qty.]]=0, 0, "")</f>
        <v>0</v>
      </c>
    </row>
    <row r="143" spans="1:22" s="146" customFormat="1" x14ac:dyDescent="0.3">
      <c r="A143" s="126" t="s">
        <v>894</v>
      </c>
      <c r="B143" s="126" t="s">
        <v>15</v>
      </c>
      <c r="C143" s="126" t="s">
        <v>8</v>
      </c>
      <c r="D143" s="103" t="str">
        <f>IF(MouserListTable[[#This Row],[Vendor]]=FilterSpecs!$A$8,MouserListTable[[#This Row],[Mouser SKU]], MouserListTable[[#This Row],[SKU2]])</f>
        <v>SEN-08606</v>
      </c>
      <c r="E143" s="104">
        <v>0</v>
      </c>
      <c r="F143" s="104">
        <v>0</v>
      </c>
      <c r="G143" s="103" t="s">
        <v>1426</v>
      </c>
      <c r="H143" s="103" t="s">
        <v>1427</v>
      </c>
      <c r="I143" s="103" t="s">
        <v>1428</v>
      </c>
      <c r="J143" s="103">
        <v>1</v>
      </c>
      <c r="K143" s="104">
        <v>12.95</v>
      </c>
      <c r="L143" s="103" t="s">
        <v>1910</v>
      </c>
      <c r="N143" s="148">
        <v>0</v>
      </c>
      <c r="O143" s="103" t="s">
        <v>1425</v>
      </c>
      <c r="P143" s="103">
        <f t="shared" si="5"/>
        <v>130</v>
      </c>
      <c r="Q143" s="103">
        <f t="shared" si="6"/>
        <v>1</v>
      </c>
      <c r="R143" s="103" t="s">
        <v>8</v>
      </c>
      <c r="S143" s="103" t="str">
        <f>_xlfn.IFS(MouserListTable[[#This Row],[Column1]]=FilterSpecs!$A$6, FilterSpecs!$B$6,MouserListTable[[#This Row],[Column1]]=FilterSpecs!$A$7,FilterSpecs!$B$7,MouserListTable[[#This Row],[Column1]]=FilterSpecs!$A$8,FilterSpecs!$B$8,MouserListTable[[#This Row],[Column1]]=FilterSpecs!$A$9,FilterSpecs!$B$9)</f>
        <v>474-</v>
      </c>
      <c r="T14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474-SEN-08606</v>
      </c>
      <c r="V143" s="151">
        <f>IF(MouserListTable[[#This Row],[Qty.]]=0, 0, "")</f>
        <v>0</v>
      </c>
    </row>
    <row r="144" spans="1:22" s="146" customFormat="1" x14ac:dyDescent="0.3">
      <c r="A144" s="126" t="s">
        <v>894</v>
      </c>
      <c r="B144" s="126" t="s">
        <v>15</v>
      </c>
      <c r="C144" s="126" t="s">
        <v>8</v>
      </c>
      <c r="D144" s="103" t="str">
        <f>IF(MouserListTable[[#This Row],[Vendor]]=FilterSpecs!$A$8,MouserListTable[[#This Row],[Mouser SKU]], MouserListTable[[#This Row],[SKU2]])</f>
        <v>SEN-10293</v>
      </c>
      <c r="E144" s="104">
        <v>0</v>
      </c>
      <c r="F144" s="104">
        <v>0</v>
      </c>
      <c r="G144" s="103" t="s">
        <v>720</v>
      </c>
      <c r="H144" s="103" t="s">
        <v>721</v>
      </c>
      <c r="I144" s="103" t="s">
        <v>722</v>
      </c>
      <c r="J144" s="103">
        <v>1</v>
      </c>
      <c r="K144" s="104">
        <v>1.5</v>
      </c>
      <c r="L144" s="103" t="s">
        <v>1910</v>
      </c>
      <c r="N144" s="148">
        <v>0</v>
      </c>
      <c r="O144" s="103" t="s">
        <v>719</v>
      </c>
      <c r="P144" s="103">
        <f t="shared" ref="P144:P207" si="9">IF($P143="List #",1,$P143+1)</f>
        <v>131</v>
      </c>
      <c r="Q144" s="103">
        <f t="shared" ref="Q144:Q207" si="10">IF($D144=$O144,1,0)</f>
        <v>1</v>
      </c>
      <c r="R144" s="103" t="s">
        <v>8</v>
      </c>
      <c r="S144" s="103" t="str">
        <f>_xlfn.IFS(MouserListTable[[#This Row],[Column1]]=FilterSpecs!$A$6, FilterSpecs!$B$6,MouserListTable[[#This Row],[Column1]]=FilterSpecs!$A$7,FilterSpecs!$B$7,MouserListTable[[#This Row],[Column1]]=FilterSpecs!$A$8,FilterSpecs!$B$8,MouserListTable[[#This Row],[Column1]]=FilterSpecs!$A$9,FilterSpecs!$B$9)</f>
        <v>474-</v>
      </c>
      <c r="T14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474-SEN-10293</v>
      </c>
      <c r="V144" s="151">
        <f>IF(MouserListTable[[#This Row],[Qty.]]=0, 0, "")</f>
        <v>0</v>
      </c>
    </row>
    <row r="145" spans="1:22" s="146" customFormat="1" x14ac:dyDescent="0.3">
      <c r="A145" s="126" t="s">
        <v>894</v>
      </c>
      <c r="B145" s="126" t="s">
        <v>15</v>
      </c>
      <c r="C145" s="126" t="s">
        <v>1898</v>
      </c>
      <c r="D145" s="103" t="str">
        <f>IF(MouserListTable[[#This Row],[Vendor]]=FilterSpecs!$A$8,MouserListTable[[#This Row],[Mouser SKU]], MouserListTable[[#This Row],[SKU2]])</f>
        <v>1739</v>
      </c>
      <c r="E145" s="104">
        <v>0</v>
      </c>
      <c r="F145" s="104">
        <v>0</v>
      </c>
      <c r="G145" s="103"/>
      <c r="H145" s="103"/>
      <c r="I145" s="103" t="s">
        <v>2335</v>
      </c>
      <c r="J145" s="103"/>
      <c r="K145" s="104">
        <v>0.95</v>
      </c>
      <c r="L145" s="103" t="s">
        <v>1910</v>
      </c>
      <c r="N145" s="148"/>
      <c r="O145" s="103" t="s">
        <v>2334</v>
      </c>
      <c r="P145" s="103">
        <f t="shared" si="9"/>
        <v>132</v>
      </c>
      <c r="Q145" s="103">
        <f t="shared" si="10"/>
        <v>1</v>
      </c>
      <c r="R145" s="103" t="s">
        <v>1898</v>
      </c>
      <c r="S145" s="103" t="str">
        <f>_xlfn.IFS(MouserListTable[[#This Row],[Column1]]=FilterSpecs!$A$6, FilterSpecs!$B$6,MouserListTable[[#This Row],[Column1]]=FilterSpecs!$A$7,FilterSpecs!$B$7,MouserListTable[[#This Row],[Column1]]=FilterSpecs!$A$8,FilterSpecs!$B$8,MouserListTable[[#This Row],[Column1]]=FilterSpecs!$A$9,FilterSpecs!$B$9)</f>
        <v>485-</v>
      </c>
      <c r="T14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485-1739</v>
      </c>
      <c r="V145" s="151">
        <f>IF(MouserListTable[[#This Row],[Qty.]]=0, 0, "")</f>
        <v>0</v>
      </c>
    </row>
    <row r="146" spans="1:22" s="146" customFormat="1" x14ac:dyDescent="0.3">
      <c r="A146" s="103" t="s">
        <v>894</v>
      </c>
      <c r="B146" s="103" t="s">
        <v>15</v>
      </c>
      <c r="C146" s="103" t="s">
        <v>8</v>
      </c>
      <c r="D146" s="103" t="str">
        <f>IF(MouserListTable[[#This Row],[Vendor]]=FilterSpecs!$A$8,MouserListTable[[#This Row],[Mouser SKU]], MouserListTable[[#This Row],[SKU2]])</f>
        <v>SEN-10289</v>
      </c>
      <c r="E146" s="104">
        <f>FilterSpecs!$C$3</f>
        <v>5</v>
      </c>
      <c r="F146" s="104" t="s">
        <v>18921</v>
      </c>
      <c r="G146" s="103" t="s">
        <v>290</v>
      </c>
      <c r="H146" s="103" t="s">
        <v>291</v>
      </c>
      <c r="I146" s="103" t="s">
        <v>292</v>
      </c>
      <c r="J146" s="103">
        <v>1</v>
      </c>
      <c r="K146" s="104">
        <v>1.95</v>
      </c>
      <c r="L146" s="103" t="s">
        <v>1911</v>
      </c>
      <c r="M146" s="106"/>
      <c r="N146" s="104">
        <f>E146*K146</f>
        <v>9.75</v>
      </c>
      <c r="O146" s="103" t="s">
        <v>289</v>
      </c>
      <c r="P146" s="103">
        <f t="shared" si="9"/>
        <v>133</v>
      </c>
      <c r="Q146" s="103">
        <f t="shared" si="10"/>
        <v>1</v>
      </c>
      <c r="R146" s="103" t="s">
        <v>8</v>
      </c>
      <c r="S146" s="103" t="str">
        <f>_xlfn.IFS(MouserListTable[[#This Row],[Column1]]=FilterSpecs!$A$6, FilterSpecs!$B$6,MouserListTable[[#This Row],[Column1]]=FilterSpecs!$A$7,FilterSpecs!$B$7,MouserListTable[[#This Row],[Column1]]=FilterSpecs!$A$8,FilterSpecs!$B$8,MouserListTable[[#This Row],[Column1]]=FilterSpecs!$A$9,FilterSpecs!$B$9)</f>
        <v>474-</v>
      </c>
      <c r="T14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474-SEN-10289</v>
      </c>
      <c r="V146" s="151" t="str">
        <f>IF(MouserListTable[[#This Row],[Qty.]]=0, 0, "")</f>
        <v/>
      </c>
    </row>
    <row r="147" spans="1:22" s="146" customFormat="1" x14ac:dyDescent="0.3">
      <c r="A147" s="126" t="s">
        <v>894</v>
      </c>
      <c r="B147" s="126" t="s">
        <v>15</v>
      </c>
      <c r="C147" s="126" t="s">
        <v>1898</v>
      </c>
      <c r="D147" s="103" t="str">
        <f>IF(MouserListTable[[#This Row],[Vendor]]=FilterSpecs!$A$8,MouserListTable[[#This Row],[Mouser SKU]], MouserListTable[[#This Row],[SKU2]])</f>
        <v>1917</v>
      </c>
      <c r="E147" s="104">
        <v>0</v>
      </c>
      <c r="F147" s="104">
        <v>0</v>
      </c>
      <c r="G147" s="103"/>
      <c r="H147" s="103"/>
      <c r="I147" s="103" t="s">
        <v>2331</v>
      </c>
      <c r="J147" s="103"/>
      <c r="K147" s="104">
        <v>18</v>
      </c>
      <c r="L147" s="103" t="s">
        <v>1910</v>
      </c>
      <c r="N147" s="148"/>
      <c r="O147" s="103" t="s">
        <v>2330</v>
      </c>
      <c r="P147" s="103">
        <f t="shared" si="9"/>
        <v>134</v>
      </c>
      <c r="Q147" s="103">
        <f t="shared" si="10"/>
        <v>1</v>
      </c>
      <c r="R147" s="103" t="s">
        <v>1898</v>
      </c>
      <c r="S147" s="103" t="str">
        <f>_xlfn.IFS(MouserListTable[[#This Row],[Column1]]=FilterSpecs!$A$6, FilterSpecs!$B$6,MouserListTable[[#This Row],[Column1]]=FilterSpecs!$A$7,FilterSpecs!$B$7,MouserListTable[[#This Row],[Column1]]=FilterSpecs!$A$8,FilterSpecs!$B$8,MouserListTable[[#This Row],[Column1]]=FilterSpecs!$A$9,FilterSpecs!$B$9)</f>
        <v>485-</v>
      </c>
      <c r="T14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485-1917</v>
      </c>
      <c r="V147" s="151">
        <f>IF(MouserListTable[[#This Row],[Qty.]]=0, 0, "")</f>
        <v>0</v>
      </c>
    </row>
    <row r="148" spans="1:22" s="146" customFormat="1" x14ac:dyDescent="0.3">
      <c r="A148" s="103" t="s">
        <v>894</v>
      </c>
      <c r="B148" s="103" t="s">
        <v>15</v>
      </c>
      <c r="C148" s="103" t="s">
        <v>1898</v>
      </c>
      <c r="D148" s="103" t="str">
        <f>IF(MouserListTable[[#This Row],[Vendor]]=FilterSpecs!$A$8,MouserListTable[[#This Row],[Mouser SKU]], MouserListTable[[#This Row],[SKU2]])</f>
        <v>1361</v>
      </c>
      <c r="E148" s="104">
        <v>1</v>
      </c>
      <c r="F148" s="104" t="s">
        <v>18921</v>
      </c>
      <c r="G148" s="103"/>
      <c r="H148" s="103"/>
      <c r="I148" s="103" t="s">
        <v>2337</v>
      </c>
      <c r="J148" s="103"/>
      <c r="K148" s="104">
        <v>3.95</v>
      </c>
      <c r="L148" s="103" t="s">
        <v>1910</v>
      </c>
      <c r="M148" s="106"/>
      <c r="N148" s="104">
        <f t="shared" ref="N148:N153" si="11">E148*K148</f>
        <v>3.95</v>
      </c>
      <c r="O148" s="103" t="s">
        <v>2336</v>
      </c>
      <c r="P148" s="103">
        <f t="shared" si="9"/>
        <v>135</v>
      </c>
      <c r="Q148" s="103">
        <f t="shared" si="10"/>
        <v>1</v>
      </c>
      <c r="R148" s="103" t="s">
        <v>1898</v>
      </c>
      <c r="S148" s="103" t="str">
        <f>_xlfn.IFS(MouserListTable[[#This Row],[Column1]]=FilterSpecs!$A$6, FilterSpecs!$B$6,MouserListTable[[#This Row],[Column1]]=FilterSpecs!$A$7,FilterSpecs!$B$7,MouserListTable[[#This Row],[Column1]]=FilterSpecs!$A$8,FilterSpecs!$B$8,MouserListTable[[#This Row],[Column1]]=FilterSpecs!$A$9,FilterSpecs!$B$9)</f>
        <v>485-</v>
      </c>
      <c r="T14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485-1361</v>
      </c>
      <c r="V148" s="151" t="str">
        <f>IF(MouserListTable[[#This Row],[Qty.]]=0, 0, "")</f>
        <v/>
      </c>
    </row>
    <row r="149" spans="1:22" s="146" customFormat="1" x14ac:dyDescent="0.3">
      <c r="A149" s="103" t="s">
        <v>894</v>
      </c>
      <c r="B149" s="103" t="s">
        <v>15</v>
      </c>
      <c r="C149" s="103" t="s">
        <v>8</v>
      </c>
      <c r="D149" s="103" t="str">
        <f>IF(MouserListTable[[#This Row],[Vendor]]=FilterSpecs!$A$8,MouserListTable[[#This Row],[Mouser SKU]], MouserListTable[[#This Row],[SKU2]])</f>
        <v>COM-14111</v>
      </c>
      <c r="E149" s="104">
        <v>2</v>
      </c>
      <c r="F149" s="104" t="s">
        <v>18921</v>
      </c>
      <c r="G149" s="103" t="s">
        <v>113</v>
      </c>
      <c r="H149" s="103" t="s">
        <v>114</v>
      </c>
      <c r="I149" s="103" t="s">
        <v>115</v>
      </c>
      <c r="J149" s="103">
        <v>1</v>
      </c>
      <c r="K149" s="104">
        <v>24.95</v>
      </c>
      <c r="L149" s="103" t="s">
        <v>1910</v>
      </c>
      <c r="M149" s="106"/>
      <c r="N149" s="104">
        <f t="shared" si="11"/>
        <v>49.9</v>
      </c>
      <c r="O149" s="103" t="s">
        <v>112</v>
      </c>
      <c r="P149" s="103">
        <f t="shared" si="9"/>
        <v>136</v>
      </c>
      <c r="Q149" s="103">
        <f t="shared" si="10"/>
        <v>1</v>
      </c>
      <c r="R149" s="103" t="s">
        <v>8</v>
      </c>
      <c r="S149" s="103" t="str">
        <f>_xlfn.IFS(MouserListTable[[#This Row],[Column1]]=FilterSpecs!$A$6, FilterSpecs!$B$6,MouserListTable[[#This Row],[Column1]]=FilterSpecs!$A$7,FilterSpecs!$B$7,MouserListTable[[#This Row],[Column1]]=FilterSpecs!$A$8,FilterSpecs!$B$8,MouserListTable[[#This Row],[Column1]]=FilterSpecs!$A$9,FilterSpecs!$B$9)</f>
        <v>474-</v>
      </c>
      <c r="T14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474-COM-14111</v>
      </c>
      <c r="V149" s="151" t="str">
        <f>IF(MouserListTable[[#This Row],[Qty.]]=0, 0, "")</f>
        <v/>
      </c>
    </row>
    <row r="150" spans="1:22" s="146" customFormat="1" x14ac:dyDescent="0.3">
      <c r="A150" s="103" t="s">
        <v>894</v>
      </c>
      <c r="B150" s="103" t="s">
        <v>15</v>
      </c>
      <c r="C150" s="103" t="s">
        <v>1898</v>
      </c>
      <c r="D150" s="103" t="str">
        <f>IF(MouserListTable[[#This Row],[Vendor]]=FilterSpecs!$A$8,MouserListTable[[#This Row],[Mouser SKU]], MouserListTable[[#This Row],[SKU2]])</f>
        <v>1168</v>
      </c>
      <c r="E150" s="104">
        <v>1</v>
      </c>
      <c r="F150" s="104" t="s">
        <v>18921</v>
      </c>
      <c r="G150" s="103"/>
      <c r="H150" s="103"/>
      <c r="I150" s="103" t="s">
        <v>2341</v>
      </c>
      <c r="J150" s="103"/>
      <c r="K150" s="104">
        <v>4.95</v>
      </c>
      <c r="L150" s="103" t="s">
        <v>1910</v>
      </c>
      <c r="M150" s="106"/>
      <c r="N150" s="104">
        <f t="shared" si="11"/>
        <v>4.95</v>
      </c>
      <c r="O150" s="103" t="s">
        <v>2340</v>
      </c>
      <c r="P150" s="103">
        <f t="shared" si="9"/>
        <v>137</v>
      </c>
      <c r="Q150" s="103">
        <f t="shared" si="10"/>
        <v>1</v>
      </c>
      <c r="R150" s="103" t="s">
        <v>1898</v>
      </c>
      <c r="S150" s="103" t="str">
        <f>_xlfn.IFS(MouserListTable[[#This Row],[Column1]]=FilterSpecs!$A$6, FilterSpecs!$B$6,MouserListTable[[#This Row],[Column1]]=FilterSpecs!$A$7,FilterSpecs!$B$7,MouserListTable[[#This Row],[Column1]]=FilterSpecs!$A$8,FilterSpecs!$B$8,MouserListTable[[#This Row],[Column1]]=FilterSpecs!$A$9,FilterSpecs!$B$9)</f>
        <v>485-</v>
      </c>
      <c r="T15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485-1168</v>
      </c>
      <c r="V150" s="151" t="str">
        <f>IF(MouserListTable[[#This Row],[Qty.]]=0, 0, "")</f>
        <v/>
      </c>
    </row>
    <row r="151" spans="1:22" s="146" customFormat="1" x14ac:dyDescent="0.3">
      <c r="A151" s="103" t="s">
        <v>894</v>
      </c>
      <c r="B151" s="103" t="s">
        <v>2031</v>
      </c>
      <c r="C151" s="103" t="s">
        <v>8</v>
      </c>
      <c r="D151" s="103" t="str">
        <f>IF(MouserListTable[[#This Row],[Vendor]]=FilterSpecs!$A$8,MouserListTable[[#This Row],[Mouser SKU]], MouserListTable[[#This Row],[SKU2]])</f>
        <v>DEV-13293</v>
      </c>
      <c r="E151" s="104">
        <f>FilterSpecs!$C$3</f>
        <v>5</v>
      </c>
      <c r="F151" s="104" t="s">
        <v>18921</v>
      </c>
      <c r="G151" s="103" t="s">
        <v>117</v>
      </c>
      <c r="H151" s="103" t="s">
        <v>118</v>
      </c>
      <c r="I151" s="103" t="s">
        <v>119</v>
      </c>
      <c r="J151" s="103">
        <v>1</v>
      </c>
      <c r="K151" s="104">
        <v>12.95</v>
      </c>
      <c r="L151" s="103" t="s">
        <v>1911</v>
      </c>
      <c r="M151" s="106"/>
      <c r="N151" s="104">
        <f t="shared" si="11"/>
        <v>64.75</v>
      </c>
      <c r="O151" s="103" t="s">
        <v>116</v>
      </c>
      <c r="P151" s="103">
        <f t="shared" si="9"/>
        <v>138</v>
      </c>
      <c r="Q151" s="103">
        <f t="shared" si="10"/>
        <v>1</v>
      </c>
      <c r="R151" s="103" t="s">
        <v>8</v>
      </c>
      <c r="S151" s="103" t="str">
        <f>_xlfn.IFS(MouserListTable[[#This Row],[Column1]]=FilterSpecs!$A$6, FilterSpecs!$B$6,MouserListTable[[#This Row],[Column1]]=FilterSpecs!$A$7,FilterSpecs!$B$7,MouserListTable[[#This Row],[Column1]]=FilterSpecs!$A$8,FilterSpecs!$B$8,MouserListTable[[#This Row],[Column1]]=FilterSpecs!$A$9,FilterSpecs!$B$9)</f>
        <v>474-</v>
      </c>
      <c r="T15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474-DEV-13293</v>
      </c>
      <c r="V151" s="151" t="str">
        <f>IF(MouserListTable[[#This Row],[Qty.]]=0, 0, "")</f>
        <v/>
      </c>
    </row>
    <row r="152" spans="1:22" s="146" customFormat="1" x14ac:dyDescent="0.3">
      <c r="A152" s="103" t="s">
        <v>894</v>
      </c>
      <c r="B152" s="103" t="s">
        <v>2031</v>
      </c>
      <c r="C152" s="103" t="s">
        <v>8</v>
      </c>
      <c r="D152" s="103" t="str">
        <f>IF(MouserListTable[[#This Row],[Vendor]]=FilterSpecs!$A$8,MouserListTable[[#This Row],[Mouser SKU]], MouserListTable[[#This Row],[SKU2]])</f>
        <v>LCD-00710</v>
      </c>
      <c r="E152" s="104">
        <v>1</v>
      </c>
      <c r="F152" s="104" t="s">
        <v>18921</v>
      </c>
      <c r="G152" s="103" t="s">
        <v>1182</v>
      </c>
      <c r="H152" s="103" t="s">
        <v>1183</v>
      </c>
      <c r="I152" s="103" t="s">
        <v>1184</v>
      </c>
      <c r="J152" s="103">
        <v>1</v>
      </c>
      <c r="K152" s="104">
        <v>19.95</v>
      </c>
      <c r="L152" s="103" t="s">
        <v>1910</v>
      </c>
      <c r="M152" s="106"/>
      <c r="N152" s="104">
        <f t="shared" si="11"/>
        <v>19.95</v>
      </c>
      <c r="O152" s="103" t="s">
        <v>1181</v>
      </c>
      <c r="P152" s="103">
        <f t="shared" si="9"/>
        <v>139</v>
      </c>
      <c r="Q152" s="103">
        <f t="shared" si="10"/>
        <v>1</v>
      </c>
      <c r="R152" s="103" t="s">
        <v>8</v>
      </c>
      <c r="S152" s="103" t="str">
        <f>_xlfn.IFS(MouserListTable[[#This Row],[Column1]]=FilterSpecs!$A$6, FilterSpecs!$B$6,MouserListTable[[#This Row],[Column1]]=FilterSpecs!$A$7,FilterSpecs!$B$7,MouserListTable[[#This Row],[Column1]]=FilterSpecs!$A$8,FilterSpecs!$B$8,MouserListTable[[#This Row],[Column1]]=FilterSpecs!$A$9,FilterSpecs!$B$9)</f>
        <v>474-</v>
      </c>
      <c r="T15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474-LCD-00710</v>
      </c>
      <c r="V152" s="151" t="str">
        <f>IF(MouserListTable[[#This Row],[Qty.]]=0, 0, "")</f>
        <v/>
      </c>
    </row>
    <row r="153" spans="1:22" s="146" customFormat="1" x14ac:dyDescent="0.3">
      <c r="A153" s="126" t="s">
        <v>894</v>
      </c>
      <c r="B153" s="126" t="s">
        <v>2031</v>
      </c>
      <c r="C153" s="126" t="s">
        <v>8</v>
      </c>
      <c r="D153" s="103" t="str">
        <f>IF(MouserListTable[[#This Row],[Vendor]]=FilterSpecs!$A$8,MouserListTable[[#This Row],[Mouser SKU]], MouserListTable[[#This Row],[SKU2]])</f>
        <v>LCD-09568</v>
      </c>
      <c r="E153" s="104">
        <v>0</v>
      </c>
      <c r="F153" s="104">
        <v>0</v>
      </c>
      <c r="G153" s="103" t="s">
        <v>1524</v>
      </c>
      <c r="H153" s="103" t="s">
        <v>1525</v>
      </c>
      <c r="I153" s="103" t="s">
        <v>1526</v>
      </c>
      <c r="J153" s="103">
        <v>1</v>
      </c>
      <c r="K153" s="104">
        <v>29.95</v>
      </c>
      <c r="L153" s="103" t="s">
        <v>1910</v>
      </c>
      <c r="N153" s="148">
        <f t="shared" si="11"/>
        <v>0</v>
      </c>
      <c r="O153" s="103" t="s">
        <v>1523</v>
      </c>
      <c r="P153" s="103">
        <f t="shared" si="9"/>
        <v>140</v>
      </c>
      <c r="Q153" s="103">
        <f t="shared" si="10"/>
        <v>1</v>
      </c>
      <c r="R153" s="103" t="s">
        <v>8</v>
      </c>
      <c r="S153" s="103" t="str">
        <f>_xlfn.IFS(MouserListTable[[#This Row],[Column1]]=FilterSpecs!$A$6, FilterSpecs!$B$6,MouserListTable[[#This Row],[Column1]]=FilterSpecs!$A$7,FilterSpecs!$B$7,MouserListTable[[#This Row],[Column1]]=FilterSpecs!$A$8,FilterSpecs!$B$8,MouserListTable[[#This Row],[Column1]]=FilterSpecs!$A$9,FilterSpecs!$B$9)</f>
        <v>474-</v>
      </c>
      <c r="T15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474-LCD-09568</v>
      </c>
      <c r="V153" s="151">
        <f>IF(MouserListTable[[#This Row],[Qty.]]=0, 0, "")</f>
        <v>0</v>
      </c>
    </row>
    <row r="154" spans="1:22" s="146" customFormat="1" x14ac:dyDescent="0.3">
      <c r="A154" s="103" t="s">
        <v>894</v>
      </c>
      <c r="B154" s="103" t="s">
        <v>2031</v>
      </c>
      <c r="C154" s="103" t="s">
        <v>1898</v>
      </c>
      <c r="D154" s="103" t="str">
        <f>IF(MouserListTable[[#This Row],[Vendor]]=FilterSpecs!$A$8,MouserListTable[[#This Row],[Mouser SKU]], MouserListTable[[#This Row],[SKU2]])</f>
        <v>198</v>
      </c>
      <c r="E154" s="104">
        <v>0</v>
      </c>
      <c r="F154" s="104">
        <v>0</v>
      </c>
      <c r="G154" s="103"/>
      <c r="H154" s="103"/>
      <c r="I154" s="126" t="s">
        <v>2074</v>
      </c>
      <c r="K154" s="148">
        <v>17.95</v>
      </c>
      <c r="L154" s="126" t="s">
        <v>1910</v>
      </c>
      <c r="N154" s="148"/>
      <c r="O154" s="103" t="s">
        <v>2075</v>
      </c>
      <c r="P154" s="103">
        <f t="shared" si="9"/>
        <v>141</v>
      </c>
      <c r="Q154" s="103">
        <f t="shared" si="10"/>
        <v>1</v>
      </c>
      <c r="R154" s="103" t="s">
        <v>1898</v>
      </c>
      <c r="S154" s="103" t="str">
        <f>_xlfn.IFS(MouserListTable[[#This Row],[Column1]]=FilterSpecs!$A$6, FilterSpecs!$B$6,MouserListTable[[#This Row],[Column1]]=FilterSpecs!$A$7,FilterSpecs!$B$7,MouserListTable[[#This Row],[Column1]]=FilterSpecs!$A$8,FilterSpecs!$B$8,MouserListTable[[#This Row],[Column1]]=FilterSpecs!$A$9,FilterSpecs!$B$9)</f>
        <v>485-</v>
      </c>
      <c r="T15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485-198</v>
      </c>
      <c r="V154" s="151">
        <f>IF(MouserListTable[[#This Row],[Qty.]]=0, 0, "")</f>
        <v>0</v>
      </c>
    </row>
    <row r="155" spans="1:22" s="146" customFormat="1" x14ac:dyDescent="0.3">
      <c r="A155" s="103" t="s">
        <v>894</v>
      </c>
      <c r="B155" s="103" t="s">
        <v>2031</v>
      </c>
      <c r="C155" s="103" t="s">
        <v>1898</v>
      </c>
      <c r="D155" s="103" t="str">
        <f>IF(MouserListTable[[#This Row],[Vendor]]=FilterSpecs!$A$8,MouserListTable[[#This Row],[Mouser SKU]], MouserListTable[[#This Row],[SKU2]])</f>
        <v>3330</v>
      </c>
      <c r="E155" s="104">
        <v>0</v>
      </c>
      <c r="F155" s="104">
        <v>0</v>
      </c>
      <c r="G155" s="103"/>
      <c r="H155" s="103"/>
      <c r="I155" s="126" t="s">
        <v>2343</v>
      </c>
      <c r="K155" s="148">
        <v>7.5</v>
      </c>
      <c r="L155" s="126" t="s">
        <v>1910</v>
      </c>
      <c r="N155" s="148"/>
      <c r="O155" s="103" t="s">
        <v>2342</v>
      </c>
      <c r="P155" s="103">
        <f t="shared" si="9"/>
        <v>142</v>
      </c>
      <c r="Q155" s="103">
        <f t="shared" si="10"/>
        <v>1</v>
      </c>
      <c r="R155" s="103" t="s">
        <v>1898</v>
      </c>
      <c r="S155" s="103" t="str">
        <f>_xlfn.IFS(MouserListTable[[#This Row],[Column1]]=FilterSpecs!$A$6, FilterSpecs!$B$6,MouserListTable[[#This Row],[Column1]]=FilterSpecs!$A$7,FilterSpecs!$B$7,MouserListTable[[#This Row],[Column1]]=FilterSpecs!$A$8,FilterSpecs!$B$8,MouserListTable[[#This Row],[Column1]]=FilterSpecs!$A$9,FilterSpecs!$B$9)</f>
        <v>485-</v>
      </c>
      <c r="T15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485-3330</v>
      </c>
      <c r="V155" s="151">
        <f>IF(MouserListTable[[#This Row],[Qty.]]=0, 0, "")</f>
        <v>0</v>
      </c>
    </row>
    <row r="156" spans="1:22" s="146" customFormat="1" x14ac:dyDescent="0.3">
      <c r="A156" s="103" t="s">
        <v>894</v>
      </c>
      <c r="B156" s="103" t="s">
        <v>2031</v>
      </c>
      <c r="C156" s="103" t="s">
        <v>1898</v>
      </c>
      <c r="D156" s="103" t="str">
        <f>IF(MouserListTable[[#This Row],[Vendor]]=FilterSpecs!$A$8,MouserListTable[[#This Row],[Mouser SKU]], MouserListTable[[#This Row],[SKU2]])</f>
        <v>1332</v>
      </c>
      <c r="E156" s="104">
        <f>FilterSpecs!$C$3</f>
        <v>5</v>
      </c>
      <c r="F156" s="104" t="s">
        <v>18921</v>
      </c>
      <c r="G156" s="103"/>
      <c r="H156" s="103"/>
      <c r="I156" s="103" t="s">
        <v>2373</v>
      </c>
      <c r="K156" s="104">
        <v>2.95</v>
      </c>
      <c r="L156" s="103" t="s">
        <v>1911</v>
      </c>
      <c r="M156" s="106"/>
      <c r="N156" s="104">
        <f t="shared" ref="N156:N165" si="12">E156*K156</f>
        <v>14.75</v>
      </c>
      <c r="O156" s="103" t="s">
        <v>2372</v>
      </c>
      <c r="P156" s="103">
        <f t="shared" si="9"/>
        <v>143</v>
      </c>
      <c r="Q156" s="103">
        <f t="shared" si="10"/>
        <v>1</v>
      </c>
      <c r="R156" s="103" t="s">
        <v>1898</v>
      </c>
      <c r="S156" s="103" t="str">
        <f>_xlfn.IFS(MouserListTable[[#This Row],[Column1]]=FilterSpecs!$A$6, FilterSpecs!$B$6,MouserListTable[[#This Row],[Column1]]=FilterSpecs!$A$7,FilterSpecs!$B$7,MouserListTable[[#This Row],[Column1]]=FilterSpecs!$A$8,FilterSpecs!$B$8,MouserListTable[[#This Row],[Column1]]=FilterSpecs!$A$9,FilterSpecs!$B$9)</f>
        <v>485-</v>
      </c>
      <c r="T15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485-1332</v>
      </c>
      <c r="V156" s="151" t="str">
        <f>IF(MouserListTable[[#This Row],[Qty.]]=0, 0, "")</f>
        <v/>
      </c>
    </row>
    <row r="157" spans="1:22" s="146" customFormat="1" x14ac:dyDescent="0.3">
      <c r="A157" s="103" t="s">
        <v>894</v>
      </c>
      <c r="B157" s="103" t="s">
        <v>2031</v>
      </c>
      <c r="C157" s="103" t="s">
        <v>1898</v>
      </c>
      <c r="D157" s="103" t="str">
        <f>IF(MouserListTable[[#This Row],[Vendor]]=FilterSpecs!$A$8,MouserListTable[[#This Row],[Mouser SKU]], MouserListTable[[#This Row],[SKU2]])</f>
        <v>419</v>
      </c>
      <c r="E157" s="104">
        <v>1</v>
      </c>
      <c r="F157" s="104" t="s">
        <v>18921</v>
      </c>
      <c r="G157" s="103"/>
      <c r="H157" s="103"/>
      <c r="I157" s="103" t="s">
        <v>2375</v>
      </c>
      <c r="K157" s="104">
        <v>3.95</v>
      </c>
      <c r="L157" s="103" t="s">
        <v>1910</v>
      </c>
      <c r="M157" s="106"/>
      <c r="N157" s="104">
        <f t="shared" si="12"/>
        <v>3.95</v>
      </c>
      <c r="O157" s="103" t="s">
        <v>2374</v>
      </c>
      <c r="P157" s="103">
        <f t="shared" si="9"/>
        <v>144</v>
      </c>
      <c r="Q157" s="103">
        <f t="shared" si="10"/>
        <v>1</v>
      </c>
      <c r="R157" s="103" t="s">
        <v>1898</v>
      </c>
      <c r="S157" s="103" t="str">
        <f>_xlfn.IFS(MouserListTable[[#This Row],[Column1]]=FilterSpecs!$A$6, FilterSpecs!$B$6,MouserListTable[[#This Row],[Column1]]=FilterSpecs!$A$7,FilterSpecs!$B$7,MouserListTable[[#This Row],[Column1]]=FilterSpecs!$A$8,FilterSpecs!$B$8,MouserListTable[[#This Row],[Column1]]=FilterSpecs!$A$9,FilterSpecs!$B$9)</f>
        <v>485-</v>
      </c>
      <c r="T15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485-419</v>
      </c>
      <c r="V157" s="151" t="str">
        <f>IF(MouserListTable[[#This Row],[Qty.]]=0, 0, "")</f>
        <v/>
      </c>
    </row>
    <row r="158" spans="1:22" s="146" customFormat="1" x14ac:dyDescent="0.3">
      <c r="A158" s="103" t="s">
        <v>894</v>
      </c>
      <c r="B158" s="103" t="s">
        <v>898</v>
      </c>
      <c r="C158" s="103" t="s">
        <v>8</v>
      </c>
      <c r="D158" s="103" t="str">
        <f>IF(MouserListTable[[#This Row],[Vendor]]=FilterSpecs!$A$8,MouserListTable[[#This Row],[Mouser SKU]], MouserListTable[[#This Row],[SKU2]])</f>
        <v>SEN-14348</v>
      </c>
      <c r="E158" s="104">
        <v>1</v>
      </c>
      <c r="F158" s="104" t="s">
        <v>18921</v>
      </c>
      <c r="G158" s="103" t="s">
        <v>684</v>
      </c>
      <c r="H158" s="103" t="s">
        <v>685</v>
      </c>
      <c r="I158" s="103" t="s">
        <v>686</v>
      </c>
      <c r="J158" s="103">
        <v>1</v>
      </c>
      <c r="K158" s="104">
        <v>34.950000000000003</v>
      </c>
      <c r="L158" s="103" t="s">
        <v>1910</v>
      </c>
      <c r="M158" s="106"/>
      <c r="N158" s="104">
        <f t="shared" si="12"/>
        <v>34.950000000000003</v>
      </c>
      <c r="O158" s="103" t="s">
        <v>683</v>
      </c>
      <c r="P158" s="103">
        <f t="shared" si="9"/>
        <v>145</v>
      </c>
      <c r="Q158" s="103">
        <f t="shared" si="10"/>
        <v>1</v>
      </c>
      <c r="R158" s="103" t="s">
        <v>8</v>
      </c>
      <c r="S158" s="103" t="str">
        <f>_xlfn.IFS(MouserListTable[[#This Row],[Column1]]=FilterSpecs!$A$6, FilterSpecs!$B$6,MouserListTable[[#This Row],[Column1]]=FilterSpecs!$A$7,FilterSpecs!$B$7,MouserListTable[[#This Row],[Column1]]=FilterSpecs!$A$8,FilterSpecs!$B$8,MouserListTable[[#This Row],[Column1]]=FilterSpecs!$A$9,FilterSpecs!$B$9)</f>
        <v>474-</v>
      </c>
      <c r="T15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474-SEN-14348</v>
      </c>
      <c r="V158" s="151" t="str">
        <f>IF(MouserListTable[[#This Row],[Qty.]]=0, 0, "")</f>
        <v/>
      </c>
    </row>
    <row r="159" spans="1:22" s="146" customFormat="1" x14ac:dyDescent="0.3">
      <c r="A159" s="103" t="s">
        <v>894</v>
      </c>
      <c r="B159" s="103" t="s">
        <v>898</v>
      </c>
      <c r="C159" s="103" t="s">
        <v>8</v>
      </c>
      <c r="D159" s="103" t="str">
        <f>IF(MouserListTable[[#This Row],[Vendor]]=FilterSpecs!$A$8,MouserListTable[[#This Row],[Mouser SKU]], MouserListTable[[#This Row],[SKU2]])</f>
        <v>SEN-14045</v>
      </c>
      <c r="E159" s="104">
        <v>1</v>
      </c>
      <c r="F159" s="104" t="s">
        <v>18921</v>
      </c>
      <c r="G159" s="103" t="s">
        <v>688</v>
      </c>
      <c r="H159" s="103" t="s">
        <v>689</v>
      </c>
      <c r="I159" s="103" t="s">
        <v>690</v>
      </c>
      <c r="J159" s="103"/>
      <c r="K159" s="104">
        <v>12.95</v>
      </c>
      <c r="L159" s="103" t="s">
        <v>1910</v>
      </c>
      <c r="M159" s="106"/>
      <c r="N159" s="104">
        <f t="shared" si="12"/>
        <v>12.95</v>
      </c>
      <c r="O159" s="103" t="s">
        <v>687</v>
      </c>
      <c r="P159" s="103">
        <f t="shared" si="9"/>
        <v>146</v>
      </c>
      <c r="Q159" s="103">
        <f t="shared" si="10"/>
        <v>1</v>
      </c>
      <c r="R159" s="103" t="s">
        <v>8</v>
      </c>
      <c r="S159" s="103" t="str">
        <f>_xlfn.IFS(MouserListTable[[#This Row],[Column1]]=FilterSpecs!$A$6, FilterSpecs!$B$6,MouserListTable[[#This Row],[Column1]]=FilterSpecs!$A$7,FilterSpecs!$B$7,MouserListTable[[#This Row],[Column1]]=FilterSpecs!$A$8,FilterSpecs!$B$8,MouserListTable[[#This Row],[Column1]]=FilterSpecs!$A$9,FilterSpecs!$B$9)</f>
        <v>474-</v>
      </c>
      <c r="T15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474-SEN-14045</v>
      </c>
      <c r="V159" s="151" t="str">
        <f>IF(MouserListTable[[#This Row],[Qty.]]=0, 0, "")</f>
        <v/>
      </c>
    </row>
    <row r="160" spans="1:22" s="146" customFormat="1" x14ac:dyDescent="0.3">
      <c r="A160" s="103" t="s">
        <v>894</v>
      </c>
      <c r="B160" s="103" t="s">
        <v>898</v>
      </c>
      <c r="C160" s="103" t="s">
        <v>8</v>
      </c>
      <c r="D160" s="103" t="str">
        <f>IF(MouserListTable[[#This Row],[Vendor]]=FilterSpecs!$A$8,MouserListTable[[#This Row],[Mouser SKU]], MouserListTable[[#This Row],[SKU2]])</f>
        <v>BOB-08891</v>
      </c>
      <c r="E160" s="104">
        <v>1</v>
      </c>
      <c r="F160" s="104" t="s">
        <v>18921</v>
      </c>
      <c r="G160" s="103" t="s">
        <v>692</v>
      </c>
      <c r="H160" s="103" t="s">
        <v>693</v>
      </c>
      <c r="I160" s="103" t="s">
        <v>694</v>
      </c>
      <c r="J160" s="103">
        <v>1</v>
      </c>
      <c r="K160" s="104">
        <v>0.95</v>
      </c>
      <c r="L160" s="103" t="s">
        <v>1910</v>
      </c>
      <c r="M160" s="106"/>
      <c r="N160" s="104">
        <f t="shared" si="12"/>
        <v>0.95</v>
      </c>
      <c r="O160" s="103" t="s">
        <v>691</v>
      </c>
      <c r="P160" s="103">
        <f t="shared" si="9"/>
        <v>147</v>
      </c>
      <c r="Q160" s="103">
        <f t="shared" si="10"/>
        <v>1</v>
      </c>
      <c r="R160" s="103" t="s">
        <v>8</v>
      </c>
      <c r="S160" s="103" t="str">
        <f>_xlfn.IFS(MouserListTable[[#This Row],[Column1]]=FilterSpecs!$A$6, FilterSpecs!$B$6,MouserListTable[[#This Row],[Column1]]=FilterSpecs!$A$7,FilterSpecs!$B$7,MouserListTable[[#This Row],[Column1]]=FilterSpecs!$A$8,FilterSpecs!$B$8,MouserListTable[[#This Row],[Column1]]=FilterSpecs!$A$9,FilterSpecs!$B$9)</f>
        <v>474-</v>
      </c>
      <c r="T16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474-BOB-08891</v>
      </c>
      <c r="V160" s="151" t="str">
        <f>IF(MouserListTable[[#This Row],[Qty.]]=0, 0, "")</f>
        <v/>
      </c>
    </row>
    <row r="161" spans="1:22" s="146" customFormat="1" x14ac:dyDescent="0.3">
      <c r="A161" s="103" t="s">
        <v>894</v>
      </c>
      <c r="B161" s="103" t="s">
        <v>898</v>
      </c>
      <c r="C161" s="103" t="s">
        <v>8</v>
      </c>
      <c r="D161" s="103" t="str">
        <f>IF(MouserListTable[[#This Row],[Vendor]]=FilterSpecs!$A$8,MouserListTable[[#This Row],[Mouser SKU]], MouserListTable[[#This Row],[SKU2]])</f>
        <v>SEN-09403</v>
      </c>
      <c r="E161" s="104">
        <v>1</v>
      </c>
      <c r="F161" s="104" t="s">
        <v>18921</v>
      </c>
      <c r="G161" s="103" t="s">
        <v>696</v>
      </c>
      <c r="H161" s="103" t="s">
        <v>697</v>
      </c>
      <c r="I161" s="103" t="s">
        <v>698</v>
      </c>
      <c r="J161" s="103">
        <v>1</v>
      </c>
      <c r="K161" s="104">
        <v>7.25</v>
      </c>
      <c r="L161" s="103" t="s">
        <v>1910</v>
      </c>
      <c r="M161" s="106"/>
      <c r="N161" s="104">
        <f t="shared" si="12"/>
        <v>7.25</v>
      </c>
      <c r="O161" s="103" t="s">
        <v>695</v>
      </c>
      <c r="P161" s="103">
        <f t="shared" si="9"/>
        <v>148</v>
      </c>
      <c r="Q161" s="103">
        <f t="shared" si="10"/>
        <v>1</v>
      </c>
      <c r="R161" s="103" t="s">
        <v>8</v>
      </c>
      <c r="S161" s="103" t="str">
        <f>_xlfn.IFS(MouserListTable[[#This Row],[Column1]]=FilterSpecs!$A$6, FilterSpecs!$B$6,MouserListTable[[#This Row],[Column1]]=FilterSpecs!$A$7,FilterSpecs!$B$7,MouserListTable[[#This Row],[Column1]]=FilterSpecs!$A$8,FilterSpecs!$B$8,MouserListTable[[#This Row],[Column1]]=FilterSpecs!$A$9,FilterSpecs!$B$9)</f>
        <v>474-</v>
      </c>
      <c r="T16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474-SEN-09403</v>
      </c>
      <c r="V161" s="151" t="str">
        <f>IF(MouserListTable[[#This Row],[Qty.]]=0, 0, "")</f>
        <v/>
      </c>
    </row>
    <row r="162" spans="1:22" s="146" customFormat="1" x14ac:dyDescent="0.3">
      <c r="A162" s="126" t="s">
        <v>894</v>
      </c>
      <c r="B162" s="126" t="s">
        <v>898</v>
      </c>
      <c r="C162" s="126" t="s">
        <v>8</v>
      </c>
      <c r="D162" s="103" t="str">
        <f>IF(MouserListTable[[#This Row],[Vendor]]=FilterSpecs!$A$8,MouserListTable[[#This Row],[Mouser SKU]], MouserListTable[[#This Row],[SKU2]])</f>
        <v>SEN-12055</v>
      </c>
      <c r="E162" s="104">
        <v>0</v>
      </c>
      <c r="F162" s="104">
        <v>0</v>
      </c>
      <c r="G162" s="103" t="s">
        <v>828</v>
      </c>
      <c r="H162" s="103" t="s">
        <v>829</v>
      </c>
      <c r="I162" s="103" t="s">
        <v>212</v>
      </c>
      <c r="J162" s="103">
        <v>1</v>
      </c>
      <c r="K162" s="104">
        <v>5.95</v>
      </c>
      <c r="L162" s="103" t="s">
        <v>2487</v>
      </c>
      <c r="N162" s="148">
        <f t="shared" si="12"/>
        <v>0</v>
      </c>
      <c r="O162" s="103" t="s">
        <v>827</v>
      </c>
      <c r="P162" s="103">
        <f t="shared" si="9"/>
        <v>149</v>
      </c>
      <c r="Q162" s="103">
        <f t="shared" si="10"/>
        <v>1</v>
      </c>
      <c r="R162" s="103" t="s">
        <v>8</v>
      </c>
      <c r="S162" s="103" t="str">
        <f>_xlfn.IFS(MouserListTable[[#This Row],[Column1]]=FilterSpecs!$A$6, FilterSpecs!$B$6,MouserListTable[[#This Row],[Column1]]=FilterSpecs!$A$7,FilterSpecs!$B$7,MouserListTable[[#This Row],[Column1]]=FilterSpecs!$A$8,FilterSpecs!$B$8,MouserListTable[[#This Row],[Column1]]=FilterSpecs!$A$9,FilterSpecs!$B$9)</f>
        <v>474-</v>
      </c>
      <c r="T16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474-SEN-12055</v>
      </c>
      <c r="V162" s="151">
        <f>IF(MouserListTable[[#This Row],[Qty.]]=0, 0, "")</f>
        <v>0</v>
      </c>
    </row>
    <row r="163" spans="1:22" s="146" customFormat="1" x14ac:dyDescent="0.3">
      <c r="A163" s="103" t="s">
        <v>894</v>
      </c>
      <c r="B163" s="103" t="s">
        <v>898</v>
      </c>
      <c r="C163" s="103" t="s">
        <v>8</v>
      </c>
      <c r="D163" s="103" t="str">
        <f>IF(MouserListTable[[#This Row],[Vendor]]=FilterSpecs!$A$8,MouserListTable[[#This Row],[Mouser SKU]], MouserListTable[[#This Row],[SKU2]])</f>
        <v>BOB-08688</v>
      </c>
      <c r="E163" s="104">
        <v>2</v>
      </c>
      <c r="F163" s="104" t="s">
        <v>18921</v>
      </c>
      <c r="G163" s="103" t="s">
        <v>831</v>
      </c>
      <c r="H163" s="103" t="s">
        <v>832</v>
      </c>
      <c r="I163" s="103" t="s">
        <v>220</v>
      </c>
      <c r="J163" s="103">
        <v>1</v>
      </c>
      <c r="K163" s="104">
        <v>3.95</v>
      </c>
      <c r="L163" s="103" t="s">
        <v>1910</v>
      </c>
      <c r="M163" s="106"/>
      <c r="N163" s="104">
        <f t="shared" si="12"/>
        <v>7.9</v>
      </c>
      <c r="O163" s="103" t="s">
        <v>830</v>
      </c>
      <c r="P163" s="103">
        <f t="shared" si="9"/>
        <v>150</v>
      </c>
      <c r="Q163" s="103">
        <f t="shared" si="10"/>
        <v>1</v>
      </c>
      <c r="R163" s="103" t="s">
        <v>8</v>
      </c>
      <c r="S163" s="103" t="str">
        <f>_xlfn.IFS(MouserListTable[[#This Row],[Column1]]=FilterSpecs!$A$6, FilterSpecs!$B$6,MouserListTable[[#This Row],[Column1]]=FilterSpecs!$A$7,FilterSpecs!$B$7,MouserListTable[[#This Row],[Column1]]=FilterSpecs!$A$8,FilterSpecs!$B$8,MouserListTable[[#This Row],[Column1]]=FilterSpecs!$A$9,FilterSpecs!$B$9)</f>
        <v>474-</v>
      </c>
      <c r="T16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474-BOB-08688</v>
      </c>
      <c r="V163" s="151" t="str">
        <f>IF(MouserListTable[[#This Row],[Qty.]]=0, 0, "")</f>
        <v/>
      </c>
    </row>
    <row r="164" spans="1:22" s="146" customFormat="1" x14ac:dyDescent="0.3">
      <c r="A164" s="103" t="s">
        <v>894</v>
      </c>
      <c r="B164" s="103" t="s">
        <v>13</v>
      </c>
      <c r="C164" s="103" t="s">
        <v>8</v>
      </c>
      <c r="D164" s="103" t="str">
        <f>IF(MouserListTable[[#This Row],[Vendor]]=FilterSpecs!$A$8,MouserListTable[[#This Row],[Mouser SKU]], MouserListTable[[#This Row],[SKU2]])</f>
        <v>WRL-13677</v>
      </c>
      <c r="E164" s="104">
        <v>3</v>
      </c>
      <c r="F164" s="104" t="s">
        <v>18921</v>
      </c>
      <c r="G164" s="103" t="s">
        <v>257</v>
      </c>
      <c r="H164" s="103" t="s">
        <v>258</v>
      </c>
      <c r="I164" s="103" t="s">
        <v>259</v>
      </c>
      <c r="J164" s="103">
        <v>1</v>
      </c>
      <c r="K164" s="104">
        <v>14.95</v>
      </c>
      <c r="L164" s="103" t="s">
        <v>1910</v>
      </c>
      <c r="M164" s="106"/>
      <c r="N164" s="104">
        <f t="shared" si="12"/>
        <v>44.849999999999994</v>
      </c>
      <c r="O164" s="103" t="s">
        <v>256</v>
      </c>
      <c r="P164" s="103">
        <f t="shared" si="9"/>
        <v>151</v>
      </c>
      <c r="Q164" s="103">
        <f t="shared" si="10"/>
        <v>1</v>
      </c>
      <c r="R164" s="103" t="s">
        <v>8</v>
      </c>
      <c r="S164" s="103" t="str">
        <f>_xlfn.IFS(MouserListTable[[#This Row],[Column1]]=FilterSpecs!$A$6, FilterSpecs!$B$6,MouserListTable[[#This Row],[Column1]]=FilterSpecs!$A$7,FilterSpecs!$B$7,MouserListTable[[#This Row],[Column1]]=FilterSpecs!$A$8,FilterSpecs!$B$8,MouserListTable[[#This Row],[Column1]]=FilterSpecs!$A$9,FilterSpecs!$B$9)</f>
        <v>474-</v>
      </c>
      <c r="T16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474-WRL-13677</v>
      </c>
      <c r="V164" s="151" t="str">
        <f>IF(MouserListTable[[#This Row],[Qty.]]=0, 0, "")</f>
        <v/>
      </c>
    </row>
    <row r="165" spans="1:22" s="146" customFormat="1" x14ac:dyDescent="0.3">
      <c r="A165" s="126" t="s">
        <v>894</v>
      </c>
      <c r="B165" s="126" t="s">
        <v>13</v>
      </c>
      <c r="C165" s="126" t="s">
        <v>8</v>
      </c>
      <c r="D165" s="103" t="str">
        <f>IF(MouserListTable[[#This Row],[Vendor]]=FilterSpecs!$A$8,MouserListTable[[#This Row],[Mouser SKU]], MouserListTable[[#This Row],[SKU2]])</f>
        <v>WRL-13678</v>
      </c>
      <c r="E165" s="104">
        <v>0</v>
      </c>
      <c r="F165" s="104">
        <v>0</v>
      </c>
      <c r="G165" s="103" t="s">
        <v>261</v>
      </c>
      <c r="H165" s="103" t="s">
        <v>262</v>
      </c>
      <c r="I165" s="103" t="s">
        <v>263</v>
      </c>
      <c r="J165" s="103">
        <v>1</v>
      </c>
      <c r="K165" s="104">
        <v>6.95</v>
      </c>
      <c r="L165" s="103" t="s">
        <v>1911</v>
      </c>
      <c r="N165" s="148">
        <f t="shared" si="12"/>
        <v>0</v>
      </c>
      <c r="O165" s="103" t="s">
        <v>260</v>
      </c>
      <c r="P165" s="103">
        <f t="shared" si="9"/>
        <v>152</v>
      </c>
      <c r="Q165" s="103">
        <f t="shared" si="10"/>
        <v>1</v>
      </c>
      <c r="R165" s="103" t="s">
        <v>8</v>
      </c>
      <c r="S165" s="103" t="str">
        <f>_xlfn.IFS(MouserListTable[[#This Row],[Column1]]=FilterSpecs!$A$6, FilterSpecs!$B$6,MouserListTable[[#This Row],[Column1]]=FilterSpecs!$A$7,FilterSpecs!$B$7,MouserListTable[[#This Row],[Column1]]=FilterSpecs!$A$8,FilterSpecs!$B$8,MouserListTable[[#This Row],[Column1]]=FilterSpecs!$A$9,FilterSpecs!$B$9)</f>
        <v>474-</v>
      </c>
      <c r="T16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474-WRL-13678</v>
      </c>
      <c r="V165" s="151">
        <f>IF(MouserListTable[[#This Row],[Qty.]]=0, 0, "")</f>
        <v>0</v>
      </c>
    </row>
    <row r="166" spans="1:22" s="144" customFormat="1" x14ac:dyDescent="0.3">
      <c r="A166" s="126" t="s">
        <v>894</v>
      </c>
      <c r="B166" s="126" t="s">
        <v>13</v>
      </c>
      <c r="C166" s="126" t="s">
        <v>8</v>
      </c>
      <c r="D166" s="103" t="str">
        <f>IF(MouserListTable[[#This Row],[Vendor]]=FilterSpecs!$A$8,MouserListTable[[#This Row],[Mouser SKU]], MouserListTable[[#This Row],[SKU2]])</f>
        <v>WRL-12579</v>
      </c>
      <c r="E166" s="103">
        <v>0</v>
      </c>
      <c r="F166" s="103">
        <v>0</v>
      </c>
      <c r="G166" s="103" t="s">
        <v>2532</v>
      </c>
      <c r="H166" s="103" t="s">
        <v>2533</v>
      </c>
      <c r="I166" s="103" t="s">
        <v>2534</v>
      </c>
      <c r="J166" s="106">
        <v>1</v>
      </c>
      <c r="K166" s="104">
        <v>34.950000000000003</v>
      </c>
      <c r="L166" s="103" t="s">
        <v>1910</v>
      </c>
      <c r="M166" s="103"/>
      <c r="N166" s="148"/>
      <c r="O166" s="103" t="s">
        <v>2531</v>
      </c>
      <c r="P166" s="103">
        <f t="shared" si="9"/>
        <v>153</v>
      </c>
      <c r="Q166" s="103">
        <f t="shared" si="10"/>
        <v>1</v>
      </c>
      <c r="R166" s="103" t="s">
        <v>8</v>
      </c>
      <c r="S166" s="103" t="str">
        <f>_xlfn.IFS(MouserListTable[[#This Row],[Column1]]=FilterSpecs!$A$6, FilterSpecs!$B$6,MouserListTable[[#This Row],[Column1]]=FilterSpecs!$A$7,FilterSpecs!$B$7,MouserListTable[[#This Row],[Column1]]=FilterSpecs!$A$8,FilterSpecs!$B$8,MouserListTable[[#This Row],[Column1]]=FilterSpecs!$A$9,FilterSpecs!$B$9)</f>
        <v>474-</v>
      </c>
      <c r="T16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474-WRL-12579</v>
      </c>
      <c r="V166" s="151">
        <f>IF(MouserListTable[[#This Row],[Qty.]]=0, 0, "")</f>
        <v>0</v>
      </c>
    </row>
    <row r="167" spans="1:22" s="144" customFormat="1" x14ac:dyDescent="0.3">
      <c r="A167" s="126" t="s">
        <v>894</v>
      </c>
      <c r="B167" s="126" t="s">
        <v>13</v>
      </c>
      <c r="C167" s="126" t="s">
        <v>8</v>
      </c>
      <c r="D167" s="103" t="str">
        <f>IF(MouserListTable[[#This Row],[Vendor]]=FilterSpecs!$A$8,MouserListTable[[#This Row],[Mouser SKU]], MouserListTable[[#This Row],[SKU2]])</f>
        <v>WRL-11048</v>
      </c>
      <c r="E167" s="103">
        <v>0</v>
      </c>
      <c r="F167" s="103">
        <v>0</v>
      </c>
      <c r="G167" s="103" t="s">
        <v>2536</v>
      </c>
      <c r="H167" s="103" t="s">
        <v>2537</v>
      </c>
      <c r="I167" s="103" t="s">
        <v>2538</v>
      </c>
      <c r="J167" s="106">
        <v>1</v>
      </c>
      <c r="K167" s="104">
        <v>34.950000000000003</v>
      </c>
      <c r="L167" s="103" t="s">
        <v>1910</v>
      </c>
      <c r="M167" s="103"/>
      <c r="N167" s="148"/>
      <c r="O167" s="103" t="s">
        <v>2535</v>
      </c>
      <c r="P167" s="103">
        <f t="shared" si="9"/>
        <v>154</v>
      </c>
      <c r="Q167" s="103">
        <f t="shared" si="10"/>
        <v>1</v>
      </c>
      <c r="R167" s="103" t="s">
        <v>8</v>
      </c>
      <c r="S167" s="103" t="str">
        <f>_xlfn.IFS(MouserListTable[[#This Row],[Column1]]=FilterSpecs!$A$6, FilterSpecs!$B$6,MouserListTable[[#This Row],[Column1]]=FilterSpecs!$A$7,FilterSpecs!$B$7,MouserListTable[[#This Row],[Column1]]=FilterSpecs!$A$8,FilterSpecs!$B$8,MouserListTable[[#This Row],[Column1]]=FilterSpecs!$A$9,FilterSpecs!$B$9)</f>
        <v>474-</v>
      </c>
      <c r="T16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474-WRL-11048</v>
      </c>
      <c r="V167" s="151">
        <f>IF(MouserListTable[[#This Row],[Qty.]]=0, 0, "")</f>
        <v>0</v>
      </c>
    </row>
    <row r="168" spans="1:22" s="144" customFormat="1" x14ac:dyDescent="0.3">
      <c r="A168" s="103" t="s">
        <v>894</v>
      </c>
      <c r="B168" s="103" t="s">
        <v>13</v>
      </c>
      <c r="C168" s="103" t="s">
        <v>8</v>
      </c>
      <c r="D168" s="103" t="str">
        <f>IF(MouserListTable[[#This Row],[Vendor]]=FilterSpecs!$A$8,MouserListTable[[#This Row],[Mouser SKU]], MouserListTable[[#This Row],[SKU2]])</f>
        <v>WRL-11320</v>
      </c>
      <c r="E168" s="104">
        <f>FilterSpecs!$C$3</f>
        <v>5</v>
      </c>
      <c r="F168" s="104" t="s">
        <v>18921</v>
      </c>
      <c r="G168" s="103" t="s">
        <v>2540</v>
      </c>
      <c r="H168" s="103" t="s">
        <v>2541</v>
      </c>
      <c r="I168" s="103" t="s">
        <v>2542</v>
      </c>
      <c r="J168" s="106"/>
      <c r="K168" s="104">
        <v>4.95</v>
      </c>
      <c r="L168" s="103" t="s">
        <v>1911</v>
      </c>
      <c r="M168" s="106"/>
      <c r="N168" s="104">
        <f t="shared" ref="N168:N175" si="13">E168*K168</f>
        <v>24.75</v>
      </c>
      <c r="O168" s="103" t="s">
        <v>2539</v>
      </c>
      <c r="P168" s="103">
        <f t="shared" si="9"/>
        <v>155</v>
      </c>
      <c r="Q168" s="103">
        <f t="shared" si="10"/>
        <v>1</v>
      </c>
      <c r="R168" s="103" t="s">
        <v>8</v>
      </c>
      <c r="S168" s="103" t="str">
        <f>_xlfn.IFS(MouserListTable[[#This Row],[Column1]]=FilterSpecs!$A$6, FilterSpecs!$B$6,MouserListTable[[#This Row],[Column1]]=FilterSpecs!$A$7,FilterSpecs!$B$7,MouserListTable[[#This Row],[Column1]]=FilterSpecs!$A$8,FilterSpecs!$B$8,MouserListTable[[#This Row],[Column1]]=FilterSpecs!$A$9,FilterSpecs!$B$9)</f>
        <v>474-</v>
      </c>
      <c r="T16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474-WRL-11320</v>
      </c>
      <c r="V168" s="151" t="str">
        <f>IF(MouserListTable[[#This Row],[Qty.]]=0, 0, "")</f>
        <v/>
      </c>
    </row>
    <row r="169" spans="1:22" s="144" customFormat="1" x14ac:dyDescent="0.3">
      <c r="A169" s="103" t="s">
        <v>894</v>
      </c>
      <c r="B169" s="103" t="s">
        <v>13</v>
      </c>
      <c r="C169" s="103" t="s">
        <v>8</v>
      </c>
      <c r="D169" s="103" t="str">
        <f>IF(MouserListTable[[#This Row],[Vendor]]=FilterSpecs!$A$8,MouserListTable[[#This Row],[Mouser SKU]], MouserListTable[[#This Row],[SKU2]])</f>
        <v>WRL-13287</v>
      </c>
      <c r="E169" s="104">
        <f>FilterSpecs!$C$3</f>
        <v>5</v>
      </c>
      <c r="F169" s="104" t="s">
        <v>18921</v>
      </c>
      <c r="G169" s="103" t="s">
        <v>2544</v>
      </c>
      <c r="H169" s="103" t="s">
        <v>2545</v>
      </c>
      <c r="I169" s="106" t="s">
        <v>2546</v>
      </c>
      <c r="J169" s="106">
        <v>1</v>
      </c>
      <c r="K169" s="104">
        <v>14.95</v>
      </c>
      <c r="L169" s="103" t="s">
        <v>1911</v>
      </c>
      <c r="M169" s="106"/>
      <c r="N169" s="104">
        <f t="shared" si="13"/>
        <v>74.75</v>
      </c>
      <c r="O169" s="103" t="s">
        <v>2543</v>
      </c>
      <c r="P169" s="103">
        <f t="shared" si="9"/>
        <v>156</v>
      </c>
      <c r="Q169" s="103">
        <f t="shared" si="10"/>
        <v>1</v>
      </c>
      <c r="R169" s="103" t="s">
        <v>8</v>
      </c>
      <c r="S169" s="103" t="str">
        <f>_xlfn.IFS(MouserListTable[[#This Row],[Column1]]=FilterSpecs!$A$6, FilterSpecs!$B$6,MouserListTable[[#This Row],[Column1]]=FilterSpecs!$A$7,FilterSpecs!$B$7,MouserListTable[[#This Row],[Column1]]=FilterSpecs!$A$8,FilterSpecs!$B$8,MouserListTable[[#This Row],[Column1]]=FilterSpecs!$A$9,FilterSpecs!$B$9)</f>
        <v>474-</v>
      </c>
      <c r="T16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474-WRL-13287</v>
      </c>
      <c r="V169" s="151" t="str">
        <f>IF(MouserListTable[[#This Row],[Qty.]]=0, 0, "")</f>
        <v/>
      </c>
    </row>
    <row r="170" spans="1:22" s="146" customFormat="1" x14ac:dyDescent="0.3">
      <c r="A170" s="103" t="s">
        <v>895</v>
      </c>
      <c r="B170" s="103" t="s">
        <v>1606</v>
      </c>
      <c r="C170" s="103" t="s">
        <v>8</v>
      </c>
      <c r="D170" s="103" t="str">
        <f>IF(MouserListTable[[#This Row],[Vendor]]=FilterSpecs!$A$8,MouserListTable[[#This Row],[Mouser SKU]], MouserListTable[[#This Row],[SKU2]])</f>
        <v>KIT-11591</v>
      </c>
      <c r="E170" s="104">
        <v>1</v>
      </c>
      <c r="F170" s="104" t="s">
        <v>18921</v>
      </c>
      <c r="G170" s="103" t="s">
        <v>1548</v>
      </c>
      <c r="H170" s="103" t="s">
        <v>1549</v>
      </c>
      <c r="I170" s="103" t="s">
        <v>1550</v>
      </c>
      <c r="J170" s="103">
        <v>1</v>
      </c>
      <c r="K170" s="104">
        <v>9.9499999999999993</v>
      </c>
      <c r="L170" s="103" t="s">
        <v>1913</v>
      </c>
      <c r="M170" s="106"/>
      <c r="N170" s="104">
        <f t="shared" si="13"/>
        <v>9.9499999999999993</v>
      </c>
      <c r="O170" s="103" t="s">
        <v>1547</v>
      </c>
      <c r="P170" s="103">
        <f t="shared" si="9"/>
        <v>157</v>
      </c>
      <c r="Q170" s="103">
        <f t="shared" si="10"/>
        <v>1</v>
      </c>
      <c r="R170" s="103" t="s">
        <v>8</v>
      </c>
      <c r="S170" s="103" t="str">
        <f>_xlfn.IFS(MouserListTable[[#This Row],[Column1]]=FilterSpecs!$A$6, FilterSpecs!$B$6,MouserListTable[[#This Row],[Column1]]=FilterSpecs!$A$7,FilterSpecs!$B$7,MouserListTable[[#This Row],[Column1]]=FilterSpecs!$A$8,FilterSpecs!$B$8,MouserListTable[[#This Row],[Column1]]=FilterSpecs!$A$9,FilterSpecs!$B$9)</f>
        <v>474-</v>
      </c>
      <c r="T17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474-KIT-11591</v>
      </c>
      <c r="V170" s="151" t="str">
        <f>IF(MouserListTable[[#This Row],[Qty.]]=0, 0, "")</f>
        <v/>
      </c>
    </row>
    <row r="171" spans="1:22" s="146" customFormat="1" x14ac:dyDescent="0.3">
      <c r="A171" s="103" t="s">
        <v>895</v>
      </c>
      <c r="B171" s="103" t="s">
        <v>1606</v>
      </c>
      <c r="C171" s="103" t="s">
        <v>8</v>
      </c>
      <c r="D171" s="103" t="str">
        <f>IF(MouserListTable[[#This Row],[Vendor]]=FilterSpecs!$A$8,MouserListTable[[#This Row],[Mouser SKU]], MouserListTable[[#This Row],[SKU2]])</f>
        <v>DEV-09215</v>
      </c>
      <c r="E171" s="104">
        <v>1</v>
      </c>
      <c r="F171" s="104" t="s">
        <v>18921</v>
      </c>
      <c r="G171" s="103" t="s">
        <v>1544</v>
      </c>
      <c r="H171" s="103" t="s">
        <v>1545</v>
      </c>
      <c r="I171" s="103" t="s">
        <v>1546</v>
      </c>
      <c r="J171" s="103">
        <v>1</v>
      </c>
      <c r="K171" s="104">
        <v>1.95</v>
      </c>
      <c r="L171" s="103" t="s">
        <v>1910</v>
      </c>
      <c r="M171" s="106"/>
      <c r="N171" s="104">
        <f t="shared" si="13"/>
        <v>1.95</v>
      </c>
      <c r="O171" s="103" t="s">
        <v>1543</v>
      </c>
      <c r="P171" s="103">
        <f t="shared" si="9"/>
        <v>158</v>
      </c>
      <c r="Q171" s="103">
        <f t="shared" si="10"/>
        <v>1</v>
      </c>
      <c r="R171" s="103" t="s">
        <v>8</v>
      </c>
      <c r="S171" s="103" t="str">
        <f>_xlfn.IFS(MouserListTable[[#This Row],[Column1]]=FilterSpecs!$A$6, FilterSpecs!$B$6,MouserListTable[[#This Row],[Column1]]=FilterSpecs!$A$7,FilterSpecs!$B$7,MouserListTable[[#This Row],[Column1]]=FilterSpecs!$A$8,FilterSpecs!$B$8,MouserListTable[[#This Row],[Column1]]=FilterSpecs!$A$9,FilterSpecs!$B$9)</f>
        <v>474-</v>
      </c>
      <c r="T17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474-DEV-09215</v>
      </c>
      <c r="V171" s="151" t="str">
        <f>IF(MouserListTable[[#This Row],[Qty.]]=0, 0, "")</f>
        <v/>
      </c>
    </row>
    <row r="172" spans="1:22" s="146" customFormat="1" x14ac:dyDescent="0.3">
      <c r="A172" s="103" t="s">
        <v>895</v>
      </c>
      <c r="B172" s="103" t="s">
        <v>16</v>
      </c>
      <c r="C172" s="103" t="s">
        <v>8</v>
      </c>
      <c r="D172" s="103" t="str">
        <f>IF(MouserListTable[[#This Row],[Vendor]]=FilterSpecs!$A$8,MouserListTable[[#This Row],[Mouser SKU]], MouserListTable[[#This Row],[SKU2]])</f>
        <v>BOB-12009</v>
      </c>
      <c r="E172" s="104">
        <f>2*FilterSpecs!$C$3</f>
        <v>10</v>
      </c>
      <c r="F172" s="104" t="s">
        <v>18921</v>
      </c>
      <c r="G172" s="103" t="s">
        <v>265</v>
      </c>
      <c r="H172" s="103" t="s">
        <v>266</v>
      </c>
      <c r="I172" s="103" t="s">
        <v>267</v>
      </c>
      <c r="J172" s="103">
        <v>1</v>
      </c>
      <c r="K172" s="104">
        <v>2.8</v>
      </c>
      <c r="L172" s="103" t="s">
        <v>1911</v>
      </c>
      <c r="M172" s="103"/>
      <c r="N172" s="104">
        <f t="shared" si="13"/>
        <v>28</v>
      </c>
      <c r="O172" s="103" t="s">
        <v>264</v>
      </c>
      <c r="P172" s="103">
        <f t="shared" si="9"/>
        <v>159</v>
      </c>
      <c r="Q172" s="103">
        <f t="shared" si="10"/>
        <v>1</v>
      </c>
      <c r="R172" s="103" t="s">
        <v>8</v>
      </c>
      <c r="S172" s="103" t="str">
        <f>_xlfn.IFS(MouserListTable[[#This Row],[Column1]]=FilterSpecs!$A$6, FilterSpecs!$B$6,MouserListTable[[#This Row],[Column1]]=FilterSpecs!$A$7,FilterSpecs!$B$7,MouserListTable[[#This Row],[Column1]]=FilterSpecs!$A$8,FilterSpecs!$B$8,MouserListTable[[#This Row],[Column1]]=FilterSpecs!$A$9,FilterSpecs!$B$9)</f>
        <v>474-</v>
      </c>
      <c r="T17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474-BOB-12009</v>
      </c>
      <c r="V172" s="151" t="str">
        <f>IF(MouserListTable[[#This Row],[Qty.]]=0, 0, "")</f>
        <v/>
      </c>
    </row>
    <row r="173" spans="1:22" s="146" customFormat="1" x14ac:dyDescent="0.3">
      <c r="A173" s="103" t="s">
        <v>895</v>
      </c>
      <c r="B173" s="103" t="s">
        <v>16</v>
      </c>
      <c r="C173" s="103" t="s">
        <v>8</v>
      </c>
      <c r="D173" s="103" t="str">
        <f>IF(MouserListTable[[#This Row],[Vendor]]=FilterSpecs!$A$8,MouserListTable[[#This Row],[Mouser SKU]], MouserListTable[[#This Row],[SKU2]])</f>
        <v>BOB-11955</v>
      </c>
      <c r="E173" s="104">
        <v>2</v>
      </c>
      <c r="F173" s="104" t="s">
        <v>18921</v>
      </c>
      <c r="G173" s="103" t="s">
        <v>294</v>
      </c>
      <c r="H173" s="103" t="s">
        <v>295</v>
      </c>
      <c r="I173" s="103" t="s">
        <v>296</v>
      </c>
      <c r="J173" s="103">
        <v>1</v>
      </c>
      <c r="K173" s="104">
        <v>6.95</v>
      </c>
      <c r="L173" s="103" t="s">
        <v>1910</v>
      </c>
      <c r="M173" s="103"/>
      <c r="N173" s="104">
        <f t="shared" si="13"/>
        <v>13.9</v>
      </c>
      <c r="O173" s="103" t="s">
        <v>293</v>
      </c>
      <c r="P173" s="103">
        <f t="shared" si="9"/>
        <v>160</v>
      </c>
      <c r="Q173" s="103">
        <f t="shared" si="10"/>
        <v>1</v>
      </c>
      <c r="R173" s="103" t="s">
        <v>8</v>
      </c>
      <c r="S173" s="103" t="str">
        <f>_xlfn.IFS(MouserListTable[[#This Row],[Column1]]=FilterSpecs!$A$6, FilterSpecs!$B$6,MouserListTable[[#This Row],[Column1]]=FilterSpecs!$A$7,FilterSpecs!$B$7,MouserListTable[[#This Row],[Column1]]=FilterSpecs!$A$8,FilterSpecs!$B$8,MouserListTable[[#This Row],[Column1]]=FilterSpecs!$A$9,FilterSpecs!$B$9)</f>
        <v>474-</v>
      </c>
      <c r="T17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474-BOB-11955</v>
      </c>
      <c r="V173" s="151" t="str">
        <f>IF(MouserListTable[[#This Row],[Qty.]]=0, 0, "")</f>
        <v/>
      </c>
    </row>
    <row r="174" spans="1:22" s="146" customFormat="1" x14ac:dyDescent="0.3">
      <c r="A174" s="103" t="s">
        <v>895</v>
      </c>
      <c r="B174" s="103" t="s">
        <v>16</v>
      </c>
      <c r="C174" s="103" t="s">
        <v>8</v>
      </c>
      <c r="D174" s="103" t="str">
        <f>IF(MouserListTable[[#This Row],[Vendor]]=FilterSpecs!$A$8,MouserListTable[[#This Row],[Mouser SKU]], MouserListTable[[#This Row],[SKU2]])</f>
        <v>BOB-11771</v>
      </c>
      <c r="E174" s="104">
        <v>3</v>
      </c>
      <c r="F174" s="104" t="s">
        <v>18921</v>
      </c>
      <c r="G174" s="103" t="s">
        <v>298</v>
      </c>
      <c r="H174" s="103" t="s">
        <v>299</v>
      </c>
      <c r="I174" s="103" t="s">
        <v>216</v>
      </c>
      <c r="J174" s="103">
        <v>1</v>
      </c>
      <c r="K174" s="104">
        <v>3.95</v>
      </c>
      <c r="L174" s="103" t="s">
        <v>1910</v>
      </c>
      <c r="M174" s="103"/>
      <c r="N174" s="104">
        <f t="shared" si="13"/>
        <v>11.850000000000001</v>
      </c>
      <c r="O174" s="103" t="s">
        <v>297</v>
      </c>
      <c r="P174" s="103">
        <f t="shared" si="9"/>
        <v>161</v>
      </c>
      <c r="Q174" s="103">
        <f t="shared" si="10"/>
        <v>1</v>
      </c>
      <c r="R174" s="103" t="s">
        <v>8</v>
      </c>
      <c r="S174" s="103" t="str">
        <f>_xlfn.IFS(MouserListTable[[#This Row],[Column1]]=FilterSpecs!$A$6, FilterSpecs!$B$6,MouserListTable[[#This Row],[Column1]]=FilterSpecs!$A$7,FilterSpecs!$B$7,MouserListTable[[#This Row],[Column1]]=FilterSpecs!$A$8,FilterSpecs!$B$8,MouserListTable[[#This Row],[Column1]]=FilterSpecs!$A$9,FilterSpecs!$B$9)</f>
        <v>474-</v>
      </c>
      <c r="T17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474-BOB-11771</v>
      </c>
      <c r="V174" s="151" t="str">
        <f>IF(MouserListTable[[#This Row],[Qty.]]=0, 0, "")</f>
        <v/>
      </c>
    </row>
    <row r="175" spans="1:22" s="146" customFormat="1" x14ac:dyDescent="0.3">
      <c r="A175" s="103" t="s">
        <v>895</v>
      </c>
      <c r="B175" s="103" t="s">
        <v>16</v>
      </c>
      <c r="C175" s="103" t="s">
        <v>8</v>
      </c>
      <c r="D175" s="103" t="str">
        <f>IF(MouserListTable[[#This Row],[Vendor]]=FilterSpecs!$A$8,MouserListTable[[#This Row],[Mouser SKU]], MouserListTable[[#This Row],[SKU2]])</f>
        <v>BOB-12918</v>
      </c>
      <c r="E175" s="104">
        <f>FilterSpecs!$C$3</f>
        <v>5</v>
      </c>
      <c r="F175" s="104" t="s">
        <v>18921</v>
      </c>
      <c r="G175" s="103" t="s">
        <v>345</v>
      </c>
      <c r="H175" s="103" t="s">
        <v>346</v>
      </c>
      <c r="I175" s="103" t="s">
        <v>213</v>
      </c>
      <c r="J175" s="103">
        <v>1</v>
      </c>
      <c r="K175" s="104">
        <v>4.95</v>
      </c>
      <c r="L175" s="103" t="s">
        <v>1911</v>
      </c>
      <c r="M175" s="103"/>
      <c r="N175" s="104">
        <f t="shared" si="13"/>
        <v>24.75</v>
      </c>
      <c r="O175" s="103" t="s">
        <v>344</v>
      </c>
      <c r="P175" s="103">
        <f t="shared" si="9"/>
        <v>162</v>
      </c>
      <c r="Q175" s="103">
        <f t="shared" si="10"/>
        <v>1</v>
      </c>
      <c r="R175" s="103" t="s">
        <v>8</v>
      </c>
      <c r="S175" s="103" t="str">
        <f>_xlfn.IFS(MouserListTable[[#This Row],[Column1]]=FilterSpecs!$A$6, FilterSpecs!$B$6,MouserListTable[[#This Row],[Column1]]=FilterSpecs!$A$7,FilterSpecs!$B$7,MouserListTable[[#This Row],[Column1]]=FilterSpecs!$A$8,FilterSpecs!$B$8,MouserListTable[[#This Row],[Column1]]=FilterSpecs!$A$9,FilterSpecs!$B$9)</f>
        <v>474-</v>
      </c>
      <c r="T17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474-BOB-12918</v>
      </c>
      <c r="V175" s="151" t="str">
        <f>IF(MouserListTable[[#This Row],[Qty.]]=0, 0, "")</f>
        <v/>
      </c>
    </row>
    <row r="176" spans="1:22" s="146" customFormat="1" x14ac:dyDescent="0.3">
      <c r="A176" s="126" t="s">
        <v>895</v>
      </c>
      <c r="B176" s="126" t="s">
        <v>16</v>
      </c>
      <c r="C176" s="106" t="s">
        <v>1898</v>
      </c>
      <c r="D176" s="103" t="str">
        <f>IF(MouserListTable[[#This Row],[Vendor]]=FilterSpecs!$A$8,MouserListTable[[#This Row],[Mouser SKU]], MouserListTable[[#This Row],[SKU2]])</f>
        <v>935</v>
      </c>
      <c r="E176" s="104">
        <v>0</v>
      </c>
      <c r="F176" s="104">
        <v>0</v>
      </c>
      <c r="G176" s="103"/>
      <c r="H176" s="103"/>
      <c r="I176" s="146" t="s">
        <v>2156</v>
      </c>
      <c r="K176" s="148">
        <v>4.95</v>
      </c>
      <c r="L176" s="146" t="s">
        <v>1910</v>
      </c>
      <c r="N176" s="148"/>
      <c r="O176" s="106" t="s">
        <v>2155</v>
      </c>
      <c r="P176" s="103">
        <f t="shared" si="9"/>
        <v>163</v>
      </c>
      <c r="Q176" s="103">
        <f t="shared" si="10"/>
        <v>1</v>
      </c>
      <c r="R176" s="103" t="s">
        <v>1898</v>
      </c>
      <c r="S176" s="103" t="str">
        <f>_xlfn.IFS(MouserListTable[[#This Row],[Column1]]=FilterSpecs!$A$6, FilterSpecs!$B$6,MouserListTable[[#This Row],[Column1]]=FilterSpecs!$A$7,FilterSpecs!$B$7,MouserListTable[[#This Row],[Column1]]=FilterSpecs!$A$8,FilterSpecs!$B$8,MouserListTable[[#This Row],[Column1]]=FilterSpecs!$A$9,FilterSpecs!$B$9)</f>
        <v>485-</v>
      </c>
      <c r="T17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485-935</v>
      </c>
      <c r="V176" s="151">
        <f>IF(MouserListTable[[#This Row],[Qty.]]=0, 0, "")</f>
        <v>0</v>
      </c>
    </row>
    <row r="177" spans="1:22" s="144" customFormat="1" x14ac:dyDescent="0.3">
      <c r="A177" s="103" t="s">
        <v>895</v>
      </c>
      <c r="B177" s="126" t="s">
        <v>16</v>
      </c>
      <c r="C177" s="103" t="s">
        <v>1898</v>
      </c>
      <c r="D177" s="103" t="str">
        <f>IF(MouserListTable[[#This Row],[Vendor]]=FilterSpecs!$A$8,MouserListTable[[#This Row],[Mouser SKU]], MouserListTable[[#This Row],[SKU2]])</f>
        <v>1895</v>
      </c>
      <c r="E177" s="104">
        <v>0</v>
      </c>
      <c r="F177" s="104">
        <v>0</v>
      </c>
      <c r="G177" s="103"/>
      <c r="H177" s="103"/>
      <c r="I177" s="126" t="s">
        <v>2357</v>
      </c>
      <c r="J177" s="146"/>
      <c r="K177" s="148">
        <v>9.9499999999999993</v>
      </c>
      <c r="L177" s="126" t="s">
        <v>1910</v>
      </c>
      <c r="M177" s="146"/>
      <c r="N177" s="148"/>
      <c r="O177" s="103" t="s">
        <v>2356</v>
      </c>
      <c r="P177" s="103">
        <f t="shared" si="9"/>
        <v>164</v>
      </c>
      <c r="Q177" s="103">
        <f t="shared" si="10"/>
        <v>1</v>
      </c>
      <c r="R177" s="103" t="s">
        <v>1898</v>
      </c>
      <c r="S177" s="103" t="str">
        <f>_xlfn.IFS(MouserListTable[[#This Row],[Column1]]=FilterSpecs!$A$6, FilterSpecs!$B$6,MouserListTable[[#This Row],[Column1]]=FilterSpecs!$A$7,FilterSpecs!$B$7,MouserListTable[[#This Row],[Column1]]=FilterSpecs!$A$8,FilterSpecs!$B$8,MouserListTable[[#This Row],[Column1]]=FilterSpecs!$A$9,FilterSpecs!$B$9)</f>
        <v>485-</v>
      </c>
      <c r="T17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485-1895</v>
      </c>
      <c r="V177" s="151">
        <f>IF(MouserListTable[[#This Row],[Qty.]]=0, 0, "")</f>
        <v>0</v>
      </c>
    </row>
    <row r="178" spans="1:22" s="144" customFormat="1" x14ac:dyDescent="0.3">
      <c r="A178" s="103" t="s">
        <v>895</v>
      </c>
      <c r="B178" s="126" t="s">
        <v>16</v>
      </c>
      <c r="C178" s="103" t="s">
        <v>1898</v>
      </c>
      <c r="D178" s="103" t="str">
        <f>IF(MouserListTable[[#This Row],[Vendor]]=FilterSpecs!$A$8,MouserListTable[[#This Row],[Mouser SKU]], MouserListTable[[#This Row],[SKU2]])</f>
        <v>1897</v>
      </c>
      <c r="E178" s="104">
        <v>0</v>
      </c>
      <c r="F178" s="104">
        <v>0</v>
      </c>
      <c r="G178" s="103"/>
      <c r="H178" s="103"/>
      <c r="I178" s="126" t="s">
        <v>2359</v>
      </c>
      <c r="J178" s="146"/>
      <c r="K178" s="148">
        <v>5.95</v>
      </c>
      <c r="L178" s="126" t="s">
        <v>1910</v>
      </c>
      <c r="M178" s="146"/>
      <c r="N178" s="148"/>
      <c r="O178" s="103" t="s">
        <v>2358</v>
      </c>
      <c r="P178" s="103">
        <f t="shared" si="9"/>
        <v>165</v>
      </c>
      <c r="Q178" s="103">
        <f t="shared" si="10"/>
        <v>1</v>
      </c>
      <c r="R178" s="103" t="s">
        <v>1898</v>
      </c>
      <c r="S178" s="103" t="str">
        <f>_xlfn.IFS(MouserListTable[[#This Row],[Column1]]=FilterSpecs!$A$6, FilterSpecs!$B$6,MouserListTable[[#This Row],[Column1]]=FilterSpecs!$A$7,FilterSpecs!$B$7,MouserListTable[[#This Row],[Column1]]=FilterSpecs!$A$8,FilterSpecs!$B$8,MouserListTable[[#This Row],[Column1]]=FilterSpecs!$A$9,FilterSpecs!$B$9)</f>
        <v>485-</v>
      </c>
      <c r="T17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485-1897</v>
      </c>
      <c r="V178" s="151">
        <f>IF(MouserListTable[[#This Row],[Qty.]]=0, 0, "")</f>
        <v>0</v>
      </c>
    </row>
    <row r="179" spans="1:22" s="146" customFormat="1" x14ac:dyDescent="0.3">
      <c r="A179" s="103" t="s">
        <v>895</v>
      </c>
      <c r="B179" s="103" t="s">
        <v>899</v>
      </c>
      <c r="C179" s="103" t="s">
        <v>8</v>
      </c>
      <c r="D179" s="103" t="str">
        <f>IF(MouserListTable[[#This Row],[Vendor]]=FilterSpecs!$A$8,MouserListTable[[#This Row],[Mouser SKU]], MouserListTable[[#This Row],[SKU2]])</f>
        <v>PRT-14425</v>
      </c>
      <c r="E179" s="104">
        <f>3*FilterSpecs!$C$3</f>
        <v>15</v>
      </c>
      <c r="F179" s="104" t="s">
        <v>18921</v>
      </c>
      <c r="G179" s="103" t="s">
        <v>237</v>
      </c>
      <c r="H179" s="103" t="s">
        <v>238</v>
      </c>
      <c r="I179" s="103" t="s">
        <v>239</v>
      </c>
      <c r="J179" s="103"/>
      <c r="K179" s="104">
        <v>1.5</v>
      </c>
      <c r="L179" s="103" t="s">
        <v>1911</v>
      </c>
      <c r="M179" s="103"/>
      <c r="N179" s="104">
        <f>E179*K179</f>
        <v>22.5</v>
      </c>
      <c r="O179" s="103" t="s">
        <v>236</v>
      </c>
      <c r="P179" s="103">
        <f t="shared" si="9"/>
        <v>166</v>
      </c>
      <c r="Q179" s="103">
        <f t="shared" si="10"/>
        <v>1</v>
      </c>
      <c r="R179" s="103" t="s">
        <v>8</v>
      </c>
      <c r="S179" s="103" t="str">
        <f>_xlfn.IFS(MouserListTable[[#This Row],[Column1]]=FilterSpecs!$A$6, FilterSpecs!$B$6,MouserListTable[[#This Row],[Column1]]=FilterSpecs!$A$7,FilterSpecs!$B$7,MouserListTable[[#This Row],[Column1]]=FilterSpecs!$A$8,FilterSpecs!$B$8,MouserListTable[[#This Row],[Column1]]=FilterSpecs!$A$9,FilterSpecs!$B$9)</f>
        <v>474-</v>
      </c>
      <c r="T17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474-PRT-14425</v>
      </c>
      <c r="V179" s="151" t="str">
        <f>IF(MouserListTable[[#This Row],[Qty.]]=0, 0, "")</f>
        <v/>
      </c>
    </row>
    <row r="180" spans="1:22" s="146" customFormat="1" x14ac:dyDescent="0.3">
      <c r="A180" s="103" t="s">
        <v>895</v>
      </c>
      <c r="B180" s="103" t="s">
        <v>899</v>
      </c>
      <c r="C180" s="103" t="s">
        <v>8</v>
      </c>
      <c r="D180" s="103" t="str">
        <f>IF(MouserListTable[[#This Row],[Vendor]]=FilterSpecs!$A$8,MouserListTable[[#This Row],[Mouser SKU]], MouserListTable[[#This Row],[SKU2]])</f>
        <v>SPX-14291</v>
      </c>
      <c r="E180" s="104">
        <v>1</v>
      </c>
      <c r="F180" s="104" t="s">
        <v>18921</v>
      </c>
      <c r="G180" s="103" t="s">
        <v>241</v>
      </c>
      <c r="H180" s="103" t="s">
        <v>242</v>
      </c>
      <c r="I180" s="103" t="s">
        <v>243</v>
      </c>
      <c r="J180" s="103">
        <v>1</v>
      </c>
      <c r="K180" s="104">
        <v>14.95</v>
      </c>
      <c r="L180" s="103" t="s">
        <v>1912</v>
      </c>
      <c r="M180" s="103"/>
      <c r="N180" s="104">
        <f>E180*K180</f>
        <v>14.95</v>
      </c>
      <c r="O180" s="103" t="s">
        <v>240</v>
      </c>
      <c r="P180" s="103">
        <f t="shared" si="9"/>
        <v>167</v>
      </c>
      <c r="Q180" s="103">
        <f t="shared" si="10"/>
        <v>1</v>
      </c>
      <c r="R180" s="103" t="s">
        <v>8</v>
      </c>
      <c r="S180" s="103" t="str">
        <f>_xlfn.IFS(MouserListTable[[#This Row],[Column1]]=FilterSpecs!$A$6, FilterSpecs!$B$6,MouserListTable[[#This Row],[Column1]]=FilterSpecs!$A$7,FilterSpecs!$B$7,MouserListTable[[#This Row],[Column1]]=FilterSpecs!$A$8,FilterSpecs!$B$8,MouserListTable[[#This Row],[Column1]]=FilterSpecs!$A$9,FilterSpecs!$B$9)</f>
        <v>474-</v>
      </c>
      <c r="T18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474-SPX-14291</v>
      </c>
      <c r="V180" s="151" t="str">
        <f>IF(MouserListTable[[#This Row],[Qty.]]=0, 0, "")</f>
        <v/>
      </c>
    </row>
    <row r="181" spans="1:22" s="146" customFormat="1" x14ac:dyDescent="0.3">
      <c r="A181" s="126" t="s">
        <v>895</v>
      </c>
      <c r="B181" s="126" t="s">
        <v>899</v>
      </c>
      <c r="C181" s="126" t="s">
        <v>8</v>
      </c>
      <c r="D181" s="103" t="str">
        <f>IF(MouserListTable[[#This Row],[Vendor]]=FilterSpecs!$A$8,MouserListTable[[#This Row],[Mouser SKU]], MouserListTable[[#This Row],[SKU2]])</f>
        <v>SPX-14286</v>
      </c>
      <c r="E181" s="104">
        <v>0</v>
      </c>
      <c r="F181" s="104">
        <v>0</v>
      </c>
      <c r="G181" s="103" t="s">
        <v>364</v>
      </c>
      <c r="H181" s="103" t="s">
        <v>365</v>
      </c>
      <c r="I181" s="103" t="s">
        <v>366</v>
      </c>
      <c r="J181" s="103">
        <v>1</v>
      </c>
      <c r="K181" s="104">
        <v>2.95</v>
      </c>
      <c r="L181" s="103" t="s">
        <v>2487</v>
      </c>
      <c r="M181" s="103"/>
      <c r="N181" s="104">
        <f>MouserListTable[[#This Row],[Qty.]]*MouserListTable[[#This Row],[Price (USD)]]</f>
        <v>0</v>
      </c>
      <c r="O181" s="103" t="s">
        <v>363</v>
      </c>
      <c r="P181" s="103">
        <f t="shared" si="9"/>
        <v>168</v>
      </c>
      <c r="Q181" s="103">
        <f t="shared" si="10"/>
        <v>1</v>
      </c>
      <c r="R181" s="103" t="s">
        <v>8</v>
      </c>
      <c r="S181" s="103" t="str">
        <f>_xlfn.IFS(MouserListTable[[#This Row],[Column1]]=FilterSpecs!$A$6, FilterSpecs!$B$6,MouserListTable[[#This Row],[Column1]]=FilterSpecs!$A$7,FilterSpecs!$B$7,MouserListTable[[#This Row],[Column1]]=FilterSpecs!$A$8,FilterSpecs!$B$8,MouserListTable[[#This Row],[Column1]]=FilterSpecs!$A$9,FilterSpecs!$B$9)</f>
        <v>474-</v>
      </c>
      <c r="T18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474-SPX-14286</v>
      </c>
      <c r="V181" s="151">
        <f>IF(MouserListTable[[#This Row],[Qty.]]=0, 0, "")</f>
        <v>0</v>
      </c>
    </row>
    <row r="182" spans="1:22" s="146" customFormat="1" x14ac:dyDescent="0.3">
      <c r="A182" s="126" t="s">
        <v>895</v>
      </c>
      <c r="B182" s="126" t="s">
        <v>899</v>
      </c>
      <c r="C182" s="126" t="s">
        <v>8</v>
      </c>
      <c r="D182" s="103" t="str">
        <f>IF(MouserListTable[[#This Row],[Vendor]]=FilterSpecs!$A$8,MouserListTable[[#This Row],[Mouser SKU]], MouserListTable[[#This Row],[SKU2]])</f>
        <v>SPX-14257</v>
      </c>
      <c r="E182" s="104">
        <v>0</v>
      </c>
      <c r="F182" s="104">
        <v>0</v>
      </c>
      <c r="G182" s="103" t="s">
        <v>1186</v>
      </c>
      <c r="H182" s="103" t="s">
        <v>1187</v>
      </c>
      <c r="I182" s="103" t="s">
        <v>1188</v>
      </c>
      <c r="J182" s="103">
        <v>1</v>
      </c>
      <c r="K182" s="104">
        <v>9.9499999999999993</v>
      </c>
      <c r="L182" s="103" t="s">
        <v>2487</v>
      </c>
      <c r="N182" s="104">
        <f>MouserListTable[[#This Row],[Qty.]]*MouserListTable[[#This Row],[Price (USD)]]</f>
        <v>0</v>
      </c>
      <c r="O182" s="103" t="s">
        <v>1185</v>
      </c>
      <c r="P182" s="103">
        <f t="shared" si="9"/>
        <v>169</v>
      </c>
      <c r="Q182" s="103">
        <f t="shared" si="10"/>
        <v>1</v>
      </c>
      <c r="R182" s="103" t="s">
        <v>8</v>
      </c>
      <c r="S182" s="103" t="str">
        <f>_xlfn.IFS(MouserListTable[[#This Row],[Column1]]=FilterSpecs!$A$6, FilterSpecs!$B$6,MouserListTable[[#This Row],[Column1]]=FilterSpecs!$A$7,FilterSpecs!$B$7,MouserListTable[[#This Row],[Column1]]=FilterSpecs!$A$8,FilterSpecs!$B$8,MouserListTable[[#This Row],[Column1]]=FilterSpecs!$A$9,FilterSpecs!$B$9)</f>
        <v>474-</v>
      </c>
      <c r="T18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474-SPX-14257</v>
      </c>
      <c r="V182" s="151">
        <f>IF(MouserListTable[[#This Row],[Qty.]]=0, 0, "")</f>
        <v>0</v>
      </c>
    </row>
    <row r="183" spans="1:22" s="146" customFormat="1" x14ac:dyDescent="0.3">
      <c r="A183" s="103" t="s">
        <v>895</v>
      </c>
      <c r="B183" s="103" t="s">
        <v>899</v>
      </c>
      <c r="C183" s="103" t="s">
        <v>8</v>
      </c>
      <c r="D183" s="103" t="str">
        <f>IF(MouserListTable[[#This Row],[Vendor]]=FilterSpecs!$A$8,MouserListTable[[#This Row],[Mouser SKU]], MouserListTable[[#This Row],[SKU2]])</f>
        <v>SPX-14293</v>
      </c>
      <c r="E183" s="104">
        <v>1</v>
      </c>
      <c r="F183" s="104" t="s">
        <v>18921</v>
      </c>
      <c r="G183" s="103" t="s">
        <v>1190</v>
      </c>
      <c r="H183" s="103" t="s">
        <v>1191</v>
      </c>
      <c r="I183" s="103" t="s">
        <v>1192</v>
      </c>
      <c r="J183" s="103">
        <v>1</v>
      </c>
      <c r="K183" s="104">
        <v>14.95</v>
      </c>
      <c r="L183" s="103" t="s">
        <v>1912</v>
      </c>
      <c r="M183" s="106"/>
      <c r="N183" s="104">
        <f>E183*K183</f>
        <v>14.95</v>
      </c>
      <c r="O183" s="103" t="s">
        <v>1189</v>
      </c>
      <c r="P183" s="103">
        <f t="shared" si="9"/>
        <v>170</v>
      </c>
      <c r="Q183" s="103">
        <f t="shared" si="10"/>
        <v>1</v>
      </c>
      <c r="R183" s="103" t="s">
        <v>8</v>
      </c>
      <c r="S183" s="103" t="str">
        <f>_xlfn.IFS(MouserListTable[[#This Row],[Column1]]=FilterSpecs!$A$6, FilterSpecs!$B$6,MouserListTable[[#This Row],[Column1]]=FilterSpecs!$A$7,FilterSpecs!$B$7,MouserListTable[[#This Row],[Column1]]=FilterSpecs!$A$8,FilterSpecs!$B$8,MouserListTable[[#This Row],[Column1]]=FilterSpecs!$A$9,FilterSpecs!$B$9)</f>
        <v>474-</v>
      </c>
      <c r="T18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474-SPX-14293</v>
      </c>
      <c r="V183" s="151" t="str">
        <f>IF(MouserListTable[[#This Row],[Qty.]]=0, 0, "")</f>
        <v/>
      </c>
    </row>
    <row r="184" spans="1:22" s="146" customFormat="1" x14ac:dyDescent="0.3">
      <c r="A184" s="126" t="s">
        <v>895</v>
      </c>
      <c r="B184" s="126" t="s">
        <v>899</v>
      </c>
      <c r="C184" s="126" t="s">
        <v>8</v>
      </c>
      <c r="D184" s="103" t="str">
        <f>IF(MouserListTable[[#This Row],[Vendor]]=FilterSpecs!$A$8,MouserListTable[[#This Row],[Mouser SKU]], MouserListTable[[#This Row],[SKU2]])</f>
        <v>SPX-14289</v>
      </c>
      <c r="E184" s="104">
        <v>0</v>
      </c>
      <c r="F184" s="104">
        <v>0</v>
      </c>
      <c r="G184" s="103" t="s">
        <v>1828</v>
      </c>
      <c r="H184" s="103" t="s">
        <v>1829</v>
      </c>
      <c r="I184" s="103" t="s">
        <v>1830</v>
      </c>
      <c r="J184" s="103">
        <v>1</v>
      </c>
      <c r="K184" s="104">
        <v>39.950000000000003</v>
      </c>
      <c r="L184" s="103" t="s">
        <v>2487</v>
      </c>
      <c r="N184" s="148"/>
      <c r="O184" s="103" t="s">
        <v>1827</v>
      </c>
      <c r="P184" s="103">
        <f t="shared" si="9"/>
        <v>171</v>
      </c>
      <c r="Q184" s="103">
        <f t="shared" si="10"/>
        <v>1</v>
      </c>
      <c r="R184" s="103" t="s">
        <v>8</v>
      </c>
      <c r="S184" s="103" t="str">
        <f>_xlfn.IFS(MouserListTable[[#This Row],[Column1]]=FilterSpecs!$A$6, FilterSpecs!$B$6,MouserListTable[[#This Row],[Column1]]=FilterSpecs!$A$7,FilterSpecs!$B$7,MouserListTable[[#This Row],[Column1]]=FilterSpecs!$A$8,FilterSpecs!$B$8,MouserListTable[[#This Row],[Column1]]=FilterSpecs!$A$9,FilterSpecs!$B$9)</f>
        <v>474-</v>
      </c>
      <c r="T18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474-SPX-14289</v>
      </c>
      <c r="V184" s="151">
        <f>IF(MouserListTable[[#This Row],[Qty.]]=0, 0, "")</f>
        <v>0</v>
      </c>
    </row>
    <row r="185" spans="1:22" s="146" customFormat="1" x14ac:dyDescent="0.3">
      <c r="A185" s="126" t="s">
        <v>895</v>
      </c>
      <c r="B185" s="126" t="s">
        <v>899</v>
      </c>
      <c r="C185" s="126" t="s">
        <v>8</v>
      </c>
      <c r="D185" s="103" t="str">
        <f>IF(MouserListTable[[#This Row],[Vendor]]=FilterSpecs!$A$8,MouserListTable[[#This Row],[Mouser SKU]], MouserListTable[[#This Row],[SKU2]])</f>
        <v>SPX-14269</v>
      </c>
      <c r="E185" s="104">
        <v>0</v>
      </c>
      <c r="F185" s="104">
        <v>0</v>
      </c>
      <c r="G185" s="103" t="s">
        <v>1788</v>
      </c>
      <c r="H185" s="103" t="s">
        <v>1789</v>
      </c>
      <c r="I185" s="103" t="s">
        <v>1790</v>
      </c>
      <c r="J185" s="103">
        <v>1</v>
      </c>
      <c r="K185" s="104">
        <v>14.95</v>
      </c>
      <c r="L185" s="103" t="s">
        <v>2487</v>
      </c>
      <c r="N185" s="148"/>
      <c r="O185" s="103" t="s">
        <v>1787</v>
      </c>
      <c r="P185" s="103">
        <f t="shared" si="9"/>
        <v>172</v>
      </c>
      <c r="Q185" s="103">
        <f t="shared" si="10"/>
        <v>1</v>
      </c>
      <c r="R185" s="103" t="s">
        <v>8</v>
      </c>
      <c r="S185" s="103" t="str">
        <f>_xlfn.IFS(MouserListTable[[#This Row],[Column1]]=FilterSpecs!$A$6, FilterSpecs!$B$6,MouserListTable[[#This Row],[Column1]]=FilterSpecs!$A$7,FilterSpecs!$B$7,MouserListTable[[#This Row],[Column1]]=FilterSpecs!$A$8,FilterSpecs!$B$8,MouserListTable[[#This Row],[Column1]]=FilterSpecs!$A$9,FilterSpecs!$B$9)</f>
        <v>474-</v>
      </c>
      <c r="T18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474-SPX-14269</v>
      </c>
      <c r="V185" s="151">
        <f>IF(MouserListTable[[#This Row],[Qty.]]=0, 0, "")</f>
        <v>0</v>
      </c>
    </row>
    <row r="186" spans="1:22" s="146" customFormat="1" x14ac:dyDescent="0.3">
      <c r="A186" s="103" t="s">
        <v>895</v>
      </c>
      <c r="B186" s="103" t="s">
        <v>899</v>
      </c>
      <c r="C186" s="103" t="s">
        <v>8</v>
      </c>
      <c r="D186" s="103" t="str">
        <f>IF(MouserListTable[[#This Row],[Vendor]]=FilterSpecs!$A$8,MouserListTable[[#This Row],[Mouser SKU]], MouserListTable[[#This Row],[SKU2]])</f>
        <v>PRT-14426</v>
      </c>
      <c r="E186" s="104">
        <f>2*FilterSpecs!$C$3</f>
        <v>10</v>
      </c>
      <c r="F186" s="104" t="s">
        <v>18921</v>
      </c>
      <c r="G186" s="103" t="s">
        <v>273</v>
      </c>
      <c r="H186" s="103" t="s">
        <v>274</v>
      </c>
      <c r="I186" s="103" t="s">
        <v>275</v>
      </c>
      <c r="J186" s="103"/>
      <c r="K186" s="104">
        <v>0.95</v>
      </c>
      <c r="L186" s="103" t="s">
        <v>1911</v>
      </c>
      <c r="M186" s="103"/>
      <c r="N186" s="104">
        <f t="shared" ref="N186:N193" si="14">E186*K186</f>
        <v>9.5</v>
      </c>
      <c r="O186" s="103" t="s">
        <v>272</v>
      </c>
      <c r="P186" s="103">
        <f t="shared" si="9"/>
        <v>173</v>
      </c>
      <c r="Q186" s="103">
        <f t="shared" si="10"/>
        <v>1</v>
      </c>
      <c r="R186" s="103" t="s">
        <v>8</v>
      </c>
      <c r="S186" s="103" t="str">
        <f>_xlfn.IFS(MouserListTable[[#This Row],[Column1]]=FilterSpecs!$A$6, FilterSpecs!$B$6,MouserListTable[[#This Row],[Column1]]=FilterSpecs!$A$7,FilterSpecs!$B$7,MouserListTable[[#This Row],[Column1]]=FilterSpecs!$A$8,FilterSpecs!$B$8,MouserListTable[[#This Row],[Column1]]=FilterSpecs!$A$9,FilterSpecs!$B$9)</f>
        <v>474-</v>
      </c>
      <c r="T18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474-PRT-14426</v>
      </c>
      <c r="V186" s="151" t="str">
        <f>IF(MouserListTable[[#This Row],[Qty.]]=0, 0, "")</f>
        <v/>
      </c>
    </row>
    <row r="187" spans="1:22" s="146" customFormat="1" x14ac:dyDescent="0.3">
      <c r="A187" s="103" t="s">
        <v>895</v>
      </c>
      <c r="B187" s="103" t="s">
        <v>899</v>
      </c>
      <c r="C187" s="103" t="s">
        <v>8</v>
      </c>
      <c r="D187" s="103" t="str">
        <f>IF(MouserListTable[[#This Row],[Vendor]]=FilterSpecs!$A$8,MouserListTable[[#This Row],[Mouser SKU]], MouserListTable[[#This Row],[SKU2]])</f>
        <v>PRT-14427</v>
      </c>
      <c r="E187" s="104">
        <f>FilterSpecs!$C$3</f>
        <v>5</v>
      </c>
      <c r="F187" s="104" t="s">
        <v>18921</v>
      </c>
      <c r="G187" s="103" t="s">
        <v>277</v>
      </c>
      <c r="H187" s="103" t="s">
        <v>278</v>
      </c>
      <c r="I187" s="103" t="s">
        <v>279</v>
      </c>
      <c r="J187" s="103"/>
      <c r="K187" s="104">
        <v>1.5</v>
      </c>
      <c r="L187" s="103" t="s">
        <v>1911</v>
      </c>
      <c r="M187" s="103"/>
      <c r="N187" s="104">
        <f t="shared" si="14"/>
        <v>7.5</v>
      </c>
      <c r="O187" s="103" t="s">
        <v>276</v>
      </c>
      <c r="P187" s="103">
        <f t="shared" si="9"/>
        <v>174</v>
      </c>
      <c r="Q187" s="103">
        <f t="shared" si="10"/>
        <v>1</v>
      </c>
      <c r="R187" s="103" t="s">
        <v>8</v>
      </c>
      <c r="S187" s="103" t="str">
        <f>_xlfn.IFS(MouserListTable[[#This Row],[Column1]]=FilterSpecs!$A$6, FilterSpecs!$B$6,MouserListTable[[#This Row],[Column1]]=FilterSpecs!$A$7,FilterSpecs!$B$7,MouserListTable[[#This Row],[Column1]]=FilterSpecs!$A$8,FilterSpecs!$B$8,MouserListTable[[#This Row],[Column1]]=FilterSpecs!$A$9,FilterSpecs!$B$9)</f>
        <v>474-</v>
      </c>
      <c r="T18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474-PRT-14427</v>
      </c>
      <c r="V187" s="151" t="str">
        <f>IF(MouserListTable[[#This Row],[Qty.]]=0, 0, "")</f>
        <v/>
      </c>
    </row>
    <row r="188" spans="1:22" s="146" customFormat="1" x14ac:dyDescent="0.3">
      <c r="A188" s="103" t="s">
        <v>895</v>
      </c>
      <c r="B188" s="103" t="s">
        <v>899</v>
      </c>
      <c r="C188" s="103" t="s">
        <v>8</v>
      </c>
      <c r="D188" s="103" t="str">
        <f>IF(MouserListTable[[#This Row],[Vendor]]=FilterSpecs!$A$8,MouserListTable[[#This Row],[Mouser SKU]], MouserListTable[[#This Row],[SKU2]])</f>
        <v>PRT-14428</v>
      </c>
      <c r="E188" s="104">
        <f>FilterSpecs!$C$3</f>
        <v>5</v>
      </c>
      <c r="F188" s="104" t="s">
        <v>18921</v>
      </c>
      <c r="G188" s="103" t="s">
        <v>269</v>
      </c>
      <c r="H188" s="103" t="s">
        <v>270</v>
      </c>
      <c r="I188" s="103" t="s">
        <v>271</v>
      </c>
      <c r="J188" s="103"/>
      <c r="K188" s="104">
        <v>1.5</v>
      </c>
      <c r="L188" s="103" t="s">
        <v>1911</v>
      </c>
      <c r="M188" s="103"/>
      <c r="N188" s="104">
        <f t="shared" si="14"/>
        <v>7.5</v>
      </c>
      <c r="O188" s="103" t="s">
        <v>268</v>
      </c>
      <c r="P188" s="103">
        <f t="shared" si="9"/>
        <v>175</v>
      </c>
      <c r="Q188" s="103">
        <f t="shared" si="10"/>
        <v>1</v>
      </c>
      <c r="R188" s="103" t="s">
        <v>8</v>
      </c>
      <c r="S188" s="103" t="str">
        <f>_xlfn.IFS(MouserListTable[[#This Row],[Column1]]=FilterSpecs!$A$6, FilterSpecs!$B$6,MouserListTable[[#This Row],[Column1]]=FilterSpecs!$A$7,FilterSpecs!$B$7,MouserListTable[[#This Row],[Column1]]=FilterSpecs!$A$8,FilterSpecs!$B$8,MouserListTable[[#This Row],[Column1]]=FilterSpecs!$A$9,FilterSpecs!$B$9)</f>
        <v>474-</v>
      </c>
      <c r="T18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474-PRT-14428</v>
      </c>
      <c r="V188" s="151" t="str">
        <f>IF(MouserListTable[[#This Row],[Qty.]]=0, 0, "")</f>
        <v/>
      </c>
    </row>
    <row r="189" spans="1:22" s="146" customFormat="1" x14ac:dyDescent="0.3">
      <c r="A189" s="103" t="s">
        <v>895</v>
      </c>
      <c r="B189" s="103" t="s">
        <v>899</v>
      </c>
      <c r="C189" s="103" t="s">
        <v>8</v>
      </c>
      <c r="D189" s="103" t="str">
        <f>IF(MouserListTable[[#This Row],[Vendor]]=FilterSpecs!$A$8,MouserListTable[[#This Row],[Mouser SKU]], MouserListTable[[#This Row],[SKU2]])</f>
        <v>PRT-14429</v>
      </c>
      <c r="E189" s="104">
        <v>1</v>
      </c>
      <c r="F189" s="104" t="s">
        <v>18921</v>
      </c>
      <c r="G189" s="103" t="s">
        <v>1824</v>
      </c>
      <c r="H189" s="103" t="s">
        <v>1825</v>
      </c>
      <c r="I189" s="103" t="s">
        <v>1826</v>
      </c>
      <c r="J189" s="103"/>
      <c r="K189" s="104">
        <v>1.95</v>
      </c>
      <c r="L189" s="103" t="s">
        <v>1910</v>
      </c>
      <c r="M189" s="106"/>
      <c r="N189" s="104">
        <f t="shared" si="14"/>
        <v>1.95</v>
      </c>
      <c r="O189" s="103" t="s">
        <v>1823</v>
      </c>
      <c r="P189" s="103">
        <f t="shared" si="9"/>
        <v>176</v>
      </c>
      <c r="Q189" s="103">
        <f t="shared" si="10"/>
        <v>1</v>
      </c>
      <c r="R189" s="103" t="s">
        <v>8</v>
      </c>
      <c r="S189" s="103" t="str">
        <f>_xlfn.IFS(MouserListTable[[#This Row],[Column1]]=FilterSpecs!$A$6, FilterSpecs!$B$6,MouserListTable[[#This Row],[Column1]]=FilterSpecs!$A$7,FilterSpecs!$B$7,MouserListTable[[#This Row],[Column1]]=FilterSpecs!$A$8,FilterSpecs!$B$8,MouserListTable[[#This Row],[Column1]]=FilterSpecs!$A$9,FilterSpecs!$B$9)</f>
        <v>474-</v>
      </c>
      <c r="T18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474-PRT-14429</v>
      </c>
      <c r="V189" s="151" t="str">
        <f>IF(MouserListTable[[#This Row],[Qty.]]=0, 0, "")</f>
        <v/>
      </c>
    </row>
    <row r="190" spans="1:22" s="146" customFormat="1" x14ac:dyDescent="0.3">
      <c r="A190" s="103" t="s">
        <v>895</v>
      </c>
      <c r="B190" s="103" t="s">
        <v>899</v>
      </c>
      <c r="C190" s="103" t="s">
        <v>8</v>
      </c>
      <c r="D190" s="103" t="str">
        <f>IF(MouserListTable[[#This Row],[Vendor]]=FilterSpecs!$A$8,MouserListTable[[#This Row],[Mouser SKU]], MouserListTable[[#This Row],[SKU2]])</f>
        <v>SPX-14323</v>
      </c>
      <c r="E190" s="104">
        <v>2</v>
      </c>
      <c r="F190" s="104" t="s">
        <v>18921</v>
      </c>
      <c r="G190" s="103" t="s">
        <v>736</v>
      </c>
      <c r="H190" s="103" t="s">
        <v>737</v>
      </c>
      <c r="I190" s="103" t="s">
        <v>738</v>
      </c>
      <c r="J190" s="103"/>
      <c r="K190" s="104">
        <v>2.95</v>
      </c>
      <c r="L190" s="103" t="s">
        <v>1912</v>
      </c>
      <c r="M190" s="103"/>
      <c r="N190" s="104">
        <f t="shared" si="14"/>
        <v>5.9</v>
      </c>
      <c r="O190" s="103" t="s">
        <v>735</v>
      </c>
      <c r="P190" s="103">
        <f t="shared" si="9"/>
        <v>177</v>
      </c>
      <c r="Q190" s="103">
        <f t="shared" si="10"/>
        <v>1</v>
      </c>
      <c r="R190" s="103" t="s">
        <v>8</v>
      </c>
      <c r="S190" s="103" t="str">
        <f>_xlfn.IFS(MouserListTable[[#This Row],[Column1]]=FilterSpecs!$A$6, FilterSpecs!$B$6,MouserListTable[[#This Row],[Column1]]=FilterSpecs!$A$7,FilterSpecs!$B$7,MouserListTable[[#This Row],[Column1]]=FilterSpecs!$A$8,FilterSpecs!$B$8,MouserListTable[[#This Row],[Column1]]=FilterSpecs!$A$9,FilterSpecs!$B$9)</f>
        <v>474-</v>
      </c>
      <c r="T19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474-SPX-14323</v>
      </c>
      <c r="V190" s="151" t="str">
        <f>IF(MouserListTable[[#This Row],[Qty.]]=0, 0, "")</f>
        <v/>
      </c>
    </row>
    <row r="191" spans="1:22" s="144" customFormat="1" x14ac:dyDescent="0.3">
      <c r="A191" s="103" t="s">
        <v>895</v>
      </c>
      <c r="B191" s="103" t="s">
        <v>899</v>
      </c>
      <c r="C191" s="103" t="s">
        <v>8</v>
      </c>
      <c r="D191" s="103" t="str">
        <f>IF(MouserListTable[[#This Row],[Vendor]]=FilterSpecs!$A$8,MouserListTable[[#This Row],[Mouser SKU]], MouserListTable[[#This Row],[SKU2]])</f>
        <v>SPX-14324</v>
      </c>
      <c r="E191" s="104">
        <v>1</v>
      </c>
      <c r="F191" s="104" t="s">
        <v>18921</v>
      </c>
      <c r="G191" s="103" t="s">
        <v>1808</v>
      </c>
      <c r="H191" s="103" t="s">
        <v>1809</v>
      </c>
      <c r="I191" s="103" t="s">
        <v>1810</v>
      </c>
      <c r="J191" s="103"/>
      <c r="K191" s="104">
        <v>2.95</v>
      </c>
      <c r="L191" s="103" t="s">
        <v>1910</v>
      </c>
      <c r="M191" s="106"/>
      <c r="N191" s="104">
        <f t="shared" si="14"/>
        <v>2.95</v>
      </c>
      <c r="O191" s="103" t="s">
        <v>1807</v>
      </c>
      <c r="P191" s="103">
        <f t="shared" si="9"/>
        <v>178</v>
      </c>
      <c r="Q191" s="103">
        <f t="shared" si="10"/>
        <v>1</v>
      </c>
      <c r="R191" s="103" t="s">
        <v>8</v>
      </c>
      <c r="S191" s="103" t="str">
        <f>_xlfn.IFS(MouserListTable[[#This Row],[Column1]]=FilterSpecs!$A$6, FilterSpecs!$B$6,MouserListTable[[#This Row],[Column1]]=FilterSpecs!$A$7,FilterSpecs!$B$7,MouserListTable[[#This Row],[Column1]]=FilterSpecs!$A$8,FilterSpecs!$B$8,MouserListTable[[#This Row],[Column1]]=FilterSpecs!$A$9,FilterSpecs!$B$9)</f>
        <v>474-</v>
      </c>
      <c r="T19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474-SPX-14324</v>
      </c>
      <c r="V191" s="151" t="str">
        <f>IF(MouserListTable[[#This Row],[Qty.]]=0, 0, "")</f>
        <v/>
      </c>
    </row>
    <row r="192" spans="1:22" s="144" customFormat="1" x14ac:dyDescent="0.3">
      <c r="A192" s="103" t="s">
        <v>895</v>
      </c>
      <c r="B192" s="103" t="s">
        <v>1607</v>
      </c>
      <c r="C192" s="103" t="s">
        <v>8</v>
      </c>
      <c r="D192" s="103" t="str">
        <f>IF(MouserListTable[[#This Row],[Vendor]]=FilterSpecs!$A$8,MouserListTable[[#This Row],[Mouser SKU]], MouserListTable[[#This Row],[SKU2]])</f>
        <v>DEV-11723</v>
      </c>
      <c r="E192" s="104">
        <v>1</v>
      </c>
      <c r="F192" s="104" t="s">
        <v>18921</v>
      </c>
      <c r="G192" s="103" t="s">
        <v>1109</v>
      </c>
      <c r="H192" s="103" t="s">
        <v>1110</v>
      </c>
      <c r="I192" s="103" t="s">
        <v>1111</v>
      </c>
      <c r="J192" s="103"/>
      <c r="K192" s="104">
        <v>24.95</v>
      </c>
      <c r="L192" s="103" t="s">
        <v>1910</v>
      </c>
      <c r="M192" s="106"/>
      <c r="N192" s="104">
        <f t="shared" si="14"/>
        <v>24.95</v>
      </c>
      <c r="O192" s="103" t="s">
        <v>1108</v>
      </c>
      <c r="P192" s="103">
        <f t="shared" si="9"/>
        <v>179</v>
      </c>
      <c r="Q192" s="103">
        <f t="shared" si="10"/>
        <v>1</v>
      </c>
      <c r="R192" s="103" t="s">
        <v>8</v>
      </c>
      <c r="S192" s="103" t="str">
        <f>_xlfn.IFS(MouserListTable[[#This Row],[Column1]]=FilterSpecs!$A$6, FilterSpecs!$B$6,MouserListTable[[#This Row],[Column1]]=FilterSpecs!$A$7,FilterSpecs!$B$7,MouserListTable[[#This Row],[Column1]]=FilterSpecs!$A$8,FilterSpecs!$B$8,MouserListTable[[#This Row],[Column1]]=FilterSpecs!$A$9,FilterSpecs!$B$9)</f>
        <v>474-</v>
      </c>
      <c r="T19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474-DEV-11723</v>
      </c>
      <c r="V192" s="151" t="str">
        <f>IF(MouserListTable[[#This Row],[Qty.]]=0, 0, "")</f>
        <v/>
      </c>
    </row>
    <row r="193" spans="1:22" s="144" customFormat="1" x14ac:dyDescent="0.3">
      <c r="A193" s="103" t="s">
        <v>895</v>
      </c>
      <c r="B193" s="103" t="s">
        <v>1607</v>
      </c>
      <c r="C193" s="103" t="s">
        <v>8</v>
      </c>
      <c r="D193" s="103" t="str">
        <f>IF(MouserListTable[[#This Row],[Vendor]]=FilterSpecs!$A$8,MouserListTable[[#This Row],[Mouser SKU]], MouserListTable[[#This Row],[SKU2]])</f>
        <v>BOB-09056</v>
      </c>
      <c r="E193" s="104">
        <f>FilterSpecs!$C$3+1</f>
        <v>6</v>
      </c>
      <c r="F193" s="104" t="s">
        <v>18921</v>
      </c>
      <c r="G193" s="103" t="s">
        <v>494</v>
      </c>
      <c r="H193" s="103" t="s">
        <v>495</v>
      </c>
      <c r="I193" s="103" t="s">
        <v>218</v>
      </c>
      <c r="J193" s="103">
        <v>1</v>
      </c>
      <c r="K193" s="104">
        <v>4.95</v>
      </c>
      <c r="L193" s="103" t="s">
        <v>1911</v>
      </c>
      <c r="M193" s="103"/>
      <c r="N193" s="104">
        <f t="shared" si="14"/>
        <v>29.700000000000003</v>
      </c>
      <c r="O193" s="103" t="s">
        <v>493</v>
      </c>
      <c r="P193" s="103">
        <f t="shared" si="9"/>
        <v>180</v>
      </c>
      <c r="Q193" s="103">
        <f t="shared" si="10"/>
        <v>1</v>
      </c>
      <c r="R193" s="103" t="s">
        <v>8</v>
      </c>
      <c r="S193" s="103" t="str">
        <f>_xlfn.IFS(MouserListTable[[#This Row],[Column1]]=FilterSpecs!$A$6, FilterSpecs!$B$6,MouserListTable[[#This Row],[Column1]]=FilterSpecs!$A$7,FilterSpecs!$B$7,MouserListTable[[#This Row],[Column1]]=FilterSpecs!$A$8,FilterSpecs!$B$8,MouserListTable[[#This Row],[Column1]]=FilterSpecs!$A$9,FilterSpecs!$B$9)</f>
        <v>474-</v>
      </c>
      <c r="T19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474-BOB-09056</v>
      </c>
      <c r="V193" s="151" t="str">
        <f>IF(MouserListTable[[#This Row],[Qty.]]=0, 0, "")</f>
        <v/>
      </c>
    </row>
    <row r="194" spans="1:22" s="144" customFormat="1" x14ac:dyDescent="0.3">
      <c r="A194" s="103" t="s">
        <v>895</v>
      </c>
      <c r="B194" s="103" t="s">
        <v>1607</v>
      </c>
      <c r="C194" s="103" t="s">
        <v>1898</v>
      </c>
      <c r="D194" s="103" t="str">
        <f>IF(MouserListTable[[#This Row],[Vendor]]=FilterSpecs!$A$8,MouserListTable[[#This Row],[Mouser SKU]], MouserListTable[[#This Row],[SKU2]])</f>
        <v>2717</v>
      </c>
      <c r="E194" s="104">
        <v>0</v>
      </c>
      <c r="F194" s="104">
        <v>0</v>
      </c>
      <c r="G194" s="103"/>
      <c r="H194" s="103"/>
      <c r="I194" s="126" t="s">
        <v>2365</v>
      </c>
      <c r="J194" s="146"/>
      <c r="K194" s="148">
        <v>6.95</v>
      </c>
      <c r="L194" s="126" t="s">
        <v>1910</v>
      </c>
      <c r="M194" s="146"/>
      <c r="N194" s="148"/>
      <c r="O194" s="103" t="s">
        <v>2364</v>
      </c>
      <c r="P194" s="103">
        <f t="shared" si="9"/>
        <v>181</v>
      </c>
      <c r="Q194" s="103">
        <f t="shared" si="10"/>
        <v>1</v>
      </c>
      <c r="R194" s="103" t="s">
        <v>1898</v>
      </c>
      <c r="S194" s="103" t="str">
        <f>_xlfn.IFS(MouserListTable[[#This Row],[Column1]]=FilterSpecs!$A$6, FilterSpecs!$B$6,MouserListTable[[#This Row],[Column1]]=FilterSpecs!$A$7,FilterSpecs!$B$7,MouserListTable[[#This Row],[Column1]]=FilterSpecs!$A$8,FilterSpecs!$B$8,MouserListTable[[#This Row],[Column1]]=FilterSpecs!$A$9,FilterSpecs!$B$9)</f>
        <v>485-</v>
      </c>
      <c r="T19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485-2717</v>
      </c>
      <c r="V194" s="151">
        <f>IF(MouserListTable[[#This Row],[Qty.]]=0, 0, "")</f>
        <v>0</v>
      </c>
    </row>
    <row r="195" spans="1:22" s="144" customFormat="1" x14ac:dyDescent="0.3">
      <c r="A195" s="103" t="s">
        <v>895</v>
      </c>
      <c r="B195" s="103" t="s">
        <v>1607</v>
      </c>
      <c r="C195" s="103" t="s">
        <v>8</v>
      </c>
      <c r="D195" s="103" t="str">
        <f>IF(MouserListTable[[#This Row],[Vendor]]=FilterSpecs!$A$8,MouserListTable[[#This Row],[Mouser SKU]], MouserListTable[[#This Row],[SKU2]])</f>
        <v>BOB-09118</v>
      </c>
      <c r="E195" s="104">
        <f>FilterSpecs!$C$3+3</f>
        <v>8</v>
      </c>
      <c r="F195" s="104" t="s">
        <v>18921</v>
      </c>
      <c r="G195" s="103" t="s">
        <v>497</v>
      </c>
      <c r="H195" s="103" t="s">
        <v>498</v>
      </c>
      <c r="I195" s="103" t="s">
        <v>214</v>
      </c>
      <c r="J195" s="103">
        <v>1</v>
      </c>
      <c r="K195" s="104">
        <v>4.95</v>
      </c>
      <c r="L195" s="103" t="s">
        <v>1911</v>
      </c>
      <c r="M195" s="103"/>
      <c r="N195" s="104">
        <f>E195*K195</f>
        <v>39.6</v>
      </c>
      <c r="O195" s="103" t="s">
        <v>496</v>
      </c>
      <c r="P195" s="103">
        <f t="shared" si="9"/>
        <v>182</v>
      </c>
      <c r="Q195" s="103">
        <f t="shared" si="10"/>
        <v>1</v>
      </c>
      <c r="R195" s="103" t="s">
        <v>8</v>
      </c>
      <c r="S195" s="103" t="str">
        <f>_xlfn.IFS(MouserListTable[[#This Row],[Column1]]=FilterSpecs!$A$6, FilterSpecs!$B$6,MouserListTable[[#This Row],[Column1]]=FilterSpecs!$A$7,FilterSpecs!$B$7,MouserListTable[[#This Row],[Column1]]=FilterSpecs!$A$8,FilterSpecs!$B$8,MouserListTable[[#This Row],[Column1]]=FilterSpecs!$A$9,FilterSpecs!$B$9)</f>
        <v>474-</v>
      </c>
      <c r="T19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474-BOB-09118</v>
      </c>
      <c r="V195" s="151" t="str">
        <f>IF(MouserListTable[[#This Row],[Qty.]]=0, 0, "")</f>
        <v/>
      </c>
    </row>
    <row r="196" spans="1:22" s="144" customFormat="1" x14ac:dyDescent="0.3">
      <c r="A196" s="103" t="s">
        <v>895</v>
      </c>
      <c r="B196" s="103" t="s">
        <v>1607</v>
      </c>
      <c r="C196" s="103" t="s">
        <v>1898</v>
      </c>
      <c r="D196" s="103" t="str">
        <f>IF(MouserListTable[[#This Row],[Vendor]]=FilterSpecs!$A$8,MouserListTable[[#This Row],[Mouser SKU]], MouserListTable[[#This Row],[SKU2]])</f>
        <v>1085</v>
      </c>
      <c r="E196" s="104">
        <v>0</v>
      </c>
      <c r="F196" s="104">
        <v>0</v>
      </c>
      <c r="G196" s="103"/>
      <c r="H196" s="103"/>
      <c r="I196" s="126" t="s">
        <v>2361</v>
      </c>
      <c r="J196" s="146"/>
      <c r="K196" s="148">
        <v>14.95</v>
      </c>
      <c r="L196" s="126" t="s">
        <v>1910</v>
      </c>
      <c r="M196" s="146"/>
      <c r="N196" s="148"/>
      <c r="O196" s="103" t="s">
        <v>2360</v>
      </c>
      <c r="P196" s="103">
        <f t="shared" si="9"/>
        <v>183</v>
      </c>
      <c r="Q196" s="103">
        <f t="shared" si="10"/>
        <v>1</v>
      </c>
      <c r="R196" s="103" t="s">
        <v>1898</v>
      </c>
      <c r="S196" s="103" t="str">
        <f>_xlfn.IFS(MouserListTable[[#This Row],[Column1]]=FilterSpecs!$A$6, FilterSpecs!$B$6,MouserListTable[[#This Row],[Column1]]=FilterSpecs!$A$7,FilterSpecs!$B$7,MouserListTable[[#This Row],[Column1]]=FilterSpecs!$A$8,FilterSpecs!$B$8,MouserListTable[[#This Row],[Column1]]=FilterSpecs!$A$9,FilterSpecs!$B$9)</f>
        <v>485-</v>
      </c>
      <c r="T19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485-1085</v>
      </c>
      <c r="V196" s="151">
        <f>IF(MouserListTable[[#This Row],[Qty.]]=0, 0, "")</f>
        <v>0</v>
      </c>
    </row>
    <row r="197" spans="1:22" s="144" customFormat="1" x14ac:dyDescent="0.3">
      <c r="A197" s="103" t="s">
        <v>895</v>
      </c>
      <c r="B197" s="103" t="s">
        <v>1607</v>
      </c>
      <c r="C197" s="103" t="s">
        <v>1898</v>
      </c>
      <c r="D197" s="103" t="str">
        <f>IF(MouserListTable[[#This Row],[Vendor]]=FilterSpecs!$A$8,MouserListTable[[#This Row],[Mouser SKU]], MouserListTable[[#This Row],[SKU2]])</f>
        <v>856</v>
      </c>
      <c r="E197" s="104">
        <v>0</v>
      </c>
      <c r="F197" s="104">
        <v>0</v>
      </c>
      <c r="G197" s="103"/>
      <c r="H197" s="103"/>
      <c r="I197" s="126" t="s">
        <v>2363</v>
      </c>
      <c r="J197" s="146"/>
      <c r="K197" s="148">
        <v>3.75</v>
      </c>
      <c r="L197" s="126" t="s">
        <v>1910</v>
      </c>
      <c r="M197" s="146"/>
      <c r="N197" s="148"/>
      <c r="O197" s="103" t="s">
        <v>2362</v>
      </c>
      <c r="P197" s="103">
        <f t="shared" si="9"/>
        <v>184</v>
      </c>
      <c r="Q197" s="103">
        <f t="shared" si="10"/>
        <v>1</v>
      </c>
      <c r="R197" s="103" t="s">
        <v>1898</v>
      </c>
      <c r="S197" s="103" t="str">
        <f>_xlfn.IFS(MouserListTable[[#This Row],[Column1]]=FilterSpecs!$A$6, FilterSpecs!$B$6,MouserListTable[[#This Row],[Column1]]=FilterSpecs!$A$7,FilterSpecs!$B$7,MouserListTable[[#This Row],[Column1]]=FilterSpecs!$A$8,FilterSpecs!$B$8,MouserListTable[[#This Row],[Column1]]=FilterSpecs!$A$9,FilterSpecs!$B$9)</f>
        <v>485-</v>
      </c>
      <c r="T19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485-856</v>
      </c>
      <c r="V197" s="151">
        <f>IF(MouserListTable[[#This Row],[Qty.]]=0, 0, "")</f>
        <v>0</v>
      </c>
    </row>
    <row r="198" spans="1:22" s="144" customFormat="1" x14ac:dyDescent="0.3">
      <c r="A198" s="126" t="s">
        <v>895</v>
      </c>
      <c r="B198" s="126" t="s">
        <v>2041</v>
      </c>
      <c r="C198" s="126" t="s">
        <v>8</v>
      </c>
      <c r="D198" s="103" t="str">
        <f>IF(MouserListTable[[#This Row],[Vendor]]=FilterSpecs!$A$8,MouserListTable[[#This Row],[Mouser SKU]], MouserListTable[[#This Row],[SKU2]])</f>
        <v>CAB-11604</v>
      </c>
      <c r="E198" s="104">
        <v>0</v>
      </c>
      <c r="F198" s="104">
        <v>0</v>
      </c>
      <c r="G198" s="103" t="s">
        <v>1504</v>
      </c>
      <c r="H198" s="103" t="s">
        <v>1505</v>
      </c>
      <c r="I198" s="103" t="s">
        <v>1506</v>
      </c>
      <c r="J198" s="103">
        <v>1</v>
      </c>
      <c r="K198" s="104">
        <v>2.95</v>
      </c>
      <c r="L198" s="103" t="s">
        <v>1910</v>
      </c>
      <c r="M198" s="146"/>
      <c r="N198" s="148">
        <v>0</v>
      </c>
      <c r="O198" s="103" t="s">
        <v>1503</v>
      </c>
      <c r="P198" s="103">
        <f t="shared" si="9"/>
        <v>185</v>
      </c>
      <c r="Q198" s="103">
        <f t="shared" si="10"/>
        <v>1</v>
      </c>
      <c r="R198" s="103" t="s">
        <v>8</v>
      </c>
      <c r="S198" s="103" t="str">
        <f>_xlfn.IFS(MouserListTable[[#This Row],[Column1]]=FilterSpecs!$A$6, FilterSpecs!$B$6,MouserListTable[[#This Row],[Column1]]=FilterSpecs!$A$7,FilterSpecs!$B$7,MouserListTable[[#This Row],[Column1]]=FilterSpecs!$A$8,FilterSpecs!$B$8,MouserListTable[[#This Row],[Column1]]=FilterSpecs!$A$9,FilterSpecs!$B$9)</f>
        <v>474-</v>
      </c>
      <c r="T19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474-CAB-11604</v>
      </c>
      <c r="V198" s="151">
        <f>IF(MouserListTable[[#This Row],[Qty.]]=0, 0, "")</f>
        <v>0</v>
      </c>
    </row>
    <row r="199" spans="1:22" s="144" customFormat="1" x14ac:dyDescent="0.3">
      <c r="A199" s="126" t="s">
        <v>895</v>
      </c>
      <c r="B199" s="126" t="s">
        <v>2041</v>
      </c>
      <c r="C199" s="126" t="s">
        <v>8</v>
      </c>
      <c r="D199" s="103" t="str">
        <f>IF(MouserListTable[[#This Row],[Vendor]]=FilterSpecs!$A$8,MouserListTable[[#This Row],[Mouser SKU]], MouserListTable[[#This Row],[SKU2]])</f>
        <v>CAB-14276</v>
      </c>
      <c r="E199" s="104">
        <v>0</v>
      </c>
      <c r="F199" s="104">
        <v>0</v>
      </c>
      <c r="G199" s="103" t="s">
        <v>1516</v>
      </c>
      <c r="H199" s="103" t="s">
        <v>1517</v>
      </c>
      <c r="I199" s="103" t="s">
        <v>1518</v>
      </c>
      <c r="J199" s="103"/>
      <c r="K199" s="104">
        <v>2.95</v>
      </c>
      <c r="L199" s="103" t="s">
        <v>1910</v>
      </c>
      <c r="M199" s="146"/>
      <c r="N199" s="148">
        <v>0</v>
      </c>
      <c r="O199" s="103" t="s">
        <v>1515</v>
      </c>
      <c r="P199" s="103">
        <f t="shared" si="9"/>
        <v>186</v>
      </c>
      <c r="Q199" s="103">
        <f t="shared" si="10"/>
        <v>1</v>
      </c>
      <c r="R199" s="103" t="s">
        <v>8</v>
      </c>
      <c r="S199" s="103" t="str">
        <f>_xlfn.IFS(MouserListTable[[#This Row],[Column1]]=FilterSpecs!$A$6, FilterSpecs!$B$6,MouserListTable[[#This Row],[Column1]]=FilterSpecs!$A$7,FilterSpecs!$B$7,MouserListTable[[#This Row],[Column1]]=FilterSpecs!$A$8,FilterSpecs!$B$8,MouserListTable[[#This Row],[Column1]]=FilterSpecs!$A$9,FilterSpecs!$B$9)</f>
        <v>474-</v>
      </c>
      <c r="T19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474-CAB-14276</v>
      </c>
      <c r="V199" s="151">
        <f>IF(MouserListTable[[#This Row],[Qty.]]=0, 0, "")</f>
        <v>0</v>
      </c>
    </row>
    <row r="200" spans="1:22" s="144" customFormat="1" x14ac:dyDescent="0.3">
      <c r="A200" s="126" t="s">
        <v>895</v>
      </c>
      <c r="B200" s="126" t="s">
        <v>2041</v>
      </c>
      <c r="C200" s="126" t="s">
        <v>1898</v>
      </c>
      <c r="D200" s="103" t="str">
        <f>IF(MouserListTable[[#This Row],[Vendor]]=FilterSpecs!$A$8,MouserListTable[[#This Row],[Mouser SKU]], MouserListTable[[#This Row],[SKU2]])</f>
        <v>1099</v>
      </c>
      <c r="E200" s="104">
        <v>0</v>
      </c>
      <c r="F200" s="104">
        <v>0</v>
      </c>
      <c r="G200" s="103"/>
      <c r="H200" s="103"/>
      <c r="I200" s="103" t="s">
        <v>2371</v>
      </c>
      <c r="J200" s="103"/>
      <c r="K200" s="104">
        <v>2.5</v>
      </c>
      <c r="L200" s="103" t="s">
        <v>1910</v>
      </c>
      <c r="M200" s="146"/>
      <c r="N200" s="148"/>
      <c r="O200" s="103" t="s">
        <v>2370</v>
      </c>
      <c r="P200" s="103">
        <f t="shared" si="9"/>
        <v>187</v>
      </c>
      <c r="Q200" s="103">
        <f t="shared" si="10"/>
        <v>1</v>
      </c>
      <c r="R200" s="103" t="s">
        <v>1898</v>
      </c>
      <c r="S200" s="103" t="str">
        <f>_xlfn.IFS(MouserListTable[[#This Row],[Column1]]=FilterSpecs!$A$6, FilterSpecs!$B$6,MouserListTable[[#This Row],[Column1]]=FilterSpecs!$A$7,FilterSpecs!$B$7,MouserListTable[[#This Row],[Column1]]=FilterSpecs!$A$8,FilterSpecs!$B$8,MouserListTable[[#This Row],[Column1]]=FilterSpecs!$A$9,FilterSpecs!$B$9)</f>
        <v>485-</v>
      </c>
      <c r="T20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485-1099</v>
      </c>
      <c r="V200" s="151">
        <f>IF(MouserListTable[[#This Row],[Qty.]]=0, 0, "")</f>
        <v>0</v>
      </c>
    </row>
    <row r="201" spans="1:22" s="144" customFormat="1" x14ac:dyDescent="0.3">
      <c r="A201" s="103" t="s">
        <v>895</v>
      </c>
      <c r="B201" s="103" t="s">
        <v>2041</v>
      </c>
      <c r="C201" s="103" t="s">
        <v>1898</v>
      </c>
      <c r="D201" s="103" t="str">
        <f>IF(MouserListTable[[#This Row],[Vendor]]=FilterSpecs!$A$8,MouserListTable[[#This Row],[Mouser SKU]], MouserListTable[[#This Row],[SKU2]])</f>
        <v>2910</v>
      </c>
      <c r="E201" s="104">
        <f>FilterSpecs!$C$3</f>
        <v>5</v>
      </c>
      <c r="F201" s="104" t="s">
        <v>18921</v>
      </c>
      <c r="G201" s="103"/>
      <c r="H201" s="103"/>
      <c r="I201" s="103" t="s">
        <v>2367</v>
      </c>
      <c r="J201" s="103"/>
      <c r="K201" s="104">
        <v>2.95</v>
      </c>
      <c r="L201" s="103" t="s">
        <v>1911</v>
      </c>
      <c r="M201" s="106"/>
      <c r="N201" s="104">
        <f>E201*K201</f>
        <v>14.75</v>
      </c>
      <c r="O201" s="103" t="s">
        <v>2366</v>
      </c>
      <c r="P201" s="103">
        <f t="shared" si="9"/>
        <v>188</v>
      </c>
      <c r="Q201" s="103">
        <f t="shared" si="10"/>
        <v>1</v>
      </c>
      <c r="R201" s="103" t="s">
        <v>1898</v>
      </c>
      <c r="S201" s="103" t="str">
        <f>_xlfn.IFS(MouserListTable[[#This Row],[Column1]]=FilterSpecs!$A$6, FilterSpecs!$B$6,MouserListTable[[#This Row],[Column1]]=FilterSpecs!$A$7,FilterSpecs!$B$7,MouserListTable[[#This Row],[Column1]]=FilterSpecs!$A$8,FilterSpecs!$B$8,MouserListTable[[#This Row],[Column1]]=FilterSpecs!$A$9,FilterSpecs!$B$9)</f>
        <v>485-</v>
      </c>
      <c r="T20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485-2910</v>
      </c>
      <c r="V201" s="151" t="str">
        <f>IF(MouserListTable[[#This Row],[Qty.]]=0, 0, "")</f>
        <v/>
      </c>
    </row>
    <row r="202" spans="1:22" s="144" customFormat="1" x14ac:dyDescent="0.3">
      <c r="A202" s="103" t="s">
        <v>895</v>
      </c>
      <c r="B202" s="103" t="s">
        <v>2041</v>
      </c>
      <c r="C202" s="103" t="s">
        <v>8</v>
      </c>
      <c r="D202" s="103" t="str">
        <f>IF(MouserListTable[[#This Row],[Vendor]]=FilterSpecs!$A$8,MouserListTable[[#This Row],[Mouser SKU]], MouserListTable[[#This Row],[SKU2]])</f>
        <v>CAB-12977</v>
      </c>
      <c r="E202" s="104">
        <v>1</v>
      </c>
      <c r="F202" s="104" t="s">
        <v>18921</v>
      </c>
      <c r="G202" s="103" t="s">
        <v>245</v>
      </c>
      <c r="H202" s="103" t="s">
        <v>246</v>
      </c>
      <c r="I202" s="103" t="s">
        <v>247</v>
      </c>
      <c r="J202" s="103"/>
      <c r="K202" s="104">
        <v>9.9499999999999993</v>
      </c>
      <c r="L202" s="103" t="s">
        <v>1910</v>
      </c>
      <c r="M202" s="103"/>
      <c r="N202" s="104">
        <f>E202*K202</f>
        <v>9.9499999999999993</v>
      </c>
      <c r="O202" s="103" t="s">
        <v>244</v>
      </c>
      <c r="P202" s="103">
        <f t="shared" si="9"/>
        <v>189</v>
      </c>
      <c r="Q202" s="103">
        <f t="shared" si="10"/>
        <v>1</v>
      </c>
      <c r="R202" s="103" t="s">
        <v>8</v>
      </c>
      <c r="S202" s="103" t="str">
        <f>_xlfn.IFS(MouserListTable[[#This Row],[Column1]]=FilterSpecs!$A$6, FilterSpecs!$B$6,MouserListTable[[#This Row],[Column1]]=FilterSpecs!$A$7,FilterSpecs!$B$7,MouserListTable[[#This Row],[Column1]]=FilterSpecs!$A$8,FilterSpecs!$B$8,MouserListTable[[#This Row],[Column1]]=FilterSpecs!$A$9,FilterSpecs!$B$9)</f>
        <v>474-</v>
      </c>
      <c r="T20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474-CAB-12977</v>
      </c>
      <c r="V202" s="151" t="str">
        <f>IF(MouserListTable[[#This Row],[Qty.]]=0, 0, "")</f>
        <v/>
      </c>
    </row>
    <row r="203" spans="1:22" s="144" customFormat="1" x14ac:dyDescent="0.3">
      <c r="A203" s="103" t="s">
        <v>895</v>
      </c>
      <c r="B203" s="103" t="s">
        <v>2041</v>
      </c>
      <c r="C203" s="103" t="s">
        <v>1898</v>
      </c>
      <c r="D203" s="103" t="str">
        <f>IF(MouserListTable[[#This Row],[Vendor]]=FilterSpecs!$A$8,MouserListTable[[#This Row],[Mouser SKU]], MouserListTable[[#This Row],[SKU2]])</f>
        <v>1620</v>
      </c>
      <c r="E203" s="104">
        <v>0</v>
      </c>
      <c r="F203" s="104">
        <v>0</v>
      </c>
      <c r="G203" s="103"/>
      <c r="H203" s="103"/>
      <c r="I203" s="126" t="s">
        <v>2369</v>
      </c>
      <c r="J203" s="146"/>
      <c r="K203" s="148">
        <v>2.95</v>
      </c>
      <c r="L203" s="126" t="s">
        <v>1910</v>
      </c>
      <c r="M203" s="146"/>
      <c r="N203" s="148"/>
      <c r="O203" s="103" t="s">
        <v>2368</v>
      </c>
      <c r="P203" s="103">
        <f t="shared" si="9"/>
        <v>190</v>
      </c>
      <c r="Q203" s="103">
        <f t="shared" si="10"/>
        <v>1</v>
      </c>
      <c r="R203" s="103" t="s">
        <v>1898</v>
      </c>
      <c r="S203" s="103" t="str">
        <f>_xlfn.IFS(MouserListTable[[#This Row],[Column1]]=FilterSpecs!$A$6, FilterSpecs!$B$6,MouserListTable[[#This Row],[Column1]]=FilterSpecs!$A$7,FilterSpecs!$B$7,MouserListTable[[#This Row],[Column1]]=FilterSpecs!$A$8,FilterSpecs!$B$8,MouserListTable[[#This Row],[Column1]]=FilterSpecs!$A$9,FilterSpecs!$B$9)</f>
        <v>485-</v>
      </c>
      <c r="T20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485-1620</v>
      </c>
      <c r="V203" s="151">
        <f>IF(MouserListTable[[#This Row],[Qty.]]=0, 0, "")</f>
        <v>0</v>
      </c>
    </row>
    <row r="204" spans="1:22" s="146" customFormat="1" x14ac:dyDescent="0.3">
      <c r="A204" s="103" t="s">
        <v>895</v>
      </c>
      <c r="B204" s="103" t="s">
        <v>2041</v>
      </c>
      <c r="C204" s="103" t="s">
        <v>8</v>
      </c>
      <c r="D204" s="103" t="str">
        <f>IF(MouserListTable[[#This Row],[Vendor]]=FilterSpecs!$A$8,MouserListTable[[#This Row],[Mouser SKU]], MouserListTable[[#This Row],[SKU2]])</f>
        <v>CAB-12016</v>
      </c>
      <c r="E204" s="104">
        <v>1</v>
      </c>
      <c r="F204" s="104" t="s">
        <v>18921</v>
      </c>
      <c r="G204" s="103" t="s">
        <v>253</v>
      </c>
      <c r="H204" s="103" t="s">
        <v>254</v>
      </c>
      <c r="I204" s="103" t="s">
        <v>255</v>
      </c>
      <c r="K204" s="104">
        <v>6.97</v>
      </c>
      <c r="L204" s="103" t="s">
        <v>1910</v>
      </c>
      <c r="M204" s="106"/>
      <c r="N204" s="104">
        <f>E204*K204</f>
        <v>6.97</v>
      </c>
      <c r="O204" s="103" t="s">
        <v>252</v>
      </c>
      <c r="P204" s="103">
        <f t="shared" si="9"/>
        <v>191</v>
      </c>
      <c r="Q204" s="103">
        <f t="shared" si="10"/>
        <v>1</v>
      </c>
      <c r="R204" s="103" t="s">
        <v>8</v>
      </c>
      <c r="S204" s="103" t="str">
        <f>_xlfn.IFS(MouserListTable[[#This Row],[Column1]]=FilterSpecs!$A$6, FilterSpecs!$B$6,MouserListTable[[#This Row],[Column1]]=FilterSpecs!$A$7,FilterSpecs!$B$7,MouserListTable[[#This Row],[Column1]]=FilterSpecs!$A$8,FilterSpecs!$B$8,MouserListTable[[#This Row],[Column1]]=FilterSpecs!$A$9,FilterSpecs!$B$9)</f>
        <v>474-</v>
      </c>
      <c r="T20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474-CAB-12016</v>
      </c>
      <c r="V204" s="151" t="str">
        <f>IF(MouserListTable[[#This Row],[Qty.]]=0, 0, "")</f>
        <v/>
      </c>
    </row>
    <row r="205" spans="1:22" s="146" customFormat="1" x14ac:dyDescent="0.3">
      <c r="A205" s="103" t="s">
        <v>895</v>
      </c>
      <c r="B205" s="103" t="s">
        <v>1604</v>
      </c>
      <c r="C205" s="103" t="s">
        <v>8</v>
      </c>
      <c r="D205" s="103" t="str">
        <f>IF(MouserListTable[[#This Row],[Vendor]]=FilterSpecs!$A$8,MouserListTable[[#This Row],[Mouser SKU]], MouserListTable[[#This Row],[SKU2]])</f>
        <v>DEV-14050</v>
      </c>
      <c r="E205" s="104">
        <f>FilterSpecs!$C$3</f>
        <v>5</v>
      </c>
      <c r="F205" s="104" t="s">
        <v>18921</v>
      </c>
      <c r="G205" s="103" t="s">
        <v>281</v>
      </c>
      <c r="H205" s="103" t="s">
        <v>282</v>
      </c>
      <c r="I205" s="103" t="s">
        <v>224</v>
      </c>
      <c r="J205" s="103"/>
      <c r="K205" s="104">
        <v>6.95</v>
      </c>
      <c r="L205" s="103" t="s">
        <v>1911</v>
      </c>
      <c r="M205" s="103"/>
      <c r="N205" s="104">
        <f>E205*K205</f>
        <v>34.75</v>
      </c>
      <c r="O205" s="103" t="s">
        <v>280</v>
      </c>
      <c r="P205" s="103">
        <f t="shared" si="9"/>
        <v>192</v>
      </c>
      <c r="Q205" s="103">
        <f t="shared" si="10"/>
        <v>1</v>
      </c>
      <c r="R205" s="103" t="s">
        <v>8</v>
      </c>
      <c r="S205" s="103" t="str">
        <f>_xlfn.IFS(MouserListTable[[#This Row],[Column1]]=FilterSpecs!$A$6, FilterSpecs!$B$6,MouserListTable[[#This Row],[Column1]]=FilterSpecs!$A$7,FilterSpecs!$B$7,MouserListTable[[#This Row],[Column1]]=FilterSpecs!$A$8,FilterSpecs!$B$8,MouserListTable[[#This Row],[Column1]]=FilterSpecs!$A$9,FilterSpecs!$B$9)</f>
        <v>474-</v>
      </c>
      <c r="T20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474-DEV-14050</v>
      </c>
      <c r="V205" s="151" t="str">
        <f>IF(MouserListTable[[#This Row],[Qty.]]=0, 0, "")</f>
        <v/>
      </c>
    </row>
    <row r="206" spans="1:22" s="146" customFormat="1" x14ac:dyDescent="0.3">
      <c r="A206" s="103" t="s">
        <v>895</v>
      </c>
      <c r="B206" s="103" t="s">
        <v>1604</v>
      </c>
      <c r="C206" s="103" t="s">
        <v>8</v>
      </c>
      <c r="D206" s="103" t="str">
        <f>IF(MouserListTable[[#This Row],[Vendor]]=FilterSpecs!$A$8,MouserListTable[[#This Row],[Mouser SKU]], MouserListTable[[#This Row],[SKU2]])</f>
        <v>BOB-13830</v>
      </c>
      <c r="E206" s="104">
        <f>FilterSpecs!$C$3</f>
        <v>5</v>
      </c>
      <c r="F206" s="104" t="s">
        <v>18921</v>
      </c>
      <c r="G206" s="103" t="s">
        <v>284</v>
      </c>
      <c r="H206" s="103" t="s">
        <v>285</v>
      </c>
      <c r="I206" s="103" t="s">
        <v>210</v>
      </c>
      <c r="J206" s="103">
        <v>1</v>
      </c>
      <c r="K206" s="104">
        <v>12.95</v>
      </c>
      <c r="L206" s="103" t="s">
        <v>1911</v>
      </c>
      <c r="M206" s="103"/>
      <c r="N206" s="104">
        <f>E206*K206</f>
        <v>64.75</v>
      </c>
      <c r="O206" s="103" t="s">
        <v>283</v>
      </c>
      <c r="P206" s="103">
        <f t="shared" si="9"/>
        <v>193</v>
      </c>
      <c r="Q206" s="103">
        <f t="shared" si="10"/>
        <v>1</v>
      </c>
      <c r="R206" s="103" t="s">
        <v>8</v>
      </c>
      <c r="S206" s="103" t="str">
        <f>_xlfn.IFS(MouserListTable[[#This Row],[Column1]]=FilterSpecs!$A$6, FilterSpecs!$B$6,MouserListTable[[#This Row],[Column1]]=FilterSpecs!$A$7,FilterSpecs!$B$7,MouserListTable[[#This Row],[Column1]]=FilterSpecs!$A$8,FilterSpecs!$B$8,MouserListTable[[#This Row],[Column1]]=FilterSpecs!$A$9,FilterSpecs!$B$9)</f>
        <v>474-</v>
      </c>
      <c r="T20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474-BOB-13830</v>
      </c>
      <c r="V206" s="151" t="str">
        <f>IF(MouserListTable[[#This Row],[Qty.]]=0, 0, "")</f>
        <v/>
      </c>
    </row>
    <row r="207" spans="1:22" s="146" customFormat="1" x14ac:dyDescent="0.3">
      <c r="A207" s="126" t="s">
        <v>895</v>
      </c>
      <c r="B207" s="126" t="s">
        <v>1604</v>
      </c>
      <c r="C207" s="126" t="s">
        <v>8</v>
      </c>
      <c r="D207" s="103" t="str">
        <f>IF(MouserListTable[[#This Row],[Vendor]]=FilterSpecs!$A$8,MouserListTable[[#This Row],[Mouser SKU]], MouserListTable[[#This Row],[SKU2]])</f>
        <v>BOB-12731</v>
      </c>
      <c r="E207" s="104">
        <v>0</v>
      </c>
      <c r="F207" s="104">
        <v>0</v>
      </c>
      <c r="G207" s="103" t="s">
        <v>930</v>
      </c>
      <c r="H207" s="103" t="s">
        <v>931</v>
      </c>
      <c r="I207" s="103" t="s">
        <v>932</v>
      </c>
      <c r="J207" s="103">
        <v>1</v>
      </c>
      <c r="K207" s="104">
        <v>14.95</v>
      </c>
      <c r="L207" s="103" t="s">
        <v>1910</v>
      </c>
      <c r="M207" s="103"/>
      <c r="N207" s="104">
        <v>0</v>
      </c>
      <c r="O207" s="103" t="s">
        <v>929</v>
      </c>
      <c r="P207" s="103">
        <f t="shared" si="9"/>
        <v>194</v>
      </c>
      <c r="Q207" s="103">
        <f t="shared" si="10"/>
        <v>1</v>
      </c>
      <c r="R207" s="103" t="s">
        <v>8</v>
      </c>
      <c r="S207" s="103" t="str">
        <f>_xlfn.IFS(MouserListTable[[#This Row],[Column1]]=FilterSpecs!$A$6, FilterSpecs!$B$6,MouserListTable[[#This Row],[Column1]]=FilterSpecs!$A$7,FilterSpecs!$B$7,MouserListTable[[#This Row],[Column1]]=FilterSpecs!$A$8,FilterSpecs!$B$8,MouserListTable[[#This Row],[Column1]]=FilterSpecs!$A$9,FilterSpecs!$B$9)</f>
        <v>474-</v>
      </c>
      <c r="T20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474-BOB-12731</v>
      </c>
      <c r="V207" s="151">
        <f>IF(MouserListTable[[#This Row],[Qty.]]=0, 0, "")</f>
        <v>0</v>
      </c>
    </row>
    <row r="208" spans="1:22" s="146" customFormat="1" x14ac:dyDescent="0.3">
      <c r="A208" s="103" t="s">
        <v>895</v>
      </c>
      <c r="B208" s="103" t="s">
        <v>1604</v>
      </c>
      <c r="C208" s="103" t="s">
        <v>8</v>
      </c>
      <c r="D208" s="103" t="str">
        <f>IF(MouserListTable[[#This Row],[Vendor]]=FilterSpecs!$A$8,MouserListTable[[#This Row],[Mouser SKU]], MouserListTable[[#This Row],[SKU2]])</f>
        <v>BOB-13263</v>
      </c>
      <c r="E208" s="104">
        <v>1</v>
      </c>
      <c r="F208" s="104" t="s">
        <v>18921</v>
      </c>
      <c r="G208" s="103" t="s">
        <v>1016</v>
      </c>
      <c r="H208" s="103" t="s">
        <v>1017</v>
      </c>
      <c r="I208" s="103" t="s">
        <v>1018</v>
      </c>
      <c r="J208" s="103">
        <v>1</v>
      </c>
      <c r="K208" s="104">
        <v>11.95</v>
      </c>
      <c r="L208" s="103" t="s">
        <v>1910</v>
      </c>
      <c r="M208" s="103"/>
      <c r="N208" s="104">
        <f>E208*K208</f>
        <v>11.95</v>
      </c>
      <c r="O208" s="103" t="s">
        <v>1015</v>
      </c>
      <c r="P208" s="103">
        <f t="shared" ref="P208:P271" si="15">IF($P207="List #",1,$P207+1)</f>
        <v>195</v>
      </c>
      <c r="Q208" s="103">
        <f t="shared" ref="Q208:Q271" si="16">IF($D208=$O208,1,0)</f>
        <v>1</v>
      </c>
      <c r="R208" s="103" t="s">
        <v>8</v>
      </c>
      <c r="S208" s="103" t="str">
        <f>_xlfn.IFS(MouserListTable[[#This Row],[Column1]]=FilterSpecs!$A$6, FilterSpecs!$B$6,MouserListTable[[#This Row],[Column1]]=FilterSpecs!$A$7,FilterSpecs!$B$7,MouserListTable[[#This Row],[Column1]]=FilterSpecs!$A$8,FilterSpecs!$B$8,MouserListTable[[#This Row],[Column1]]=FilterSpecs!$A$9,FilterSpecs!$B$9)</f>
        <v>474-</v>
      </c>
      <c r="T20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474-BOB-13263</v>
      </c>
      <c r="V208" s="151" t="str">
        <f>IF(MouserListTable[[#This Row],[Qty.]]=0, 0, "")</f>
        <v/>
      </c>
    </row>
    <row r="209" spans="1:22" s="146" customFormat="1" x14ac:dyDescent="0.3">
      <c r="A209" s="103" t="s">
        <v>895</v>
      </c>
      <c r="B209" s="103" t="s">
        <v>1604</v>
      </c>
      <c r="C209" s="103" t="s">
        <v>8</v>
      </c>
      <c r="D209" s="103" t="str">
        <f>IF(MouserListTable[[#This Row],[Vendor]]=FilterSpecs!$A$8,MouserListTable[[#This Row],[Mouser SKU]], MouserListTable[[#This Row],[SKU2]])</f>
        <v>DEV-12935</v>
      </c>
      <c r="E209" s="104">
        <v>1</v>
      </c>
      <c r="F209" s="104" t="s">
        <v>18921</v>
      </c>
      <c r="G209" s="103" t="s">
        <v>1020</v>
      </c>
      <c r="H209" s="103" t="s">
        <v>1021</v>
      </c>
      <c r="I209" s="103" t="s">
        <v>1022</v>
      </c>
      <c r="J209" s="103">
        <v>1</v>
      </c>
      <c r="K209" s="104">
        <v>19.95</v>
      </c>
      <c r="L209" s="103" t="s">
        <v>1910</v>
      </c>
      <c r="M209" s="103"/>
      <c r="N209" s="104">
        <f>E209*K209</f>
        <v>19.95</v>
      </c>
      <c r="O209" s="103" t="s">
        <v>1019</v>
      </c>
      <c r="P209" s="103">
        <f t="shared" si="15"/>
        <v>196</v>
      </c>
      <c r="Q209" s="103">
        <f t="shared" si="16"/>
        <v>1</v>
      </c>
      <c r="R209" s="103" t="s">
        <v>8</v>
      </c>
      <c r="S209" s="103" t="str">
        <f>_xlfn.IFS(MouserListTable[[#This Row],[Column1]]=FilterSpecs!$A$6, FilterSpecs!$B$6,MouserListTable[[#This Row],[Column1]]=FilterSpecs!$A$7,FilterSpecs!$B$7,MouserListTable[[#This Row],[Column1]]=FilterSpecs!$A$8,FilterSpecs!$B$8,MouserListTable[[#This Row],[Column1]]=FilterSpecs!$A$9,FilterSpecs!$B$9)</f>
        <v>474-</v>
      </c>
      <c r="T20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474-DEV-12935</v>
      </c>
      <c r="V209" s="151" t="str">
        <f>IF(MouserListTable[[#This Row],[Qty.]]=0, 0, "")</f>
        <v/>
      </c>
    </row>
    <row r="210" spans="1:22" s="146" customFormat="1" x14ac:dyDescent="0.3">
      <c r="A210" s="103" t="s">
        <v>1070</v>
      </c>
      <c r="B210" s="103" t="s">
        <v>1603</v>
      </c>
      <c r="C210" s="103" t="s">
        <v>8</v>
      </c>
      <c r="D210" s="103" t="str">
        <f>IF(MouserListTable[[#This Row],[Vendor]]=FilterSpecs!$A$8,MouserListTable[[#This Row],[Mouser SKU]], MouserListTable[[#This Row],[SKU2]])</f>
        <v>PRT-12885</v>
      </c>
      <c r="E210" s="104">
        <v>1</v>
      </c>
      <c r="F210" s="104" t="s">
        <v>18921</v>
      </c>
      <c r="G210" s="103" t="s">
        <v>1528</v>
      </c>
      <c r="H210" s="103" t="s">
        <v>1529</v>
      </c>
      <c r="I210" s="103" t="s">
        <v>1530</v>
      </c>
      <c r="J210" s="103">
        <v>1</v>
      </c>
      <c r="K210" s="104">
        <v>24.95</v>
      </c>
      <c r="L210" s="103" t="s">
        <v>1914</v>
      </c>
      <c r="M210" s="106"/>
      <c r="N210" s="104">
        <f>E210*K210</f>
        <v>24.95</v>
      </c>
      <c r="O210" s="103" t="s">
        <v>1527</v>
      </c>
      <c r="P210" s="103">
        <f t="shared" si="15"/>
        <v>197</v>
      </c>
      <c r="Q210" s="103">
        <f t="shared" si="16"/>
        <v>1</v>
      </c>
      <c r="R210" s="103" t="s">
        <v>8</v>
      </c>
      <c r="S210" s="103" t="str">
        <f>_xlfn.IFS(MouserListTable[[#This Row],[Column1]]=FilterSpecs!$A$6, FilterSpecs!$B$6,MouserListTable[[#This Row],[Column1]]=FilterSpecs!$A$7,FilterSpecs!$B$7,MouserListTable[[#This Row],[Column1]]=FilterSpecs!$A$8,FilterSpecs!$B$8,MouserListTable[[#This Row],[Column1]]=FilterSpecs!$A$9,FilterSpecs!$B$9)</f>
        <v>474-</v>
      </c>
      <c r="T21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474-PRT-12885</v>
      </c>
      <c r="V210" s="151" t="str">
        <f>IF(MouserListTable[[#This Row],[Qty.]]=0, 0, "")</f>
        <v/>
      </c>
    </row>
    <row r="211" spans="1:22" s="146" customFormat="1" x14ac:dyDescent="0.3">
      <c r="A211" s="103" t="s">
        <v>1070</v>
      </c>
      <c r="B211" s="103" t="s">
        <v>1013</v>
      </c>
      <c r="C211" s="103" t="s">
        <v>8</v>
      </c>
      <c r="D211" s="103" t="str">
        <f>IF(MouserListTable[[#This Row],[Vendor]]=FilterSpecs!$A$8,MouserListTable[[#This Row],[Mouser SKU]], MouserListTable[[#This Row],[SKU2]])</f>
        <v>GPS-00177</v>
      </c>
      <c r="E211" s="104">
        <v>1</v>
      </c>
      <c r="F211" s="104" t="s">
        <v>18921</v>
      </c>
      <c r="G211" s="103" t="s">
        <v>950</v>
      </c>
      <c r="H211" s="103" t="s">
        <v>951</v>
      </c>
      <c r="I211" s="103" t="s">
        <v>952</v>
      </c>
      <c r="J211" s="103"/>
      <c r="K211" s="104">
        <v>11.95</v>
      </c>
      <c r="L211" s="103" t="s">
        <v>1914</v>
      </c>
      <c r="M211" s="103" t="s">
        <v>1063</v>
      </c>
      <c r="N211" s="104">
        <f>E211*K211</f>
        <v>11.95</v>
      </c>
      <c r="O211" s="103" t="s">
        <v>949</v>
      </c>
      <c r="P211" s="103">
        <f t="shared" si="15"/>
        <v>198</v>
      </c>
      <c r="Q211" s="103">
        <f t="shared" si="16"/>
        <v>1</v>
      </c>
      <c r="R211" s="103" t="s">
        <v>8</v>
      </c>
      <c r="S211" s="103" t="str">
        <f>_xlfn.IFS(MouserListTable[[#This Row],[Column1]]=FilterSpecs!$A$6, FilterSpecs!$B$6,MouserListTable[[#This Row],[Column1]]=FilterSpecs!$A$7,FilterSpecs!$B$7,MouserListTable[[#This Row],[Column1]]=FilterSpecs!$A$8,FilterSpecs!$B$8,MouserListTable[[#This Row],[Column1]]=FilterSpecs!$A$9,FilterSpecs!$B$9)</f>
        <v>474-</v>
      </c>
      <c r="T21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474-GPS-00177</v>
      </c>
      <c r="V211" s="151" t="str">
        <f>IF(MouserListTable[[#This Row],[Qty.]]=0, 0, "")</f>
        <v/>
      </c>
    </row>
    <row r="212" spans="1:22" s="153" customFormat="1" x14ac:dyDescent="0.3">
      <c r="A212" s="103" t="s">
        <v>1070</v>
      </c>
      <c r="B212" s="103" t="s">
        <v>1013</v>
      </c>
      <c r="C212" s="103" t="s">
        <v>8</v>
      </c>
      <c r="D212" s="103" t="str">
        <f>IF(MouserListTable[[#This Row],[Vendor]]=FilterSpecs!$A$8,MouserListTable[[#This Row],[Mouser SKU]], MouserListTable[[#This Row],[SKU2]])</f>
        <v>SPX-14416</v>
      </c>
      <c r="E212" s="104">
        <v>1</v>
      </c>
      <c r="F212" s="104" t="s">
        <v>18921</v>
      </c>
      <c r="G212" s="103" t="s">
        <v>970</v>
      </c>
      <c r="H212" s="103" t="s">
        <v>971</v>
      </c>
      <c r="I212" s="103" t="s">
        <v>972</v>
      </c>
      <c r="J212" s="103">
        <v>1</v>
      </c>
      <c r="K212" s="104">
        <v>49.95</v>
      </c>
      <c r="L212" s="103" t="s">
        <v>1914</v>
      </c>
      <c r="M212" s="103" t="s">
        <v>1056</v>
      </c>
      <c r="N212" s="104">
        <f>E212*K212</f>
        <v>49.95</v>
      </c>
      <c r="O212" s="103" t="s">
        <v>969</v>
      </c>
      <c r="P212" s="103">
        <f t="shared" si="15"/>
        <v>199</v>
      </c>
      <c r="Q212" s="103">
        <f t="shared" si="16"/>
        <v>1</v>
      </c>
      <c r="R212" s="103" t="s">
        <v>8</v>
      </c>
      <c r="S212" s="103" t="str">
        <f>_xlfn.IFS(MouserListTable[[#This Row],[Column1]]=FilterSpecs!$A$6, FilterSpecs!$B$6,MouserListTable[[#This Row],[Column1]]=FilterSpecs!$A$7,FilterSpecs!$B$7,MouserListTable[[#This Row],[Column1]]=FilterSpecs!$A$8,FilterSpecs!$B$8,MouserListTable[[#This Row],[Column1]]=FilterSpecs!$A$9,FilterSpecs!$B$9)</f>
        <v>474-</v>
      </c>
      <c r="T21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474-SPX-14416</v>
      </c>
      <c r="V212" s="151" t="str">
        <f>IF(MouserListTable[[#This Row],[Qty.]]=0, 0, "")</f>
        <v/>
      </c>
    </row>
    <row r="213" spans="1:22" s="153" customFormat="1" x14ac:dyDescent="0.3">
      <c r="A213" s="126" t="s">
        <v>1070</v>
      </c>
      <c r="B213" s="157" t="s">
        <v>1013</v>
      </c>
      <c r="C213" s="157" t="s">
        <v>8</v>
      </c>
      <c r="D213" s="103" t="str">
        <f>IF(MouserListTable[[#This Row],[Vendor]]=FilterSpecs!$A$8,MouserListTable[[#This Row],[Mouser SKU]], MouserListTable[[#This Row],[SKU2]])</f>
        <v>GPS-13750</v>
      </c>
      <c r="E213" s="104">
        <v>0</v>
      </c>
      <c r="F213" s="104">
        <v>0</v>
      </c>
      <c r="G213" s="103" t="s">
        <v>990</v>
      </c>
      <c r="H213" s="103" t="s">
        <v>991</v>
      </c>
      <c r="I213" s="103" t="s">
        <v>992</v>
      </c>
      <c r="J213" s="103">
        <v>1</v>
      </c>
      <c r="K213" s="104">
        <v>44.95</v>
      </c>
      <c r="L213" s="103" t="s">
        <v>1914</v>
      </c>
      <c r="M213" s="103" t="s">
        <v>1057</v>
      </c>
      <c r="N213" s="104">
        <v>0</v>
      </c>
      <c r="O213" s="103" t="s">
        <v>989</v>
      </c>
      <c r="P213" s="103">
        <f t="shared" si="15"/>
        <v>200</v>
      </c>
      <c r="Q213" s="103">
        <f t="shared" si="16"/>
        <v>1</v>
      </c>
      <c r="R213" s="154" t="s">
        <v>8</v>
      </c>
      <c r="S213" s="103" t="str">
        <f>_xlfn.IFS(MouserListTable[[#This Row],[Column1]]=FilterSpecs!$A$6, FilterSpecs!$B$6,MouserListTable[[#This Row],[Column1]]=FilterSpecs!$A$7,FilterSpecs!$B$7,MouserListTable[[#This Row],[Column1]]=FilterSpecs!$A$8,FilterSpecs!$B$8,MouserListTable[[#This Row],[Column1]]=FilterSpecs!$A$9,FilterSpecs!$B$9)</f>
        <v>474-</v>
      </c>
      <c r="T21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474-GPS-13750</v>
      </c>
      <c r="V213" s="151">
        <f>IF(MouserListTable[[#This Row],[Qty.]]=0, 0, "")</f>
        <v>0</v>
      </c>
    </row>
    <row r="214" spans="1:22" s="153" customFormat="1" x14ac:dyDescent="0.3">
      <c r="A214" s="103" t="s">
        <v>1070</v>
      </c>
      <c r="B214" s="103" t="s">
        <v>1013</v>
      </c>
      <c r="C214" s="103" t="s">
        <v>8</v>
      </c>
      <c r="D214" s="103" t="str">
        <f>IF(MouserListTable[[#This Row],[Vendor]]=FilterSpecs!$A$8,MouserListTable[[#This Row],[Mouser SKU]], MouserListTable[[#This Row],[SKU2]])</f>
        <v>GPS-10920</v>
      </c>
      <c r="E214" s="104">
        <v>1</v>
      </c>
      <c r="F214" s="104" t="s">
        <v>18921</v>
      </c>
      <c r="G214" s="103" t="s">
        <v>954</v>
      </c>
      <c r="H214" s="103" t="s">
        <v>955</v>
      </c>
      <c r="I214" s="103" t="s">
        <v>956</v>
      </c>
      <c r="J214" s="103">
        <v>1</v>
      </c>
      <c r="K214" s="104">
        <v>59.95</v>
      </c>
      <c r="L214" s="103" t="s">
        <v>1914</v>
      </c>
      <c r="M214" s="103" t="s">
        <v>1057</v>
      </c>
      <c r="N214" s="104">
        <f>E214*K214</f>
        <v>59.95</v>
      </c>
      <c r="O214" s="103" t="s">
        <v>953</v>
      </c>
      <c r="P214" s="103">
        <f t="shared" si="15"/>
        <v>201</v>
      </c>
      <c r="Q214" s="103">
        <f t="shared" si="16"/>
        <v>1</v>
      </c>
      <c r="R214" s="103" t="s">
        <v>8</v>
      </c>
      <c r="S214" s="103" t="str">
        <f>_xlfn.IFS(MouserListTable[[#This Row],[Column1]]=FilterSpecs!$A$6, FilterSpecs!$B$6,MouserListTable[[#This Row],[Column1]]=FilterSpecs!$A$7,FilterSpecs!$B$7,MouserListTable[[#This Row],[Column1]]=FilterSpecs!$A$8,FilterSpecs!$B$8,MouserListTable[[#This Row],[Column1]]=FilterSpecs!$A$9,FilterSpecs!$B$9)</f>
        <v>474-</v>
      </c>
      <c r="T21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474-GPS-10920</v>
      </c>
      <c r="V214" s="151" t="str">
        <f>IF(MouserListTable[[#This Row],[Qty.]]=0, 0, "")</f>
        <v/>
      </c>
    </row>
    <row r="215" spans="1:22" s="144" customFormat="1" x14ac:dyDescent="0.3">
      <c r="A215" s="103" t="s">
        <v>1070</v>
      </c>
      <c r="B215" s="103" t="s">
        <v>1013</v>
      </c>
      <c r="C215" s="103" t="s">
        <v>1898</v>
      </c>
      <c r="D215" s="103" t="str">
        <f>IF(MouserListTable[[#This Row],[Vendor]]=FilterSpecs!$A$8,MouserListTable[[#This Row],[Mouser SKU]], MouserListTable[[#This Row],[SKU2]])</f>
        <v>1272</v>
      </c>
      <c r="E215" s="104">
        <v>0</v>
      </c>
      <c r="F215" s="104">
        <v>0</v>
      </c>
      <c r="G215" s="103"/>
      <c r="H215" s="103"/>
      <c r="I215" s="103" t="s">
        <v>2095</v>
      </c>
      <c r="J215" s="103"/>
      <c r="K215" s="104">
        <v>44.95</v>
      </c>
      <c r="L215" s="103" t="s">
        <v>1910</v>
      </c>
      <c r="M215" s="146"/>
      <c r="N215" s="148"/>
      <c r="O215" s="103" t="s">
        <v>2094</v>
      </c>
      <c r="P215" s="103">
        <f t="shared" si="15"/>
        <v>202</v>
      </c>
      <c r="Q215" s="103">
        <f t="shared" si="16"/>
        <v>1</v>
      </c>
      <c r="R215" s="103" t="s">
        <v>1898</v>
      </c>
      <c r="S215" s="103" t="str">
        <f>_xlfn.IFS(MouserListTable[[#This Row],[Column1]]=FilterSpecs!$A$6, FilterSpecs!$B$6,MouserListTable[[#This Row],[Column1]]=FilterSpecs!$A$7,FilterSpecs!$B$7,MouserListTable[[#This Row],[Column1]]=FilterSpecs!$A$8,FilterSpecs!$B$8,MouserListTable[[#This Row],[Column1]]=FilterSpecs!$A$9,FilterSpecs!$B$9)</f>
        <v>485-</v>
      </c>
      <c r="T21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485-1272</v>
      </c>
      <c r="V215" s="151">
        <f>IF(MouserListTable[[#This Row],[Qty.]]=0, 0, "")</f>
        <v>0</v>
      </c>
    </row>
    <row r="216" spans="1:22" s="144" customFormat="1" x14ac:dyDescent="0.3">
      <c r="A216" s="103" t="s">
        <v>1070</v>
      </c>
      <c r="B216" s="103" t="s">
        <v>2065</v>
      </c>
      <c r="C216" s="103" t="s">
        <v>1898</v>
      </c>
      <c r="D216" s="103" t="str">
        <f>IF(MouserListTable[[#This Row],[Vendor]]=FilterSpecs!$A$8,MouserListTable[[#This Row],[Mouser SKU]], MouserListTable[[#This Row],[SKU2]])</f>
        <v>2468</v>
      </c>
      <c r="E216" s="104">
        <v>1</v>
      </c>
      <c r="F216" s="104" t="s">
        <v>18921</v>
      </c>
      <c r="G216" s="103"/>
      <c r="H216" s="103"/>
      <c r="I216" s="103" t="s">
        <v>2072</v>
      </c>
      <c r="J216" s="103"/>
      <c r="K216" s="104">
        <v>39.950000000000003</v>
      </c>
      <c r="L216" s="103" t="s">
        <v>1910</v>
      </c>
      <c r="M216" s="106"/>
      <c r="N216" s="104">
        <f t="shared" ref="N216:N224" si="17">E216*K216</f>
        <v>39.950000000000003</v>
      </c>
      <c r="O216" s="103" t="s">
        <v>2073</v>
      </c>
      <c r="P216" s="103">
        <f t="shared" si="15"/>
        <v>203</v>
      </c>
      <c r="Q216" s="103">
        <f t="shared" si="16"/>
        <v>1</v>
      </c>
      <c r="R216" s="103" t="s">
        <v>1898</v>
      </c>
      <c r="S216" s="103" t="str">
        <f>_xlfn.IFS(MouserListTable[[#This Row],[Column1]]=FilterSpecs!$A$6, FilterSpecs!$B$6,MouserListTable[[#This Row],[Column1]]=FilterSpecs!$A$7,FilterSpecs!$B$7,MouserListTable[[#This Row],[Column1]]=FilterSpecs!$A$8,FilterSpecs!$B$8,MouserListTable[[#This Row],[Column1]]=FilterSpecs!$A$9,FilterSpecs!$B$9)</f>
        <v>485-</v>
      </c>
      <c r="T21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485-2468</v>
      </c>
      <c r="V216" s="151" t="str">
        <f>IF(MouserListTable[[#This Row],[Qty.]]=0, 0, "")</f>
        <v/>
      </c>
    </row>
    <row r="217" spans="1:22" s="144" customFormat="1" x14ac:dyDescent="0.3">
      <c r="A217" s="103" t="s">
        <v>1070</v>
      </c>
      <c r="B217" s="103" t="s">
        <v>2065</v>
      </c>
      <c r="C217" s="103" t="s">
        <v>1898</v>
      </c>
      <c r="D217" s="103" t="str">
        <f>IF(MouserListTable[[#This Row],[Vendor]]=FilterSpecs!$A$8,MouserListTable[[#This Row],[Mouser SKU]], MouserListTable[[#This Row],[SKU2]])</f>
        <v>2505</v>
      </c>
      <c r="E217" s="104">
        <v>1</v>
      </c>
      <c r="F217" s="104" t="s">
        <v>18921</v>
      </c>
      <c r="G217" s="103"/>
      <c r="H217" s="103"/>
      <c r="I217" s="103" t="s">
        <v>2070</v>
      </c>
      <c r="J217" s="146"/>
      <c r="K217" s="104">
        <v>9</v>
      </c>
      <c r="L217" s="103" t="s">
        <v>1910</v>
      </c>
      <c r="M217" s="106"/>
      <c r="N217" s="104">
        <f t="shared" si="17"/>
        <v>9</v>
      </c>
      <c r="O217" s="103" t="s">
        <v>2071</v>
      </c>
      <c r="P217" s="103">
        <f t="shared" si="15"/>
        <v>204</v>
      </c>
      <c r="Q217" s="103">
        <f t="shared" si="16"/>
        <v>1</v>
      </c>
      <c r="R217" s="103" t="s">
        <v>1898</v>
      </c>
      <c r="S217" s="103" t="str">
        <f>_xlfn.IFS(MouserListTable[[#This Row],[Column1]]=FilterSpecs!$A$6, FilterSpecs!$B$6,MouserListTable[[#This Row],[Column1]]=FilterSpecs!$A$7,FilterSpecs!$B$7,MouserListTable[[#This Row],[Column1]]=FilterSpecs!$A$8,FilterSpecs!$B$8,MouserListTable[[#This Row],[Column1]]=FilterSpecs!$A$9,FilterSpecs!$B$9)</f>
        <v>485-</v>
      </c>
      <c r="T21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485-2505</v>
      </c>
      <c r="V217" s="151" t="str">
        <f>IF(MouserListTable[[#This Row],[Qty.]]=0, 0, "")</f>
        <v/>
      </c>
    </row>
    <row r="218" spans="1:22" s="144" customFormat="1" x14ac:dyDescent="0.3">
      <c r="A218" s="103" t="s">
        <v>1070</v>
      </c>
      <c r="B218" s="103" t="s">
        <v>2065</v>
      </c>
      <c r="C218" s="103" t="s">
        <v>1898</v>
      </c>
      <c r="D218" s="103" t="str">
        <f>IF(MouserListTable[[#This Row],[Vendor]]=FilterSpecs!$A$8,MouserListTable[[#This Row],[Mouser SKU]], MouserListTable[[#This Row],[SKU2]])</f>
        <v>1991</v>
      </c>
      <c r="E218" s="104">
        <v>1</v>
      </c>
      <c r="F218" s="104" t="s">
        <v>18921</v>
      </c>
      <c r="G218" s="103"/>
      <c r="H218" s="103"/>
      <c r="I218" s="103" t="s">
        <v>2068</v>
      </c>
      <c r="J218" s="146"/>
      <c r="K218" s="104">
        <v>2.95</v>
      </c>
      <c r="L218" s="103" t="s">
        <v>1910</v>
      </c>
      <c r="M218" s="106"/>
      <c r="N218" s="104">
        <f t="shared" si="17"/>
        <v>2.95</v>
      </c>
      <c r="O218" s="103" t="s">
        <v>2069</v>
      </c>
      <c r="P218" s="103">
        <f t="shared" si="15"/>
        <v>205</v>
      </c>
      <c r="Q218" s="103">
        <f t="shared" si="16"/>
        <v>1</v>
      </c>
      <c r="R218" s="103" t="s">
        <v>1898</v>
      </c>
      <c r="S218" s="103" t="str">
        <f>_xlfn.IFS(MouserListTable[[#This Row],[Column1]]=FilterSpecs!$A$6, FilterSpecs!$B$6,MouserListTable[[#This Row],[Column1]]=FilterSpecs!$A$7,FilterSpecs!$B$7,MouserListTable[[#This Row],[Column1]]=FilterSpecs!$A$8,FilterSpecs!$B$8,MouserListTable[[#This Row],[Column1]]=FilterSpecs!$A$9,FilterSpecs!$B$9)</f>
        <v>485-</v>
      </c>
      <c r="T21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485-1991</v>
      </c>
      <c r="V218" s="151" t="str">
        <f>IF(MouserListTable[[#This Row],[Qty.]]=0, 0, "")</f>
        <v/>
      </c>
    </row>
    <row r="219" spans="1:22" s="153" customFormat="1" x14ac:dyDescent="0.3">
      <c r="A219" s="103" t="s">
        <v>1070</v>
      </c>
      <c r="B219" s="103" t="s">
        <v>1439</v>
      </c>
      <c r="C219" s="103" t="s">
        <v>8</v>
      </c>
      <c r="D219" s="103" t="str">
        <f>IF(MouserListTable[[#This Row],[Vendor]]=FilterSpecs!$A$8,MouserListTable[[#This Row],[Mouser SKU]], MouserListTable[[#This Row],[SKU2]])</f>
        <v>SEN-12916</v>
      </c>
      <c r="E219" s="104">
        <v>1</v>
      </c>
      <c r="F219" s="104" t="s">
        <v>18921</v>
      </c>
      <c r="G219" s="103" t="s">
        <v>1406</v>
      </c>
      <c r="H219" s="103" t="s">
        <v>1407</v>
      </c>
      <c r="I219" s="103" t="s">
        <v>1408</v>
      </c>
      <c r="J219" s="103"/>
      <c r="K219" s="104">
        <v>149.94999999999999</v>
      </c>
      <c r="L219" s="103" t="s">
        <v>1914</v>
      </c>
      <c r="M219" s="106"/>
      <c r="N219" s="104">
        <f t="shared" si="17"/>
        <v>149.94999999999999</v>
      </c>
      <c r="O219" s="103" t="s">
        <v>1405</v>
      </c>
      <c r="P219" s="103">
        <f t="shared" si="15"/>
        <v>206</v>
      </c>
      <c r="Q219" s="103">
        <f t="shared" si="16"/>
        <v>1</v>
      </c>
      <c r="R219" s="103" t="s">
        <v>8</v>
      </c>
      <c r="S219" s="103" t="str">
        <f>_xlfn.IFS(MouserListTable[[#This Row],[Column1]]=FilterSpecs!$A$6, FilterSpecs!$B$6,MouserListTable[[#This Row],[Column1]]=FilterSpecs!$A$7,FilterSpecs!$B$7,MouserListTable[[#This Row],[Column1]]=FilterSpecs!$A$8,FilterSpecs!$B$8,MouserListTable[[#This Row],[Column1]]=FilterSpecs!$A$9,FilterSpecs!$B$9)</f>
        <v>474-</v>
      </c>
      <c r="T21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474-SEN-12916</v>
      </c>
      <c r="V219" s="151" t="str">
        <f>IF(MouserListTable[[#This Row],[Qty.]]=0, 0, "")</f>
        <v/>
      </c>
    </row>
    <row r="220" spans="1:22" s="153" customFormat="1" x14ac:dyDescent="0.3">
      <c r="A220" s="103" t="s">
        <v>1070</v>
      </c>
      <c r="B220" s="154" t="s">
        <v>1014</v>
      </c>
      <c r="C220" s="154" t="s">
        <v>8</v>
      </c>
      <c r="D220" s="103" t="str">
        <f>IF(MouserListTable[[#This Row],[Vendor]]=FilterSpecs!$A$8,MouserListTable[[#This Row],[Mouser SKU]], MouserListTable[[#This Row],[SKU2]])</f>
        <v>CAB-14043</v>
      </c>
      <c r="E220" s="104">
        <v>1</v>
      </c>
      <c r="F220" s="104" t="s">
        <v>18921</v>
      </c>
      <c r="G220" s="103" t="s">
        <v>958</v>
      </c>
      <c r="H220" s="103" t="s">
        <v>959</v>
      </c>
      <c r="I220" s="103" t="s">
        <v>960</v>
      </c>
      <c r="J220" s="103">
        <v>1</v>
      </c>
      <c r="K220" s="104">
        <v>4.95</v>
      </c>
      <c r="L220" s="103" t="s">
        <v>1914</v>
      </c>
      <c r="M220" s="103" t="s">
        <v>1065</v>
      </c>
      <c r="N220" s="104">
        <f t="shared" si="17"/>
        <v>4.95</v>
      </c>
      <c r="O220" s="103" t="s">
        <v>957</v>
      </c>
      <c r="P220" s="103">
        <f t="shared" si="15"/>
        <v>207</v>
      </c>
      <c r="Q220" s="103">
        <f t="shared" si="16"/>
        <v>1</v>
      </c>
      <c r="R220" s="154" t="s">
        <v>8</v>
      </c>
      <c r="S220" s="103" t="str">
        <f>_xlfn.IFS(MouserListTable[[#This Row],[Column1]]=FilterSpecs!$A$6, FilterSpecs!$B$6,MouserListTable[[#This Row],[Column1]]=FilterSpecs!$A$7,FilterSpecs!$B$7,MouserListTable[[#This Row],[Column1]]=FilterSpecs!$A$8,FilterSpecs!$B$8,MouserListTable[[#This Row],[Column1]]=FilterSpecs!$A$9,FilterSpecs!$B$9)</f>
        <v>474-</v>
      </c>
      <c r="T22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474-CAB-14043</v>
      </c>
      <c r="V220" s="151" t="str">
        <f>IF(MouserListTable[[#This Row],[Qty.]]=0, 0, "")</f>
        <v/>
      </c>
    </row>
    <row r="221" spans="1:22" s="153" customFormat="1" x14ac:dyDescent="0.3">
      <c r="A221" s="103" t="s">
        <v>1070</v>
      </c>
      <c r="B221" s="154" t="s">
        <v>1014</v>
      </c>
      <c r="C221" s="154" t="s">
        <v>8</v>
      </c>
      <c r="D221" s="103" t="str">
        <f>IF(MouserListTable[[#This Row],[Vendor]]=FilterSpecs!$A$8,MouserListTable[[#This Row],[Mouser SKU]], MouserListTable[[#This Row],[SKU2]])</f>
        <v>SEN-14117</v>
      </c>
      <c r="E221" s="104">
        <v>1</v>
      </c>
      <c r="F221" s="104" t="s">
        <v>18921</v>
      </c>
      <c r="G221" s="103" t="s">
        <v>974</v>
      </c>
      <c r="H221" s="103" t="s">
        <v>975</v>
      </c>
      <c r="I221" s="103" t="s">
        <v>976</v>
      </c>
      <c r="J221" s="103">
        <v>1</v>
      </c>
      <c r="K221" s="104">
        <v>349</v>
      </c>
      <c r="L221" s="103" t="s">
        <v>1914</v>
      </c>
      <c r="M221" s="103" t="s">
        <v>1058</v>
      </c>
      <c r="N221" s="104">
        <f t="shared" si="17"/>
        <v>349</v>
      </c>
      <c r="O221" s="103" t="s">
        <v>973</v>
      </c>
      <c r="P221" s="103">
        <f t="shared" si="15"/>
        <v>208</v>
      </c>
      <c r="Q221" s="103">
        <f t="shared" si="16"/>
        <v>1</v>
      </c>
      <c r="R221" s="154" t="s">
        <v>8</v>
      </c>
      <c r="S221" s="103" t="str">
        <f>_xlfn.IFS(MouserListTable[[#This Row],[Column1]]=FilterSpecs!$A$6, FilterSpecs!$B$6,MouserListTable[[#This Row],[Column1]]=FilterSpecs!$A$7,FilterSpecs!$B$7,MouserListTable[[#This Row],[Column1]]=FilterSpecs!$A$8,FilterSpecs!$B$8,MouserListTable[[#This Row],[Column1]]=FilterSpecs!$A$9,FilterSpecs!$B$9)</f>
        <v>474-</v>
      </c>
      <c r="T22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474-SEN-14117</v>
      </c>
      <c r="V221" s="151" t="str">
        <f>IF(MouserListTable[[#This Row],[Qty.]]=0, 0, "")</f>
        <v/>
      </c>
    </row>
    <row r="222" spans="1:22" s="144" customFormat="1" x14ac:dyDescent="0.3">
      <c r="A222" s="103" t="s">
        <v>1070</v>
      </c>
      <c r="B222" s="154" t="s">
        <v>1014</v>
      </c>
      <c r="C222" s="154" t="s">
        <v>8</v>
      </c>
      <c r="D222" s="103" t="str">
        <f>IF(MouserListTable[[#This Row],[Vendor]]=FilterSpecs!$A$8,MouserListTable[[#This Row],[Mouser SKU]], MouserListTable[[#This Row],[SKU2]])</f>
        <v>ROB-13064</v>
      </c>
      <c r="E222" s="104">
        <v>1</v>
      </c>
      <c r="F222" s="104" t="s">
        <v>18921</v>
      </c>
      <c r="G222" s="103" t="s">
        <v>1034</v>
      </c>
      <c r="H222" s="103" t="s">
        <v>1033</v>
      </c>
      <c r="I222" s="103" t="s">
        <v>1031</v>
      </c>
      <c r="J222" s="103">
        <v>1</v>
      </c>
      <c r="K222" s="104">
        <v>14.95</v>
      </c>
      <c r="L222" s="103" t="s">
        <v>1914</v>
      </c>
      <c r="M222" s="103" t="s">
        <v>1064</v>
      </c>
      <c r="N222" s="104">
        <f t="shared" si="17"/>
        <v>14.95</v>
      </c>
      <c r="O222" s="103" t="s">
        <v>1032</v>
      </c>
      <c r="P222" s="103">
        <f t="shared" si="15"/>
        <v>209</v>
      </c>
      <c r="Q222" s="103">
        <f t="shared" si="16"/>
        <v>1</v>
      </c>
      <c r="R222" s="154" t="s">
        <v>8</v>
      </c>
      <c r="S222" s="103" t="str">
        <f>_xlfn.IFS(MouserListTable[[#This Row],[Column1]]=FilterSpecs!$A$6, FilterSpecs!$B$6,MouserListTable[[#This Row],[Column1]]=FilterSpecs!$A$7,FilterSpecs!$B$7,MouserListTable[[#This Row],[Column1]]=FilterSpecs!$A$8,FilterSpecs!$B$8,MouserListTable[[#This Row],[Column1]]=FilterSpecs!$A$9,FilterSpecs!$B$9)</f>
        <v>474-</v>
      </c>
      <c r="T22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474-ROB-13064</v>
      </c>
      <c r="V222" s="151" t="str">
        <f>IF(MouserListTable[[#This Row],[Qty.]]=0, 0, "")</f>
        <v/>
      </c>
    </row>
    <row r="223" spans="1:22" s="153" customFormat="1" x14ac:dyDescent="0.3">
      <c r="A223" s="103" t="s">
        <v>1070</v>
      </c>
      <c r="B223" s="103" t="s">
        <v>993</v>
      </c>
      <c r="C223" s="103" t="s">
        <v>8</v>
      </c>
      <c r="D223" s="103" t="str">
        <f>IF(MouserListTable[[#This Row],[Vendor]]=FilterSpecs!$A$8,MouserListTable[[#This Row],[Mouser SKU]], MouserListTable[[#This Row],[SKU2]])</f>
        <v>SEN-13284</v>
      </c>
      <c r="E223" s="104">
        <v>1</v>
      </c>
      <c r="F223" s="104" t="s">
        <v>18921</v>
      </c>
      <c r="G223" s="103" t="s">
        <v>918</v>
      </c>
      <c r="H223" s="103" t="s">
        <v>919</v>
      </c>
      <c r="I223" s="103" t="s">
        <v>920</v>
      </c>
      <c r="J223" s="103">
        <v>1</v>
      </c>
      <c r="K223" s="104">
        <v>24.95</v>
      </c>
      <c r="L223" s="103" t="s">
        <v>1914</v>
      </c>
      <c r="M223" s="103" t="s">
        <v>1059</v>
      </c>
      <c r="N223" s="104">
        <f t="shared" si="17"/>
        <v>24.95</v>
      </c>
      <c r="O223" s="103" t="s">
        <v>917</v>
      </c>
      <c r="P223" s="103">
        <f t="shared" si="15"/>
        <v>210</v>
      </c>
      <c r="Q223" s="103">
        <f t="shared" si="16"/>
        <v>1</v>
      </c>
      <c r="R223" s="103" t="s">
        <v>8</v>
      </c>
      <c r="S223" s="103" t="str">
        <f>_xlfn.IFS(MouserListTable[[#This Row],[Column1]]=FilterSpecs!$A$6, FilterSpecs!$B$6,MouserListTable[[#This Row],[Column1]]=FilterSpecs!$A$7,FilterSpecs!$B$7,MouserListTable[[#This Row],[Column1]]=FilterSpecs!$A$8,FilterSpecs!$B$8,MouserListTable[[#This Row],[Column1]]=FilterSpecs!$A$9,FilterSpecs!$B$9)</f>
        <v>474-</v>
      </c>
      <c r="T22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474-SEN-13284</v>
      </c>
      <c r="V223" s="151" t="str">
        <f>IF(MouserListTable[[#This Row],[Qty.]]=0, 0, "")</f>
        <v/>
      </c>
    </row>
    <row r="224" spans="1:22" s="153" customFormat="1" x14ac:dyDescent="0.3">
      <c r="A224" s="103" t="s">
        <v>1070</v>
      </c>
      <c r="B224" s="103" t="s">
        <v>993</v>
      </c>
      <c r="C224" s="103" t="s">
        <v>8</v>
      </c>
      <c r="D224" s="103" t="str">
        <f>IF(MouserListTable[[#This Row],[Vendor]]=FilterSpecs!$A$8,MouserListTable[[#This Row],[Mouser SKU]], MouserListTable[[#This Row],[SKU2]])</f>
        <v>SEN-13762</v>
      </c>
      <c r="E224" s="104">
        <v>1</v>
      </c>
      <c r="F224" s="104" t="s">
        <v>18921</v>
      </c>
      <c r="G224" s="103" t="s">
        <v>922</v>
      </c>
      <c r="H224" s="103" t="s">
        <v>923</v>
      </c>
      <c r="I224" s="103" t="s">
        <v>924</v>
      </c>
      <c r="J224" s="103">
        <v>1</v>
      </c>
      <c r="K224" s="104">
        <v>14.95</v>
      </c>
      <c r="L224" s="103" t="s">
        <v>1914</v>
      </c>
      <c r="M224" s="103" t="s">
        <v>1059</v>
      </c>
      <c r="N224" s="104">
        <f t="shared" si="17"/>
        <v>14.95</v>
      </c>
      <c r="O224" s="103" t="s">
        <v>921</v>
      </c>
      <c r="P224" s="103">
        <f t="shared" si="15"/>
        <v>211</v>
      </c>
      <c r="Q224" s="103">
        <f t="shared" si="16"/>
        <v>1</v>
      </c>
      <c r="R224" s="103" t="s">
        <v>8</v>
      </c>
      <c r="S224" s="103" t="str">
        <f>_xlfn.IFS(MouserListTable[[#This Row],[Column1]]=FilterSpecs!$A$6, FilterSpecs!$B$6,MouserListTable[[#This Row],[Column1]]=FilterSpecs!$A$7,FilterSpecs!$B$7,MouserListTable[[#This Row],[Column1]]=FilterSpecs!$A$8,FilterSpecs!$B$8,MouserListTable[[#This Row],[Column1]]=FilterSpecs!$A$9,FilterSpecs!$B$9)</f>
        <v>474-</v>
      </c>
      <c r="T22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474-SEN-13762</v>
      </c>
      <c r="V224" s="151" t="str">
        <f>IF(MouserListTable[[#This Row],[Qty.]]=0, 0, "")</f>
        <v/>
      </c>
    </row>
    <row r="225" spans="1:22" s="153" customFormat="1" x14ac:dyDescent="0.3">
      <c r="A225" s="126" t="s">
        <v>1070</v>
      </c>
      <c r="B225" s="157" t="s">
        <v>2028</v>
      </c>
      <c r="C225" s="157" t="s">
        <v>8</v>
      </c>
      <c r="D225" s="103" t="str">
        <f>IF(MouserListTable[[#This Row],[Vendor]]=FilterSpecs!$A$8,MouserListTable[[#This Row],[Mouser SKU]], MouserListTable[[#This Row],[SKU2]])</f>
        <v>LCD-12725</v>
      </c>
      <c r="E225" s="104">
        <v>0</v>
      </c>
      <c r="F225" s="104">
        <v>0</v>
      </c>
      <c r="G225" s="103" t="s">
        <v>986</v>
      </c>
      <c r="H225" s="103" t="s">
        <v>987</v>
      </c>
      <c r="I225" s="103" t="s">
        <v>988</v>
      </c>
      <c r="J225" s="103">
        <v>1</v>
      </c>
      <c r="K225" s="104">
        <v>179.95</v>
      </c>
      <c r="L225" s="103" t="s">
        <v>1914</v>
      </c>
      <c r="M225" s="103" t="s">
        <v>1060</v>
      </c>
      <c r="N225" s="104">
        <v>0</v>
      </c>
      <c r="O225" s="103" t="s">
        <v>985</v>
      </c>
      <c r="P225" s="103">
        <f t="shared" si="15"/>
        <v>212</v>
      </c>
      <c r="Q225" s="103">
        <f t="shared" si="16"/>
        <v>1</v>
      </c>
      <c r="R225" s="154" t="s">
        <v>8</v>
      </c>
      <c r="S225" s="103" t="str">
        <f>_xlfn.IFS(MouserListTable[[#This Row],[Column1]]=FilterSpecs!$A$6, FilterSpecs!$B$6,MouserListTable[[#This Row],[Column1]]=FilterSpecs!$A$7,FilterSpecs!$B$7,MouserListTable[[#This Row],[Column1]]=FilterSpecs!$A$8,FilterSpecs!$B$8,MouserListTable[[#This Row],[Column1]]=FilterSpecs!$A$9,FilterSpecs!$B$9)</f>
        <v>474-</v>
      </c>
      <c r="T22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474-LCD-12725</v>
      </c>
      <c r="V225" s="151">
        <f>IF(MouserListTable[[#This Row],[Qty.]]=0, 0, "")</f>
        <v>0</v>
      </c>
    </row>
    <row r="226" spans="1:22" s="144" customFormat="1" x14ac:dyDescent="0.3">
      <c r="A226" s="103" t="s">
        <v>1070</v>
      </c>
      <c r="B226" s="154" t="s">
        <v>2028</v>
      </c>
      <c r="C226" s="154" t="s">
        <v>8</v>
      </c>
      <c r="D226" s="103" t="str">
        <f>IF(MouserListTable[[#This Row],[Vendor]]=FilterSpecs!$A$8,MouserListTable[[#This Row],[Mouser SKU]], MouserListTable[[#This Row],[SKU2]])</f>
        <v>LCD-11741</v>
      </c>
      <c r="E226" s="104">
        <v>1</v>
      </c>
      <c r="F226" s="104" t="s">
        <v>18921</v>
      </c>
      <c r="G226" s="103" t="s">
        <v>1784</v>
      </c>
      <c r="H226" s="103" t="s">
        <v>1785</v>
      </c>
      <c r="I226" s="103" t="s">
        <v>1786</v>
      </c>
      <c r="J226" s="103"/>
      <c r="K226" s="104">
        <v>84.95</v>
      </c>
      <c r="L226" s="103" t="s">
        <v>1914</v>
      </c>
      <c r="M226" s="106"/>
      <c r="N226" s="104">
        <f>E226*K226</f>
        <v>84.95</v>
      </c>
      <c r="O226" s="103" t="s">
        <v>1783</v>
      </c>
      <c r="P226" s="103">
        <f t="shared" si="15"/>
        <v>213</v>
      </c>
      <c r="Q226" s="103">
        <f t="shared" si="16"/>
        <v>1</v>
      </c>
      <c r="R226" s="154" t="s">
        <v>8</v>
      </c>
      <c r="S226" s="103" t="str">
        <f>_xlfn.IFS(MouserListTable[[#This Row],[Column1]]=FilterSpecs!$A$6, FilterSpecs!$B$6,MouserListTable[[#This Row],[Column1]]=FilterSpecs!$A$7,FilterSpecs!$B$7,MouserListTable[[#This Row],[Column1]]=FilterSpecs!$A$8,FilterSpecs!$B$8,MouserListTable[[#This Row],[Column1]]=FilterSpecs!$A$9,FilterSpecs!$B$9)</f>
        <v>474-</v>
      </c>
      <c r="T22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474-LCD-11741</v>
      </c>
      <c r="V226" s="151" t="str">
        <f>IF(MouserListTable[[#This Row],[Qty.]]=0, 0, "")</f>
        <v/>
      </c>
    </row>
    <row r="227" spans="1:22" s="144" customFormat="1" x14ac:dyDescent="0.3">
      <c r="A227" s="126" t="s">
        <v>1070</v>
      </c>
      <c r="B227" s="157" t="s">
        <v>2028</v>
      </c>
      <c r="C227" s="157" t="s">
        <v>8</v>
      </c>
      <c r="D227" s="103" t="str">
        <f>IF(MouserListTable[[#This Row],[Vendor]]=FilterSpecs!$A$8,MouserListTable[[#This Row],[Mouser SKU]], MouserListTable[[#This Row],[SKU2]])</f>
        <v>LCD-11677</v>
      </c>
      <c r="E227" s="104">
        <v>0</v>
      </c>
      <c r="F227" s="104">
        <v>0</v>
      </c>
      <c r="G227" s="103" t="s">
        <v>1748</v>
      </c>
      <c r="H227" s="103" t="s">
        <v>1749</v>
      </c>
      <c r="I227" s="103" t="s">
        <v>1750</v>
      </c>
      <c r="J227" s="103">
        <v>1</v>
      </c>
      <c r="K227" s="104">
        <v>84.95</v>
      </c>
      <c r="L227" s="103" t="s">
        <v>1914</v>
      </c>
      <c r="M227" s="146"/>
      <c r="N227" s="148">
        <v>0</v>
      </c>
      <c r="O227" s="103" t="s">
        <v>1747</v>
      </c>
      <c r="P227" s="103">
        <f t="shared" si="15"/>
        <v>214</v>
      </c>
      <c r="Q227" s="103">
        <f t="shared" si="16"/>
        <v>1</v>
      </c>
      <c r="R227" s="154" t="s">
        <v>8</v>
      </c>
      <c r="S227" s="103" t="str">
        <f>_xlfn.IFS(MouserListTable[[#This Row],[Column1]]=FilterSpecs!$A$6, FilterSpecs!$B$6,MouserListTable[[#This Row],[Column1]]=FilterSpecs!$A$7,FilterSpecs!$B$7,MouserListTable[[#This Row],[Column1]]=FilterSpecs!$A$8,FilterSpecs!$B$8,MouserListTable[[#This Row],[Column1]]=FilterSpecs!$A$9,FilterSpecs!$B$9)</f>
        <v>474-</v>
      </c>
      <c r="T22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474-LCD-11677</v>
      </c>
      <c r="V227" s="151">
        <f>IF(MouserListTable[[#This Row],[Qty.]]=0, 0, "")</f>
        <v>0</v>
      </c>
    </row>
    <row r="228" spans="1:22" s="144" customFormat="1" x14ac:dyDescent="0.3">
      <c r="A228" s="126" t="s">
        <v>1070</v>
      </c>
      <c r="B228" s="157" t="s">
        <v>2028</v>
      </c>
      <c r="C228" s="157" t="s">
        <v>1898</v>
      </c>
      <c r="D228" s="103" t="str">
        <f>IF(MouserListTable[[#This Row],[Vendor]]=FilterSpecs!$A$8,MouserListTable[[#This Row],[Mouser SKU]], MouserListTable[[#This Row],[SKU2]])</f>
        <v>2090</v>
      </c>
      <c r="E228" s="104">
        <v>0</v>
      </c>
      <c r="F228" s="104">
        <v>0</v>
      </c>
      <c r="G228" s="103"/>
      <c r="H228" s="103"/>
      <c r="I228" s="103" t="s">
        <v>2097</v>
      </c>
      <c r="J228" s="103"/>
      <c r="K228" s="104">
        <v>39.950000000000003</v>
      </c>
      <c r="L228" s="103" t="s">
        <v>1910</v>
      </c>
      <c r="M228" s="146"/>
      <c r="N228" s="148"/>
      <c r="O228" s="103" t="s">
        <v>2096</v>
      </c>
      <c r="P228" s="103">
        <f t="shared" si="15"/>
        <v>215</v>
      </c>
      <c r="Q228" s="103">
        <f t="shared" si="16"/>
        <v>1</v>
      </c>
      <c r="R228" s="154" t="s">
        <v>1898</v>
      </c>
      <c r="S228" s="103" t="str">
        <f>_xlfn.IFS(MouserListTable[[#This Row],[Column1]]=FilterSpecs!$A$6, FilterSpecs!$B$6,MouserListTable[[#This Row],[Column1]]=FilterSpecs!$A$7,FilterSpecs!$B$7,MouserListTable[[#This Row],[Column1]]=FilterSpecs!$A$8,FilterSpecs!$B$8,MouserListTable[[#This Row],[Column1]]=FilterSpecs!$A$9,FilterSpecs!$B$9)</f>
        <v>485-</v>
      </c>
      <c r="T22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485-2090</v>
      </c>
      <c r="V228" s="151">
        <f>IF(MouserListTable[[#This Row],[Qty.]]=0, 0, "")</f>
        <v>0</v>
      </c>
    </row>
    <row r="229" spans="1:22" s="144" customFormat="1" x14ac:dyDescent="0.3">
      <c r="A229" s="103" t="s">
        <v>1070</v>
      </c>
      <c r="B229" s="157" t="s">
        <v>2028</v>
      </c>
      <c r="C229" s="103" t="s">
        <v>1898</v>
      </c>
      <c r="D229" s="103" t="str">
        <f>IF(MouserListTable[[#This Row],[Vendor]]=FilterSpecs!$A$8,MouserListTable[[#This Row],[Mouser SKU]], MouserListTable[[#This Row],[SKU2]])</f>
        <v>1947</v>
      </c>
      <c r="E229" s="104">
        <v>0</v>
      </c>
      <c r="F229" s="104">
        <v>0</v>
      </c>
      <c r="G229" s="103"/>
      <c r="H229" s="103"/>
      <c r="I229" s="126" t="s">
        <v>2099</v>
      </c>
      <c r="J229" s="146"/>
      <c r="K229" s="148">
        <v>44.95</v>
      </c>
      <c r="L229" s="126" t="s">
        <v>1910</v>
      </c>
      <c r="M229" s="146"/>
      <c r="N229" s="148"/>
      <c r="O229" s="103" t="s">
        <v>2098</v>
      </c>
      <c r="P229" s="103">
        <f t="shared" si="15"/>
        <v>216</v>
      </c>
      <c r="Q229" s="103">
        <f t="shared" si="16"/>
        <v>1</v>
      </c>
      <c r="R229" s="103" t="s">
        <v>1898</v>
      </c>
      <c r="S229" s="103" t="str">
        <f>_xlfn.IFS(MouserListTable[[#This Row],[Column1]]=FilterSpecs!$A$6, FilterSpecs!$B$6,MouserListTable[[#This Row],[Column1]]=FilterSpecs!$A$7,FilterSpecs!$B$7,MouserListTable[[#This Row],[Column1]]=FilterSpecs!$A$8,FilterSpecs!$B$8,MouserListTable[[#This Row],[Column1]]=FilterSpecs!$A$9,FilterSpecs!$B$9)</f>
        <v>485-</v>
      </c>
      <c r="T22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485-1947</v>
      </c>
      <c r="V229" s="151">
        <f>IF(MouserListTable[[#This Row],[Qty.]]=0, 0, "")</f>
        <v>0</v>
      </c>
    </row>
    <row r="230" spans="1:22" s="146" customFormat="1" x14ac:dyDescent="0.3">
      <c r="A230" s="103" t="s">
        <v>1070</v>
      </c>
      <c r="B230" s="154" t="s">
        <v>2028</v>
      </c>
      <c r="C230" s="103" t="s">
        <v>8</v>
      </c>
      <c r="D230" s="103" t="str">
        <f>IF(MouserListTable[[#This Row],[Vendor]]=FilterSpecs!$A$8,MouserListTable[[#This Row],[Mouser SKU]], MouserListTable[[#This Row],[SKU2]])</f>
        <v>DEV-11814</v>
      </c>
      <c r="E230" s="104">
        <v>1</v>
      </c>
      <c r="F230" s="104" t="s">
        <v>18921</v>
      </c>
      <c r="G230" s="103" t="s">
        <v>1744</v>
      </c>
      <c r="H230" s="103" t="s">
        <v>1745</v>
      </c>
      <c r="I230" s="103" t="s">
        <v>1746</v>
      </c>
      <c r="J230" s="146">
        <v>1</v>
      </c>
      <c r="K230" s="104">
        <v>24.95</v>
      </c>
      <c r="L230" s="103" t="s">
        <v>1914</v>
      </c>
      <c r="M230" s="106"/>
      <c r="N230" s="104">
        <f>E230*K230</f>
        <v>24.95</v>
      </c>
      <c r="O230" s="103" t="s">
        <v>1743</v>
      </c>
      <c r="P230" s="103">
        <f t="shared" si="15"/>
        <v>217</v>
      </c>
      <c r="Q230" s="103">
        <f t="shared" si="16"/>
        <v>1</v>
      </c>
      <c r="R230" s="103" t="s">
        <v>8</v>
      </c>
      <c r="S230" s="103" t="str">
        <f>_xlfn.IFS(MouserListTable[[#This Row],[Column1]]=FilterSpecs!$A$6, FilterSpecs!$B$6,MouserListTable[[#This Row],[Column1]]=FilterSpecs!$A$7,FilterSpecs!$B$7,MouserListTable[[#This Row],[Column1]]=FilterSpecs!$A$8,FilterSpecs!$B$8,MouserListTable[[#This Row],[Column1]]=FilterSpecs!$A$9,FilterSpecs!$B$9)</f>
        <v>474-</v>
      </c>
      <c r="T23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474-DEV-11814</v>
      </c>
      <c r="V230" s="151" t="str">
        <f>IF(MouserListTable[[#This Row],[Qty.]]=0, 0, "")</f>
        <v/>
      </c>
    </row>
    <row r="231" spans="1:22" s="146" customFormat="1" x14ac:dyDescent="0.3">
      <c r="A231" s="103" t="s">
        <v>1070</v>
      </c>
      <c r="B231" s="154" t="s">
        <v>1071</v>
      </c>
      <c r="C231" s="154" t="s">
        <v>8</v>
      </c>
      <c r="D231" s="103" t="str">
        <f>IF(MouserListTable[[#This Row],[Vendor]]=FilterSpecs!$A$8,MouserListTable[[#This Row],[Mouser SKU]], MouserListTable[[#This Row],[SKU2]])</f>
        <v>DEV-14022</v>
      </c>
      <c r="E231" s="104">
        <v>1</v>
      </c>
      <c r="F231" s="104" t="s">
        <v>18921</v>
      </c>
      <c r="G231" s="103" t="s">
        <v>982</v>
      </c>
      <c r="H231" s="103" t="s">
        <v>983</v>
      </c>
      <c r="I231" s="103" t="s">
        <v>984</v>
      </c>
      <c r="J231" s="103"/>
      <c r="K231" s="104">
        <v>209.95</v>
      </c>
      <c r="L231" s="103" t="s">
        <v>1914</v>
      </c>
      <c r="M231" s="103" t="s">
        <v>1062</v>
      </c>
      <c r="N231" s="104">
        <f>E231*K231</f>
        <v>209.95</v>
      </c>
      <c r="O231" s="103" t="s">
        <v>981</v>
      </c>
      <c r="P231" s="103">
        <f t="shared" si="15"/>
        <v>218</v>
      </c>
      <c r="Q231" s="103">
        <f t="shared" si="16"/>
        <v>1</v>
      </c>
      <c r="R231" s="154" t="s">
        <v>8</v>
      </c>
      <c r="S231" s="103" t="str">
        <f>_xlfn.IFS(MouserListTable[[#This Row],[Column1]]=FilterSpecs!$A$6, FilterSpecs!$B$6,MouserListTable[[#This Row],[Column1]]=FilterSpecs!$A$7,FilterSpecs!$B$7,MouserListTable[[#This Row],[Column1]]=FilterSpecs!$A$8,FilterSpecs!$B$8,MouserListTable[[#This Row],[Column1]]=FilterSpecs!$A$9,FilterSpecs!$B$9)</f>
        <v>474-</v>
      </c>
      <c r="T23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474-DEV-14022</v>
      </c>
      <c r="V231" s="151" t="str">
        <f>IF(MouserListTable[[#This Row],[Qty.]]=0, 0, "")</f>
        <v/>
      </c>
    </row>
    <row r="232" spans="1:22" s="146" customFormat="1" x14ac:dyDescent="0.3">
      <c r="A232" s="103" t="s">
        <v>1070</v>
      </c>
      <c r="B232" s="154" t="s">
        <v>1437</v>
      </c>
      <c r="C232" s="154" t="s">
        <v>8</v>
      </c>
      <c r="D232" s="103" t="str">
        <f>IF(MouserListTable[[#This Row],[Vendor]]=FilterSpecs!$A$8,MouserListTable[[#This Row],[Mouser SKU]], MouserListTable[[#This Row],[SKU2]])</f>
        <v>COM-13316</v>
      </c>
      <c r="E232" s="104">
        <v>1</v>
      </c>
      <c r="F232" s="104" t="s">
        <v>18921</v>
      </c>
      <c r="G232" s="103" t="s">
        <v>978</v>
      </c>
      <c r="H232" s="103" t="s">
        <v>979</v>
      </c>
      <c r="I232" s="103" t="s">
        <v>980</v>
      </c>
      <c r="J232" s="103">
        <v>1</v>
      </c>
      <c r="K232" s="104">
        <v>49.95</v>
      </c>
      <c r="L232" s="103" t="s">
        <v>1910</v>
      </c>
      <c r="M232" s="103" t="s">
        <v>1061</v>
      </c>
      <c r="N232" s="104">
        <f>E232*K232</f>
        <v>49.95</v>
      </c>
      <c r="O232" s="103" t="s">
        <v>977</v>
      </c>
      <c r="P232" s="103">
        <f t="shared" si="15"/>
        <v>219</v>
      </c>
      <c r="Q232" s="103">
        <f t="shared" si="16"/>
        <v>1</v>
      </c>
      <c r="R232" s="154" t="s">
        <v>8</v>
      </c>
      <c r="S232" s="103" t="str">
        <f>_xlfn.IFS(MouserListTable[[#This Row],[Column1]]=FilterSpecs!$A$6, FilterSpecs!$B$6,MouserListTable[[#This Row],[Column1]]=FilterSpecs!$A$7,FilterSpecs!$B$7,MouserListTable[[#This Row],[Column1]]=FilterSpecs!$A$8,FilterSpecs!$B$8,MouserListTable[[#This Row],[Column1]]=FilterSpecs!$A$9,FilterSpecs!$B$9)</f>
        <v>474-</v>
      </c>
      <c r="T23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474-COM-13316</v>
      </c>
      <c r="V232" s="151" t="str">
        <f>IF(MouserListTable[[#This Row],[Qty.]]=0, 0, "")</f>
        <v/>
      </c>
    </row>
    <row r="233" spans="1:22" s="146" customFormat="1" x14ac:dyDescent="0.3">
      <c r="A233" s="103" t="s">
        <v>1070</v>
      </c>
      <c r="B233" s="103" t="s">
        <v>2023</v>
      </c>
      <c r="C233" s="103" t="s">
        <v>1898</v>
      </c>
      <c r="D233" s="103" t="str">
        <f>IF(MouserListTable[[#This Row],[Vendor]]=FilterSpecs!$A$8,MouserListTable[[#This Row],[Mouser SKU]], MouserListTable[[#This Row],[SKU2]])</f>
        <v>1407</v>
      </c>
      <c r="E233" s="104">
        <v>0</v>
      </c>
      <c r="F233" s="104">
        <v>0</v>
      </c>
      <c r="G233" s="103"/>
      <c r="H233" s="103"/>
      <c r="I233" s="126" t="s">
        <v>2349</v>
      </c>
      <c r="K233" s="148">
        <v>9.9499999999999993</v>
      </c>
      <c r="L233" s="126" t="s">
        <v>1910</v>
      </c>
      <c r="N233" s="148"/>
      <c r="O233" s="103" t="s">
        <v>2348</v>
      </c>
      <c r="P233" s="103">
        <f t="shared" si="15"/>
        <v>220</v>
      </c>
      <c r="Q233" s="103">
        <f t="shared" si="16"/>
        <v>1</v>
      </c>
      <c r="R233" s="103" t="s">
        <v>1898</v>
      </c>
      <c r="S233" s="103" t="str">
        <f>_xlfn.IFS(MouserListTable[[#This Row],[Column1]]=FilterSpecs!$A$6, FilterSpecs!$B$6,MouserListTable[[#This Row],[Column1]]=FilterSpecs!$A$7,FilterSpecs!$B$7,MouserListTable[[#This Row],[Column1]]=FilterSpecs!$A$8,FilterSpecs!$B$8,MouserListTable[[#This Row],[Column1]]=FilterSpecs!$A$9,FilterSpecs!$B$9)</f>
        <v>485-</v>
      </c>
      <c r="T23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485-1407</v>
      </c>
      <c r="V233" s="151">
        <f>IF(MouserListTable[[#This Row],[Qty.]]=0, 0, "")</f>
        <v>0</v>
      </c>
    </row>
    <row r="234" spans="1:22" s="146" customFormat="1" x14ac:dyDescent="0.3">
      <c r="A234" s="103" t="s">
        <v>1070</v>
      </c>
      <c r="B234" s="103" t="s">
        <v>2023</v>
      </c>
      <c r="C234" s="103" t="s">
        <v>1898</v>
      </c>
      <c r="D234" s="103" t="str">
        <f>IF(MouserListTable[[#This Row],[Vendor]]=FilterSpecs!$A$8,MouserListTable[[#This Row],[Mouser SKU]], MouserListTable[[#This Row],[SKU2]])</f>
        <v>2116</v>
      </c>
      <c r="E234" s="104">
        <v>0</v>
      </c>
      <c r="F234" s="104">
        <v>0</v>
      </c>
      <c r="G234" s="103"/>
      <c r="H234" s="103"/>
      <c r="I234" s="126" t="s">
        <v>2351</v>
      </c>
      <c r="K234" s="148">
        <v>24.95</v>
      </c>
      <c r="L234" s="126" t="s">
        <v>1910</v>
      </c>
      <c r="N234" s="148"/>
      <c r="O234" s="103" t="s">
        <v>2350</v>
      </c>
      <c r="P234" s="103">
        <f t="shared" si="15"/>
        <v>221</v>
      </c>
      <c r="Q234" s="103">
        <f t="shared" si="16"/>
        <v>1</v>
      </c>
      <c r="R234" s="103" t="s">
        <v>1898</v>
      </c>
      <c r="S234" s="103" t="str">
        <f>_xlfn.IFS(MouserListTable[[#This Row],[Column1]]=FilterSpecs!$A$6, FilterSpecs!$B$6,MouserListTable[[#This Row],[Column1]]=FilterSpecs!$A$7,FilterSpecs!$B$7,MouserListTable[[#This Row],[Column1]]=FilterSpecs!$A$8,FilterSpecs!$B$8,MouserListTable[[#This Row],[Column1]]=FilterSpecs!$A$9,FilterSpecs!$B$9)</f>
        <v>485-</v>
      </c>
      <c r="T23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485-2116</v>
      </c>
      <c r="V234" s="151">
        <f>IF(MouserListTable[[#This Row],[Qty.]]=0, 0, "")</f>
        <v>0</v>
      </c>
    </row>
    <row r="235" spans="1:22" s="146" customFormat="1" x14ac:dyDescent="0.3">
      <c r="A235" s="103" t="s">
        <v>1070</v>
      </c>
      <c r="B235" s="103" t="s">
        <v>2023</v>
      </c>
      <c r="C235" s="103" t="s">
        <v>1898</v>
      </c>
      <c r="D235" s="103" t="str">
        <f>IF(MouserListTable[[#This Row],[Vendor]]=FilterSpecs!$A$8,MouserListTable[[#This Row],[Mouser SKU]], MouserListTable[[#This Row],[SKU2]])</f>
        <v>2162</v>
      </c>
      <c r="E235" s="104">
        <v>0</v>
      </c>
      <c r="F235" s="104">
        <v>0</v>
      </c>
      <c r="G235" s="103"/>
      <c r="H235" s="103"/>
      <c r="I235" s="126" t="s">
        <v>2353</v>
      </c>
      <c r="K235" s="148">
        <v>26.95</v>
      </c>
      <c r="L235" s="126" t="s">
        <v>1913</v>
      </c>
      <c r="N235" s="148"/>
      <c r="O235" s="103" t="s">
        <v>2352</v>
      </c>
      <c r="P235" s="103">
        <f t="shared" si="15"/>
        <v>222</v>
      </c>
      <c r="Q235" s="103">
        <f t="shared" si="16"/>
        <v>1</v>
      </c>
      <c r="R235" s="103" t="s">
        <v>1898</v>
      </c>
      <c r="S235" s="103" t="str">
        <f>_xlfn.IFS(MouserListTable[[#This Row],[Column1]]=FilterSpecs!$A$6, FilterSpecs!$B$6,MouserListTable[[#This Row],[Column1]]=FilterSpecs!$A$7,FilterSpecs!$B$7,MouserListTable[[#This Row],[Column1]]=FilterSpecs!$A$8,FilterSpecs!$B$8,MouserListTable[[#This Row],[Column1]]=FilterSpecs!$A$9,FilterSpecs!$B$9)</f>
        <v>485-</v>
      </c>
      <c r="T23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485-2162</v>
      </c>
      <c r="V235" s="151">
        <f>IF(MouserListTable[[#This Row],[Qty.]]=0, 0, "")</f>
        <v>0</v>
      </c>
    </row>
    <row r="236" spans="1:22" s="146" customFormat="1" x14ac:dyDescent="0.3">
      <c r="A236" s="103" t="s">
        <v>1070</v>
      </c>
      <c r="B236" s="103" t="s">
        <v>2023</v>
      </c>
      <c r="C236" s="103" t="s">
        <v>1898</v>
      </c>
      <c r="D236" s="103" t="str">
        <f>IF(MouserListTable[[#This Row],[Vendor]]=FilterSpecs!$A$8,MouserListTable[[#This Row],[Mouser SKU]], MouserListTable[[#This Row],[SKU2]])</f>
        <v>1901</v>
      </c>
      <c r="E236" s="104">
        <v>0</v>
      </c>
      <c r="F236" s="104">
        <v>0</v>
      </c>
      <c r="G236" s="103"/>
      <c r="H236" s="103"/>
      <c r="I236" s="126" t="s">
        <v>2355</v>
      </c>
      <c r="K236" s="148">
        <v>14.95</v>
      </c>
      <c r="L236" s="126" t="s">
        <v>1910</v>
      </c>
      <c r="N236" s="148"/>
      <c r="O236" s="103" t="s">
        <v>2354</v>
      </c>
      <c r="P236" s="103">
        <f t="shared" si="15"/>
        <v>223</v>
      </c>
      <c r="Q236" s="103">
        <f t="shared" si="16"/>
        <v>1</v>
      </c>
      <c r="R236" s="103" t="s">
        <v>1898</v>
      </c>
      <c r="S236" s="103" t="str">
        <f>_xlfn.IFS(MouserListTable[[#This Row],[Column1]]=FilterSpecs!$A$6, FilterSpecs!$B$6,MouserListTable[[#This Row],[Column1]]=FilterSpecs!$A$7,FilterSpecs!$B$7,MouserListTable[[#This Row],[Column1]]=FilterSpecs!$A$8,FilterSpecs!$B$8,MouserListTable[[#This Row],[Column1]]=FilterSpecs!$A$9,FilterSpecs!$B$9)</f>
        <v>485-</v>
      </c>
      <c r="T23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485-1901</v>
      </c>
      <c r="V236" s="151">
        <f>IF(MouserListTable[[#This Row],[Qty.]]=0, 0, "")</f>
        <v>0</v>
      </c>
    </row>
    <row r="237" spans="1:22" s="146" customFormat="1" x14ac:dyDescent="0.3">
      <c r="A237" s="103" t="s">
        <v>1046</v>
      </c>
      <c r="B237" s="103" t="s">
        <v>1068</v>
      </c>
      <c r="C237" s="103" t="s">
        <v>8</v>
      </c>
      <c r="D237" s="103" t="str">
        <f>IF(MouserListTable[[#This Row],[Vendor]]=FilterSpecs!$A$8,MouserListTable[[#This Row],[Mouser SKU]], MouserListTable[[#This Row],[SKU2]])</f>
        <v>DEV-14135</v>
      </c>
      <c r="E237" s="104">
        <v>1</v>
      </c>
      <c r="F237" s="104" t="s">
        <v>18921</v>
      </c>
      <c r="G237" s="103" t="s">
        <v>360</v>
      </c>
      <c r="H237" s="103" t="s">
        <v>361</v>
      </c>
      <c r="I237" s="103" t="s">
        <v>362</v>
      </c>
      <c r="J237" s="103">
        <v>1</v>
      </c>
      <c r="K237" s="104">
        <v>94.95</v>
      </c>
      <c r="L237" s="103" t="s">
        <v>1913</v>
      </c>
      <c r="M237" s="103" t="s">
        <v>1054</v>
      </c>
      <c r="N237" s="104">
        <f>E237*K237</f>
        <v>94.95</v>
      </c>
      <c r="O237" s="103" t="s">
        <v>359</v>
      </c>
      <c r="P237" s="103">
        <f t="shared" si="15"/>
        <v>224</v>
      </c>
      <c r="Q237" s="103">
        <f t="shared" si="16"/>
        <v>1</v>
      </c>
      <c r="R237" s="103" t="s">
        <v>8</v>
      </c>
      <c r="S237" s="103" t="str">
        <f>_xlfn.IFS(MouserListTable[[#This Row],[Column1]]=FilterSpecs!$A$6, FilterSpecs!$B$6,MouserListTable[[#This Row],[Column1]]=FilterSpecs!$A$7,FilterSpecs!$B$7,MouserListTable[[#This Row],[Column1]]=FilterSpecs!$A$8,FilterSpecs!$B$8,MouserListTable[[#This Row],[Column1]]=FilterSpecs!$A$9,FilterSpecs!$B$9)</f>
        <v>474-</v>
      </c>
      <c r="T23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474-DEV-14135</v>
      </c>
      <c r="V237" s="151" t="str">
        <f>IF(MouserListTable[[#This Row],[Qty.]]=0, 0, "")</f>
        <v/>
      </c>
    </row>
    <row r="238" spans="1:22" s="146" customFormat="1" x14ac:dyDescent="0.3">
      <c r="A238" s="103" t="s">
        <v>1046</v>
      </c>
      <c r="B238" s="103" t="s">
        <v>1409</v>
      </c>
      <c r="C238" s="103" t="s">
        <v>8</v>
      </c>
      <c r="D238" s="103" t="str">
        <f>IF(MouserListTable[[#This Row],[Vendor]]=FilterSpecs!$A$8,MouserListTable[[#This Row],[Mouser SKU]], MouserListTable[[#This Row],[SKU2]])</f>
        <v>DEV-14162</v>
      </c>
      <c r="E238" s="104">
        <v>1</v>
      </c>
      <c r="F238" s="104" t="s">
        <v>18921</v>
      </c>
      <c r="G238" s="103" t="s">
        <v>1331</v>
      </c>
      <c r="H238" s="103" t="s">
        <v>1332</v>
      </c>
      <c r="I238" s="103" t="s">
        <v>1333</v>
      </c>
      <c r="J238" s="103">
        <v>1</v>
      </c>
      <c r="K238" s="104">
        <v>69.95</v>
      </c>
      <c r="L238" s="103" t="s">
        <v>1914</v>
      </c>
      <c r="M238" s="103" t="s">
        <v>1350</v>
      </c>
      <c r="N238" s="104">
        <f>E238*K238</f>
        <v>69.95</v>
      </c>
      <c r="O238" s="103" t="s">
        <v>1330</v>
      </c>
      <c r="P238" s="103">
        <f t="shared" si="15"/>
        <v>225</v>
      </c>
      <c r="Q238" s="103">
        <f t="shared" si="16"/>
        <v>1</v>
      </c>
      <c r="R238" s="103" t="s">
        <v>8</v>
      </c>
      <c r="S238" s="103" t="str">
        <f>_xlfn.IFS(MouserListTable[[#This Row],[Column1]]=FilterSpecs!$A$6, FilterSpecs!$B$6,MouserListTable[[#This Row],[Column1]]=FilterSpecs!$A$7,FilterSpecs!$B$7,MouserListTable[[#This Row],[Column1]]=FilterSpecs!$A$8,FilterSpecs!$B$8,MouserListTable[[#This Row],[Column1]]=FilterSpecs!$A$9,FilterSpecs!$B$9)</f>
        <v>474-</v>
      </c>
      <c r="T23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474-DEV-14162</v>
      </c>
      <c r="V238" s="151" t="str">
        <f>IF(MouserListTable[[#This Row],[Qty.]]=0, 0, "")</f>
        <v/>
      </c>
    </row>
    <row r="239" spans="1:22" s="146" customFormat="1" x14ac:dyDescent="0.3">
      <c r="A239" s="126" t="s">
        <v>1046</v>
      </c>
      <c r="B239" s="126" t="s">
        <v>1409</v>
      </c>
      <c r="C239" s="126" t="s">
        <v>8</v>
      </c>
      <c r="D239" s="103" t="str">
        <f>IF(MouserListTable[[#This Row],[Vendor]]=FilterSpecs!$A$8,MouserListTable[[#This Row],[Mouser SKU]], MouserListTable[[#This Row],[SKU2]])</f>
        <v>DEV-12774</v>
      </c>
      <c r="E239" s="104">
        <v>0</v>
      </c>
      <c r="F239" s="104">
        <v>0</v>
      </c>
      <c r="G239" s="103" t="s">
        <v>1319</v>
      </c>
      <c r="H239" s="103" t="s">
        <v>1320</v>
      </c>
      <c r="I239" s="103" t="s">
        <v>1321</v>
      </c>
      <c r="J239" s="103"/>
      <c r="K239" s="104">
        <v>9.9499999999999993</v>
      </c>
      <c r="L239" s="103" t="s">
        <v>1914</v>
      </c>
      <c r="M239" s="103" t="s">
        <v>1350</v>
      </c>
      <c r="N239" s="104">
        <f>MouserListTable[[#This Row],[Qty.]]*MouserListTable[[#This Row],[Price (USD)]]</f>
        <v>0</v>
      </c>
      <c r="O239" s="103" t="s">
        <v>1318</v>
      </c>
      <c r="P239" s="103">
        <f t="shared" si="15"/>
        <v>226</v>
      </c>
      <c r="Q239" s="103">
        <f t="shared" si="16"/>
        <v>1</v>
      </c>
      <c r="R239" s="103" t="s">
        <v>8</v>
      </c>
      <c r="S239" s="103" t="str">
        <f>_xlfn.IFS(MouserListTable[[#This Row],[Column1]]=FilterSpecs!$A$6, FilterSpecs!$B$6,MouserListTable[[#This Row],[Column1]]=FilterSpecs!$A$7,FilterSpecs!$B$7,MouserListTable[[#This Row],[Column1]]=FilterSpecs!$A$8,FilterSpecs!$B$8,MouserListTable[[#This Row],[Column1]]=FilterSpecs!$A$9,FilterSpecs!$B$9)</f>
        <v>474-</v>
      </c>
      <c r="T23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474-DEV-12774</v>
      </c>
      <c r="V239" s="151">
        <f>IF(MouserListTable[[#This Row],[Qty.]]=0, 0, "")</f>
        <v>0</v>
      </c>
    </row>
    <row r="240" spans="1:22" s="146" customFormat="1" x14ac:dyDescent="0.3">
      <c r="A240" s="126" t="s">
        <v>1046</v>
      </c>
      <c r="B240" s="126" t="s">
        <v>1409</v>
      </c>
      <c r="C240" s="126" t="s">
        <v>8</v>
      </c>
      <c r="D240" s="103" t="str">
        <f>IF(MouserListTable[[#This Row],[Vendor]]=FilterSpecs!$A$8,MouserListTable[[#This Row],[Mouser SKU]], MouserListTable[[#This Row],[SKU2]])</f>
        <v>DEV-12086</v>
      </c>
      <c r="E240" s="104">
        <v>0</v>
      </c>
      <c r="F240" s="104">
        <v>0</v>
      </c>
      <c r="G240" s="103" t="s">
        <v>1323</v>
      </c>
      <c r="H240" s="103" t="s">
        <v>1324</v>
      </c>
      <c r="I240" s="103" t="s">
        <v>1325</v>
      </c>
      <c r="J240" s="103">
        <v>1</v>
      </c>
      <c r="K240" s="104">
        <v>99.95</v>
      </c>
      <c r="L240" s="103" t="s">
        <v>1914</v>
      </c>
      <c r="M240" s="103" t="s">
        <v>1350</v>
      </c>
      <c r="N240" s="104">
        <f>MouserListTable[[#This Row],[Qty.]]*MouserListTable[[#This Row],[Price (USD)]]</f>
        <v>0</v>
      </c>
      <c r="O240" s="103" t="s">
        <v>1322</v>
      </c>
      <c r="P240" s="103">
        <f t="shared" si="15"/>
        <v>227</v>
      </c>
      <c r="Q240" s="103">
        <f t="shared" si="16"/>
        <v>1</v>
      </c>
      <c r="R240" s="103" t="s">
        <v>8</v>
      </c>
      <c r="S240" s="103" t="str">
        <f>_xlfn.IFS(MouserListTable[[#This Row],[Column1]]=FilterSpecs!$A$6, FilterSpecs!$B$6,MouserListTable[[#This Row],[Column1]]=FilterSpecs!$A$7,FilterSpecs!$B$7,MouserListTable[[#This Row],[Column1]]=FilterSpecs!$A$8,FilterSpecs!$B$8,MouserListTable[[#This Row],[Column1]]=FilterSpecs!$A$9,FilterSpecs!$B$9)</f>
        <v>474-</v>
      </c>
      <c r="T24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474-DEV-12086</v>
      </c>
      <c r="V240" s="151">
        <f>IF(MouserListTable[[#This Row],[Qty.]]=0, 0, "")</f>
        <v>0</v>
      </c>
    </row>
    <row r="241" spans="1:22" s="146" customFormat="1" x14ac:dyDescent="0.3">
      <c r="A241" s="126" t="s">
        <v>1046</v>
      </c>
      <c r="B241" s="126" t="s">
        <v>1409</v>
      </c>
      <c r="C241" s="126" t="s">
        <v>8</v>
      </c>
      <c r="D241" s="103" t="str">
        <f>IF(MouserListTable[[#This Row],[Vendor]]=FilterSpecs!$A$8,MouserListTable[[#This Row],[Mouser SKU]], MouserListTable[[#This Row],[SKU2]])</f>
        <v>DEV-12085</v>
      </c>
      <c r="E241" s="104">
        <v>0</v>
      </c>
      <c r="F241" s="104">
        <v>0</v>
      </c>
      <c r="G241" s="103" t="s">
        <v>1327</v>
      </c>
      <c r="H241" s="103" t="s">
        <v>1328</v>
      </c>
      <c r="I241" s="103" t="s">
        <v>1329</v>
      </c>
      <c r="J241" s="103">
        <v>1</v>
      </c>
      <c r="K241" s="104">
        <v>65.95</v>
      </c>
      <c r="L241" s="103" t="s">
        <v>1914</v>
      </c>
      <c r="M241" s="103" t="s">
        <v>1350</v>
      </c>
      <c r="N241" s="104">
        <f>MouserListTable[[#This Row],[Qty.]]*MouserListTable[[#This Row],[Price (USD)]]</f>
        <v>0</v>
      </c>
      <c r="O241" s="103" t="s">
        <v>1326</v>
      </c>
      <c r="P241" s="103">
        <f t="shared" si="15"/>
        <v>228</v>
      </c>
      <c r="Q241" s="103">
        <f t="shared" si="16"/>
        <v>1</v>
      </c>
      <c r="R241" s="103" t="s">
        <v>8</v>
      </c>
      <c r="S241" s="103" t="str">
        <f>_xlfn.IFS(MouserListTable[[#This Row],[Column1]]=FilterSpecs!$A$6, FilterSpecs!$B$6,MouserListTable[[#This Row],[Column1]]=FilterSpecs!$A$7,FilterSpecs!$B$7,MouserListTable[[#This Row],[Column1]]=FilterSpecs!$A$8,FilterSpecs!$B$8,MouserListTable[[#This Row],[Column1]]=FilterSpecs!$A$9,FilterSpecs!$B$9)</f>
        <v>474-</v>
      </c>
      <c r="T24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474-DEV-12085</v>
      </c>
      <c r="V241" s="151">
        <f>IF(MouserListTable[[#This Row],[Qty.]]=0, 0, "")</f>
        <v>0</v>
      </c>
    </row>
    <row r="242" spans="1:22" s="146" customFormat="1" x14ac:dyDescent="0.3">
      <c r="A242" s="126" t="s">
        <v>1046</v>
      </c>
      <c r="B242" s="126" t="s">
        <v>1409</v>
      </c>
      <c r="C242" s="126" t="s">
        <v>8</v>
      </c>
      <c r="D242" s="103" t="str">
        <f>IF(MouserListTable[[#This Row],[Vendor]]=FilterSpecs!$A$8,MouserListTable[[#This Row],[Mouser SKU]], MouserListTable[[#This Row],[SKU2]])</f>
        <v>PRT-12842</v>
      </c>
      <c r="E242" s="104">
        <v>0</v>
      </c>
      <c r="F242" s="104">
        <v>0</v>
      </c>
      <c r="G242" s="103" t="s">
        <v>1315</v>
      </c>
      <c r="H242" s="103" t="s">
        <v>1316</v>
      </c>
      <c r="I242" s="103" t="s">
        <v>1317</v>
      </c>
      <c r="J242" s="103"/>
      <c r="K242" s="104">
        <v>7.95</v>
      </c>
      <c r="L242" s="103" t="s">
        <v>1914</v>
      </c>
      <c r="M242" s="103" t="s">
        <v>1350</v>
      </c>
      <c r="N242" s="104">
        <f>MouserListTable[[#This Row],[Qty.]]*MouserListTable[[#This Row],[Price (USD)]]</f>
        <v>0</v>
      </c>
      <c r="O242" s="103" t="s">
        <v>1314</v>
      </c>
      <c r="P242" s="103">
        <f t="shared" si="15"/>
        <v>229</v>
      </c>
      <c r="Q242" s="103">
        <f t="shared" si="16"/>
        <v>1</v>
      </c>
      <c r="R242" s="103" t="s">
        <v>8</v>
      </c>
      <c r="S242" s="103" t="str">
        <f>_xlfn.IFS(MouserListTable[[#This Row],[Column1]]=FilterSpecs!$A$6, FilterSpecs!$B$6,MouserListTable[[#This Row],[Column1]]=FilterSpecs!$A$7,FilterSpecs!$B$7,MouserListTable[[#This Row],[Column1]]=FilterSpecs!$A$8,FilterSpecs!$B$8,MouserListTable[[#This Row],[Column1]]=FilterSpecs!$A$9,FilterSpecs!$B$9)</f>
        <v>474-</v>
      </c>
      <c r="T24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474-PRT-12842</v>
      </c>
      <c r="V242" s="151">
        <f>IF(MouserListTable[[#This Row],[Qty.]]=0, 0, "")</f>
        <v>0</v>
      </c>
    </row>
    <row r="243" spans="1:22" s="146" customFormat="1" x14ac:dyDescent="0.3">
      <c r="A243" s="103" t="s">
        <v>1046</v>
      </c>
      <c r="B243" s="103" t="s">
        <v>1409</v>
      </c>
      <c r="C243" s="103" t="s">
        <v>1898</v>
      </c>
      <c r="D243" s="103" t="str">
        <f>IF(MouserListTable[[#This Row],[Vendor]]=FilterSpecs!$A$8,MouserListTable[[#This Row],[Mouser SKU]], MouserListTable[[#This Row],[SKU2]])</f>
        <v>3396</v>
      </c>
      <c r="E243" s="104">
        <v>1</v>
      </c>
      <c r="F243" s="104" t="s">
        <v>18921</v>
      </c>
      <c r="G243" s="103"/>
      <c r="H243" s="103"/>
      <c r="I243" s="103" t="s">
        <v>2377</v>
      </c>
      <c r="K243" s="104">
        <v>49.95</v>
      </c>
      <c r="L243" s="103" t="s">
        <v>1914</v>
      </c>
      <c r="M243" s="106"/>
      <c r="N243" s="104">
        <f>E243*K243</f>
        <v>49.95</v>
      </c>
      <c r="O243" s="103" t="s">
        <v>2376</v>
      </c>
      <c r="P243" s="103">
        <f t="shared" si="15"/>
        <v>230</v>
      </c>
      <c r="Q243" s="103">
        <f t="shared" si="16"/>
        <v>1</v>
      </c>
      <c r="R243" s="103" t="s">
        <v>1898</v>
      </c>
      <c r="S243" s="103" t="str">
        <f>_xlfn.IFS(MouserListTable[[#This Row],[Column1]]=FilterSpecs!$A$6, FilterSpecs!$B$6,MouserListTable[[#This Row],[Column1]]=FilterSpecs!$A$7,FilterSpecs!$B$7,MouserListTable[[#This Row],[Column1]]=FilterSpecs!$A$8,FilterSpecs!$B$8,MouserListTable[[#This Row],[Column1]]=FilterSpecs!$A$9,FilterSpecs!$B$9)</f>
        <v>485-</v>
      </c>
      <c r="T24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485-3396</v>
      </c>
      <c r="V243" s="151" t="str">
        <f>IF(MouserListTable[[#This Row],[Qty.]]=0, 0, "")</f>
        <v/>
      </c>
    </row>
    <row r="244" spans="1:22" s="146" customFormat="1" x14ac:dyDescent="0.3">
      <c r="A244" s="103" t="s">
        <v>1046</v>
      </c>
      <c r="B244" s="103" t="s">
        <v>1409</v>
      </c>
      <c r="C244" s="103" t="s">
        <v>1898</v>
      </c>
      <c r="D244" s="103" t="str">
        <f>IF(MouserListTable[[#This Row],[Vendor]]=FilterSpecs!$A$8,MouserListTable[[#This Row],[Mouser SKU]], MouserListTable[[#This Row],[SKU2]])</f>
        <v>1555</v>
      </c>
      <c r="E244" s="104">
        <v>0</v>
      </c>
      <c r="F244" s="104">
        <v>0</v>
      </c>
      <c r="G244" s="103"/>
      <c r="H244" s="103"/>
      <c r="I244" s="126" t="s">
        <v>2379</v>
      </c>
      <c r="K244" s="148">
        <v>9.9499999999999993</v>
      </c>
      <c r="L244" s="126" t="s">
        <v>1914</v>
      </c>
      <c r="N244" s="148"/>
      <c r="O244" s="103" t="s">
        <v>2378</v>
      </c>
      <c r="P244" s="103">
        <f t="shared" si="15"/>
        <v>231</v>
      </c>
      <c r="Q244" s="103">
        <f t="shared" si="16"/>
        <v>1</v>
      </c>
      <c r="R244" s="103" t="s">
        <v>1898</v>
      </c>
      <c r="S244" s="103" t="str">
        <f>_xlfn.IFS(MouserListTable[[#This Row],[Column1]]=FilterSpecs!$A$6, FilterSpecs!$B$6,MouserListTable[[#This Row],[Column1]]=FilterSpecs!$A$7,FilterSpecs!$B$7,MouserListTable[[#This Row],[Column1]]=FilterSpecs!$A$8,FilterSpecs!$B$8,MouserListTable[[#This Row],[Column1]]=FilterSpecs!$A$9,FilterSpecs!$B$9)</f>
        <v>485-</v>
      </c>
      <c r="T24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485-1555</v>
      </c>
      <c r="V244" s="151">
        <f>IF(MouserListTable[[#This Row],[Qty.]]=0, 0, "")</f>
        <v>0</v>
      </c>
    </row>
    <row r="245" spans="1:22" s="146" customFormat="1" x14ac:dyDescent="0.3">
      <c r="A245" s="103" t="s">
        <v>1046</v>
      </c>
      <c r="B245" s="103" t="s">
        <v>1409</v>
      </c>
      <c r="C245" s="103" t="s">
        <v>1898</v>
      </c>
      <c r="D245" s="103" t="str">
        <f>IF(MouserListTable[[#This Row],[Vendor]]=FilterSpecs!$A$8,MouserListTable[[#This Row],[Mouser SKU]], MouserListTable[[#This Row],[SKU2]])</f>
        <v>699</v>
      </c>
      <c r="E245" s="104">
        <v>0</v>
      </c>
      <c r="F245" s="104">
        <v>0</v>
      </c>
      <c r="G245" s="103"/>
      <c r="H245" s="103"/>
      <c r="I245" s="126" t="s">
        <v>2381</v>
      </c>
      <c r="K245" s="148">
        <v>19.95</v>
      </c>
      <c r="L245" s="126" t="s">
        <v>1914</v>
      </c>
      <c r="N245" s="148"/>
      <c r="O245" s="103" t="s">
        <v>2380</v>
      </c>
      <c r="P245" s="103">
        <f t="shared" si="15"/>
        <v>232</v>
      </c>
      <c r="Q245" s="103">
        <f t="shared" si="16"/>
        <v>1</v>
      </c>
      <c r="R245" s="103" t="s">
        <v>1898</v>
      </c>
      <c r="S245" s="103" t="str">
        <f>_xlfn.IFS(MouserListTable[[#This Row],[Column1]]=FilterSpecs!$A$6, FilterSpecs!$B$6,MouserListTable[[#This Row],[Column1]]=FilterSpecs!$A$7,FilterSpecs!$B$7,MouserListTable[[#This Row],[Column1]]=FilterSpecs!$A$8,FilterSpecs!$B$8,MouserListTable[[#This Row],[Column1]]=FilterSpecs!$A$9,FilterSpecs!$B$9)</f>
        <v>485-</v>
      </c>
      <c r="T24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485-699</v>
      </c>
      <c r="V245" s="151">
        <f>IF(MouserListTable[[#This Row],[Qty.]]=0, 0, "")</f>
        <v>0</v>
      </c>
    </row>
    <row r="246" spans="1:22" s="146" customFormat="1" x14ac:dyDescent="0.3">
      <c r="A246" s="103" t="s">
        <v>1046</v>
      </c>
      <c r="B246" s="103" t="s">
        <v>1409</v>
      </c>
      <c r="C246" s="103" t="s">
        <v>1898</v>
      </c>
      <c r="D246" s="103" t="str">
        <f>IF(MouserListTable[[#This Row],[Vendor]]=FilterSpecs!$A$8,MouserListTable[[#This Row],[Mouser SKU]], MouserListTable[[#This Row],[SKU2]])</f>
        <v>572</v>
      </c>
      <c r="E246" s="104">
        <v>1</v>
      </c>
      <c r="F246" s="104" t="s">
        <v>18921</v>
      </c>
      <c r="G246" s="103"/>
      <c r="H246" s="103"/>
      <c r="I246" s="103" t="s">
        <v>2383</v>
      </c>
      <c r="K246" s="104">
        <v>9.9499999999999993</v>
      </c>
      <c r="L246" s="103" t="s">
        <v>1914</v>
      </c>
      <c r="M246" s="106"/>
      <c r="N246" s="104">
        <f>E246*K246</f>
        <v>9.9499999999999993</v>
      </c>
      <c r="O246" s="103" t="s">
        <v>2382</v>
      </c>
      <c r="P246" s="103">
        <f t="shared" si="15"/>
        <v>233</v>
      </c>
      <c r="Q246" s="103">
        <f t="shared" si="16"/>
        <v>1</v>
      </c>
      <c r="R246" s="103" t="s">
        <v>1898</v>
      </c>
      <c r="S246" s="103" t="str">
        <f>_xlfn.IFS(MouserListTable[[#This Row],[Column1]]=FilterSpecs!$A$6, FilterSpecs!$B$6,MouserListTable[[#This Row],[Column1]]=FilterSpecs!$A$7,FilterSpecs!$B$7,MouserListTable[[#This Row],[Column1]]=FilterSpecs!$A$8,FilterSpecs!$B$8,MouserListTable[[#This Row],[Column1]]=FilterSpecs!$A$9,FilterSpecs!$B$9)</f>
        <v>485-</v>
      </c>
      <c r="T24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485-572</v>
      </c>
      <c r="V246" s="151" t="str">
        <f>IF(MouserListTable[[#This Row],[Qty.]]=0, 0, "")</f>
        <v/>
      </c>
    </row>
    <row r="247" spans="1:22" s="146" customFormat="1" x14ac:dyDescent="0.3">
      <c r="A247" s="103" t="s">
        <v>1046</v>
      </c>
      <c r="B247" s="103" t="s">
        <v>1409</v>
      </c>
      <c r="C247" s="103" t="s">
        <v>1898</v>
      </c>
      <c r="D247" s="103" t="str">
        <f>IF(MouserListTable[[#This Row],[Vendor]]=FilterSpecs!$A$8,MouserListTable[[#This Row],[Mouser SKU]], MouserListTable[[#This Row],[SKU2]])</f>
        <v>702</v>
      </c>
      <c r="E247" s="104">
        <v>0</v>
      </c>
      <c r="F247" s="104">
        <v>0</v>
      </c>
      <c r="G247" s="103"/>
      <c r="H247" s="103"/>
      <c r="I247" s="126" t="s">
        <v>2385</v>
      </c>
      <c r="K247" s="148">
        <v>7.95</v>
      </c>
      <c r="L247" s="126" t="s">
        <v>1914</v>
      </c>
      <c r="N247" s="148"/>
      <c r="O247" s="103" t="s">
        <v>2384</v>
      </c>
      <c r="P247" s="103">
        <f t="shared" si="15"/>
        <v>234</v>
      </c>
      <c r="Q247" s="103">
        <f t="shared" si="16"/>
        <v>1</v>
      </c>
      <c r="R247" s="103" t="s">
        <v>1898</v>
      </c>
      <c r="S247" s="103" t="str">
        <f>_xlfn.IFS(MouserListTable[[#This Row],[Column1]]=FilterSpecs!$A$6, FilterSpecs!$B$6,MouserListTable[[#This Row],[Column1]]=FilterSpecs!$A$7,FilterSpecs!$B$7,MouserListTable[[#This Row],[Column1]]=FilterSpecs!$A$8,FilterSpecs!$B$8,MouserListTable[[#This Row],[Column1]]=FilterSpecs!$A$9,FilterSpecs!$B$9)</f>
        <v>485-</v>
      </c>
      <c r="T24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485-702</v>
      </c>
      <c r="V247" s="151">
        <f>IF(MouserListTable[[#This Row],[Qty.]]=0, 0, "")</f>
        <v>0</v>
      </c>
    </row>
    <row r="248" spans="1:22" s="146" customFormat="1" x14ac:dyDescent="0.3">
      <c r="A248" s="103" t="s">
        <v>1046</v>
      </c>
      <c r="B248" s="103" t="s">
        <v>1409</v>
      </c>
      <c r="C248" s="103" t="s">
        <v>1898</v>
      </c>
      <c r="D248" s="103" t="str">
        <f>IF(MouserListTable[[#This Row],[Vendor]]=FilterSpecs!$A$8,MouserListTable[[#This Row],[Mouser SKU]], MouserListTable[[#This Row],[SKU2]])</f>
        <v>2627</v>
      </c>
      <c r="E248" s="104">
        <v>1</v>
      </c>
      <c r="F248" s="104" t="s">
        <v>18921</v>
      </c>
      <c r="G248" s="103"/>
      <c r="H248" s="103"/>
      <c r="I248" s="103" t="s">
        <v>2387</v>
      </c>
      <c r="K248" s="104">
        <v>39.950000000000003</v>
      </c>
      <c r="L248" s="103" t="s">
        <v>1914</v>
      </c>
      <c r="M248" s="106"/>
      <c r="N248" s="104">
        <f>E248*K248</f>
        <v>39.950000000000003</v>
      </c>
      <c r="O248" s="103" t="s">
        <v>2386</v>
      </c>
      <c r="P248" s="103">
        <f t="shared" si="15"/>
        <v>235</v>
      </c>
      <c r="Q248" s="103">
        <f t="shared" si="16"/>
        <v>1</v>
      </c>
      <c r="R248" s="103" t="s">
        <v>1898</v>
      </c>
      <c r="S248" s="103" t="str">
        <f>_xlfn.IFS(MouserListTable[[#This Row],[Column1]]=FilterSpecs!$A$6, FilterSpecs!$B$6,MouserListTable[[#This Row],[Column1]]=FilterSpecs!$A$7,FilterSpecs!$B$7,MouserListTable[[#This Row],[Column1]]=FilterSpecs!$A$8,FilterSpecs!$B$8,MouserListTable[[#This Row],[Column1]]=FilterSpecs!$A$9,FilterSpecs!$B$9)</f>
        <v>485-</v>
      </c>
      <c r="T24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485-2627</v>
      </c>
      <c r="V248" s="151" t="str">
        <f>IF(MouserListTable[[#This Row],[Qty.]]=0, 0, "")</f>
        <v/>
      </c>
    </row>
    <row r="249" spans="1:22" s="146" customFormat="1" x14ac:dyDescent="0.3">
      <c r="A249" s="103" t="s">
        <v>1046</v>
      </c>
      <c r="B249" s="103" t="s">
        <v>1409</v>
      </c>
      <c r="C249" s="103" t="s">
        <v>1898</v>
      </c>
      <c r="D249" s="103" t="str">
        <f>IF(MouserListTable[[#This Row],[Vendor]]=FilterSpecs!$A$8,MouserListTable[[#This Row],[Mouser SKU]], MouserListTable[[#This Row],[SKU2]])</f>
        <v>2628</v>
      </c>
      <c r="E249" s="104">
        <v>0</v>
      </c>
      <c r="F249" s="104">
        <v>0</v>
      </c>
      <c r="G249" s="103"/>
      <c r="H249" s="103"/>
      <c r="I249" s="126" t="s">
        <v>2389</v>
      </c>
      <c r="K249" s="148">
        <v>39.950000000000003</v>
      </c>
      <c r="L249" s="126" t="s">
        <v>1914</v>
      </c>
      <c r="N249" s="148"/>
      <c r="O249" s="103" t="s">
        <v>2388</v>
      </c>
      <c r="P249" s="103">
        <f t="shared" si="15"/>
        <v>236</v>
      </c>
      <c r="Q249" s="103">
        <f t="shared" si="16"/>
        <v>1</v>
      </c>
      <c r="R249" s="103" t="s">
        <v>1898</v>
      </c>
      <c r="S249" s="103" t="str">
        <f>_xlfn.IFS(MouserListTable[[#This Row],[Column1]]=FilterSpecs!$A$6, FilterSpecs!$B$6,MouserListTable[[#This Row],[Column1]]=FilterSpecs!$A$7,FilterSpecs!$B$7,MouserListTable[[#This Row],[Column1]]=FilterSpecs!$A$8,FilterSpecs!$B$8,MouserListTable[[#This Row],[Column1]]=FilterSpecs!$A$9,FilterSpecs!$B$9)</f>
        <v>485-</v>
      </c>
      <c r="T24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485-2628</v>
      </c>
      <c r="V249" s="151">
        <f>IF(MouserListTable[[#This Row],[Qty.]]=0, 0, "")</f>
        <v>0</v>
      </c>
    </row>
    <row r="250" spans="1:22" s="146" customFormat="1" x14ac:dyDescent="0.3">
      <c r="A250" s="103" t="s">
        <v>1046</v>
      </c>
      <c r="B250" s="103" t="s">
        <v>1409</v>
      </c>
      <c r="C250" s="103" t="s">
        <v>1898</v>
      </c>
      <c r="D250" s="103" t="str">
        <f>IF(MouserListTable[[#This Row],[Vendor]]=FilterSpecs!$A$8,MouserListTable[[#This Row],[Mouser SKU]], MouserListTable[[#This Row],[SKU2]])</f>
        <v>1810</v>
      </c>
      <c r="E250" s="104">
        <v>0</v>
      </c>
      <c r="F250" s="104">
        <v>0</v>
      </c>
      <c r="G250" s="103"/>
      <c r="H250" s="103"/>
      <c r="I250" s="126" t="s">
        <v>2391</v>
      </c>
      <c r="K250" s="148">
        <v>49.95</v>
      </c>
      <c r="L250" s="126" t="s">
        <v>1914</v>
      </c>
      <c r="N250" s="148"/>
      <c r="O250" s="103" t="s">
        <v>2390</v>
      </c>
      <c r="P250" s="103">
        <f t="shared" si="15"/>
        <v>237</v>
      </c>
      <c r="Q250" s="103">
        <f t="shared" si="16"/>
        <v>1</v>
      </c>
      <c r="R250" s="103" t="s">
        <v>1898</v>
      </c>
      <c r="S250" s="103" t="str">
        <f>_xlfn.IFS(MouserListTable[[#This Row],[Column1]]=FilterSpecs!$A$6, FilterSpecs!$B$6,MouserListTable[[#This Row],[Column1]]=FilterSpecs!$A$7,FilterSpecs!$B$7,MouserListTable[[#This Row],[Column1]]=FilterSpecs!$A$8,FilterSpecs!$B$8,MouserListTable[[#This Row],[Column1]]=FilterSpecs!$A$9,FilterSpecs!$B$9)</f>
        <v>485-</v>
      </c>
      <c r="T25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485-1810</v>
      </c>
      <c r="V250" s="151">
        <f>IF(MouserListTable[[#This Row],[Qty.]]=0, 0, "")</f>
        <v>0</v>
      </c>
    </row>
    <row r="251" spans="1:22" s="146" customFormat="1" x14ac:dyDescent="0.3">
      <c r="A251" s="103" t="s">
        <v>1046</v>
      </c>
      <c r="B251" s="103" t="s">
        <v>1042</v>
      </c>
      <c r="C251" s="103" t="s">
        <v>8</v>
      </c>
      <c r="D251" s="103" t="str">
        <f>IF(MouserListTable[[#This Row],[Vendor]]=FilterSpecs!$A$8,MouserListTable[[#This Row],[Mouser SKU]], MouserListTable[[#This Row],[SKU2]])</f>
        <v>DEV-09564</v>
      </c>
      <c r="E251" s="104">
        <v>1</v>
      </c>
      <c r="F251" s="104" t="s">
        <v>18921</v>
      </c>
      <c r="G251" s="103" t="s">
        <v>341</v>
      </c>
      <c r="H251" s="103" t="s">
        <v>342</v>
      </c>
      <c r="I251" s="103" t="s">
        <v>343</v>
      </c>
      <c r="J251" s="103">
        <v>1</v>
      </c>
      <c r="K251" s="104">
        <v>54.95</v>
      </c>
      <c r="L251" s="103" t="s">
        <v>1914</v>
      </c>
      <c r="M251" s="103" t="s">
        <v>1045</v>
      </c>
      <c r="N251" s="104">
        <f>E251*K251</f>
        <v>54.95</v>
      </c>
      <c r="O251" s="103" t="s">
        <v>340</v>
      </c>
      <c r="P251" s="103">
        <f t="shared" si="15"/>
        <v>238</v>
      </c>
      <c r="Q251" s="103">
        <f t="shared" si="16"/>
        <v>1</v>
      </c>
      <c r="R251" s="103" t="s">
        <v>8</v>
      </c>
      <c r="S251" s="103" t="str">
        <f>_xlfn.IFS(MouserListTable[[#This Row],[Column1]]=FilterSpecs!$A$6, FilterSpecs!$B$6,MouserListTable[[#This Row],[Column1]]=FilterSpecs!$A$7,FilterSpecs!$B$7,MouserListTable[[#This Row],[Column1]]=FilterSpecs!$A$8,FilterSpecs!$B$8,MouserListTable[[#This Row],[Column1]]=FilterSpecs!$A$9,FilterSpecs!$B$9)</f>
        <v>474-</v>
      </c>
      <c r="T25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474-DEV-09564</v>
      </c>
      <c r="V251" s="151" t="str">
        <f>IF(MouserListTable[[#This Row],[Qty.]]=0, 0, "")</f>
        <v/>
      </c>
    </row>
    <row r="252" spans="1:22" s="146" customFormat="1" x14ac:dyDescent="0.3">
      <c r="A252" s="126" t="s">
        <v>1046</v>
      </c>
      <c r="B252" s="126" t="s">
        <v>1042</v>
      </c>
      <c r="C252" s="126" t="s">
        <v>8</v>
      </c>
      <c r="D252" s="103" t="str">
        <f>IF(MouserListTable[[#This Row],[Vendor]]=FilterSpecs!$A$8,MouserListTable[[#This Row],[Mouser SKU]], MouserListTable[[#This Row],[SKU2]])</f>
        <v>DEV-11695</v>
      </c>
      <c r="E252" s="104">
        <v>0</v>
      </c>
      <c r="F252" s="104">
        <v>0</v>
      </c>
      <c r="G252" s="103" t="s">
        <v>337</v>
      </c>
      <c r="H252" s="103" t="s">
        <v>338</v>
      </c>
      <c r="I252" s="103" t="s">
        <v>339</v>
      </c>
      <c r="J252" s="103"/>
      <c r="K252" s="104">
        <v>59.95</v>
      </c>
      <c r="L252" s="103" t="s">
        <v>1913</v>
      </c>
      <c r="M252" s="103" t="s">
        <v>1045</v>
      </c>
      <c r="N252" s="104">
        <f>MouserListTable[[#This Row],[Qty.]]*MouserListTable[[#This Row],[Price (USD)]]</f>
        <v>0</v>
      </c>
      <c r="O252" s="103" t="s">
        <v>336</v>
      </c>
      <c r="P252" s="103">
        <f t="shared" si="15"/>
        <v>239</v>
      </c>
      <c r="Q252" s="103">
        <f t="shared" si="16"/>
        <v>1</v>
      </c>
      <c r="R252" s="103" t="s">
        <v>8</v>
      </c>
      <c r="S252" s="103" t="str">
        <f>_xlfn.IFS(MouserListTable[[#This Row],[Column1]]=FilterSpecs!$A$6, FilterSpecs!$B$6,MouserListTable[[#This Row],[Column1]]=FilterSpecs!$A$7,FilterSpecs!$B$7,MouserListTable[[#This Row],[Column1]]=FilterSpecs!$A$8,FilterSpecs!$B$8,MouserListTable[[#This Row],[Column1]]=FilterSpecs!$A$9,FilterSpecs!$B$9)</f>
        <v>474-</v>
      </c>
      <c r="T25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474-DEV-11695</v>
      </c>
      <c r="V252" s="151">
        <f>IF(MouserListTable[[#This Row],[Qty.]]=0, 0, "")</f>
        <v>0</v>
      </c>
    </row>
    <row r="253" spans="1:22" s="146" customFormat="1" x14ac:dyDescent="0.3">
      <c r="A253" s="103" t="s">
        <v>1046</v>
      </c>
      <c r="B253" s="103" t="s">
        <v>1043</v>
      </c>
      <c r="C253" s="103" t="s">
        <v>8</v>
      </c>
      <c r="D253" s="103" t="str">
        <f>IF(MouserListTable[[#This Row],[Vendor]]=FilterSpecs!$A$8,MouserListTable[[#This Row],[Mouser SKU]], MouserListTable[[#This Row],[SKU2]])</f>
        <v>DEV-13097</v>
      </c>
      <c r="E253" s="104">
        <v>1</v>
      </c>
      <c r="F253" s="104" t="s">
        <v>18921</v>
      </c>
      <c r="G253" s="103" t="s">
        <v>301</v>
      </c>
      <c r="H253" s="103" t="s">
        <v>302</v>
      </c>
      <c r="I253" s="103" t="s">
        <v>303</v>
      </c>
      <c r="J253" s="103">
        <v>1</v>
      </c>
      <c r="K253" s="104">
        <v>99.95</v>
      </c>
      <c r="L253" s="103" t="s">
        <v>1914</v>
      </c>
      <c r="M253" s="103" t="s">
        <v>1052</v>
      </c>
      <c r="N253" s="104">
        <f t="shared" ref="N253:N280" si="18">E253*K253</f>
        <v>99.95</v>
      </c>
      <c r="O253" s="103" t="s">
        <v>300</v>
      </c>
      <c r="P253" s="103">
        <f t="shared" si="15"/>
        <v>240</v>
      </c>
      <c r="Q253" s="103">
        <f t="shared" si="16"/>
        <v>1</v>
      </c>
      <c r="R253" s="103" t="s">
        <v>8</v>
      </c>
      <c r="S253" s="103" t="str">
        <f>_xlfn.IFS(MouserListTable[[#This Row],[Column1]]=FilterSpecs!$A$6, FilterSpecs!$B$6,MouserListTable[[#This Row],[Column1]]=FilterSpecs!$A$7,FilterSpecs!$B$7,MouserListTable[[#This Row],[Column1]]=FilterSpecs!$A$8,FilterSpecs!$B$8,MouserListTable[[#This Row],[Column1]]=FilterSpecs!$A$9,FilterSpecs!$B$9)</f>
        <v>474-</v>
      </c>
      <c r="T25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474-DEV-13097</v>
      </c>
      <c r="V253" s="151" t="str">
        <f>IF(MouserListTable[[#This Row],[Qty.]]=0, 0, "")</f>
        <v/>
      </c>
    </row>
    <row r="254" spans="1:22" s="146" customFormat="1" x14ac:dyDescent="0.3">
      <c r="A254" s="103" t="s">
        <v>1046</v>
      </c>
      <c r="B254" s="103" t="s">
        <v>1043</v>
      </c>
      <c r="C254" s="103" t="s">
        <v>8</v>
      </c>
      <c r="D254" s="103" t="str">
        <f>IF(MouserListTable[[#This Row],[Vendor]]=FilterSpecs!$A$8,MouserListTable[[#This Row],[Mouser SKU]], MouserListTable[[#This Row],[SKU2]])</f>
        <v>DEV-13045</v>
      </c>
      <c r="E254" s="104">
        <v>1</v>
      </c>
      <c r="F254" s="104" t="s">
        <v>18921</v>
      </c>
      <c r="G254" s="103" t="s">
        <v>321</v>
      </c>
      <c r="H254" s="103" t="s">
        <v>322</v>
      </c>
      <c r="I254" s="103" t="s">
        <v>323</v>
      </c>
      <c r="J254" s="103">
        <v>1</v>
      </c>
      <c r="K254" s="104">
        <v>19.95</v>
      </c>
      <c r="L254" s="103" t="s">
        <v>1914</v>
      </c>
      <c r="M254" s="103" t="s">
        <v>1052</v>
      </c>
      <c r="N254" s="104">
        <f t="shared" si="18"/>
        <v>19.95</v>
      </c>
      <c r="O254" s="103" t="s">
        <v>320</v>
      </c>
      <c r="P254" s="103">
        <f t="shared" si="15"/>
        <v>241</v>
      </c>
      <c r="Q254" s="103">
        <f t="shared" si="16"/>
        <v>1</v>
      </c>
      <c r="R254" s="103" t="s">
        <v>8</v>
      </c>
      <c r="S254" s="103" t="str">
        <f>_xlfn.IFS(MouserListTable[[#This Row],[Column1]]=FilterSpecs!$A$6, FilterSpecs!$B$6,MouserListTable[[#This Row],[Column1]]=FilterSpecs!$A$7,FilterSpecs!$B$7,MouserListTable[[#This Row],[Column1]]=FilterSpecs!$A$8,FilterSpecs!$B$8,MouserListTable[[#This Row],[Column1]]=FilterSpecs!$A$9,FilterSpecs!$B$9)</f>
        <v>474-</v>
      </c>
      <c r="T25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474-DEV-13045</v>
      </c>
      <c r="V254" s="151" t="str">
        <f>IF(MouserListTable[[#This Row],[Qty.]]=0, 0, "")</f>
        <v/>
      </c>
    </row>
    <row r="255" spans="1:22" s="146" customFormat="1" x14ac:dyDescent="0.3">
      <c r="A255" s="103" t="s">
        <v>1046</v>
      </c>
      <c r="B255" s="103" t="s">
        <v>1043</v>
      </c>
      <c r="C255" s="103" t="s">
        <v>8</v>
      </c>
      <c r="D255" s="103" t="str">
        <f>IF(MouserListTable[[#This Row],[Vendor]]=FilterSpecs!$A$8,MouserListTable[[#This Row],[Mouser SKU]], MouserListTable[[#This Row],[SKU2]])</f>
        <v>DEV-13038</v>
      </c>
      <c r="E255" s="104">
        <v>1</v>
      </c>
      <c r="F255" s="104" t="s">
        <v>18921</v>
      </c>
      <c r="G255" s="103" t="s">
        <v>309</v>
      </c>
      <c r="H255" s="103" t="s">
        <v>310</v>
      </c>
      <c r="I255" s="103" t="s">
        <v>311</v>
      </c>
      <c r="J255" s="103">
        <v>1</v>
      </c>
      <c r="K255" s="104">
        <v>9.9499999999999993</v>
      </c>
      <c r="L255" s="103" t="s">
        <v>1914</v>
      </c>
      <c r="M255" s="103" t="s">
        <v>1052</v>
      </c>
      <c r="N255" s="104">
        <f t="shared" si="18"/>
        <v>9.9499999999999993</v>
      </c>
      <c r="O255" s="103" t="s">
        <v>308</v>
      </c>
      <c r="P255" s="103">
        <f t="shared" si="15"/>
        <v>242</v>
      </c>
      <c r="Q255" s="103">
        <f t="shared" si="16"/>
        <v>1</v>
      </c>
      <c r="R255" s="103" t="s">
        <v>8</v>
      </c>
      <c r="S255" s="103" t="str">
        <f>_xlfn.IFS(MouserListTable[[#This Row],[Column1]]=FilterSpecs!$A$6, FilterSpecs!$B$6,MouserListTable[[#This Row],[Column1]]=FilterSpecs!$A$7,FilterSpecs!$B$7,MouserListTable[[#This Row],[Column1]]=FilterSpecs!$A$8,FilterSpecs!$B$8,MouserListTable[[#This Row],[Column1]]=FilterSpecs!$A$9,FilterSpecs!$B$9)</f>
        <v>474-</v>
      </c>
      <c r="T25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474-DEV-13038</v>
      </c>
      <c r="V255" s="151" t="str">
        <f>IF(MouserListTable[[#This Row],[Qty.]]=0, 0, "")</f>
        <v/>
      </c>
    </row>
    <row r="256" spans="1:22" s="146" customFormat="1" x14ac:dyDescent="0.3">
      <c r="A256" s="103" t="s">
        <v>1046</v>
      </c>
      <c r="B256" s="103" t="s">
        <v>1043</v>
      </c>
      <c r="C256" s="103" t="s">
        <v>8</v>
      </c>
      <c r="D256" s="103" t="str">
        <f>IF(MouserListTable[[#This Row],[Vendor]]=FilterSpecs!$A$8,MouserListTable[[#This Row],[Mouser SKU]], MouserListTable[[#This Row],[SKU2]])</f>
        <v>DEV-13034</v>
      </c>
      <c r="E256" s="104">
        <v>1</v>
      </c>
      <c r="F256" s="104" t="s">
        <v>18921</v>
      </c>
      <c r="G256" s="103" t="s">
        <v>313</v>
      </c>
      <c r="H256" s="103" t="s">
        <v>314</v>
      </c>
      <c r="I256" s="103" t="s">
        <v>315</v>
      </c>
      <c r="J256" s="103">
        <v>1</v>
      </c>
      <c r="K256" s="104">
        <v>9.9499999999999993</v>
      </c>
      <c r="L256" s="103" t="s">
        <v>1914</v>
      </c>
      <c r="M256" s="103" t="s">
        <v>1052</v>
      </c>
      <c r="N256" s="104">
        <f t="shared" si="18"/>
        <v>9.9499999999999993</v>
      </c>
      <c r="O256" s="103" t="s">
        <v>312</v>
      </c>
      <c r="P256" s="103">
        <f t="shared" si="15"/>
        <v>243</v>
      </c>
      <c r="Q256" s="103">
        <f t="shared" si="16"/>
        <v>1</v>
      </c>
      <c r="R256" s="103" t="s">
        <v>8</v>
      </c>
      <c r="S256" s="103" t="str">
        <f>_xlfn.IFS(MouserListTable[[#This Row],[Column1]]=FilterSpecs!$A$6, FilterSpecs!$B$6,MouserListTable[[#This Row],[Column1]]=FilterSpecs!$A$7,FilterSpecs!$B$7,MouserListTable[[#This Row],[Column1]]=FilterSpecs!$A$8,FilterSpecs!$B$8,MouserListTable[[#This Row],[Column1]]=FilterSpecs!$A$9,FilterSpecs!$B$9)</f>
        <v>474-</v>
      </c>
      <c r="T25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474-DEV-13034</v>
      </c>
      <c r="V256" s="151" t="str">
        <f>IF(MouserListTable[[#This Row],[Qty.]]=0, 0, "")</f>
        <v/>
      </c>
    </row>
    <row r="257" spans="1:22" s="153" customFormat="1" x14ac:dyDescent="0.3">
      <c r="A257" s="103" t="s">
        <v>1046</v>
      </c>
      <c r="B257" s="103" t="s">
        <v>1043</v>
      </c>
      <c r="C257" s="103" t="s">
        <v>8</v>
      </c>
      <c r="D257" s="103" t="str">
        <f>IF(MouserListTable[[#This Row],[Vendor]]=FilterSpecs!$A$8,MouserListTable[[#This Row],[Mouser SKU]], MouserListTable[[#This Row],[SKU2]])</f>
        <v>DEV-13041</v>
      </c>
      <c r="E257" s="104">
        <v>1</v>
      </c>
      <c r="F257" s="104" t="s">
        <v>18921</v>
      </c>
      <c r="G257" s="103" t="s">
        <v>317</v>
      </c>
      <c r="H257" s="103" t="s">
        <v>318</v>
      </c>
      <c r="I257" s="103" t="s">
        <v>319</v>
      </c>
      <c r="J257" s="103">
        <v>1</v>
      </c>
      <c r="K257" s="104">
        <v>9.9499999999999993</v>
      </c>
      <c r="L257" s="103" t="s">
        <v>1914</v>
      </c>
      <c r="M257" s="103" t="s">
        <v>1052</v>
      </c>
      <c r="N257" s="104">
        <f t="shared" si="18"/>
        <v>9.9499999999999993</v>
      </c>
      <c r="O257" s="103" t="s">
        <v>316</v>
      </c>
      <c r="P257" s="103">
        <f t="shared" si="15"/>
        <v>244</v>
      </c>
      <c r="Q257" s="103">
        <f t="shared" si="16"/>
        <v>1</v>
      </c>
      <c r="R257" s="103" t="s">
        <v>8</v>
      </c>
      <c r="S257" s="103" t="str">
        <f>_xlfn.IFS(MouserListTable[[#This Row],[Column1]]=FilterSpecs!$A$6, FilterSpecs!$B$6,MouserListTable[[#This Row],[Column1]]=FilterSpecs!$A$7,FilterSpecs!$B$7,MouserListTable[[#This Row],[Column1]]=FilterSpecs!$A$8,FilterSpecs!$B$8,MouserListTable[[#This Row],[Column1]]=FilterSpecs!$A$9,FilterSpecs!$B$9)</f>
        <v>474-</v>
      </c>
      <c r="T25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474-DEV-13041</v>
      </c>
      <c r="V257" s="151" t="str">
        <f>IF(MouserListTable[[#This Row],[Qty.]]=0, 0, "")</f>
        <v/>
      </c>
    </row>
    <row r="258" spans="1:22" s="153" customFormat="1" x14ac:dyDescent="0.3">
      <c r="A258" s="103" t="s">
        <v>1046</v>
      </c>
      <c r="B258" s="103" t="s">
        <v>1043</v>
      </c>
      <c r="C258" s="103" t="s">
        <v>8</v>
      </c>
      <c r="D258" s="103" t="str">
        <f>IF(MouserListTable[[#This Row],[Vendor]]=FilterSpecs!$A$8,MouserListTable[[#This Row],[Mouser SKU]], MouserListTable[[#This Row],[SKU2]])</f>
        <v>DEV-13727</v>
      </c>
      <c r="E258" s="104">
        <v>1</v>
      </c>
      <c r="F258" s="104" t="s">
        <v>18921</v>
      </c>
      <c r="G258" s="103" t="s">
        <v>305</v>
      </c>
      <c r="H258" s="103" t="s">
        <v>306</v>
      </c>
      <c r="I258" s="103" t="s">
        <v>307</v>
      </c>
      <c r="J258" s="103">
        <v>1</v>
      </c>
      <c r="K258" s="104">
        <v>9.9499999999999993</v>
      </c>
      <c r="L258" s="103" t="s">
        <v>1914</v>
      </c>
      <c r="M258" s="103" t="s">
        <v>1052</v>
      </c>
      <c r="N258" s="104">
        <f t="shared" si="18"/>
        <v>9.9499999999999993</v>
      </c>
      <c r="O258" s="103" t="s">
        <v>304</v>
      </c>
      <c r="P258" s="103">
        <f t="shared" si="15"/>
        <v>245</v>
      </c>
      <c r="Q258" s="103">
        <f t="shared" si="16"/>
        <v>1</v>
      </c>
      <c r="R258" s="103" t="s">
        <v>8</v>
      </c>
      <c r="S258" s="103" t="str">
        <f>_xlfn.IFS(MouserListTable[[#This Row],[Column1]]=FilterSpecs!$A$6, FilterSpecs!$B$6,MouserListTable[[#This Row],[Column1]]=FilterSpecs!$A$7,FilterSpecs!$B$7,MouserListTable[[#This Row],[Column1]]=FilterSpecs!$A$8,FilterSpecs!$B$8,MouserListTable[[#This Row],[Column1]]=FilterSpecs!$A$9,FilterSpecs!$B$9)</f>
        <v>474-</v>
      </c>
      <c r="T25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474-DEV-13727</v>
      </c>
      <c r="V258" s="151" t="str">
        <f>IF(MouserListTable[[#This Row],[Qty.]]=0, 0, "")</f>
        <v/>
      </c>
    </row>
    <row r="259" spans="1:22" s="153" customFormat="1" x14ac:dyDescent="0.3">
      <c r="A259" s="103" t="s">
        <v>1046</v>
      </c>
      <c r="B259" s="103" t="s">
        <v>1043</v>
      </c>
      <c r="C259" s="103" t="s">
        <v>8</v>
      </c>
      <c r="D259" s="103" t="str">
        <f>IF(MouserListTable[[#This Row],[Vendor]]=FilterSpecs!$A$8,MouserListTable[[#This Row],[Mouser SKU]], MouserListTable[[#This Row],[SKU2]])</f>
        <v>DEV-13035</v>
      </c>
      <c r="E259" s="104">
        <v>1</v>
      </c>
      <c r="F259" s="104" t="s">
        <v>18921</v>
      </c>
      <c r="G259" s="103" t="s">
        <v>1129</v>
      </c>
      <c r="H259" s="103" t="s">
        <v>1130</v>
      </c>
      <c r="I259" s="103" t="s">
        <v>1131</v>
      </c>
      <c r="J259" s="103">
        <v>1</v>
      </c>
      <c r="K259" s="104">
        <v>14.95</v>
      </c>
      <c r="L259" s="103" t="s">
        <v>1914</v>
      </c>
      <c r="M259" s="103" t="s">
        <v>1052</v>
      </c>
      <c r="N259" s="104">
        <f t="shared" si="18"/>
        <v>14.95</v>
      </c>
      <c r="O259" s="103" t="s">
        <v>1128</v>
      </c>
      <c r="P259" s="103">
        <f t="shared" si="15"/>
        <v>246</v>
      </c>
      <c r="Q259" s="103">
        <f t="shared" si="16"/>
        <v>1</v>
      </c>
      <c r="R259" s="103" t="s">
        <v>8</v>
      </c>
      <c r="S259" s="103" t="str">
        <f>_xlfn.IFS(MouserListTable[[#This Row],[Column1]]=FilterSpecs!$A$6, FilterSpecs!$B$6,MouserListTable[[#This Row],[Column1]]=FilterSpecs!$A$7,FilterSpecs!$B$7,MouserListTable[[#This Row],[Column1]]=FilterSpecs!$A$8,FilterSpecs!$B$8,MouserListTable[[#This Row],[Column1]]=FilterSpecs!$A$9,FilterSpecs!$B$9)</f>
        <v>474-</v>
      </c>
      <c r="T25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474-DEV-13035</v>
      </c>
      <c r="V259" s="151" t="str">
        <f>IF(MouserListTable[[#This Row],[Qty.]]=0, 0, "")</f>
        <v/>
      </c>
    </row>
    <row r="260" spans="1:22" s="153" customFormat="1" x14ac:dyDescent="0.3">
      <c r="A260" s="103" t="s">
        <v>1046</v>
      </c>
      <c r="B260" s="103" t="s">
        <v>1043</v>
      </c>
      <c r="C260" s="103" t="s">
        <v>8</v>
      </c>
      <c r="D260" s="103" t="str">
        <f>IF(MouserListTable[[#This Row],[Vendor]]=FilterSpecs!$A$8,MouserListTable[[#This Row],[Mouser SKU]], MouserListTable[[#This Row],[SKU2]])</f>
        <v>DEV-13770</v>
      </c>
      <c r="E260" s="104">
        <v>1</v>
      </c>
      <c r="F260" s="104" t="s">
        <v>18921</v>
      </c>
      <c r="G260" s="103" t="s">
        <v>1149</v>
      </c>
      <c r="H260" s="103" t="s">
        <v>1150</v>
      </c>
      <c r="I260" s="103" t="s">
        <v>1151</v>
      </c>
      <c r="J260" s="103">
        <v>1</v>
      </c>
      <c r="K260" s="104">
        <v>9.9499999999999993</v>
      </c>
      <c r="L260" s="103" t="s">
        <v>1914</v>
      </c>
      <c r="M260" s="103" t="s">
        <v>1052</v>
      </c>
      <c r="N260" s="104">
        <f t="shared" si="18"/>
        <v>9.9499999999999993</v>
      </c>
      <c r="O260" s="103" t="s">
        <v>1148</v>
      </c>
      <c r="P260" s="103">
        <f t="shared" si="15"/>
        <v>247</v>
      </c>
      <c r="Q260" s="103">
        <f t="shared" si="16"/>
        <v>1</v>
      </c>
      <c r="R260" s="103" t="s">
        <v>8</v>
      </c>
      <c r="S260" s="103" t="str">
        <f>_xlfn.IFS(MouserListTable[[#This Row],[Column1]]=FilterSpecs!$A$6, FilterSpecs!$B$6,MouserListTable[[#This Row],[Column1]]=FilterSpecs!$A$7,FilterSpecs!$B$7,MouserListTable[[#This Row],[Column1]]=FilterSpecs!$A$8,FilterSpecs!$B$8,MouserListTable[[#This Row],[Column1]]=FilterSpecs!$A$9,FilterSpecs!$B$9)</f>
        <v>474-</v>
      </c>
      <c r="T26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474-DEV-13770</v>
      </c>
      <c r="V260" s="151" t="str">
        <f>IF(MouserListTable[[#This Row],[Qty.]]=0, 0, "")</f>
        <v/>
      </c>
    </row>
    <row r="261" spans="1:22" s="153" customFormat="1" x14ac:dyDescent="0.3">
      <c r="A261" s="103" t="s">
        <v>1046</v>
      </c>
      <c r="B261" s="103" t="s">
        <v>1043</v>
      </c>
      <c r="C261" s="103" t="s">
        <v>8</v>
      </c>
      <c r="D261" s="103" t="str">
        <f>IF(MouserListTable[[#This Row],[Vendor]]=FilterSpecs!$A$8,MouserListTable[[#This Row],[Mouser SKU]], MouserListTable[[#This Row],[SKU2]])</f>
        <v>COM-13187</v>
      </c>
      <c r="E261" s="104">
        <v>4</v>
      </c>
      <c r="F261" s="104" t="s">
        <v>18921</v>
      </c>
      <c r="G261" s="103" t="s">
        <v>800</v>
      </c>
      <c r="H261" s="103" t="s">
        <v>801</v>
      </c>
      <c r="I261" s="103" t="s">
        <v>802</v>
      </c>
      <c r="J261" s="103">
        <v>1</v>
      </c>
      <c r="K261" s="104">
        <v>2.95</v>
      </c>
      <c r="L261" s="103" t="s">
        <v>1914</v>
      </c>
      <c r="M261" s="103" t="s">
        <v>1052</v>
      </c>
      <c r="N261" s="104">
        <f t="shared" si="18"/>
        <v>11.8</v>
      </c>
      <c r="O261" s="103" t="s">
        <v>799</v>
      </c>
      <c r="P261" s="103">
        <f t="shared" si="15"/>
        <v>248</v>
      </c>
      <c r="Q261" s="103">
        <f t="shared" si="16"/>
        <v>1</v>
      </c>
      <c r="R261" s="103" t="s">
        <v>8</v>
      </c>
      <c r="S261" s="103" t="str">
        <f>_xlfn.IFS(MouserListTable[[#This Row],[Column1]]=FilterSpecs!$A$6, FilterSpecs!$B$6,MouserListTable[[#This Row],[Column1]]=FilterSpecs!$A$7,FilterSpecs!$B$7,MouserListTable[[#This Row],[Column1]]=FilterSpecs!$A$8,FilterSpecs!$B$8,MouserListTable[[#This Row],[Column1]]=FilterSpecs!$A$9,FilterSpecs!$B$9)</f>
        <v>474-</v>
      </c>
      <c r="T26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474-COM-13187</v>
      </c>
      <c r="V261" s="151" t="str">
        <f>IF(MouserListTable[[#This Row],[Qty.]]=0, 0, "")</f>
        <v/>
      </c>
    </row>
    <row r="262" spans="1:22" s="153" customFormat="1" ht="16.2" x14ac:dyDescent="0.3">
      <c r="A262" s="103" t="s">
        <v>1046</v>
      </c>
      <c r="B262" s="103" t="s">
        <v>18919</v>
      </c>
      <c r="C262" s="103" t="s">
        <v>8</v>
      </c>
      <c r="D262" s="103" t="str">
        <f>IF(MouserListTable[[#This Row],[Vendor]]=FilterSpecs!$A$8,MouserListTable[[#This Row],[Mouser SKU]], MouserListTable[[#This Row],[SKU2]])</f>
        <v>DEV-14438</v>
      </c>
      <c r="E262" s="104">
        <v>1</v>
      </c>
      <c r="F262" s="104" t="s">
        <v>18921</v>
      </c>
      <c r="G262" s="103" t="s">
        <v>1173</v>
      </c>
      <c r="H262" s="103" t="s">
        <v>1174</v>
      </c>
      <c r="I262" s="103" t="s">
        <v>1175</v>
      </c>
      <c r="J262" s="103"/>
      <c r="K262" s="104">
        <v>20</v>
      </c>
      <c r="L262" s="103" t="s">
        <v>1914</v>
      </c>
      <c r="M262" s="158" t="s">
        <v>1050</v>
      </c>
      <c r="N262" s="104">
        <f t="shared" si="18"/>
        <v>20</v>
      </c>
      <c r="O262" s="103" t="s">
        <v>1172</v>
      </c>
      <c r="P262" s="103">
        <f t="shared" si="15"/>
        <v>249</v>
      </c>
      <c r="Q262" s="103">
        <f t="shared" si="16"/>
        <v>1</v>
      </c>
      <c r="R262" s="103" t="s">
        <v>8</v>
      </c>
      <c r="S262" s="103" t="str">
        <f>_xlfn.IFS(MouserListTable[[#This Row],[Column1]]=FilterSpecs!$A$6, FilterSpecs!$B$6,MouserListTable[[#This Row],[Column1]]=FilterSpecs!$A$7,FilterSpecs!$B$7,MouserListTable[[#This Row],[Column1]]=FilterSpecs!$A$8,FilterSpecs!$B$8,MouserListTable[[#This Row],[Column1]]=FilterSpecs!$A$9,FilterSpecs!$B$9)</f>
        <v>474-</v>
      </c>
      <c r="T26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474-DEV-14438</v>
      </c>
      <c r="V262" s="151" t="str">
        <f>IF(MouserListTable[[#This Row],[Qty.]]=0, 0, "")</f>
        <v/>
      </c>
    </row>
    <row r="263" spans="1:22" s="153" customFormat="1" ht="16.2" x14ac:dyDescent="0.3">
      <c r="A263" s="103" t="s">
        <v>1046</v>
      </c>
      <c r="B263" s="103" t="s">
        <v>18919</v>
      </c>
      <c r="C263" s="103" t="s">
        <v>8</v>
      </c>
      <c r="D263" s="103" t="str">
        <f>IF(MouserListTable[[#This Row],[Vendor]]=FilterSpecs!$A$8,MouserListTable[[#This Row],[Mouser SKU]], MouserListTable[[#This Row],[SKU2]])</f>
        <v>DEV-14431</v>
      </c>
      <c r="E263" s="104">
        <v>1</v>
      </c>
      <c r="F263" s="104" t="s">
        <v>18921</v>
      </c>
      <c r="G263" s="103" t="s">
        <v>1153</v>
      </c>
      <c r="H263" s="103" t="s">
        <v>1154</v>
      </c>
      <c r="I263" s="103" t="s">
        <v>1155</v>
      </c>
      <c r="J263" s="103"/>
      <c r="K263" s="104">
        <v>9</v>
      </c>
      <c r="L263" s="103" t="s">
        <v>1914</v>
      </c>
      <c r="M263" s="158" t="s">
        <v>1050</v>
      </c>
      <c r="N263" s="104">
        <f t="shared" si="18"/>
        <v>9</v>
      </c>
      <c r="O263" s="103" t="s">
        <v>1152</v>
      </c>
      <c r="P263" s="103">
        <f t="shared" si="15"/>
        <v>250</v>
      </c>
      <c r="Q263" s="103">
        <f t="shared" si="16"/>
        <v>1</v>
      </c>
      <c r="R263" s="103" t="s">
        <v>8</v>
      </c>
      <c r="S263" s="103" t="str">
        <f>_xlfn.IFS(MouserListTable[[#This Row],[Column1]]=FilterSpecs!$A$6, FilterSpecs!$B$6,MouserListTable[[#This Row],[Column1]]=FilterSpecs!$A$7,FilterSpecs!$B$7,MouserListTable[[#This Row],[Column1]]=FilterSpecs!$A$8,FilterSpecs!$B$8,MouserListTable[[#This Row],[Column1]]=FilterSpecs!$A$9,FilterSpecs!$B$9)</f>
        <v>474-</v>
      </c>
      <c r="T26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474-DEV-14431</v>
      </c>
      <c r="V263" s="151" t="str">
        <f>IF(MouserListTable[[#This Row],[Qty.]]=0, 0, "")</f>
        <v/>
      </c>
    </row>
    <row r="264" spans="1:22" s="153" customFormat="1" ht="16.2" x14ac:dyDescent="0.3">
      <c r="A264" s="103" t="s">
        <v>1046</v>
      </c>
      <c r="B264" s="103" t="s">
        <v>18919</v>
      </c>
      <c r="C264" s="103" t="s">
        <v>8</v>
      </c>
      <c r="D264" s="103" t="str">
        <f>IF(MouserListTable[[#This Row],[Vendor]]=FilterSpecs!$A$8,MouserListTable[[#This Row],[Mouser SKU]], MouserListTable[[#This Row],[SKU2]])</f>
        <v>DEV-14443</v>
      </c>
      <c r="E264" s="104">
        <v>1</v>
      </c>
      <c r="F264" s="104" t="s">
        <v>18921</v>
      </c>
      <c r="G264" s="103" t="s">
        <v>1157</v>
      </c>
      <c r="H264" s="103" t="s">
        <v>1158</v>
      </c>
      <c r="I264" s="103" t="s">
        <v>1159</v>
      </c>
      <c r="J264" s="103"/>
      <c r="K264" s="104">
        <v>5</v>
      </c>
      <c r="L264" s="103" t="s">
        <v>1914</v>
      </c>
      <c r="M264" s="158" t="s">
        <v>1050</v>
      </c>
      <c r="N264" s="104">
        <f t="shared" si="18"/>
        <v>5</v>
      </c>
      <c r="O264" s="103" t="s">
        <v>1156</v>
      </c>
      <c r="P264" s="103">
        <f t="shared" si="15"/>
        <v>251</v>
      </c>
      <c r="Q264" s="103">
        <f t="shared" si="16"/>
        <v>1</v>
      </c>
      <c r="R264" s="103" t="s">
        <v>8</v>
      </c>
      <c r="S264" s="103" t="str">
        <f>_xlfn.IFS(MouserListTable[[#This Row],[Column1]]=FilterSpecs!$A$6, FilterSpecs!$B$6,MouserListTable[[#This Row],[Column1]]=FilterSpecs!$A$7,FilterSpecs!$B$7,MouserListTable[[#This Row],[Column1]]=FilterSpecs!$A$8,FilterSpecs!$B$8,MouserListTable[[#This Row],[Column1]]=FilterSpecs!$A$9,FilterSpecs!$B$9)</f>
        <v>474-</v>
      </c>
      <c r="T26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474-DEV-14443</v>
      </c>
      <c r="V264" s="151" t="str">
        <f>IF(MouserListTable[[#This Row],[Qty.]]=0, 0, "")</f>
        <v/>
      </c>
    </row>
    <row r="265" spans="1:22" s="153" customFormat="1" ht="16.2" x14ac:dyDescent="0.3">
      <c r="A265" s="103" t="s">
        <v>1046</v>
      </c>
      <c r="B265" s="103" t="s">
        <v>18919</v>
      </c>
      <c r="C265" s="103" t="s">
        <v>8</v>
      </c>
      <c r="D265" s="103" t="str">
        <f>IF(MouserListTable[[#This Row],[Vendor]]=FilterSpecs!$A$8,MouserListTable[[#This Row],[Mouser SKU]], MouserListTable[[#This Row],[SKU2]])</f>
        <v>DEV-14442</v>
      </c>
      <c r="E265" s="104">
        <v>1</v>
      </c>
      <c r="F265" s="104" t="s">
        <v>18921</v>
      </c>
      <c r="G265" s="103" t="s">
        <v>1165</v>
      </c>
      <c r="H265" s="103" t="s">
        <v>1166</v>
      </c>
      <c r="I265" s="103" t="s">
        <v>1167</v>
      </c>
      <c r="J265" s="103"/>
      <c r="K265" s="104">
        <v>15</v>
      </c>
      <c r="L265" s="103" t="s">
        <v>1914</v>
      </c>
      <c r="M265" s="158" t="s">
        <v>1050</v>
      </c>
      <c r="N265" s="104">
        <f t="shared" si="18"/>
        <v>15</v>
      </c>
      <c r="O265" s="103" t="s">
        <v>1164</v>
      </c>
      <c r="P265" s="103">
        <f t="shared" si="15"/>
        <v>252</v>
      </c>
      <c r="Q265" s="103">
        <f t="shared" si="16"/>
        <v>1</v>
      </c>
      <c r="R265" s="103" t="s">
        <v>8</v>
      </c>
      <c r="S265" s="103" t="str">
        <f>_xlfn.IFS(MouserListTable[[#This Row],[Column1]]=FilterSpecs!$A$6, FilterSpecs!$B$6,MouserListTable[[#This Row],[Column1]]=FilterSpecs!$A$7,FilterSpecs!$B$7,MouserListTable[[#This Row],[Column1]]=FilterSpecs!$A$8,FilterSpecs!$B$8,MouserListTable[[#This Row],[Column1]]=FilterSpecs!$A$9,FilterSpecs!$B$9)</f>
        <v>474-</v>
      </c>
      <c r="T26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474-DEV-14442</v>
      </c>
      <c r="V265" s="151" t="str">
        <f>IF(MouserListTable[[#This Row],[Qty.]]=0, 0, "")</f>
        <v/>
      </c>
    </row>
    <row r="266" spans="1:22" s="153" customFormat="1" ht="16.2" x14ac:dyDescent="0.3">
      <c r="A266" s="103" t="s">
        <v>1046</v>
      </c>
      <c r="B266" s="103" t="s">
        <v>18919</v>
      </c>
      <c r="C266" s="103" t="s">
        <v>8</v>
      </c>
      <c r="D266" s="103" t="str">
        <f>IF(MouserListTable[[#This Row],[Vendor]]=FilterSpecs!$A$8,MouserListTable[[#This Row],[Mouser SKU]], MouserListTable[[#This Row],[SKU2]])</f>
        <v>DEV-14441</v>
      </c>
      <c r="E266" s="104">
        <v>1</v>
      </c>
      <c r="F266" s="104" t="s">
        <v>18921</v>
      </c>
      <c r="G266" s="103" t="s">
        <v>1169</v>
      </c>
      <c r="H266" s="103" t="s">
        <v>1170</v>
      </c>
      <c r="I266" s="103" t="s">
        <v>1171</v>
      </c>
      <c r="J266" s="103"/>
      <c r="K266" s="104">
        <v>15</v>
      </c>
      <c r="L266" s="103" t="s">
        <v>1914</v>
      </c>
      <c r="M266" s="158" t="s">
        <v>1050</v>
      </c>
      <c r="N266" s="104">
        <f t="shared" si="18"/>
        <v>15</v>
      </c>
      <c r="O266" s="103" t="s">
        <v>1168</v>
      </c>
      <c r="P266" s="103">
        <f t="shared" si="15"/>
        <v>253</v>
      </c>
      <c r="Q266" s="103">
        <f t="shared" si="16"/>
        <v>1</v>
      </c>
      <c r="R266" s="103" t="s">
        <v>8</v>
      </c>
      <c r="S266" s="103" t="str">
        <f>_xlfn.IFS(MouserListTable[[#This Row],[Column1]]=FilterSpecs!$A$6, FilterSpecs!$B$6,MouserListTable[[#This Row],[Column1]]=FilterSpecs!$A$7,FilterSpecs!$B$7,MouserListTable[[#This Row],[Column1]]=FilterSpecs!$A$8,FilterSpecs!$B$8,MouserListTable[[#This Row],[Column1]]=FilterSpecs!$A$9,FilterSpecs!$B$9)</f>
        <v>474-</v>
      </c>
      <c r="T26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474-DEV-14441</v>
      </c>
      <c r="V266" s="151" t="str">
        <f>IF(MouserListTable[[#This Row],[Qty.]]=0, 0, "")</f>
        <v/>
      </c>
    </row>
    <row r="267" spans="1:22" s="144" customFormat="1" x14ac:dyDescent="0.3">
      <c r="A267" s="103" t="s">
        <v>1046</v>
      </c>
      <c r="B267" s="103" t="s">
        <v>1180</v>
      </c>
      <c r="C267" s="103" t="s">
        <v>8</v>
      </c>
      <c r="D267" s="103" t="str">
        <f>IF(MouserListTable[[#This Row],[Vendor]]=FilterSpecs!$A$8,MouserListTable[[#This Row],[Mouser SKU]], MouserListTable[[#This Row],[SKU2]])</f>
        <v>DEV-14437</v>
      </c>
      <c r="E267" s="104">
        <v>1</v>
      </c>
      <c r="F267" s="104" t="s">
        <v>18921</v>
      </c>
      <c r="G267" s="103" t="s">
        <v>2438</v>
      </c>
      <c r="H267" s="103" t="s">
        <v>2439</v>
      </c>
      <c r="I267" s="103" t="s">
        <v>2440</v>
      </c>
      <c r="J267" s="103"/>
      <c r="K267" s="104">
        <v>15</v>
      </c>
      <c r="L267" s="103" t="s">
        <v>1914</v>
      </c>
      <c r="M267" s="103" t="s">
        <v>1050</v>
      </c>
      <c r="N267" s="104">
        <f t="shared" si="18"/>
        <v>15</v>
      </c>
      <c r="O267" s="103" t="s">
        <v>2437</v>
      </c>
      <c r="P267" s="103">
        <f t="shared" si="15"/>
        <v>254</v>
      </c>
      <c r="Q267" s="103">
        <f t="shared" si="16"/>
        <v>1</v>
      </c>
      <c r="R267" s="103" t="s">
        <v>8</v>
      </c>
      <c r="S267" s="103" t="str">
        <f>_xlfn.IFS(MouserListTable[[#This Row],[Column1]]=FilterSpecs!$A$6, FilterSpecs!$B$6,MouserListTable[[#This Row],[Column1]]=FilterSpecs!$A$7,FilterSpecs!$B$7,MouserListTable[[#This Row],[Column1]]=FilterSpecs!$A$8,FilterSpecs!$B$8,MouserListTable[[#This Row],[Column1]]=FilterSpecs!$A$9,FilterSpecs!$B$9)</f>
        <v>474-</v>
      </c>
      <c r="T26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474-DEV-14437</v>
      </c>
      <c r="V267" s="151" t="str">
        <f>IF(MouserListTable[[#This Row],[Qty.]]=0, 0, "")</f>
        <v/>
      </c>
    </row>
    <row r="268" spans="1:22" s="144" customFormat="1" x14ac:dyDescent="0.3">
      <c r="A268" s="103" t="s">
        <v>1046</v>
      </c>
      <c r="B268" s="103" t="s">
        <v>1180</v>
      </c>
      <c r="C268" s="103" t="s">
        <v>8</v>
      </c>
      <c r="D268" s="103" t="str">
        <f>IF(MouserListTable[[#This Row],[Vendor]]=FilterSpecs!$A$8,MouserListTable[[#This Row],[Mouser SKU]], MouserListTable[[#This Row],[SKU2]])</f>
        <v>DEV-14436</v>
      </c>
      <c r="E268" s="104">
        <v>1</v>
      </c>
      <c r="F268" s="104" t="s">
        <v>18921</v>
      </c>
      <c r="G268" s="103" t="s">
        <v>2442</v>
      </c>
      <c r="H268" s="103" t="s">
        <v>2443</v>
      </c>
      <c r="I268" s="103" t="s">
        <v>2444</v>
      </c>
      <c r="J268" s="103"/>
      <c r="K268" s="104">
        <v>10</v>
      </c>
      <c r="L268" s="103" t="s">
        <v>1914</v>
      </c>
      <c r="M268" s="103" t="s">
        <v>1050</v>
      </c>
      <c r="N268" s="104">
        <f t="shared" si="18"/>
        <v>10</v>
      </c>
      <c r="O268" s="103" t="s">
        <v>2441</v>
      </c>
      <c r="P268" s="103">
        <f t="shared" si="15"/>
        <v>255</v>
      </c>
      <c r="Q268" s="103">
        <f t="shared" si="16"/>
        <v>1</v>
      </c>
      <c r="R268" s="103" t="s">
        <v>8</v>
      </c>
      <c r="S268" s="103" t="str">
        <f>_xlfn.IFS(MouserListTable[[#This Row],[Column1]]=FilterSpecs!$A$6, FilterSpecs!$B$6,MouserListTable[[#This Row],[Column1]]=FilterSpecs!$A$7,FilterSpecs!$B$7,MouserListTable[[#This Row],[Column1]]=FilterSpecs!$A$8,FilterSpecs!$B$8,MouserListTable[[#This Row],[Column1]]=FilterSpecs!$A$9,FilterSpecs!$B$9)</f>
        <v>474-</v>
      </c>
      <c r="T26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474-DEV-14436</v>
      </c>
      <c r="V268" s="151" t="str">
        <f>IF(MouserListTable[[#This Row],[Qty.]]=0, 0, "")</f>
        <v/>
      </c>
    </row>
    <row r="269" spans="1:22" s="153" customFormat="1" ht="16.2" x14ac:dyDescent="0.3">
      <c r="A269" s="103" t="s">
        <v>1047</v>
      </c>
      <c r="B269" s="103" t="s">
        <v>18920</v>
      </c>
      <c r="C269" s="103" t="s">
        <v>8</v>
      </c>
      <c r="D269" s="103" t="str">
        <f>IF(MouserListTable[[#This Row],[Vendor]]=FilterSpecs!$A$8,MouserListTable[[#This Row],[Mouser SKU]], MouserListTable[[#This Row],[SKU2]])</f>
        <v>DEV-14439</v>
      </c>
      <c r="E269" s="104">
        <v>1</v>
      </c>
      <c r="F269" s="104" t="s">
        <v>18921</v>
      </c>
      <c r="G269" s="103" t="s">
        <v>1077</v>
      </c>
      <c r="H269" s="103" t="s">
        <v>1078</v>
      </c>
      <c r="I269" s="103" t="s">
        <v>1079</v>
      </c>
      <c r="J269" s="103"/>
      <c r="K269" s="104">
        <v>15</v>
      </c>
      <c r="L269" s="103" t="s">
        <v>1914</v>
      </c>
      <c r="M269" s="158" t="s">
        <v>1050</v>
      </c>
      <c r="N269" s="104">
        <f t="shared" si="18"/>
        <v>15</v>
      </c>
      <c r="O269" s="103" t="s">
        <v>1076</v>
      </c>
      <c r="P269" s="103">
        <f t="shared" si="15"/>
        <v>256</v>
      </c>
      <c r="Q269" s="103">
        <f t="shared" si="16"/>
        <v>1</v>
      </c>
      <c r="R269" s="103" t="s">
        <v>8</v>
      </c>
      <c r="S269" s="103" t="str">
        <f>_xlfn.IFS(MouserListTable[[#This Row],[Column1]]=FilterSpecs!$A$6, FilterSpecs!$B$6,MouserListTable[[#This Row],[Column1]]=FilterSpecs!$A$7,FilterSpecs!$B$7,MouserListTable[[#This Row],[Column1]]=FilterSpecs!$A$8,FilterSpecs!$B$8,MouserListTable[[#This Row],[Column1]]=FilterSpecs!$A$9,FilterSpecs!$B$9)</f>
        <v>474-</v>
      </c>
      <c r="T26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474-DEV-14439</v>
      </c>
      <c r="V269" s="151" t="str">
        <f>IF(MouserListTable[[#This Row],[Qty.]]=0, 0, "")</f>
        <v/>
      </c>
    </row>
    <row r="270" spans="1:22" s="153" customFormat="1" ht="16.2" x14ac:dyDescent="0.3">
      <c r="A270" s="103" t="s">
        <v>1047</v>
      </c>
      <c r="B270" s="103" t="s">
        <v>18920</v>
      </c>
      <c r="C270" s="103" t="s">
        <v>8</v>
      </c>
      <c r="D270" s="103" t="str">
        <f>IF(MouserListTable[[#This Row],[Vendor]]=FilterSpecs!$A$8,MouserListTable[[#This Row],[Mouser SKU]], MouserListTable[[#This Row],[SKU2]])</f>
        <v>DEV-14431</v>
      </c>
      <c r="E270" s="104">
        <v>1</v>
      </c>
      <c r="F270" s="104" t="s">
        <v>18921</v>
      </c>
      <c r="G270" s="103" t="s">
        <v>1153</v>
      </c>
      <c r="H270" s="103" t="s">
        <v>1154</v>
      </c>
      <c r="I270" s="103" t="s">
        <v>1155</v>
      </c>
      <c r="J270" s="103"/>
      <c r="K270" s="104">
        <v>9</v>
      </c>
      <c r="L270" s="103" t="s">
        <v>1914</v>
      </c>
      <c r="M270" s="158" t="s">
        <v>1050</v>
      </c>
      <c r="N270" s="104">
        <f t="shared" si="18"/>
        <v>9</v>
      </c>
      <c r="O270" s="103" t="s">
        <v>1152</v>
      </c>
      <c r="P270" s="103">
        <f t="shared" si="15"/>
        <v>257</v>
      </c>
      <c r="Q270" s="103">
        <f t="shared" si="16"/>
        <v>1</v>
      </c>
      <c r="R270" s="103" t="s">
        <v>8</v>
      </c>
      <c r="S270" s="103" t="str">
        <f>_xlfn.IFS(MouserListTable[[#This Row],[Column1]]=FilterSpecs!$A$6, FilterSpecs!$B$6,MouserListTable[[#This Row],[Column1]]=FilterSpecs!$A$7,FilterSpecs!$B$7,MouserListTable[[#This Row],[Column1]]=FilterSpecs!$A$8,FilterSpecs!$B$8,MouserListTable[[#This Row],[Column1]]=FilterSpecs!$A$9,FilterSpecs!$B$9)</f>
        <v>474-</v>
      </c>
      <c r="T27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474-DEV-14431</v>
      </c>
      <c r="V270" s="151" t="str">
        <f>IF(MouserListTable[[#This Row],[Qty.]]=0, 0, "")</f>
        <v/>
      </c>
    </row>
    <row r="271" spans="1:22" s="153" customFormat="1" ht="16.2" x14ac:dyDescent="0.3">
      <c r="A271" s="103" t="s">
        <v>1047</v>
      </c>
      <c r="B271" s="103" t="s">
        <v>18920</v>
      </c>
      <c r="C271" s="103" t="s">
        <v>8</v>
      </c>
      <c r="D271" s="103" t="str">
        <f>IF(MouserListTable[[#This Row],[Vendor]]=FilterSpecs!$A$8,MouserListTable[[#This Row],[Mouser SKU]], MouserListTable[[#This Row],[SKU2]])</f>
        <v>DEV-14446</v>
      </c>
      <c r="E271" s="104">
        <v>1</v>
      </c>
      <c r="F271" s="104" t="s">
        <v>18921</v>
      </c>
      <c r="G271" s="103" t="s">
        <v>1161</v>
      </c>
      <c r="H271" s="103" t="s">
        <v>1162</v>
      </c>
      <c r="I271" s="103" t="s">
        <v>1163</v>
      </c>
      <c r="J271" s="103"/>
      <c r="K271" s="104">
        <v>30</v>
      </c>
      <c r="L271" s="103" t="s">
        <v>1914</v>
      </c>
      <c r="M271" s="158" t="s">
        <v>1050</v>
      </c>
      <c r="N271" s="104">
        <f t="shared" si="18"/>
        <v>30</v>
      </c>
      <c r="O271" s="103" t="s">
        <v>1160</v>
      </c>
      <c r="P271" s="103">
        <f t="shared" si="15"/>
        <v>258</v>
      </c>
      <c r="Q271" s="103">
        <f t="shared" si="16"/>
        <v>1</v>
      </c>
      <c r="R271" s="103" t="s">
        <v>8</v>
      </c>
      <c r="S271" s="103" t="str">
        <f>_xlfn.IFS(MouserListTable[[#This Row],[Column1]]=FilterSpecs!$A$6, FilterSpecs!$B$6,MouserListTable[[#This Row],[Column1]]=FilterSpecs!$A$7,FilterSpecs!$B$7,MouserListTable[[#This Row],[Column1]]=FilterSpecs!$A$8,FilterSpecs!$B$8,MouserListTable[[#This Row],[Column1]]=FilterSpecs!$A$9,FilterSpecs!$B$9)</f>
        <v>474-</v>
      </c>
      <c r="T27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474-DEV-14446</v>
      </c>
      <c r="V271" s="151" t="str">
        <f>IF(MouserListTable[[#This Row],[Qty.]]=0, 0, "")</f>
        <v/>
      </c>
    </row>
    <row r="272" spans="1:22" s="153" customFormat="1" ht="16.2" x14ac:dyDescent="0.3">
      <c r="A272" s="103" t="s">
        <v>1047</v>
      </c>
      <c r="B272" s="103" t="s">
        <v>18920</v>
      </c>
      <c r="C272" s="103" t="s">
        <v>8</v>
      </c>
      <c r="D272" s="103" t="str">
        <f>IF(MouserListTable[[#This Row],[Vendor]]=FilterSpecs!$A$8,MouserListTable[[#This Row],[Mouser SKU]], MouserListTable[[#This Row],[SKU2]])</f>
        <v>DEV-14443</v>
      </c>
      <c r="E272" s="104">
        <v>1</v>
      </c>
      <c r="F272" s="104" t="s">
        <v>18921</v>
      </c>
      <c r="G272" s="103" t="s">
        <v>1157</v>
      </c>
      <c r="H272" s="103" t="s">
        <v>1158</v>
      </c>
      <c r="I272" s="103" t="s">
        <v>1159</v>
      </c>
      <c r="J272" s="103"/>
      <c r="K272" s="104">
        <v>5</v>
      </c>
      <c r="L272" s="103" t="s">
        <v>1914</v>
      </c>
      <c r="M272" s="158" t="s">
        <v>1050</v>
      </c>
      <c r="N272" s="104">
        <f t="shared" si="18"/>
        <v>5</v>
      </c>
      <c r="O272" s="103" t="s">
        <v>1156</v>
      </c>
      <c r="P272" s="103">
        <f t="shared" ref="P272:P335" si="19">IF($P271="List #",1,$P271+1)</f>
        <v>259</v>
      </c>
      <c r="Q272" s="103">
        <f t="shared" ref="Q272:Q335" si="20">IF($D272=$O272,1,0)</f>
        <v>1</v>
      </c>
      <c r="R272" s="103" t="s">
        <v>8</v>
      </c>
      <c r="S272" s="103" t="str">
        <f>_xlfn.IFS(MouserListTable[[#This Row],[Column1]]=FilterSpecs!$A$6, FilterSpecs!$B$6,MouserListTable[[#This Row],[Column1]]=FilterSpecs!$A$7,FilterSpecs!$B$7,MouserListTable[[#This Row],[Column1]]=FilterSpecs!$A$8,FilterSpecs!$B$8,MouserListTable[[#This Row],[Column1]]=FilterSpecs!$A$9,FilterSpecs!$B$9)</f>
        <v>474-</v>
      </c>
      <c r="T27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474-DEV-14443</v>
      </c>
      <c r="V272" s="151" t="str">
        <f>IF(MouserListTable[[#This Row],[Qty.]]=0, 0, "")</f>
        <v/>
      </c>
    </row>
    <row r="273" spans="1:22" s="153" customFormat="1" ht="16.2" x14ac:dyDescent="0.3">
      <c r="A273" s="103" t="s">
        <v>1047</v>
      </c>
      <c r="B273" s="103" t="s">
        <v>18920</v>
      </c>
      <c r="C273" s="103" t="s">
        <v>8</v>
      </c>
      <c r="D273" s="103" t="str">
        <f>IF(MouserListTable[[#This Row],[Vendor]]=FilterSpecs!$A$8,MouserListTable[[#This Row],[Mouser SKU]], MouserListTable[[#This Row],[SKU2]])</f>
        <v>DEV-14442</v>
      </c>
      <c r="E273" s="104">
        <v>1</v>
      </c>
      <c r="F273" s="104" t="s">
        <v>18921</v>
      </c>
      <c r="G273" s="103" t="s">
        <v>1165</v>
      </c>
      <c r="H273" s="103" t="s">
        <v>1166</v>
      </c>
      <c r="I273" s="103" t="s">
        <v>1167</v>
      </c>
      <c r="J273" s="103"/>
      <c r="K273" s="104">
        <v>15</v>
      </c>
      <c r="L273" s="103" t="s">
        <v>1914</v>
      </c>
      <c r="M273" s="158" t="s">
        <v>1050</v>
      </c>
      <c r="N273" s="104">
        <f t="shared" si="18"/>
        <v>15</v>
      </c>
      <c r="O273" s="103" t="s">
        <v>1164</v>
      </c>
      <c r="P273" s="103">
        <f t="shared" si="19"/>
        <v>260</v>
      </c>
      <c r="Q273" s="103">
        <f t="shared" si="20"/>
        <v>1</v>
      </c>
      <c r="R273" s="103" t="s">
        <v>8</v>
      </c>
      <c r="S273" s="103" t="str">
        <f>_xlfn.IFS(MouserListTable[[#This Row],[Column1]]=FilterSpecs!$A$6, FilterSpecs!$B$6,MouserListTable[[#This Row],[Column1]]=FilterSpecs!$A$7,FilterSpecs!$B$7,MouserListTable[[#This Row],[Column1]]=FilterSpecs!$A$8,FilterSpecs!$B$8,MouserListTable[[#This Row],[Column1]]=FilterSpecs!$A$9,FilterSpecs!$B$9)</f>
        <v>474-</v>
      </c>
      <c r="T27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474-DEV-14442</v>
      </c>
      <c r="V273" s="151" t="str">
        <f>IF(MouserListTable[[#This Row],[Qty.]]=0, 0, "")</f>
        <v/>
      </c>
    </row>
    <row r="274" spans="1:22" s="153" customFormat="1" x14ac:dyDescent="0.3">
      <c r="A274" s="103" t="s">
        <v>1047</v>
      </c>
      <c r="B274" s="103" t="s">
        <v>1067</v>
      </c>
      <c r="C274" s="103" t="s">
        <v>8</v>
      </c>
      <c r="D274" s="103" t="str">
        <f>IF(MouserListTable[[#This Row],[Vendor]]=FilterSpecs!$A$8,MouserListTable[[#This Row],[Mouser SKU]], MouserListTable[[#This Row],[SKU2]])</f>
        <v>WRL-14280</v>
      </c>
      <c r="E274" s="104">
        <v>1</v>
      </c>
      <c r="F274" s="104" t="s">
        <v>18921</v>
      </c>
      <c r="G274" s="103" t="s">
        <v>352</v>
      </c>
      <c r="H274" s="103" t="s">
        <v>353</v>
      </c>
      <c r="I274" s="103" t="s">
        <v>354</v>
      </c>
      <c r="J274" s="103"/>
      <c r="K274" s="104">
        <v>24.95</v>
      </c>
      <c r="L274" s="103" t="s">
        <v>1914</v>
      </c>
      <c r="M274" s="103" t="s">
        <v>1051</v>
      </c>
      <c r="N274" s="104">
        <f t="shared" si="18"/>
        <v>24.95</v>
      </c>
      <c r="O274" s="103" t="s">
        <v>351</v>
      </c>
      <c r="P274" s="103">
        <f t="shared" si="19"/>
        <v>261</v>
      </c>
      <c r="Q274" s="103">
        <f t="shared" si="20"/>
        <v>1</v>
      </c>
      <c r="R274" s="103" t="s">
        <v>8</v>
      </c>
      <c r="S274" s="103" t="str">
        <f>_xlfn.IFS(MouserListTable[[#This Row],[Column1]]=FilterSpecs!$A$6, FilterSpecs!$B$6,MouserListTable[[#This Row],[Column1]]=FilterSpecs!$A$7,FilterSpecs!$B$7,MouserListTable[[#This Row],[Column1]]=FilterSpecs!$A$8,FilterSpecs!$B$8,MouserListTable[[#This Row],[Column1]]=FilterSpecs!$A$9,FilterSpecs!$B$9)</f>
        <v>474-</v>
      </c>
      <c r="T27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474-WRL-14280</v>
      </c>
      <c r="V274" s="151" t="str">
        <f>IF(MouserListTable[[#This Row],[Qty.]]=0, 0, "")</f>
        <v/>
      </c>
    </row>
    <row r="275" spans="1:22" s="153" customFormat="1" x14ac:dyDescent="0.3">
      <c r="A275" s="103" t="s">
        <v>1047</v>
      </c>
      <c r="B275" s="103" t="s">
        <v>1618</v>
      </c>
      <c r="C275" s="103" t="s">
        <v>8</v>
      </c>
      <c r="D275" s="103" t="str">
        <f>IF(MouserListTable[[#This Row],[Vendor]]=FilterSpecs!$A$8,MouserListTable[[#This Row],[Mouser SKU]], MouserListTable[[#This Row],[SKU2]])</f>
        <v>DEV-13613</v>
      </c>
      <c r="E275" s="104">
        <v>1</v>
      </c>
      <c r="F275" s="104" t="s">
        <v>18921</v>
      </c>
      <c r="G275" s="103" t="s">
        <v>356</v>
      </c>
      <c r="H275" s="103" t="s">
        <v>357</v>
      </c>
      <c r="I275" s="103" t="s">
        <v>358</v>
      </c>
      <c r="J275" s="103">
        <v>1</v>
      </c>
      <c r="K275" s="104">
        <v>39.950000000000003</v>
      </c>
      <c r="L275" s="103" t="s">
        <v>1914</v>
      </c>
      <c r="M275" s="103" t="s">
        <v>1044</v>
      </c>
      <c r="N275" s="104">
        <f t="shared" si="18"/>
        <v>39.950000000000003</v>
      </c>
      <c r="O275" s="103" t="s">
        <v>355</v>
      </c>
      <c r="P275" s="103">
        <f t="shared" si="19"/>
        <v>262</v>
      </c>
      <c r="Q275" s="103">
        <f t="shared" si="20"/>
        <v>1</v>
      </c>
      <c r="R275" s="103" t="s">
        <v>8</v>
      </c>
      <c r="S275" s="103" t="str">
        <f>_xlfn.IFS(MouserListTable[[#This Row],[Column1]]=FilterSpecs!$A$6, FilterSpecs!$B$6,MouserListTable[[#This Row],[Column1]]=FilterSpecs!$A$7,FilterSpecs!$B$7,MouserListTable[[#This Row],[Column1]]=FilterSpecs!$A$8,FilterSpecs!$B$8,MouserListTable[[#This Row],[Column1]]=FilterSpecs!$A$9,FilterSpecs!$B$9)</f>
        <v>474-</v>
      </c>
      <c r="T27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474-DEV-13613</v>
      </c>
      <c r="V275" s="151" t="str">
        <f>IF(MouserListTable[[#This Row],[Qty.]]=0, 0, "")</f>
        <v/>
      </c>
    </row>
    <row r="276" spans="1:22" s="153" customFormat="1" x14ac:dyDescent="0.3">
      <c r="A276" s="103" t="s">
        <v>1047</v>
      </c>
      <c r="B276" s="103" t="s">
        <v>1066</v>
      </c>
      <c r="C276" s="103" t="s">
        <v>8</v>
      </c>
      <c r="D276" s="103" t="str">
        <f>IF(MouserListTable[[#This Row],[Vendor]]=FilterSpecs!$A$8,MouserListTable[[#This Row],[Mouser SKU]], MouserListTable[[#This Row],[SKU2]])</f>
        <v>DEV-12923</v>
      </c>
      <c r="E276" s="104">
        <v>1</v>
      </c>
      <c r="F276" s="104" t="s">
        <v>18921</v>
      </c>
      <c r="G276" s="103" t="s">
        <v>325</v>
      </c>
      <c r="H276" s="103" t="s">
        <v>326</v>
      </c>
      <c r="I276" s="103" t="s">
        <v>327</v>
      </c>
      <c r="J276" s="103">
        <v>1</v>
      </c>
      <c r="K276" s="104">
        <v>39.950000000000003</v>
      </c>
      <c r="L276" s="103" t="s">
        <v>1914</v>
      </c>
      <c r="M276" s="103" t="s">
        <v>1055</v>
      </c>
      <c r="N276" s="104">
        <f t="shared" si="18"/>
        <v>39.950000000000003</v>
      </c>
      <c r="O276" s="103" t="s">
        <v>324</v>
      </c>
      <c r="P276" s="103">
        <f t="shared" si="19"/>
        <v>263</v>
      </c>
      <c r="Q276" s="103">
        <f t="shared" si="20"/>
        <v>1</v>
      </c>
      <c r="R276" s="103" t="s">
        <v>8</v>
      </c>
      <c r="S276" s="103" t="str">
        <f>_xlfn.IFS(MouserListTable[[#This Row],[Column1]]=FilterSpecs!$A$6, FilterSpecs!$B$6,MouserListTable[[#This Row],[Column1]]=FilterSpecs!$A$7,FilterSpecs!$B$7,MouserListTable[[#This Row],[Column1]]=FilterSpecs!$A$8,FilterSpecs!$B$8,MouserListTable[[#This Row],[Column1]]=FilterSpecs!$A$9,FilterSpecs!$B$9)</f>
        <v>474-</v>
      </c>
      <c r="T27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474-DEV-12923</v>
      </c>
      <c r="V276" s="151" t="str">
        <f>IF(MouserListTable[[#This Row],[Qty.]]=0, 0, "")</f>
        <v/>
      </c>
    </row>
    <row r="277" spans="1:22" s="153" customFormat="1" x14ac:dyDescent="0.3">
      <c r="A277" s="103" t="s">
        <v>1047</v>
      </c>
      <c r="B277" s="103" t="s">
        <v>1066</v>
      </c>
      <c r="C277" s="103" t="s">
        <v>8</v>
      </c>
      <c r="D277" s="103" t="str">
        <f>IF(MouserListTable[[#This Row],[Vendor]]=FilterSpecs!$A$8,MouserListTable[[#This Row],[Mouser SKU]], MouserListTable[[#This Row],[SKU2]])</f>
        <v>DEV-12924</v>
      </c>
      <c r="E277" s="104">
        <v>1</v>
      </c>
      <c r="F277" s="104" t="s">
        <v>18921</v>
      </c>
      <c r="G277" s="103" t="s">
        <v>329</v>
      </c>
      <c r="H277" s="103" t="s">
        <v>330</v>
      </c>
      <c r="I277" s="103" t="s">
        <v>331</v>
      </c>
      <c r="J277" s="103">
        <v>1</v>
      </c>
      <c r="K277" s="104">
        <v>14.95</v>
      </c>
      <c r="L277" s="103" t="s">
        <v>1914</v>
      </c>
      <c r="M277" s="103" t="s">
        <v>1055</v>
      </c>
      <c r="N277" s="104">
        <f t="shared" si="18"/>
        <v>14.95</v>
      </c>
      <c r="O277" s="103" t="s">
        <v>328</v>
      </c>
      <c r="P277" s="103">
        <f t="shared" si="19"/>
        <v>264</v>
      </c>
      <c r="Q277" s="103">
        <f t="shared" si="20"/>
        <v>1</v>
      </c>
      <c r="R277" s="103" t="s">
        <v>8</v>
      </c>
      <c r="S277" s="103" t="str">
        <f>_xlfn.IFS(MouserListTable[[#This Row],[Column1]]=FilterSpecs!$A$6, FilterSpecs!$B$6,MouserListTable[[#This Row],[Column1]]=FilterSpecs!$A$7,FilterSpecs!$B$7,MouserListTable[[#This Row],[Column1]]=FilterSpecs!$A$8,FilterSpecs!$B$8,MouserListTable[[#This Row],[Column1]]=FilterSpecs!$A$9,FilterSpecs!$B$9)</f>
        <v>474-</v>
      </c>
      <c r="T27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474-DEV-12924</v>
      </c>
      <c r="V277" s="151" t="str">
        <f>IF(MouserListTable[[#This Row],[Qty.]]=0, 0, "")</f>
        <v/>
      </c>
    </row>
    <row r="278" spans="1:22" s="144" customFormat="1" x14ac:dyDescent="0.3">
      <c r="A278" s="103" t="s">
        <v>896</v>
      </c>
      <c r="B278" s="103" t="s">
        <v>994</v>
      </c>
      <c r="C278" s="103" t="s">
        <v>8</v>
      </c>
      <c r="D278" s="103" t="str">
        <f>IF(MouserListTable[[#This Row],[Vendor]]=FilterSpecs!$A$8,MouserListTable[[#This Row],[Mouser SKU]], MouserListTable[[#This Row],[SKU2]])</f>
        <v>PRT-12614</v>
      </c>
      <c r="E278" s="103">
        <v>1</v>
      </c>
      <c r="F278" s="103" t="s">
        <v>18921</v>
      </c>
      <c r="G278" s="103" t="s">
        <v>788</v>
      </c>
      <c r="H278" s="103" t="s">
        <v>789</v>
      </c>
      <c r="I278" s="103" t="s">
        <v>790</v>
      </c>
      <c r="J278" s="103"/>
      <c r="K278" s="104">
        <v>19.95</v>
      </c>
      <c r="L278" s="103" t="s">
        <v>1910</v>
      </c>
      <c r="M278" s="106"/>
      <c r="N278" s="104">
        <f t="shared" si="18"/>
        <v>19.95</v>
      </c>
      <c r="O278" s="106" t="s">
        <v>787</v>
      </c>
      <c r="P278" s="103">
        <f t="shared" si="19"/>
        <v>265</v>
      </c>
      <c r="Q278" s="103">
        <f t="shared" si="20"/>
        <v>1</v>
      </c>
      <c r="R278" s="103" t="s">
        <v>8</v>
      </c>
      <c r="S278" s="103" t="str">
        <f>_xlfn.IFS(MouserListTable[[#This Row],[Column1]]=FilterSpecs!$A$6, FilterSpecs!$B$6,MouserListTable[[#This Row],[Column1]]=FilterSpecs!$A$7,FilterSpecs!$B$7,MouserListTable[[#This Row],[Column1]]=FilterSpecs!$A$8,FilterSpecs!$B$8,MouserListTable[[#This Row],[Column1]]=FilterSpecs!$A$9,FilterSpecs!$B$9)</f>
        <v>474-</v>
      </c>
      <c r="T27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474-PRT-12614</v>
      </c>
      <c r="V278" s="151" t="str">
        <f>IF(MouserListTable[[#This Row],[Qty.]]=0, 0, "")</f>
        <v/>
      </c>
    </row>
    <row r="279" spans="1:22" s="146" customFormat="1" x14ac:dyDescent="0.3">
      <c r="A279" s="126" t="s">
        <v>896</v>
      </c>
      <c r="B279" s="126" t="s">
        <v>994</v>
      </c>
      <c r="C279" s="126" t="s">
        <v>8</v>
      </c>
      <c r="D279" s="103" t="str">
        <f>IF(MouserListTable[[#This Row],[Vendor]]=FilterSpecs!$A$8,MouserListTable[[#This Row],[Mouser SKU]], MouserListTable[[#This Row],[SKU2]])</f>
        <v>PRT-12044</v>
      </c>
      <c r="E279" s="103">
        <v>0</v>
      </c>
      <c r="F279" s="103">
        <v>0</v>
      </c>
      <c r="G279" s="103" t="s">
        <v>1101</v>
      </c>
      <c r="H279" s="103" t="s">
        <v>1102</v>
      </c>
      <c r="I279" s="103" t="s">
        <v>1103</v>
      </c>
      <c r="J279" s="103">
        <v>1</v>
      </c>
      <c r="K279" s="104">
        <v>3.95</v>
      </c>
      <c r="L279" s="103" t="s">
        <v>1910</v>
      </c>
      <c r="M279" s="103" t="s">
        <v>1309</v>
      </c>
      <c r="N279" s="148">
        <f t="shared" si="18"/>
        <v>0</v>
      </c>
      <c r="O279" s="106" t="s">
        <v>1100</v>
      </c>
      <c r="P279" s="103">
        <f t="shared" si="19"/>
        <v>266</v>
      </c>
      <c r="Q279" s="103">
        <f t="shared" si="20"/>
        <v>1</v>
      </c>
      <c r="R279" s="103" t="s">
        <v>8</v>
      </c>
      <c r="S279" s="103" t="str">
        <f>_xlfn.IFS(MouserListTable[[#This Row],[Column1]]=FilterSpecs!$A$6, FilterSpecs!$B$6,MouserListTable[[#This Row],[Column1]]=FilterSpecs!$A$7,FilterSpecs!$B$7,MouserListTable[[#This Row],[Column1]]=FilterSpecs!$A$8,FilterSpecs!$B$8,MouserListTable[[#This Row],[Column1]]=FilterSpecs!$A$9,FilterSpecs!$B$9)</f>
        <v>474-</v>
      </c>
      <c r="T27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474-PRT-12044</v>
      </c>
      <c r="V279" s="151">
        <f>IF(MouserListTable[[#This Row],[Qty.]]=0, 0, "")</f>
        <v>0</v>
      </c>
    </row>
    <row r="280" spans="1:22" s="146" customFormat="1" x14ac:dyDescent="0.3">
      <c r="A280" s="103" t="s">
        <v>896</v>
      </c>
      <c r="B280" s="103" t="s">
        <v>994</v>
      </c>
      <c r="C280" s="103" t="s">
        <v>8</v>
      </c>
      <c r="D280" s="103" t="str">
        <f>IF(MouserListTable[[#This Row],[Vendor]]=FilterSpecs!$A$8,MouserListTable[[#This Row],[Mouser SKU]], MouserListTable[[#This Row],[SKU2]])</f>
        <v>PRT-12047</v>
      </c>
      <c r="E280" s="103">
        <f>4*FilterSpecs!$C$3</f>
        <v>20</v>
      </c>
      <c r="F280" s="103" t="s">
        <v>18921</v>
      </c>
      <c r="G280" s="103" t="s">
        <v>1311</v>
      </c>
      <c r="H280" s="103" t="s">
        <v>1312</v>
      </c>
      <c r="I280" s="103" t="s">
        <v>1313</v>
      </c>
      <c r="J280" s="103">
        <v>1</v>
      </c>
      <c r="K280" s="104">
        <v>3.95</v>
      </c>
      <c r="L280" s="103" t="s">
        <v>1911</v>
      </c>
      <c r="M280" s="103" t="s">
        <v>1309</v>
      </c>
      <c r="N280" s="104">
        <f t="shared" si="18"/>
        <v>79</v>
      </c>
      <c r="O280" s="106" t="s">
        <v>1310</v>
      </c>
      <c r="P280" s="103">
        <f t="shared" si="19"/>
        <v>267</v>
      </c>
      <c r="Q280" s="103">
        <f t="shared" si="20"/>
        <v>1</v>
      </c>
      <c r="R280" s="103" t="s">
        <v>8</v>
      </c>
      <c r="S280" s="103" t="str">
        <f>_xlfn.IFS(MouserListTable[[#This Row],[Column1]]=FilterSpecs!$A$6, FilterSpecs!$B$6,MouserListTable[[#This Row],[Column1]]=FilterSpecs!$A$7,FilterSpecs!$B$7,MouserListTable[[#This Row],[Column1]]=FilterSpecs!$A$8,FilterSpecs!$B$8,MouserListTable[[#This Row],[Column1]]=FilterSpecs!$A$9,FilterSpecs!$B$9)</f>
        <v>474-</v>
      </c>
      <c r="T28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474-PRT-12047</v>
      </c>
      <c r="V280" s="151" t="str">
        <f>IF(MouserListTable[[#This Row],[Qty.]]=0, 0, "")</f>
        <v/>
      </c>
    </row>
    <row r="281" spans="1:22" s="146" customFormat="1" x14ac:dyDescent="0.3">
      <c r="A281" s="103" t="s">
        <v>896</v>
      </c>
      <c r="B281" s="103" t="s">
        <v>994</v>
      </c>
      <c r="C281" s="103" t="s">
        <v>1898</v>
      </c>
      <c r="D281" s="103" t="str">
        <f>IF(MouserListTable[[#This Row],[Vendor]]=FilterSpecs!$A$8,MouserListTable[[#This Row],[Mouser SKU]], MouserListTable[[#This Row],[SKU2]])</f>
        <v>65</v>
      </c>
      <c r="E281" s="103">
        <v>0</v>
      </c>
      <c r="F281" s="103">
        <v>0</v>
      </c>
      <c r="G281" s="103"/>
      <c r="H281" s="103"/>
      <c r="I281" s="126" t="s">
        <v>2115</v>
      </c>
      <c r="K281" s="148">
        <v>4</v>
      </c>
      <c r="L281" s="126" t="s">
        <v>1910</v>
      </c>
      <c r="N281" s="148"/>
      <c r="O281" s="106" t="s">
        <v>2114</v>
      </c>
      <c r="P281" s="103">
        <f t="shared" si="19"/>
        <v>268</v>
      </c>
      <c r="Q281" s="103">
        <f t="shared" si="20"/>
        <v>1</v>
      </c>
      <c r="R281" s="103" t="s">
        <v>1898</v>
      </c>
      <c r="S281" s="103" t="str">
        <f>_xlfn.IFS(MouserListTable[[#This Row],[Column1]]=FilterSpecs!$A$6, FilterSpecs!$B$6,MouserListTable[[#This Row],[Column1]]=FilterSpecs!$A$7,FilterSpecs!$B$7,MouserListTable[[#This Row],[Column1]]=FilterSpecs!$A$8,FilterSpecs!$B$8,MouserListTable[[#This Row],[Column1]]=FilterSpecs!$A$9,FilterSpecs!$B$9)</f>
        <v>485-</v>
      </c>
      <c r="T28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485-65</v>
      </c>
      <c r="V281" s="151">
        <f>IF(MouserListTable[[#This Row],[Qty.]]=0, 0, "")</f>
        <v>0</v>
      </c>
    </row>
    <row r="282" spans="1:22" s="146" customFormat="1" x14ac:dyDescent="0.3">
      <c r="A282" s="103" t="s">
        <v>896</v>
      </c>
      <c r="B282" s="103" t="s">
        <v>994</v>
      </c>
      <c r="C282" s="103" t="s">
        <v>8</v>
      </c>
      <c r="D282" s="103" t="str">
        <f>IF(MouserListTable[[#This Row],[Vendor]]=FilterSpecs!$A$8,MouserListTable[[#This Row],[Mouser SKU]], MouserListTable[[#This Row],[SKU2]])</f>
        <v>PRT-12699</v>
      </c>
      <c r="E282" s="103">
        <f>3*FilterSpecs!$C$3</f>
        <v>15</v>
      </c>
      <c r="F282" s="103" t="s">
        <v>18921</v>
      </c>
      <c r="G282" s="103" t="s">
        <v>934</v>
      </c>
      <c r="H282" s="103" t="s">
        <v>935</v>
      </c>
      <c r="I282" s="103" t="s">
        <v>936</v>
      </c>
      <c r="J282" s="103">
        <v>1</v>
      </c>
      <c r="K282" s="104">
        <v>8.5</v>
      </c>
      <c r="L282" s="103" t="s">
        <v>1911</v>
      </c>
      <c r="M282" s="106"/>
      <c r="N282" s="104">
        <f>E282*K282</f>
        <v>127.5</v>
      </c>
      <c r="O282" s="106" t="s">
        <v>933</v>
      </c>
      <c r="P282" s="103">
        <f t="shared" si="19"/>
        <v>269</v>
      </c>
      <c r="Q282" s="103">
        <f t="shared" si="20"/>
        <v>1</v>
      </c>
      <c r="R282" s="103" t="s">
        <v>8</v>
      </c>
      <c r="S282" s="103" t="str">
        <f>_xlfn.IFS(MouserListTable[[#This Row],[Column1]]=FilterSpecs!$A$6, FilterSpecs!$B$6,MouserListTable[[#This Row],[Column1]]=FilterSpecs!$A$7,FilterSpecs!$B$7,MouserListTable[[#This Row],[Column1]]=FilterSpecs!$A$8,FilterSpecs!$B$8,MouserListTable[[#This Row],[Column1]]=FilterSpecs!$A$9,FilterSpecs!$B$9)</f>
        <v>474-</v>
      </c>
      <c r="T28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474-PRT-12699</v>
      </c>
      <c r="V282" s="151" t="str">
        <f>IF(MouserListTable[[#This Row],[Qty.]]=0, 0, "")</f>
        <v/>
      </c>
    </row>
    <row r="283" spans="1:22" s="146" customFormat="1" x14ac:dyDescent="0.3">
      <c r="A283" s="103" t="s">
        <v>896</v>
      </c>
      <c r="B283" s="103" t="s">
        <v>994</v>
      </c>
      <c r="C283" s="103" t="s">
        <v>8</v>
      </c>
      <c r="D283" s="103" t="str">
        <f>IF(MouserListTable[[#This Row],[Vendor]]=FilterSpecs!$A$8,MouserListTable[[#This Row],[Mouser SKU]], MouserListTable[[#This Row],[SKU2]])</f>
        <v>PRT-12070</v>
      </c>
      <c r="E283" s="103">
        <v>1</v>
      </c>
      <c r="F283" s="103" t="s">
        <v>18921</v>
      </c>
      <c r="G283" s="103" t="s">
        <v>1840</v>
      </c>
      <c r="H283" s="103" t="s">
        <v>1841</v>
      </c>
      <c r="I283" s="103" t="s">
        <v>1842</v>
      </c>
      <c r="J283" s="103">
        <v>1</v>
      </c>
      <c r="K283" s="104">
        <v>4.95</v>
      </c>
      <c r="L283" s="103" t="s">
        <v>1910</v>
      </c>
      <c r="M283" s="106"/>
      <c r="N283" s="104">
        <f>E283*K283</f>
        <v>4.95</v>
      </c>
      <c r="O283" s="106" t="s">
        <v>1839</v>
      </c>
      <c r="P283" s="103">
        <f t="shared" si="19"/>
        <v>270</v>
      </c>
      <c r="Q283" s="103">
        <f t="shared" si="20"/>
        <v>1</v>
      </c>
      <c r="R283" s="103" t="s">
        <v>8</v>
      </c>
      <c r="S283" s="103" t="str">
        <f>_xlfn.IFS(MouserListTable[[#This Row],[Column1]]=FilterSpecs!$A$6, FilterSpecs!$B$6,MouserListTable[[#This Row],[Column1]]=FilterSpecs!$A$7,FilterSpecs!$B$7,MouserListTable[[#This Row],[Column1]]=FilterSpecs!$A$8,FilterSpecs!$B$8,MouserListTable[[#This Row],[Column1]]=FilterSpecs!$A$9,FilterSpecs!$B$9)</f>
        <v>474-</v>
      </c>
      <c r="T28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474-PRT-12070</v>
      </c>
      <c r="V283" s="151" t="str">
        <f>IF(MouserListTable[[#This Row],[Qty.]]=0, 0, "")</f>
        <v/>
      </c>
    </row>
    <row r="284" spans="1:22" s="146" customFormat="1" x14ac:dyDescent="0.3">
      <c r="A284" s="126" t="s">
        <v>896</v>
      </c>
      <c r="B284" s="126" t="s">
        <v>994</v>
      </c>
      <c r="C284" s="126" t="s">
        <v>8</v>
      </c>
      <c r="D284" s="103" t="str">
        <f>IF(MouserListTable[[#This Row],[Vendor]]=FilterSpecs!$A$8,MouserListTable[[#This Row],[Mouser SKU]], MouserListTable[[#This Row],[SKU2]])</f>
        <v>PRT-12702</v>
      </c>
      <c r="E284" s="103">
        <v>0</v>
      </c>
      <c r="F284" s="103">
        <v>0</v>
      </c>
      <c r="G284" s="103" t="s">
        <v>1848</v>
      </c>
      <c r="H284" s="103" t="s">
        <v>1849</v>
      </c>
      <c r="I284" s="103" t="s">
        <v>1850</v>
      </c>
      <c r="J284" s="103"/>
      <c r="K284" s="104">
        <v>2.95</v>
      </c>
      <c r="L284" s="103" t="s">
        <v>1910</v>
      </c>
      <c r="N284" s="148">
        <f>E284*K284</f>
        <v>0</v>
      </c>
      <c r="O284" s="106" t="s">
        <v>1847</v>
      </c>
      <c r="P284" s="103">
        <f t="shared" si="19"/>
        <v>271</v>
      </c>
      <c r="Q284" s="103">
        <f t="shared" si="20"/>
        <v>1</v>
      </c>
      <c r="R284" s="103" t="s">
        <v>8</v>
      </c>
      <c r="S284" s="103" t="str">
        <f>_xlfn.IFS(MouserListTable[[#This Row],[Column1]]=FilterSpecs!$A$6, FilterSpecs!$B$6,MouserListTable[[#This Row],[Column1]]=FilterSpecs!$A$7,FilterSpecs!$B$7,MouserListTable[[#This Row],[Column1]]=FilterSpecs!$A$8,FilterSpecs!$B$8,MouserListTable[[#This Row],[Column1]]=FilterSpecs!$A$9,FilterSpecs!$B$9)</f>
        <v>474-</v>
      </c>
      <c r="T28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474-PRT-12702</v>
      </c>
      <c r="V284" s="151">
        <f>IF(MouserListTable[[#This Row],[Qty.]]=0, 0, "")</f>
        <v>0</v>
      </c>
    </row>
    <row r="285" spans="1:22" s="146" customFormat="1" x14ac:dyDescent="0.3">
      <c r="A285" s="103" t="s">
        <v>896</v>
      </c>
      <c r="B285" s="103" t="s">
        <v>994</v>
      </c>
      <c r="C285" s="103" t="s">
        <v>8</v>
      </c>
      <c r="D285" s="103" t="str">
        <f>IF(MouserListTable[[#This Row],[Vendor]]=FilterSpecs!$A$8,MouserListTable[[#This Row],[Mouser SKU]], MouserListTable[[#This Row],[SKU2]])</f>
        <v>DEV-07914</v>
      </c>
      <c r="E285" s="103">
        <v>1</v>
      </c>
      <c r="F285" s="103" t="s">
        <v>18921</v>
      </c>
      <c r="G285" s="103" t="s">
        <v>1772</v>
      </c>
      <c r="H285" s="103" t="s">
        <v>1773</v>
      </c>
      <c r="I285" s="103" t="s">
        <v>1774</v>
      </c>
      <c r="J285" s="103">
        <v>1</v>
      </c>
      <c r="K285" s="104">
        <v>9.9499999999999993</v>
      </c>
      <c r="L285" s="103" t="s">
        <v>1910</v>
      </c>
      <c r="M285" s="106"/>
      <c r="N285" s="104">
        <f>E285*K285</f>
        <v>9.9499999999999993</v>
      </c>
      <c r="O285" s="106" t="s">
        <v>1771</v>
      </c>
      <c r="P285" s="103">
        <f t="shared" si="19"/>
        <v>272</v>
      </c>
      <c r="Q285" s="103">
        <f t="shared" si="20"/>
        <v>1</v>
      </c>
      <c r="R285" s="103" t="s">
        <v>8</v>
      </c>
      <c r="S285" s="103" t="str">
        <f>_xlfn.IFS(MouserListTable[[#This Row],[Column1]]=FilterSpecs!$A$6, FilterSpecs!$B$6,MouserListTable[[#This Row],[Column1]]=FilterSpecs!$A$7,FilterSpecs!$B$7,MouserListTable[[#This Row],[Column1]]=FilterSpecs!$A$8,FilterSpecs!$B$8,MouserListTable[[#This Row],[Column1]]=FilterSpecs!$A$9,FilterSpecs!$B$9)</f>
        <v>474-</v>
      </c>
      <c r="T28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474-DEV-07914</v>
      </c>
      <c r="V285" s="151" t="str">
        <f>IF(MouserListTable[[#This Row],[Qty.]]=0, 0, "")</f>
        <v/>
      </c>
    </row>
    <row r="286" spans="1:22" s="146" customFormat="1" x14ac:dyDescent="0.3">
      <c r="A286" s="103" t="s">
        <v>896</v>
      </c>
      <c r="B286" s="103" t="s">
        <v>994</v>
      </c>
      <c r="C286" s="103" t="s">
        <v>1898</v>
      </c>
      <c r="D286" s="103" t="str">
        <f>IF(MouserListTable[[#This Row],[Vendor]]=FilterSpecs!$A$8,MouserListTable[[#This Row],[Mouser SKU]], MouserListTable[[#This Row],[SKU2]])</f>
        <v>2077</v>
      </c>
      <c r="E286" s="103">
        <v>0</v>
      </c>
      <c r="F286" s="103">
        <v>0</v>
      </c>
      <c r="G286" s="103"/>
      <c r="H286" s="103"/>
      <c r="I286" s="126" t="s">
        <v>2101</v>
      </c>
      <c r="K286" s="148">
        <v>9.9499999999999993</v>
      </c>
      <c r="L286" s="126" t="s">
        <v>1910</v>
      </c>
      <c r="N286" s="148"/>
      <c r="O286" s="106" t="s">
        <v>2100</v>
      </c>
      <c r="P286" s="103">
        <f t="shared" si="19"/>
        <v>273</v>
      </c>
      <c r="Q286" s="103">
        <f t="shared" si="20"/>
        <v>1</v>
      </c>
      <c r="R286" s="103" t="s">
        <v>1898</v>
      </c>
      <c r="S286" s="103" t="str">
        <f>_xlfn.IFS(MouserListTable[[#This Row],[Column1]]=FilterSpecs!$A$6, FilterSpecs!$B$6,MouserListTable[[#This Row],[Column1]]=FilterSpecs!$A$7,FilterSpecs!$B$7,MouserListTable[[#This Row],[Column1]]=FilterSpecs!$A$8,FilterSpecs!$B$8,MouserListTable[[#This Row],[Column1]]=FilterSpecs!$A$9,FilterSpecs!$B$9)</f>
        <v>485-</v>
      </c>
      <c r="T28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485-2077</v>
      </c>
      <c r="V286" s="151">
        <f>IF(MouserListTable[[#This Row],[Qty.]]=0, 0, "")</f>
        <v>0</v>
      </c>
    </row>
    <row r="287" spans="1:22" s="146" customFormat="1" x14ac:dyDescent="0.3">
      <c r="A287" s="103" t="s">
        <v>896</v>
      </c>
      <c r="B287" s="103" t="s">
        <v>994</v>
      </c>
      <c r="C287" s="103" t="s">
        <v>1898</v>
      </c>
      <c r="D287" s="103" t="str">
        <f>IF(MouserListTable[[#This Row],[Vendor]]=FilterSpecs!$A$8,MouserListTable[[#This Row],[Mouser SKU]], MouserListTable[[#This Row],[SKU2]])</f>
        <v>196</v>
      </c>
      <c r="E287" s="103">
        <v>0</v>
      </c>
      <c r="F287" s="103">
        <v>0</v>
      </c>
      <c r="G287" s="103"/>
      <c r="H287" s="103"/>
      <c r="I287" s="126" t="s">
        <v>2113</v>
      </c>
      <c r="K287" s="148">
        <v>14.95</v>
      </c>
      <c r="L287" s="126" t="s">
        <v>1910</v>
      </c>
      <c r="N287" s="148"/>
      <c r="O287" s="106" t="s">
        <v>2112</v>
      </c>
      <c r="P287" s="103">
        <f t="shared" si="19"/>
        <v>274</v>
      </c>
      <c r="Q287" s="103">
        <f t="shared" si="20"/>
        <v>1</v>
      </c>
      <c r="R287" s="103" t="s">
        <v>1898</v>
      </c>
      <c r="S287" s="103" t="str">
        <f>_xlfn.IFS(MouserListTable[[#This Row],[Column1]]=FilterSpecs!$A$6, FilterSpecs!$B$6,MouserListTable[[#This Row],[Column1]]=FilterSpecs!$A$7,FilterSpecs!$B$7,MouserListTable[[#This Row],[Column1]]=FilterSpecs!$A$8,FilterSpecs!$B$8,MouserListTable[[#This Row],[Column1]]=FilterSpecs!$A$9,FilterSpecs!$B$9)</f>
        <v>485-</v>
      </c>
      <c r="T28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485-196</v>
      </c>
      <c r="V287" s="151">
        <f>IF(MouserListTable[[#This Row],[Qty.]]=0, 0, "")</f>
        <v>0</v>
      </c>
    </row>
    <row r="288" spans="1:22" s="146" customFormat="1" x14ac:dyDescent="0.3">
      <c r="A288" s="103" t="s">
        <v>896</v>
      </c>
      <c r="B288" s="103" t="s">
        <v>994</v>
      </c>
      <c r="C288" s="103" t="s">
        <v>1898</v>
      </c>
      <c r="D288" s="103" t="str">
        <f>IF(MouserListTable[[#This Row],[Vendor]]=FilterSpecs!$A$8,MouserListTable[[#This Row],[Mouser SKU]], MouserListTable[[#This Row],[SKU2]])</f>
        <v>192</v>
      </c>
      <c r="E288" s="103">
        <v>0</v>
      </c>
      <c r="F288" s="103">
        <v>0</v>
      </c>
      <c r="G288" s="103"/>
      <c r="H288" s="103"/>
      <c r="I288" s="126" t="s">
        <v>2105</v>
      </c>
      <c r="K288" s="148">
        <v>14.95</v>
      </c>
      <c r="L288" s="126" t="s">
        <v>1910</v>
      </c>
      <c r="N288" s="148"/>
      <c r="O288" s="106" t="s">
        <v>2104</v>
      </c>
      <c r="P288" s="103">
        <f t="shared" si="19"/>
        <v>275</v>
      </c>
      <c r="Q288" s="103">
        <f t="shared" si="20"/>
        <v>1</v>
      </c>
      <c r="R288" s="103" t="s">
        <v>1898</v>
      </c>
      <c r="S288" s="103" t="str">
        <f>_xlfn.IFS(MouserListTable[[#This Row],[Column1]]=FilterSpecs!$A$6, FilterSpecs!$B$6,MouserListTable[[#This Row],[Column1]]=FilterSpecs!$A$7,FilterSpecs!$B$7,MouserListTable[[#This Row],[Column1]]=FilterSpecs!$A$8,FilterSpecs!$B$8,MouserListTable[[#This Row],[Column1]]=FilterSpecs!$A$9,FilterSpecs!$B$9)</f>
        <v>485-</v>
      </c>
      <c r="T28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485-192</v>
      </c>
      <c r="V288" s="151">
        <f>IF(MouserListTable[[#This Row],[Qty.]]=0, 0, "")</f>
        <v>0</v>
      </c>
    </row>
    <row r="289" spans="1:22" s="146" customFormat="1" x14ac:dyDescent="0.3">
      <c r="A289" s="103" t="s">
        <v>896</v>
      </c>
      <c r="B289" s="103" t="s">
        <v>994</v>
      </c>
      <c r="C289" s="103" t="s">
        <v>1898</v>
      </c>
      <c r="D289" s="103" t="str">
        <f>IF(MouserListTable[[#This Row],[Vendor]]=FilterSpecs!$A$8,MouserListTable[[#This Row],[Mouser SKU]], MouserListTable[[#This Row],[SKU2]])</f>
        <v>443</v>
      </c>
      <c r="E289" s="103">
        <v>0</v>
      </c>
      <c r="F289" s="103">
        <v>0</v>
      </c>
      <c r="G289" s="103"/>
      <c r="H289" s="103"/>
      <c r="I289" s="126" t="s">
        <v>2103</v>
      </c>
      <c r="K289" s="148">
        <v>19.95</v>
      </c>
      <c r="L289" s="126" t="s">
        <v>1910</v>
      </c>
      <c r="N289" s="148"/>
      <c r="O289" s="106" t="s">
        <v>2102</v>
      </c>
      <c r="P289" s="103">
        <f t="shared" si="19"/>
        <v>276</v>
      </c>
      <c r="Q289" s="103">
        <f t="shared" si="20"/>
        <v>1</v>
      </c>
      <c r="R289" s="103" t="s">
        <v>1898</v>
      </c>
      <c r="S289" s="103" t="str">
        <f>_xlfn.IFS(MouserListTable[[#This Row],[Column1]]=FilterSpecs!$A$6, FilterSpecs!$B$6,MouserListTable[[#This Row],[Column1]]=FilterSpecs!$A$7,FilterSpecs!$B$7,MouserListTable[[#This Row],[Column1]]=FilterSpecs!$A$8,FilterSpecs!$B$8,MouserListTable[[#This Row],[Column1]]=FilterSpecs!$A$9,FilterSpecs!$B$9)</f>
        <v>485-</v>
      </c>
      <c r="T28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485-443</v>
      </c>
      <c r="V289" s="151">
        <f>IF(MouserListTable[[#This Row],[Qty.]]=0, 0, "")</f>
        <v>0</v>
      </c>
    </row>
    <row r="290" spans="1:22" s="146" customFormat="1" x14ac:dyDescent="0.3">
      <c r="A290" s="103" t="s">
        <v>896</v>
      </c>
      <c r="B290" s="103" t="s">
        <v>994</v>
      </c>
      <c r="C290" s="103" t="s">
        <v>1898</v>
      </c>
      <c r="D290" s="103" t="str">
        <f>IF(MouserListTable[[#This Row],[Vendor]]=FilterSpecs!$A$8,MouserListTable[[#This Row],[Mouser SKU]], MouserListTable[[#This Row],[SKU2]])</f>
        <v>2017</v>
      </c>
      <c r="E290" s="103">
        <v>0</v>
      </c>
      <c r="F290" s="103">
        <v>0</v>
      </c>
      <c r="G290" s="103"/>
      <c r="H290" s="103"/>
      <c r="I290" s="126" t="s">
        <v>2107</v>
      </c>
      <c r="K290" s="148">
        <v>0.75</v>
      </c>
      <c r="L290" s="126" t="s">
        <v>1910</v>
      </c>
      <c r="N290" s="148"/>
      <c r="O290" s="106" t="s">
        <v>2106</v>
      </c>
      <c r="P290" s="103">
        <f t="shared" si="19"/>
        <v>277</v>
      </c>
      <c r="Q290" s="103">
        <f t="shared" si="20"/>
        <v>1</v>
      </c>
      <c r="R290" s="103" t="s">
        <v>1898</v>
      </c>
      <c r="S290" s="103" t="str">
        <f>_xlfn.IFS(MouserListTable[[#This Row],[Column1]]=FilterSpecs!$A$6, FilterSpecs!$B$6,MouserListTable[[#This Row],[Column1]]=FilterSpecs!$A$7,FilterSpecs!$B$7,MouserListTable[[#This Row],[Column1]]=FilterSpecs!$A$8,FilterSpecs!$B$8,MouserListTable[[#This Row],[Column1]]=FilterSpecs!$A$9,FilterSpecs!$B$9)</f>
        <v>485-</v>
      </c>
      <c r="T29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485-2017</v>
      </c>
      <c r="V290" s="151">
        <f>IF(MouserListTable[[#This Row],[Qty.]]=0, 0, "")</f>
        <v>0</v>
      </c>
    </row>
    <row r="291" spans="1:22" s="146" customFormat="1" x14ac:dyDescent="0.3">
      <c r="A291" s="103" t="s">
        <v>896</v>
      </c>
      <c r="B291" s="103" t="s">
        <v>994</v>
      </c>
      <c r="C291" s="103" t="s">
        <v>1898</v>
      </c>
      <c r="D291" s="103" t="str">
        <f>IF(MouserListTable[[#This Row],[Vendor]]=FilterSpecs!$A$8,MouserListTable[[#This Row],[Mouser SKU]], MouserListTable[[#This Row],[SKU2]])</f>
        <v>2018</v>
      </c>
      <c r="E291" s="103">
        <v>0</v>
      </c>
      <c r="F291" s="103">
        <v>0</v>
      </c>
      <c r="G291" s="103"/>
      <c r="H291" s="103"/>
      <c r="I291" s="126" t="s">
        <v>2109</v>
      </c>
      <c r="K291" s="148">
        <v>0.95</v>
      </c>
      <c r="L291" s="126" t="s">
        <v>1910</v>
      </c>
      <c r="N291" s="148"/>
      <c r="O291" s="106" t="s">
        <v>2108</v>
      </c>
      <c r="P291" s="103">
        <f t="shared" si="19"/>
        <v>278</v>
      </c>
      <c r="Q291" s="103">
        <f t="shared" si="20"/>
        <v>1</v>
      </c>
      <c r="R291" s="103" t="s">
        <v>1898</v>
      </c>
      <c r="S291" s="103" t="str">
        <f>_xlfn.IFS(MouserListTable[[#This Row],[Column1]]=FilterSpecs!$A$6, FilterSpecs!$B$6,MouserListTable[[#This Row],[Column1]]=FilterSpecs!$A$7,FilterSpecs!$B$7,MouserListTable[[#This Row],[Column1]]=FilterSpecs!$A$8,FilterSpecs!$B$8,MouserListTable[[#This Row],[Column1]]=FilterSpecs!$A$9,FilterSpecs!$B$9)</f>
        <v>485-</v>
      </c>
      <c r="T29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485-2018</v>
      </c>
      <c r="V291" s="151">
        <f>IF(MouserListTable[[#This Row],[Qty.]]=0, 0, "")</f>
        <v>0</v>
      </c>
    </row>
    <row r="292" spans="1:22" s="146" customFormat="1" x14ac:dyDescent="0.3">
      <c r="A292" s="103" t="s">
        <v>896</v>
      </c>
      <c r="B292" s="103" t="s">
        <v>994</v>
      </c>
      <c r="C292" s="103" t="s">
        <v>1898</v>
      </c>
      <c r="D292" s="103" t="str">
        <f>IF(MouserListTable[[#This Row],[Vendor]]=FilterSpecs!$A$8,MouserListTable[[#This Row],[Mouser SKU]], MouserListTable[[#This Row],[SKU2]])</f>
        <v>2463</v>
      </c>
      <c r="E292" s="103">
        <v>0</v>
      </c>
      <c r="F292" s="103">
        <v>0</v>
      </c>
      <c r="G292" s="103"/>
      <c r="H292" s="103"/>
      <c r="I292" s="126" t="s">
        <v>2111</v>
      </c>
      <c r="K292" s="148">
        <v>0.95</v>
      </c>
      <c r="L292" s="126" t="s">
        <v>1910</v>
      </c>
      <c r="N292" s="148"/>
      <c r="O292" s="106" t="s">
        <v>2110</v>
      </c>
      <c r="P292" s="103">
        <f t="shared" si="19"/>
        <v>279</v>
      </c>
      <c r="Q292" s="103">
        <f t="shared" si="20"/>
        <v>1</v>
      </c>
      <c r="R292" s="103" t="s">
        <v>1898</v>
      </c>
      <c r="S292" s="103" t="str">
        <f>_xlfn.IFS(MouserListTable[[#This Row],[Column1]]=FilterSpecs!$A$6, FilterSpecs!$B$6,MouserListTable[[#This Row],[Column1]]=FilterSpecs!$A$7,FilterSpecs!$B$7,MouserListTable[[#This Row],[Column1]]=FilterSpecs!$A$8,FilterSpecs!$B$8,MouserListTable[[#This Row],[Column1]]=FilterSpecs!$A$9,FilterSpecs!$B$9)</f>
        <v>485-</v>
      </c>
      <c r="T29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485-2463</v>
      </c>
      <c r="V292" s="151">
        <f>IF(MouserListTable[[#This Row],[Qty.]]=0, 0, "")</f>
        <v>0</v>
      </c>
    </row>
    <row r="293" spans="1:22" s="146" customFormat="1" x14ac:dyDescent="0.3">
      <c r="A293" s="103" t="s">
        <v>896</v>
      </c>
      <c r="B293" s="103" t="s">
        <v>994</v>
      </c>
      <c r="C293" s="103" t="s">
        <v>8</v>
      </c>
      <c r="D293" s="103" t="str">
        <f>IF(MouserListTable[[#This Row],[Vendor]]=FilterSpecs!$A$8,MouserListTable[[#This Row],[Mouser SKU]], MouserListTable[[#This Row],[SKU2]])</f>
        <v>PRT-13268</v>
      </c>
      <c r="E293" s="104">
        <f>FilterSpecs!$C$3</f>
        <v>5</v>
      </c>
      <c r="F293" s="104" t="s">
        <v>18921</v>
      </c>
      <c r="G293" s="103" t="s">
        <v>946</v>
      </c>
      <c r="H293" s="103" t="s">
        <v>947</v>
      </c>
      <c r="I293" s="103" t="s">
        <v>948</v>
      </c>
      <c r="J293" s="103">
        <v>1</v>
      </c>
      <c r="K293" s="104">
        <v>7.95</v>
      </c>
      <c r="L293" s="103" t="s">
        <v>1910</v>
      </c>
      <c r="M293" s="106"/>
      <c r="N293" s="104">
        <f>E293*K293</f>
        <v>39.75</v>
      </c>
      <c r="O293" s="106" t="s">
        <v>945</v>
      </c>
      <c r="P293" s="103">
        <f t="shared" si="19"/>
        <v>280</v>
      </c>
      <c r="Q293" s="103">
        <f t="shared" si="20"/>
        <v>1</v>
      </c>
      <c r="R293" s="103" t="s">
        <v>8</v>
      </c>
      <c r="S293" s="103" t="str">
        <f>_xlfn.IFS(MouserListTable[[#This Row],[Column1]]=FilterSpecs!$A$6, FilterSpecs!$B$6,MouserListTable[[#This Row],[Column1]]=FilterSpecs!$A$7,FilterSpecs!$B$7,MouserListTable[[#This Row],[Column1]]=FilterSpecs!$A$8,FilterSpecs!$B$8,MouserListTable[[#This Row],[Column1]]=FilterSpecs!$A$9,FilterSpecs!$B$9)</f>
        <v>474-</v>
      </c>
      <c r="T29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474-PRT-13268</v>
      </c>
      <c r="V293" s="151" t="str">
        <f>IF(MouserListTable[[#This Row],[Qty.]]=0, 0, "")</f>
        <v/>
      </c>
    </row>
    <row r="294" spans="1:22" s="146" customFormat="1" x14ac:dyDescent="0.3">
      <c r="A294" s="103" t="s">
        <v>896</v>
      </c>
      <c r="B294" s="103" t="s">
        <v>994</v>
      </c>
      <c r="C294" s="103" t="s">
        <v>8</v>
      </c>
      <c r="D294" s="103" t="str">
        <f>IF(MouserListTable[[#This Row],[Vendor]]=FilterSpecs!$A$8,MouserListTable[[#This Row],[Mouser SKU]], MouserListTable[[#This Row],[SKU2]])</f>
        <v>DEV-13317</v>
      </c>
      <c r="E294" s="103">
        <f>2*FilterSpecs!$C$3</f>
        <v>10</v>
      </c>
      <c r="F294" s="103" t="s">
        <v>18921</v>
      </c>
      <c r="G294" s="103" t="s">
        <v>942</v>
      </c>
      <c r="H294" s="103" t="s">
        <v>943</v>
      </c>
      <c r="I294" s="103" t="s">
        <v>944</v>
      </c>
      <c r="J294" s="103">
        <v>1</v>
      </c>
      <c r="K294" s="104">
        <v>7.95</v>
      </c>
      <c r="L294" s="103" t="s">
        <v>1911</v>
      </c>
      <c r="M294" s="106"/>
      <c r="N294" s="104">
        <f>E294*K294</f>
        <v>79.5</v>
      </c>
      <c r="O294" s="106" t="s">
        <v>941</v>
      </c>
      <c r="P294" s="103">
        <f t="shared" si="19"/>
        <v>281</v>
      </c>
      <c r="Q294" s="103">
        <f t="shared" si="20"/>
        <v>1</v>
      </c>
      <c r="R294" s="103" t="s">
        <v>8</v>
      </c>
      <c r="S294" s="103" t="str">
        <f>_xlfn.IFS(MouserListTable[[#This Row],[Column1]]=FilterSpecs!$A$6, FilterSpecs!$B$6,MouserListTable[[#This Row],[Column1]]=FilterSpecs!$A$7,FilterSpecs!$B$7,MouserListTable[[#This Row],[Column1]]=FilterSpecs!$A$8,FilterSpecs!$B$8,MouserListTable[[#This Row],[Column1]]=FilterSpecs!$A$9,FilterSpecs!$B$9)</f>
        <v>474-</v>
      </c>
      <c r="T29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474-DEV-13317</v>
      </c>
      <c r="V294" s="151" t="str">
        <f>IF(MouserListTable[[#This Row],[Qty.]]=0, 0, "")</f>
        <v/>
      </c>
    </row>
    <row r="295" spans="1:22" s="146" customFormat="1" x14ac:dyDescent="0.3">
      <c r="A295" s="103" t="s">
        <v>896</v>
      </c>
      <c r="B295" s="103" t="s">
        <v>1301</v>
      </c>
      <c r="C295" s="103" t="s">
        <v>8</v>
      </c>
      <c r="D295" s="103" t="str">
        <f>IF(MouserListTable[[#This Row],[Vendor]]=FilterSpecs!$A$8,MouserListTable[[#This Row],[Mouser SKU]], MouserListTable[[#This Row],[SKU2]])</f>
        <v>PRT-11366</v>
      </c>
      <c r="E295" s="103">
        <f>FilterSpecs!$C$3</f>
        <v>5</v>
      </c>
      <c r="F295" s="103" t="s">
        <v>18921</v>
      </c>
      <c r="G295" s="103" t="s">
        <v>640</v>
      </c>
      <c r="H295" s="103" t="s">
        <v>641</v>
      </c>
      <c r="I295" s="103" t="s">
        <v>642</v>
      </c>
      <c r="J295" s="103"/>
      <c r="K295" s="104">
        <v>8.9499999999999993</v>
      </c>
      <c r="L295" s="103" t="s">
        <v>1911</v>
      </c>
      <c r="M295" s="106"/>
      <c r="N295" s="104">
        <f>E295*K295</f>
        <v>44.75</v>
      </c>
      <c r="O295" s="106" t="s">
        <v>639</v>
      </c>
      <c r="P295" s="103">
        <f t="shared" si="19"/>
        <v>282</v>
      </c>
      <c r="Q295" s="103">
        <f t="shared" si="20"/>
        <v>1</v>
      </c>
      <c r="R295" s="103" t="s">
        <v>8</v>
      </c>
      <c r="S295" s="103" t="str">
        <f>_xlfn.IFS(MouserListTable[[#This Row],[Column1]]=FilterSpecs!$A$6, FilterSpecs!$B$6,MouserListTable[[#This Row],[Column1]]=FilterSpecs!$A$7,FilterSpecs!$B$7,MouserListTable[[#This Row],[Column1]]=FilterSpecs!$A$8,FilterSpecs!$B$8,MouserListTable[[#This Row],[Column1]]=FilterSpecs!$A$9,FilterSpecs!$B$9)</f>
        <v>474-</v>
      </c>
      <c r="T29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474-PRT-11366</v>
      </c>
      <c r="V295" s="151" t="str">
        <f>IF(MouserListTable[[#This Row],[Qty.]]=0, 0, "")</f>
        <v/>
      </c>
    </row>
    <row r="296" spans="1:22" s="146" customFormat="1" x14ac:dyDescent="0.3">
      <c r="A296" s="103" t="s">
        <v>896</v>
      </c>
      <c r="B296" s="103" t="s">
        <v>1301</v>
      </c>
      <c r="C296" s="103" t="s">
        <v>8</v>
      </c>
      <c r="D296" s="103" t="str">
        <f>IF(MouserListTable[[#This Row],[Vendor]]=FilterSpecs!$A$8,MouserListTable[[#This Row],[Mouser SKU]], MouserListTable[[#This Row],[SKU2]])</f>
        <v>PRT-10088</v>
      </c>
      <c r="E296" s="103">
        <f>FilterSpecs!$C$3</f>
        <v>5</v>
      </c>
      <c r="F296" s="103" t="s">
        <v>18921</v>
      </c>
      <c r="G296" s="103" t="s">
        <v>660</v>
      </c>
      <c r="H296" s="103" t="s">
        <v>661</v>
      </c>
      <c r="I296" s="103" t="s">
        <v>662</v>
      </c>
      <c r="J296" s="103"/>
      <c r="K296" s="104">
        <v>11.95</v>
      </c>
      <c r="L296" s="103" t="s">
        <v>1911</v>
      </c>
      <c r="M296" s="106"/>
      <c r="N296" s="104">
        <f>E296*K296</f>
        <v>59.75</v>
      </c>
      <c r="O296" s="106" t="s">
        <v>659</v>
      </c>
      <c r="P296" s="103">
        <f t="shared" si="19"/>
        <v>283</v>
      </c>
      <c r="Q296" s="103">
        <f t="shared" si="20"/>
        <v>1</v>
      </c>
      <c r="R296" s="103" t="s">
        <v>8</v>
      </c>
      <c r="S296" s="103" t="str">
        <f>_xlfn.IFS(MouserListTable[[#This Row],[Column1]]=FilterSpecs!$A$6, FilterSpecs!$B$6,MouserListTable[[#This Row],[Column1]]=FilterSpecs!$A$7,FilterSpecs!$B$7,MouserListTable[[#This Row],[Column1]]=FilterSpecs!$A$8,FilterSpecs!$B$8,MouserListTable[[#This Row],[Column1]]=FilterSpecs!$A$9,FilterSpecs!$B$9)</f>
        <v>474-</v>
      </c>
      <c r="T29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474-PRT-10088</v>
      </c>
      <c r="V296" s="151" t="str">
        <f>IF(MouserListTable[[#This Row],[Qty.]]=0, 0, "")</f>
        <v/>
      </c>
    </row>
    <row r="297" spans="1:22" s="146" customFormat="1" x14ac:dyDescent="0.3">
      <c r="A297" s="103" t="s">
        <v>896</v>
      </c>
      <c r="B297" s="103" t="s">
        <v>1301</v>
      </c>
      <c r="C297" s="103" t="s">
        <v>8</v>
      </c>
      <c r="D297" s="103" t="str">
        <f>IF(MouserListTable[[#This Row],[Vendor]]=FilterSpecs!$A$8,MouserListTable[[#This Row],[Mouser SKU]], MouserListTable[[#This Row],[SKU2]])</f>
        <v>DEV-11632</v>
      </c>
      <c r="E297" s="103">
        <v>1</v>
      </c>
      <c r="F297" s="103" t="s">
        <v>18921</v>
      </c>
      <c r="G297" s="103" t="s">
        <v>1105</v>
      </c>
      <c r="H297" s="103" t="s">
        <v>1106</v>
      </c>
      <c r="I297" s="103" t="s">
        <v>1107</v>
      </c>
      <c r="J297" s="103">
        <v>1</v>
      </c>
      <c r="K297" s="104">
        <v>0.1</v>
      </c>
      <c r="L297" s="103" t="s">
        <v>1910</v>
      </c>
      <c r="M297" s="106"/>
      <c r="N297" s="104">
        <f>E297*K297</f>
        <v>0.1</v>
      </c>
      <c r="O297" s="106" t="s">
        <v>1104</v>
      </c>
      <c r="P297" s="103">
        <f t="shared" si="19"/>
        <v>284</v>
      </c>
      <c r="Q297" s="103">
        <f t="shared" si="20"/>
        <v>1</v>
      </c>
      <c r="R297" s="103" t="s">
        <v>8</v>
      </c>
      <c r="S297" s="103" t="str">
        <f>_xlfn.IFS(MouserListTable[[#This Row],[Column1]]=FilterSpecs!$A$6, FilterSpecs!$B$6,MouserListTable[[#This Row],[Column1]]=FilterSpecs!$A$7,FilterSpecs!$B$7,MouserListTable[[#This Row],[Column1]]=FilterSpecs!$A$8,FilterSpecs!$B$8,MouserListTable[[#This Row],[Column1]]=FilterSpecs!$A$9,FilterSpecs!$B$9)</f>
        <v>474-</v>
      </c>
      <c r="T29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474-DEV-11632</v>
      </c>
      <c r="V297" s="151" t="str">
        <f>IF(MouserListTable[[#This Row],[Qty.]]=0, 0, "")</f>
        <v/>
      </c>
    </row>
    <row r="298" spans="1:22" s="146" customFormat="1" x14ac:dyDescent="0.3">
      <c r="A298" s="106" t="s">
        <v>17</v>
      </c>
      <c r="B298" s="106" t="s">
        <v>1301</v>
      </c>
      <c r="C298" s="106" t="s">
        <v>1898</v>
      </c>
      <c r="D298" s="103" t="str">
        <f>IF(MouserListTable[[#This Row],[Vendor]]=FilterSpecs!$A$8,MouserListTable[[#This Row],[Mouser SKU]], MouserListTable[[#This Row],[SKU2]])</f>
        <v>2229</v>
      </c>
      <c r="E298" s="104">
        <v>0</v>
      </c>
      <c r="F298" s="104">
        <v>0</v>
      </c>
      <c r="G298" s="103"/>
      <c r="H298" s="103"/>
      <c r="I298" s="126" t="s">
        <v>2092</v>
      </c>
      <c r="K298" s="148">
        <v>7.5</v>
      </c>
      <c r="L298" s="146" t="s">
        <v>1910</v>
      </c>
      <c r="N298" s="148"/>
      <c r="O298" s="106" t="s">
        <v>2093</v>
      </c>
      <c r="P298" s="103">
        <f t="shared" si="19"/>
        <v>285</v>
      </c>
      <c r="Q298" s="103">
        <f t="shared" si="20"/>
        <v>1</v>
      </c>
      <c r="R298" s="103" t="s">
        <v>1898</v>
      </c>
      <c r="S298" s="103" t="str">
        <f>_xlfn.IFS(MouserListTable[[#This Row],[Column1]]=FilterSpecs!$A$6, FilterSpecs!$B$6,MouserListTable[[#This Row],[Column1]]=FilterSpecs!$A$7,FilterSpecs!$B$7,MouserListTable[[#This Row],[Column1]]=FilterSpecs!$A$8,FilterSpecs!$B$8,MouserListTable[[#This Row],[Column1]]=FilterSpecs!$A$9,FilterSpecs!$B$9)</f>
        <v>485-</v>
      </c>
      <c r="T29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485-2229</v>
      </c>
      <c r="V298" s="151">
        <f>IF(MouserListTable[[#This Row],[Qty.]]=0, 0, "")</f>
        <v>0</v>
      </c>
    </row>
    <row r="299" spans="1:22" s="146" customFormat="1" x14ac:dyDescent="0.3">
      <c r="A299" s="106" t="s">
        <v>17</v>
      </c>
      <c r="B299" s="106" t="s">
        <v>1301</v>
      </c>
      <c r="C299" s="106" t="s">
        <v>1898</v>
      </c>
      <c r="D299" s="103" t="str">
        <f>IF(MouserListTable[[#This Row],[Vendor]]=FilterSpecs!$A$8,MouserListTable[[#This Row],[Mouser SKU]], MouserListTable[[#This Row],[SKU2]])</f>
        <v>2230</v>
      </c>
      <c r="E299" s="104">
        <v>0</v>
      </c>
      <c r="F299" s="104">
        <v>0</v>
      </c>
      <c r="G299" s="103"/>
      <c r="H299" s="103"/>
      <c r="I299" s="126" t="s">
        <v>2090</v>
      </c>
      <c r="K299" s="148">
        <v>5.95</v>
      </c>
      <c r="L299" s="146" t="s">
        <v>1910</v>
      </c>
      <c r="N299" s="148"/>
      <c r="O299" s="106" t="s">
        <v>2091</v>
      </c>
      <c r="P299" s="103">
        <f t="shared" si="19"/>
        <v>286</v>
      </c>
      <c r="Q299" s="103">
        <f t="shared" si="20"/>
        <v>1</v>
      </c>
      <c r="R299" s="103" t="s">
        <v>1898</v>
      </c>
      <c r="S299" s="103" t="str">
        <f>_xlfn.IFS(MouserListTable[[#This Row],[Column1]]=FilterSpecs!$A$6, FilterSpecs!$B$6,MouserListTable[[#This Row],[Column1]]=FilterSpecs!$A$7,FilterSpecs!$B$7,MouserListTable[[#This Row],[Column1]]=FilterSpecs!$A$8,FilterSpecs!$B$8,MouserListTable[[#This Row],[Column1]]=FilterSpecs!$A$9,FilterSpecs!$B$9)</f>
        <v>485-</v>
      </c>
      <c r="T29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485-2230</v>
      </c>
      <c r="V299" s="151">
        <f>IF(MouserListTable[[#This Row],[Qty.]]=0, 0, "")</f>
        <v>0</v>
      </c>
    </row>
    <row r="300" spans="1:22" s="146" customFormat="1" x14ac:dyDescent="0.3">
      <c r="A300" s="103" t="s">
        <v>896</v>
      </c>
      <c r="B300" s="103" t="s">
        <v>890</v>
      </c>
      <c r="C300" s="103" t="s">
        <v>8</v>
      </c>
      <c r="D300" s="103" t="str">
        <f>IF(MouserListTable[[#This Row],[Vendor]]=FilterSpecs!$A$8,MouserListTable[[#This Row],[Mouser SKU]], MouserListTable[[#This Row],[SKU2]])</f>
        <v>COM-10594</v>
      </c>
      <c r="E300" s="103">
        <f>FilterSpecs!$C$3</f>
        <v>5</v>
      </c>
      <c r="F300" s="103" t="s">
        <v>18921</v>
      </c>
      <c r="G300" s="103" t="s">
        <v>648</v>
      </c>
      <c r="H300" s="103" t="s">
        <v>649</v>
      </c>
      <c r="I300" s="103" t="s">
        <v>650</v>
      </c>
      <c r="J300" s="103">
        <v>1</v>
      </c>
      <c r="K300" s="104">
        <v>0.95</v>
      </c>
      <c r="L300" s="103" t="s">
        <v>1911</v>
      </c>
      <c r="M300" s="106"/>
      <c r="N300" s="104">
        <f>E300*K300</f>
        <v>4.75</v>
      </c>
      <c r="O300" s="106" t="s">
        <v>647</v>
      </c>
      <c r="P300" s="103">
        <f t="shared" si="19"/>
        <v>287</v>
      </c>
      <c r="Q300" s="103">
        <f t="shared" si="20"/>
        <v>1</v>
      </c>
      <c r="R300" s="103" t="s">
        <v>8</v>
      </c>
      <c r="S300" s="103" t="str">
        <f>_xlfn.IFS(MouserListTable[[#This Row],[Column1]]=FilterSpecs!$A$6, FilterSpecs!$B$6,MouserListTable[[#This Row],[Column1]]=FilterSpecs!$A$7,FilterSpecs!$B$7,MouserListTable[[#This Row],[Column1]]=FilterSpecs!$A$8,FilterSpecs!$B$8,MouserListTable[[#This Row],[Column1]]=FilterSpecs!$A$9,FilterSpecs!$B$9)</f>
        <v>474-</v>
      </c>
      <c r="T30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474-COM-10594</v>
      </c>
      <c r="V300" s="151" t="str">
        <f>IF(MouserListTable[[#This Row],[Qty.]]=0, 0, "")</f>
        <v/>
      </c>
    </row>
    <row r="301" spans="1:22" s="146" customFormat="1" x14ac:dyDescent="0.3">
      <c r="A301" s="103" t="s">
        <v>896</v>
      </c>
      <c r="B301" s="103" t="s">
        <v>890</v>
      </c>
      <c r="C301" s="103" t="s">
        <v>8</v>
      </c>
      <c r="D301" s="103" t="str">
        <f>IF(MouserListTable[[#This Row],[Vendor]]=FilterSpecs!$A$8,MouserListTable[[#This Row],[Mouser SKU]], MouserListTable[[#This Row],[SKU2]])</f>
        <v>PRT-10230</v>
      </c>
      <c r="E301" s="103">
        <f>FilterSpecs!$C$3</f>
        <v>5</v>
      </c>
      <c r="F301" s="103" t="s">
        <v>18921</v>
      </c>
      <c r="G301" s="103" t="s">
        <v>656</v>
      </c>
      <c r="H301" s="103" t="s">
        <v>657</v>
      </c>
      <c r="I301" s="103" t="s">
        <v>658</v>
      </c>
      <c r="J301" s="103">
        <v>1</v>
      </c>
      <c r="K301" s="104">
        <v>0.95</v>
      </c>
      <c r="L301" s="103" t="s">
        <v>1911</v>
      </c>
      <c r="M301" s="106"/>
      <c r="N301" s="104">
        <f>E301*K301</f>
        <v>4.75</v>
      </c>
      <c r="O301" s="106" t="s">
        <v>655</v>
      </c>
      <c r="P301" s="103">
        <f t="shared" si="19"/>
        <v>288</v>
      </c>
      <c r="Q301" s="103">
        <f t="shared" si="20"/>
        <v>1</v>
      </c>
      <c r="R301" s="103" t="s">
        <v>8</v>
      </c>
      <c r="S301" s="103" t="str">
        <f>_xlfn.IFS(MouserListTable[[#This Row],[Column1]]=FilterSpecs!$A$6, FilterSpecs!$B$6,MouserListTable[[#This Row],[Column1]]=FilterSpecs!$A$7,FilterSpecs!$B$7,MouserListTable[[#This Row],[Column1]]=FilterSpecs!$A$8,FilterSpecs!$B$8,MouserListTable[[#This Row],[Column1]]=FilterSpecs!$A$9,FilterSpecs!$B$9)</f>
        <v>474-</v>
      </c>
      <c r="T30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474-PRT-10230</v>
      </c>
      <c r="V301" s="151" t="str">
        <f>IF(MouserListTable[[#This Row],[Qty.]]=0, 0, "")</f>
        <v/>
      </c>
    </row>
    <row r="302" spans="1:22" s="146" customFormat="1" x14ac:dyDescent="0.3">
      <c r="A302" s="103" t="s">
        <v>896</v>
      </c>
      <c r="B302" s="103" t="s">
        <v>890</v>
      </c>
      <c r="C302" s="103" t="s">
        <v>1898</v>
      </c>
      <c r="D302" s="103" t="str">
        <f>IF(MouserListTable[[#This Row],[Vendor]]=FilterSpecs!$A$8,MouserListTable[[#This Row],[Mouser SKU]], MouserListTable[[#This Row],[SKU2]])</f>
        <v>550</v>
      </c>
      <c r="E302" s="103">
        <v>0</v>
      </c>
      <c r="F302" s="103">
        <v>0</v>
      </c>
      <c r="G302" s="103"/>
      <c r="H302" s="103"/>
      <c r="I302" s="126" t="s">
        <v>2117</v>
      </c>
      <c r="K302" s="148">
        <v>0.95</v>
      </c>
      <c r="L302" s="126" t="s">
        <v>1910</v>
      </c>
      <c r="N302" s="148"/>
      <c r="O302" s="106" t="s">
        <v>2116</v>
      </c>
      <c r="P302" s="103">
        <f t="shared" si="19"/>
        <v>289</v>
      </c>
      <c r="Q302" s="103">
        <f t="shared" si="20"/>
        <v>1</v>
      </c>
      <c r="R302" s="103" t="s">
        <v>1898</v>
      </c>
      <c r="S302" s="103" t="str">
        <f>_xlfn.IFS(MouserListTable[[#This Row],[Column1]]=FilterSpecs!$A$6, FilterSpecs!$B$6,MouserListTable[[#This Row],[Column1]]=FilterSpecs!$A$7,FilterSpecs!$B$7,MouserListTable[[#This Row],[Column1]]=FilterSpecs!$A$8,FilterSpecs!$B$8,MouserListTable[[#This Row],[Column1]]=FilterSpecs!$A$9,FilterSpecs!$B$9)</f>
        <v>485-</v>
      </c>
      <c r="T30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485-550</v>
      </c>
      <c r="V302" s="151">
        <f>IF(MouserListTable[[#This Row],[Qty.]]=0, 0, "")</f>
        <v>0</v>
      </c>
    </row>
    <row r="303" spans="1:22" s="146" customFormat="1" x14ac:dyDescent="0.3">
      <c r="A303" s="103" t="s">
        <v>896</v>
      </c>
      <c r="B303" s="103" t="s">
        <v>890</v>
      </c>
      <c r="C303" s="103" t="s">
        <v>8</v>
      </c>
      <c r="D303" s="103" t="str">
        <f>IF(MouserListTable[[#This Row],[Vendor]]=FilterSpecs!$A$8,MouserListTable[[#This Row],[Mouser SKU]], MouserListTable[[#This Row],[SKU2]])</f>
        <v>PRT-09353</v>
      </c>
      <c r="E303" s="103">
        <v>2</v>
      </c>
      <c r="F303" s="103" t="s">
        <v>18921</v>
      </c>
      <c r="G303" s="103" t="s">
        <v>1249</v>
      </c>
      <c r="H303" s="103" t="s">
        <v>1250</v>
      </c>
      <c r="I303" s="103" t="s">
        <v>1251</v>
      </c>
      <c r="J303" s="103">
        <v>1</v>
      </c>
      <c r="K303" s="104">
        <v>7.95</v>
      </c>
      <c r="L303" s="103" t="s">
        <v>1910</v>
      </c>
      <c r="M303" s="106"/>
      <c r="N303" s="104">
        <f>E303*K303</f>
        <v>15.9</v>
      </c>
      <c r="O303" s="106" t="s">
        <v>1248</v>
      </c>
      <c r="P303" s="103">
        <f t="shared" si="19"/>
        <v>290</v>
      </c>
      <c r="Q303" s="103">
        <f t="shared" si="20"/>
        <v>1</v>
      </c>
      <c r="R303" s="103" t="s">
        <v>8</v>
      </c>
      <c r="S303" s="103" t="str">
        <f>_xlfn.IFS(MouserListTable[[#This Row],[Column1]]=FilterSpecs!$A$6, FilterSpecs!$B$6,MouserListTable[[#This Row],[Column1]]=FilterSpecs!$A$7,FilterSpecs!$B$7,MouserListTable[[#This Row],[Column1]]=FilterSpecs!$A$8,FilterSpecs!$B$8,MouserListTable[[#This Row],[Column1]]=FilterSpecs!$A$9,FilterSpecs!$B$9)</f>
        <v>474-</v>
      </c>
      <c r="T30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474-PRT-09353</v>
      </c>
      <c r="V303" s="151" t="str">
        <f>IF(MouserListTable[[#This Row],[Qty.]]=0, 0, "")</f>
        <v/>
      </c>
    </row>
    <row r="304" spans="1:22" s="144" customFormat="1" x14ac:dyDescent="0.3">
      <c r="A304" s="128" t="s">
        <v>896</v>
      </c>
      <c r="B304" s="128" t="s">
        <v>890</v>
      </c>
      <c r="C304" s="128" t="s">
        <v>1898</v>
      </c>
      <c r="D304" s="103" t="str">
        <f>IF(MouserListTable[[#This Row],[Vendor]]=FilterSpecs!$A$8,MouserListTable[[#This Row],[Mouser SKU]], MouserListTable[[#This Row],[SKU2]])</f>
        <v>344</v>
      </c>
      <c r="E304" s="128">
        <v>0</v>
      </c>
      <c r="F304" s="128">
        <v>0</v>
      </c>
      <c r="G304" s="146"/>
      <c r="H304" s="146"/>
      <c r="I304" s="128" t="s">
        <v>2478</v>
      </c>
      <c r="J304" s="155">
        <v>115</v>
      </c>
      <c r="K304" s="129">
        <v>4.95</v>
      </c>
      <c r="L304" s="126" t="s">
        <v>1910</v>
      </c>
      <c r="M304" s="146"/>
      <c r="N304" s="148"/>
      <c r="O304" s="128" t="s">
        <v>2479</v>
      </c>
      <c r="P304" s="103">
        <f t="shared" si="19"/>
        <v>291</v>
      </c>
      <c r="Q304" s="103">
        <f t="shared" si="20"/>
        <v>1</v>
      </c>
      <c r="R304" s="103" t="s">
        <v>1898</v>
      </c>
      <c r="S304" s="103" t="str">
        <f>_xlfn.IFS(MouserListTable[[#This Row],[Column1]]=FilterSpecs!$A$6, FilterSpecs!$B$6,MouserListTable[[#This Row],[Column1]]=FilterSpecs!$A$7,FilterSpecs!$B$7,MouserListTable[[#This Row],[Column1]]=FilterSpecs!$A$8,FilterSpecs!$B$8,MouserListTable[[#This Row],[Column1]]=FilterSpecs!$A$9,FilterSpecs!$B$9)</f>
        <v>485-</v>
      </c>
      <c r="T30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485-344</v>
      </c>
      <c r="V304" s="151">
        <f>IF(MouserListTable[[#This Row],[Qty.]]=0, 0, "")</f>
        <v>0</v>
      </c>
    </row>
    <row r="305" spans="1:22" s="144" customFormat="1" x14ac:dyDescent="0.3">
      <c r="A305" s="103" t="s">
        <v>896</v>
      </c>
      <c r="B305" s="103" t="s">
        <v>2026</v>
      </c>
      <c r="C305" s="103" t="s">
        <v>8</v>
      </c>
      <c r="D305" s="103" t="str">
        <f>IF(MouserListTable[[#This Row],[Vendor]]=FilterSpecs!$A$8,MouserListTable[[#This Row],[Mouser SKU]], MouserListTable[[#This Row],[SKU2]])</f>
        <v>TOL-10951</v>
      </c>
      <c r="E305" s="103">
        <v>1</v>
      </c>
      <c r="F305" s="103" t="s">
        <v>18921</v>
      </c>
      <c r="G305" s="103" t="s">
        <v>1257</v>
      </c>
      <c r="H305" s="103" t="s">
        <v>1258</v>
      </c>
      <c r="I305" s="103" t="s">
        <v>1259</v>
      </c>
      <c r="J305" s="103"/>
      <c r="K305" s="104">
        <v>34.950000000000003</v>
      </c>
      <c r="L305" s="103" t="s">
        <v>1910</v>
      </c>
      <c r="M305" s="106"/>
      <c r="N305" s="104">
        <f t="shared" ref="N305:N328" si="21">E305*K305</f>
        <v>34.950000000000003</v>
      </c>
      <c r="O305" s="106" t="s">
        <v>1256</v>
      </c>
      <c r="P305" s="103">
        <f t="shared" si="19"/>
        <v>292</v>
      </c>
      <c r="Q305" s="103">
        <f t="shared" si="20"/>
        <v>1</v>
      </c>
      <c r="R305" s="103" t="s">
        <v>8</v>
      </c>
      <c r="S305" s="103" t="str">
        <f>_xlfn.IFS(MouserListTable[[#This Row],[Column1]]=FilterSpecs!$A$6, FilterSpecs!$B$6,MouserListTable[[#This Row],[Column1]]=FilterSpecs!$A$7,FilterSpecs!$B$7,MouserListTable[[#This Row],[Column1]]=FilterSpecs!$A$8,FilterSpecs!$B$8,MouserListTable[[#This Row],[Column1]]=FilterSpecs!$A$9,FilterSpecs!$B$9)</f>
        <v>474-</v>
      </c>
      <c r="T30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474-TOL-10951</v>
      </c>
      <c r="V305" s="151" t="str">
        <f>IF(MouserListTable[[#This Row],[Qty.]]=0, 0, "")</f>
        <v/>
      </c>
    </row>
    <row r="306" spans="1:22" s="144" customFormat="1" x14ac:dyDescent="0.3">
      <c r="A306" s="126" t="s">
        <v>896</v>
      </c>
      <c r="B306" s="126" t="s">
        <v>2026</v>
      </c>
      <c r="C306" s="126" t="s">
        <v>8</v>
      </c>
      <c r="D306" s="103" t="str">
        <f>IF(MouserListTable[[#This Row],[Vendor]]=FilterSpecs!$A$8,MouserListTable[[#This Row],[Mouser SKU]], MouserListTable[[#This Row],[SKU2]])</f>
        <v>TOL-10950</v>
      </c>
      <c r="E306" s="103">
        <v>0</v>
      </c>
      <c r="F306" s="103">
        <v>0</v>
      </c>
      <c r="G306" s="103" t="s">
        <v>1261</v>
      </c>
      <c r="H306" s="103" t="s">
        <v>1262</v>
      </c>
      <c r="I306" s="103" t="s">
        <v>1263</v>
      </c>
      <c r="J306" s="103">
        <v>1</v>
      </c>
      <c r="K306" s="104">
        <v>9.9499999999999993</v>
      </c>
      <c r="L306" s="103" t="s">
        <v>1910</v>
      </c>
      <c r="M306" s="146"/>
      <c r="N306" s="148">
        <f t="shared" si="21"/>
        <v>0</v>
      </c>
      <c r="O306" s="106" t="s">
        <v>1260</v>
      </c>
      <c r="P306" s="103">
        <f t="shared" si="19"/>
        <v>293</v>
      </c>
      <c r="Q306" s="103">
        <f t="shared" si="20"/>
        <v>1</v>
      </c>
      <c r="R306" s="103" t="s">
        <v>8</v>
      </c>
      <c r="S306" s="103" t="str">
        <f>_xlfn.IFS(MouserListTable[[#This Row],[Column1]]=FilterSpecs!$A$6, FilterSpecs!$B$6,MouserListTable[[#This Row],[Column1]]=FilterSpecs!$A$7,FilterSpecs!$B$7,MouserListTable[[#This Row],[Column1]]=FilterSpecs!$A$8,FilterSpecs!$B$8,MouserListTable[[#This Row],[Column1]]=FilterSpecs!$A$9,FilterSpecs!$B$9)</f>
        <v>474-</v>
      </c>
      <c r="T30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474-TOL-10950</v>
      </c>
      <c r="V306" s="151">
        <f>IF(MouserListTable[[#This Row],[Qty.]]=0, 0, "")</f>
        <v>0</v>
      </c>
    </row>
    <row r="307" spans="1:22" s="144" customFormat="1" x14ac:dyDescent="0.3">
      <c r="A307" s="103" t="s">
        <v>896</v>
      </c>
      <c r="B307" s="103" t="s">
        <v>2026</v>
      </c>
      <c r="C307" s="103" t="s">
        <v>1898</v>
      </c>
      <c r="D307" s="103" t="str">
        <f>IF(MouserListTable[[#This Row],[Vendor]]=FilterSpecs!$A$8,MouserListTable[[#This Row],[Mouser SKU]], MouserListTable[[#This Row],[SKU2]])</f>
        <v>2504</v>
      </c>
      <c r="E307" s="103">
        <v>3</v>
      </c>
      <c r="F307" s="103" t="s">
        <v>18921</v>
      </c>
      <c r="G307" s="103"/>
      <c r="H307" s="103"/>
      <c r="I307" s="103" t="s">
        <v>2121</v>
      </c>
      <c r="J307" s="146"/>
      <c r="K307" s="104">
        <v>4.95</v>
      </c>
      <c r="L307" s="103" t="s">
        <v>1910</v>
      </c>
      <c r="M307" s="106"/>
      <c r="N307" s="104">
        <f t="shared" si="21"/>
        <v>14.850000000000001</v>
      </c>
      <c r="O307" s="106" t="s">
        <v>2120</v>
      </c>
      <c r="P307" s="103">
        <f t="shared" si="19"/>
        <v>294</v>
      </c>
      <c r="Q307" s="103">
        <f t="shared" si="20"/>
        <v>1</v>
      </c>
      <c r="R307" s="103" t="s">
        <v>1898</v>
      </c>
      <c r="S307" s="103" t="str">
        <f>_xlfn.IFS(MouserListTable[[#This Row],[Column1]]=FilterSpecs!$A$6, FilterSpecs!$B$6,MouserListTable[[#This Row],[Column1]]=FilterSpecs!$A$7,FilterSpecs!$B$7,MouserListTable[[#This Row],[Column1]]=FilterSpecs!$A$8,FilterSpecs!$B$8,MouserListTable[[#This Row],[Column1]]=FilterSpecs!$A$9,FilterSpecs!$B$9)</f>
        <v>485-</v>
      </c>
      <c r="T30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485-2504</v>
      </c>
      <c r="V307" s="151" t="str">
        <f>IF(MouserListTable[[#This Row],[Qty.]]=0, 0, "")</f>
        <v/>
      </c>
    </row>
    <row r="308" spans="1:22" s="144" customFormat="1" x14ac:dyDescent="0.3">
      <c r="A308" s="103" t="s">
        <v>896</v>
      </c>
      <c r="B308" s="103" t="s">
        <v>2026</v>
      </c>
      <c r="C308" s="103" t="s">
        <v>1898</v>
      </c>
      <c r="D308" s="103" t="str">
        <f>IF(MouserListTable[[#This Row],[Vendor]]=FilterSpecs!$A$8,MouserListTable[[#This Row],[Mouser SKU]], MouserListTable[[#This Row],[SKU2]])</f>
        <v>437</v>
      </c>
      <c r="E308" s="103">
        <v>1</v>
      </c>
      <c r="F308" s="103" t="s">
        <v>18921</v>
      </c>
      <c r="G308" s="103"/>
      <c r="H308" s="103"/>
      <c r="I308" s="103" t="s">
        <v>2123</v>
      </c>
      <c r="J308" s="146"/>
      <c r="K308" s="104">
        <v>17.95</v>
      </c>
      <c r="L308" s="103" t="s">
        <v>1910</v>
      </c>
      <c r="M308" s="106"/>
      <c r="N308" s="104">
        <f t="shared" si="21"/>
        <v>17.95</v>
      </c>
      <c r="O308" s="106" t="s">
        <v>2122</v>
      </c>
      <c r="P308" s="103">
        <f t="shared" si="19"/>
        <v>295</v>
      </c>
      <c r="Q308" s="103">
        <f t="shared" si="20"/>
        <v>1</v>
      </c>
      <c r="R308" s="103" t="s">
        <v>1898</v>
      </c>
      <c r="S308" s="103" t="str">
        <f>_xlfn.IFS(MouserListTable[[#This Row],[Column1]]=FilterSpecs!$A$6, FilterSpecs!$B$6,MouserListTable[[#This Row],[Column1]]=FilterSpecs!$A$7,FilterSpecs!$B$7,MouserListTable[[#This Row],[Column1]]=FilterSpecs!$A$8,FilterSpecs!$B$8,MouserListTable[[#This Row],[Column1]]=FilterSpecs!$A$9,FilterSpecs!$B$9)</f>
        <v>485-</v>
      </c>
      <c r="T30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485-437</v>
      </c>
      <c r="V308" s="151" t="str">
        <f>IF(MouserListTable[[#This Row],[Qty.]]=0, 0, "")</f>
        <v/>
      </c>
    </row>
    <row r="309" spans="1:22" s="144" customFormat="1" x14ac:dyDescent="0.3">
      <c r="A309" s="103" t="s">
        <v>896</v>
      </c>
      <c r="B309" s="103" t="s">
        <v>1302</v>
      </c>
      <c r="C309" s="103" t="s">
        <v>8</v>
      </c>
      <c r="D309" s="103" t="str">
        <f>IF(MouserListTable[[#This Row],[Vendor]]=FilterSpecs!$A$8,MouserListTable[[#This Row],[Mouser SKU]], MouserListTable[[#This Row],[SKU2]])</f>
        <v>PRT-11510</v>
      </c>
      <c r="E309" s="103">
        <v>3</v>
      </c>
      <c r="F309" s="103" t="s">
        <v>18921</v>
      </c>
      <c r="G309" s="103" t="s">
        <v>1089</v>
      </c>
      <c r="H309" s="103" t="s">
        <v>1090</v>
      </c>
      <c r="I309" s="103" t="s">
        <v>1091</v>
      </c>
      <c r="J309" s="103">
        <v>1</v>
      </c>
      <c r="K309" s="104">
        <v>1.95</v>
      </c>
      <c r="L309" s="103" t="s">
        <v>1910</v>
      </c>
      <c r="M309" s="103" t="s">
        <v>1210</v>
      </c>
      <c r="N309" s="104">
        <f t="shared" si="21"/>
        <v>5.85</v>
      </c>
      <c r="O309" s="106" t="s">
        <v>1088</v>
      </c>
      <c r="P309" s="103">
        <f t="shared" si="19"/>
        <v>296</v>
      </c>
      <c r="Q309" s="103">
        <f t="shared" si="20"/>
        <v>1</v>
      </c>
      <c r="R309" s="103" t="s">
        <v>8</v>
      </c>
      <c r="S309" s="103" t="str">
        <f>_xlfn.IFS(MouserListTable[[#This Row],[Column1]]=FilterSpecs!$A$6, FilterSpecs!$B$6,MouserListTable[[#This Row],[Column1]]=FilterSpecs!$A$7,FilterSpecs!$B$7,MouserListTable[[#This Row],[Column1]]=FilterSpecs!$A$8,FilterSpecs!$B$8,MouserListTable[[#This Row],[Column1]]=FilterSpecs!$A$9,FilterSpecs!$B$9)</f>
        <v>474-</v>
      </c>
      <c r="T30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474-PRT-11510</v>
      </c>
      <c r="V309" s="151" t="str">
        <f>IF(MouserListTable[[#This Row],[Qty.]]=0, 0, "")</f>
        <v/>
      </c>
    </row>
    <row r="310" spans="1:22" s="144" customFormat="1" x14ac:dyDescent="0.3">
      <c r="A310" s="103" t="s">
        <v>896</v>
      </c>
      <c r="B310" s="103" t="s">
        <v>1302</v>
      </c>
      <c r="C310" s="103" t="s">
        <v>8</v>
      </c>
      <c r="D310" s="103" t="str">
        <f>IF(MouserListTable[[#This Row],[Vendor]]=FilterSpecs!$A$8,MouserListTable[[#This Row],[Mouser SKU]], MouserListTable[[#This Row],[SKU2]])</f>
        <v>PRT-14340</v>
      </c>
      <c r="E310" s="103">
        <v>3</v>
      </c>
      <c r="F310" s="103" t="s">
        <v>18921</v>
      </c>
      <c r="G310" s="103" t="s">
        <v>1269</v>
      </c>
      <c r="H310" s="103" t="s">
        <v>1270</v>
      </c>
      <c r="I310" s="103" t="s">
        <v>1271</v>
      </c>
      <c r="J310" s="103"/>
      <c r="K310" s="104">
        <v>1.5</v>
      </c>
      <c r="L310" s="103" t="s">
        <v>1910</v>
      </c>
      <c r="M310" s="106"/>
      <c r="N310" s="104">
        <f t="shared" si="21"/>
        <v>4.5</v>
      </c>
      <c r="O310" s="106" t="s">
        <v>1268</v>
      </c>
      <c r="P310" s="103">
        <f t="shared" si="19"/>
        <v>297</v>
      </c>
      <c r="Q310" s="103">
        <f t="shared" si="20"/>
        <v>1</v>
      </c>
      <c r="R310" s="103" t="s">
        <v>8</v>
      </c>
      <c r="S310" s="103" t="str">
        <f>_xlfn.IFS(MouserListTable[[#This Row],[Column1]]=FilterSpecs!$A$6, FilterSpecs!$B$6,MouserListTable[[#This Row],[Column1]]=FilterSpecs!$A$7,FilterSpecs!$B$7,MouserListTable[[#This Row],[Column1]]=FilterSpecs!$A$8,FilterSpecs!$B$8,MouserListTable[[#This Row],[Column1]]=FilterSpecs!$A$9,FilterSpecs!$B$9)</f>
        <v>474-</v>
      </c>
      <c r="T31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474-PRT-14340</v>
      </c>
      <c r="V310" s="151" t="str">
        <f>IF(MouserListTable[[#This Row],[Qty.]]=0, 0, "")</f>
        <v/>
      </c>
    </row>
    <row r="311" spans="1:22" s="144" customFormat="1" x14ac:dyDescent="0.3">
      <c r="A311" s="103" t="s">
        <v>896</v>
      </c>
      <c r="B311" s="103" t="s">
        <v>1302</v>
      </c>
      <c r="C311" s="103" t="s">
        <v>8</v>
      </c>
      <c r="D311" s="103" t="str">
        <f>IF(MouserListTable[[#This Row],[Vendor]]=FilterSpecs!$A$8,MouserListTable[[#This Row],[Mouser SKU]], MouserListTable[[#This Row],[SKU2]])</f>
        <v>PRT-00121</v>
      </c>
      <c r="E311" s="103">
        <v>3</v>
      </c>
      <c r="F311" s="103" t="s">
        <v>18921</v>
      </c>
      <c r="G311" s="103" t="s">
        <v>1085</v>
      </c>
      <c r="H311" s="103" t="s">
        <v>1086</v>
      </c>
      <c r="I311" s="103" t="s">
        <v>1087</v>
      </c>
      <c r="J311" s="103">
        <v>1</v>
      </c>
      <c r="K311" s="104">
        <v>0.95</v>
      </c>
      <c r="L311" s="103" t="s">
        <v>1910</v>
      </c>
      <c r="M311" s="103" t="s">
        <v>1210</v>
      </c>
      <c r="N311" s="104">
        <f t="shared" si="21"/>
        <v>2.8499999999999996</v>
      </c>
      <c r="O311" s="106" t="s">
        <v>1084</v>
      </c>
      <c r="P311" s="103">
        <f t="shared" si="19"/>
        <v>298</v>
      </c>
      <c r="Q311" s="103">
        <f t="shared" si="20"/>
        <v>1</v>
      </c>
      <c r="R311" s="103" t="s">
        <v>8</v>
      </c>
      <c r="S311" s="103" t="str">
        <f>_xlfn.IFS(MouserListTable[[#This Row],[Column1]]=FilterSpecs!$A$6, FilterSpecs!$B$6,MouserListTable[[#This Row],[Column1]]=FilterSpecs!$A$7,FilterSpecs!$B$7,MouserListTable[[#This Row],[Column1]]=FilterSpecs!$A$8,FilterSpecs!$B$8,MouserListTable[[#This Row],[Column1]]=FilterSpecs!$A$9,FilterSpecs!$B$9)</f>
        <v>474-</v>
      </c>
      <c r="T31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474-PRT-00121</v>
      </c>
      <c r="V311" s="151" t="str">
        <f>IF(MouserListTable[[#This Row],[Qty.]]=0, 0, "")</f>
        <v/>
      </c>
    </row>
    <row r="312" spans="1:22" s="144" customFormat="1" x14ac:dyDescent="0.3">
      <c r="A312" s="103" t="s">
        <v>896</v>
      </c>
      <c r="B312" s="103" t="s">
        <v>1302</v>
      </c>
      <c r="C312" s="103" t="s">
        <v>1898</v>
      </c>
      <c r="D312" s="103" t="str">
        <f>IF(MouserListTable[[#This Row],[Vendor]]=FilterSpecs!$A$8,MouserListTable[[#This Row],[Mouser SKU]], MouserListTable[[#This Row],[SKU2]])</f>
        <v>977</v>
      </c>
      <c r="E312" s="104">
        <f>2*FilterSpecs!$C$3</f>
        <v>10</v>
      </c>
      <c r="F312" s="104" t="s">
        <v>18921</v>
      </c>
      <c r="G312" s="103"/>
      <c r="H312" s="103"/>
      <c r="I312" s="103" t="s">
        <v>2119</v>
      </c>
      <c r="J312" s="146"/>
      <c r="K312" s="104">
        <v>0.75</v>
      </c>
      <c r="L312" s="103" t="s">
        <v>1910</v>
      </c>
      <c r="M312" s="106"/>
      <c r="N312" s="104">
        <f t="shared" si="21"/>
        <v>7.5</v>
      </c>
      <c r="O312" s="106" t="s">
        <v>2118</v>
      </c>
      <c r="P312" s="103">
        <f t="shared" si="19"/>
        <v>299</v>
      </c>
      <c r="Q312" s="103">
        <f t="shared" si="20"/>
        <v>1</v>
      </c>
      <c r="R312" s="103" t="s">
        <v>1898</v>
      </c>
      <c r="S312" s="103" t="str">
        <f>_xlfn.IFS(MouserListTable[[#This Row],[Column1]]=FilterSpecs!$A$6, FilterSpecs!$B$6,MouserListTable[[#This Row],[Column1]]=FilterSpecs!$A$7,FilterSpecs!$B$7,MouserListTable[[#This Row],[Column1]]=FilterSpecs!$A$8,FilterSpecs!$B$8,MouserListTable[[#This Row],[Column1]]=FilterSpecs!$A$9,FilterSpecs!$B$9)</f>
        <v>485-</v>
      </c>
      <c r="T31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485-977</v>
      </c>
      <c r="V312" s="151" t="str">
        <f>IF(MouserListTable[[#This Row],[Qty.]]=0, 0, "")</f>
        <v/>
      </c>
    </row>
    <row r="313" spans="1:22" s="144" customFormat="1" x14ac:dyDescent="0.3">
      <c r="A313" s="103" t="s">
        <v>896</v>
      </c>
      <c r="B313" s="103" t="s">
        <v>1302</v>
      </c>
      <c r="C313" s="103" t="s">
        <v>8</v>
      </c>
      <c r="D313" s="103" t="str">
        <f>IF(MouserListTable[[#This Row],[Vendor]]=FilterSpecs!$A$8,MouserListTable[[#This Row],[Mouser SKU]], MouserListTable[[#This Row],[SKU2]])</f>
        <v>PRT-09599</v>
      </c>
      <c r="E313" s="103">
        <v>2</v>
      </c>
      <c r="F313" s="103" t="s">
        <v>18921</v>
      </c>
      <c r="G313" s="103" t="s">
        <v>1265</v>
      </c>
      <c r="H313" s="103" t="s">
        <v>1266</v>
      </c>
      <c r="I313" s="103" t="s">
        <v>1267</v>
      </c>
      <c r="J313" s="103">
        <v>1</v>
      </c>
      <c r="K313" s="104">
        <v>1.95</v>
      </c>
      <c r="L313" s="103" t="s">
        <v>1910</v>
      </c>
      <c r="M313" s="106"/>
      <c r="N313" s="104">
        <f t="shared" si="21"/>
        <v>3.9</v>
      </c>
      <c r="O313" s="106" t="s">
        <v>1264</v>
      </c>
      <c r="P313" s="103">
        <f t="shared" si="19"/>
        <v>300</v>
      </c>
      <c r="Q313" s="103">
        <f t="shared" si="20"/>
        <v>1</v>
      </c>
      <c r="R313" s="103" t="s">
        <v>8</v>
      </c>
      <c r="S313" s="103" t="str">
        <f>_xlfn.IFS(MouserListTable[[#This Row],[Column1]]=FilterSpecs!$A$6, FilterSpecs!$B$6,MouserListTable[[#This Row],[Column1]]=FilterSpecs!$A$7,FilterSpecs!$B$7,MouserListTable[[#This Row],[Column1]]=FilterSpecs!$A$8,FilterSpecs!$B$8,MouserListTable[[#This Row],[Column1]]=FilterSpecs!$A$9,FilterSpecs!$B$9)</f>
        <v>474-</v>
      </c>
      <c r="T31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474-PRT-09599</v>
      </c>
      <c r="V313" s="151" t="str">
        <f>IF(MouserListTable[[#This Row],[Qty.]]=0, 0, "")</f>
        <v/>
      </c>
    </row>
    <row r="314" spans="1:22" s="144" customFormat="1" x14ac:dyDescent="0.3">
      <c r="A314" s="103" t="s">
        <v>896</v>
      </c>
      <c r="B314" s="103" t="s">
        <v>1302</v>
      </c>
      <c r="C314" s="103" t="s">
        <v>8</v>
      </c>
      <c r="D314" s="103" t="str">
        <f>IF(MouserListTable[[#This Row],[Vendor]]=FilterSpecs!$A$8,MouserListTable[[#This Row],[Mouser SKU]], MouserListTable[[#This Row],[SKU2]])</f>
        <v>PRT-09771</v>
      </c>
      <c r="E314" s="103">
        <v>3</v>
      </c>
      <c r="F314" s="103" t="s">
        <v>18921</v>
      </c>
      <c r="G314" s="103" t="s">
        <v>1081</v>
      </c>
      <c r="H314" s="103" t="s">
        <v>1082</v>
      </c>
      <c r="I314" s="103" t="s">
        <v>1083</v>
      </c>
      <c r="J314" s="103"/>
      <c r="K314" s="104">
        <v>3.95</v>
      </c>
      <c r="L314" s="103" t="s">
        <v>1910</v>
      </c>
      <c r="M314" s="106"/>
      <c r="N314" s="104">
        <f t="shared" si="21"/>
        <v>11.850000000000001</v>
      </c>
      <c r="O314" s="106" t="s">
        <v>1080</v>
      </c>
      <c r="P314" s="103">
        <f t="shared" si="19"/>
        <v>301</v>
      </c>
      <c r="Q314" s="103">
        <f t="shared" si="20"/>
        <v>1</v>
      </c>
      <c r="R314" s="103" t="s">
        <v>8</v>
      </c>
      <c r="S314" s="103" t="str">
        <f>_xlfn.IFS(MouserListTable[[#This Row],[Column1]]=FilterSpecs!$A$6, FilterSpecs!$B$6,MouserListTable[[#This Row],[Column1]]=FilterSpecs!$A$7,FilterSpecs!$B$7,MouserListTable[[#This Row],[Column1]]=FilterSpecs!$A$8,FilterSpecs!$B$8,MouserListTable[[#This Row],[Column1]]=FilterSpecs!$A$9,FilterSpecs!$B$9)</f>
        <v>474-</v>
      </c>
      <c r="T31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474-PRT-09771</v>
      </c>
      <c r="V314" s="151" t="str">
        <f>IF(MouserListTable[[#This Row],[Qty.]]=0, 0, "")</f>
        <v/>
      </c>
    </row>
    <row r="315" spans="1:22" s="144" customFormat="1" x14ac:dyDescent="0.3">
      <c r="A315" s="103" t="s">
        <v>896</v>
      </c>
      <c r="B315" s="103" t="s">
        <v>995</v>
      </c>
      <c r="C315" s="103" t="s">
        <v>8</v>
      </c>
      <c r="D315" s="103" t="str">
        <f>IF(MouserListTable[[#This Row],[Vendor]]=FilterSpecs!$A$8,MouserListTable[[#This Row],[Mouser SKU]], MouserListTable[[#This Row],[SKU2]])</f>
        <v>PRT-11796</v>
      </c>
      <c r="E315" s="103">
        <v>3</v>
      </c>
      <c r="F315" s="103" t="s">
        <v>18921</v>
      </c>
      <c r="G315" s="103" t="s">
        <v>644</v>
      </c>
      <c r="H315" s="103" t="s">
        <v>645</v>
      </c>
      <c r="I315" s="103" t="s">
        <v>646</v>
      </c>
      <c r="J315" s="103"/>
      <c r="K315" s="104">
        <v>3.95</v>
      </c>
      <c r="L315" s="103" t="s">
        <v>1910</v>
      </c>
      <c r="M315" s="106"/>
      <c r="N315" s="104">
        <f t="shared" si="21"/>
        <v>11.850000000000001</v>
      </c>
      <c r="O315" s="106" t="s">
        <v>643</v>
      </c>
      <c r="P315" s="103">
        <f t="shared" si="19"/>
        <v>302</v>
      </c>
      <c r="Q315" s="103">
        <f t="shared" si="20"/>
        <v>1</v>
      </c>
      <c r="R315" s="103" t="s">
        <v>8</v>
      </c>
      <c r="S315" s="103" t="str">
        <f>_xlfn.IFS(MouserListTable[[#This Row],[Column1]]=FilterSpecs!$A$6, FilterSpecs!$B$6,MouserListTable[[#This Row],[Column1]]=FilterSpecs!$A$7,FilterSpecs!$B$7,MouserListTable[[#This Row],[Column1]]=FilterSpecs!$A$8,FilterSpecs!$B$8,MouserListTable[[#This Row],[Column1]]=FilterSpecs!$A$9,FilterSpecs!$B$9)</f>
        <v>474-</v>
      </c>
      <c r="T31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474-PRT-11796</v>
      </c>
      <c r="V315" s="151" t="str">
        <f>IF(MouserListTable[[#This Row],[Qty.]]=0, 0, "")</f>
        <v/>
      </c>
    </row>
    <row r="316" spans="1:22" s="144" customFormat="1" x14ac:dyDescent="0.3">
      <c r="A316" s="103" t="s">
        <v>896</v>
      </c>
      <c r="B316" s="103" t="s">
        <v>995</v>
      </c>
      <c r="C316" s="103" t="s">
        <v>8</v>
      </c>
      <c r="D316" s="103" t="str">
        <f>IF(MouserListTable[[#This Row],[Vendor]]=FilterSpecs!$A$8,MouserListTable[[#This Row],[Mouser SKU]], MouserListTable[[#This Row],[SKU2]])</f>
        <v>PRT-10927</v>
      </c>
      <c r="E316" s="104">
        <f>FilterSpecs!$C$3</f>
        <v>5</v>
      </c>
      <c r="F316" s="104" t="s">
        <v>18921</v>
      </c>
      <c r="G316" s="103" t="s">
        <v>652</v>
      </c>
      <c r="H316" s="103" t="s">
        <v>653</v>
      </c>
      <c r="I316" s="103" t="s">
        <v>654</v>
      </c>
      <c r="J316" s="103">
        <v>1</v>
      </c>
      <c r="K316" s="104">
        <v>2.95</v>
      </c>
      <c r="L316" s="103" t="s">
        <v>1911</v>
      </c>
      <c r="M316" s="106"/>
      <c r="N316" s="104">
        <f t="shared" si="21"/>
        <v>14.75</v>
      </c>
      <c r="O316" s="106" t="s">
        <v>651</v>
      </c>
      <c r="P316" s="103">
        <f t="shared" si="19"/>
        <v>303</v>
      </c>
      <c r="Q316" s="103">
        <f t="shared" si="20"/>
        <v>1</v>
      </c>
      <c r="R316" s="103" t="s">
        <v>8</v>
      </c>
      <c r="S316" s="103" t="str">
        <f>_xlfn.IFS(MouserListTable[[#This Row],[Column1]]=FilterSpecs!$A$6, FilterSpecs!$B$6,MouserListTable[[#This Row],[Column1]]=FilterSpecs!$A$7,FilterSpecs!$B$7,MouserListTable[[#This Row],[Column1]]=FilterSpecs!$A$8,FilterSpecs!$B$8,MouserListTable[[#This Row],[Column1]]=FilterSpecs!$A$9,FilterSpecs!$B$9)</f>
        <v>474-</v>
      </c>
      <c r="T31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474-PRT-10927</v>
      </c>
      <c r="V316" s="151" t="str">
        <f>IF(MouserListTable[[#This Row],[Qty.]]=0, 0, "")</f>
        <v/>
      </c>
    </row>
    <row r="317" spans="1:22" s="144" customFormat="1" x14ac:dyDescent="0.3">
      <c r="A317" s="103" t="s">
        <v>896</v>
      </c>
      <c r="B317" s="103" t="s">
        <v>995</v>
      </c>
      <c r="C317" s="103" t="s">
        <v>8</v>
      </c>
      <c r="D317" s="103" t="str">
        <f>IF(MouserListTable[[#This Row],[Vendor]]=FilterSpecs!$A$8,MouserListTable[[#This Row],[Mouser SKU]], MouserListTable[[#This Row],[SKU2]])</f>
        <v>PRT-10453</v>
      </c>
      <c r="E317" s="104">
        <f>FilterSpecs!$C$3</f>
        <v>5</v>
      </c>
      <c r="F317" s="104" t="s">
        <v>18921</v>
      </c>
      <c r="G317" s="103" t="s">
        <v>708</v>
      </c>
      <c r="H317" s="103" t="s">
        <v>709</v>
      </c>
      <c r="I317" s="103" t="s">
        <v>710</v>
      </c>
      <c r="J317" s="103">
        <v>1</v>
      </c>
      <c r="K317" s="104">
        <v>1.5</v>
      </c>
      <c r="L317" s="103" t="s">
        <v>1911</v>
      </c>
      <c r="M317" s="106"/>
      <c r="N317" s="104">
        <f t="shared" si="21"/>
        <v>7.5</v>
      </c>
      <c r="O317" s="106" t="s">
        <v>707</v>
      </c>
      <c r="P317" s="103">
        <f t="shared" si="19"/>
        <v>304</v>
      </c>
      <c r="Q317" s="103">
        <f t="shared" si="20"/>
        <v>1</v>
      </c>
      <c r="R317" s="103" t="s">
        <v>8</v>
      </c>
      <c r="S317" s="103" t="str">
        <f>_xlfn.IFS(MouserListTable[[#This Row],[Column1]]=FilterSpecs!$A$6, FilterSpecs!$B$6,MouserListTable[[#This Row],[Column1]]=FilterSpecs!$A$7,FilterSpecs!$B$7,MouserListTable[[#This Row],[Column1]]=FilterSpecs!$A$8,FilterSpecs!$B$8,MouserListTable[[#This Row],[Column1]]=FilterSpecs!$A$9,FilterSpecs!$B$9)</f>
        <v>474-</v>
      </c>
      <c r="T31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474-PRT-10453</v>
      </c>
      <c r="V317" s="151" t="str">
        <f>IF(MouserListTable[[#This Row],[Qty.]]=0, 0, "")</f>
        <v/>
      </c>
    </row>
    <row r="318" spans="1:22" s="144" customFormat="1" x14ac:dyDescent="0.3">
      <c r="A318" s="103" t="s">
        <v>896</v>
      </c>
      <c r="B318" s="103" t="s">
        <v>995</v>
      </c>
      <c r="C318" s="103" t="s">
        <v>8</v>
      </c>
      <c r="D318" s="103" t="str">
        <f>IF(MouserListTable[[#This Row],[Vendor]]=FilterSpecs!$A$8,MouserListTable[[#This Row],[Mouser SKU]], MouserListTable[[#This Row],[SKU2]])</f>
        <v>PRT-10738</v>
      </c>
      <c r="E318" s="103">
        <v>3</v>
      </c>
      <c r="F318" s="103" t="s">
        <v>18921</v>
      </c>
      <c r="G318" s="103" t="s">
        <v>910</v>
      </c>
      <c r="H318" s="103" t="s">
        <v>911</v>
      </c>
      <c r="I318" s="103" t="s">
        <v>912</v>
      </c>
      <c r="J318" s="103">
        <v>1</v>
      </c>
      <c r="K318" s="104">
        <v>3.95</v>
      </c>
      <c r="L318" s="103" t="s">
        <v>1910</v>
      </c>
      <c r="M318" s="106"/>
      <c r="N318" s="104">
        <f t="shared" si="21"/>
        <v>11.850000000000001</v>
      </c>
      <c r="O318" s="106" t="s">
        <v>909</v>
      </c>
      <c r="P318" s="103">
        <f t="shared" si="19"/>
        <v>305</v>
      </c>
      <c r="Q318" s="103">
        <f t="shared" si="20"/>
        <v>1</v>
      </c>
      <c r="R318" s="103" t="s">
        <v>8</v>
      </c>
      <c r="S318" s="103" t="str">
        <f>_xlfn.IFS(MouserListTable[[#This Row],[Column1]]=FilterSpecs!$A$6, FilterSpecs!$B$6,MouserListTable[[#This Row],[Column1]]=FilterSpecs!$A$7,FilterSpecs!$B$7,MouserListTable[[#This Row],[Column1]]=FilterSpecs!$A$8,FilterSpecs!$B$8,MouserListTable[[#This Row],[Column1]]=FilterSpecs!$A$9,FilterSpecs!$B$9)</f>
        <v>474-</v>
      </c>
      <c r="T31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474-PRT-10738</v>
      </c>
      <c r="V318" s="151" t="str">
        <f>IF(MouserListTable[[#This Row],[Qty.]]=0, 0, "")</f>
        <v/>
      </c>
    </row>
    <row r="319" spans="1:22" s="144" customFormat="1" x14ac:dyDescent="0.3">
      <c r="A319" s="103" t="s">
        <v>896</v>
      </c>
      <c r="B319" s="103" t="s">
        <v>995</v>
      </c>
      <c r="C319" s="103" t="s">
        <v>8</v>
      </c>
      <c r="D319" s="103" t="str">
        <f>IF(MouserListTable[[#This Row],[Vendor]]=FilterSpecs!$A$8,MouserListTable[[#This Row],[Mouser SKU]], MouserListTable[[#This Row],[SKU2]])</f>
        <v>PRT-10450</v>
      </c>
      <c r="E319" s="104">
        <f>FilterSpecs!$C$3</f>
        <v>5</v>
      </c>
      <c r="F319" s="104" t="s">
        <v>18921</v>
      </c>
      <c r="G319" s="103" t="s">
        <v>914</v>
      </c>
      <c r="H319" s="103" t="s">
        <v>915</v>
      </c>
      <c r="I319" s="103" t="s">
        <v>916</v>
      </c>
      <c r="J319" s="103">
        <v>1</v>
      </c>
      <c r="K319" s="104">
        <v>0.46</v>
      </c>
      <c r="L319" s="103" t="s">
        <v>1911</v>
      </c>
      <c r="M319" s="106"/>
      <c r="N319" s="104">
        <f t="shared" si="21"/>
        <v>2.3000000000000003</v>
      </c>
      <c r="O319" s="106" t="s">
        <v>913</v>
      </c>
      <c r="P319" s="103">
        <f t="shared" si="19"/>
        <v>306</v>
      </c>
      <c r="Q319" s="103">
        <f t="shared" si="20"/>
        <v>1</v>
      </c>
      <c r="R319" s="103" t="s">
        <v>8</v>
      </c>
      <c r="S319" s="103" t="str">
        <f>_xlfn.IFS(MouserListTable[[#This Row],[Column1]]=FilterSpecs!$A$6, FilterSpecs!$B$6,MouserListTable[[#This Row],[Column1]]=FilterSpecs!$A$7,FilterSpecs!$B$7,MouserListTable[[#This Row],[Column1]]=FilterSpecs!$A$8,FilterSpecs!$B$8,MouserListTable[[#This Row],[Column1]]=FilterSpecs!$A$9,FilterSpecs!$B$9)</f>
        <v>474-</v>
      </c>
      <c r="T31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474-PRT-10450</v>
      </c>
      <c r="V319" s="151" t="str">
        <f>IF(MouserListTable[[#This Row],[Qty.]]=0, 0, "")</f>
        <v/>
      </c>
    </row>
    <row r="320" spans="1:22" s="144" customFormat="1" x14ac:dyDescent="0.3">
      <c r="A320" s="103" t="s">
        <v>896</v>
      </c>
      <c r="B320" s="103" t="s">
        <v>995</v>
      </c>
      <c r="C320" s="103" t="s">
        <v>8</v>
      </c>
      <c r="D320" s="103" t="str">
        <f>IF(MouserListTable[[#This Row],[Vendor]]=FilterSpecs!$A$8,MouserListTable[[#This Row],[Mouser SKU]], MouserListTable[[#This Row],[SKU2]])</f>
        <v>PRT-10463</v>
      </c>
      <c r="E320" s="104">
        <f>2*FilterSpecs!$C$3</f>
        <v>10</v>
      </c>
      <c r="F320" s="104" t="s">
        <v>18921</v>
      </c>
      <c r="G320" s="103" t="s">
        <v>938</v>
      </c>
      <c r="H320" s="103" t="s">
        <v>939</v>
      </c>
      <c r="I320" s="103" t="s">
        <v>940</v>
      </c>
      <c r="J320" s="103">
        <v>1</v>
      </c>
      <c r="K320" s="104">
        <v>3.95</v>
      </c>
      <c r="L320" s="103" t="s">
        <v>1911</v>
      </c>
      <c r="M320" s="106"/>
      <c r="N320" s="104">
        <f t="shared" si="21"/>
        <v>39.5</v>
      </c>
      <c r="O320" s="106" t="s">
        <v>937</v>
      </c>
      <c r="P320" s="103">
        <f t="shared" si="19"/>
        <v>307</v>
      </c>
      <c r="Q320" s="103">
        <f t="shared" si="20"/>
        <v>1</v>
      </c>
      <c r="R320" s="103" t="s">
        <v>8</v>
      </c>
      <c r="S320" s="103" t="str">
        <f>_xlfn.IFS(MouserListTable[[#This Row],[Column1]]=FilterSpecs!$A$6, FilterSpecs!$B$6,MouserListTable[[#This Row],[Column1]]=FilterSpecs!$A$7,FilterSpecs!$B$7,MouserListTable[[#This Row],[Column1]]=FilterSpecs!$A$8,FilterSpecs!$B$8,MouserListTable[[#This Row],[Column1]]=FilterSpecs!$A$9,FilterSpecs!$B$9)</f>
        <v>474-</v>
      </c>
      <c r="T32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474-PRT-10463</v>
      </c>
      <c r="V320" s="151" t="str">
        <f>IF(MouserListTable[[#This Row],[Qty.]]=0, 0, "")</f>
        <v/>
      </c>
    </row>
    <row r="321" spans="1:22" s="146" customFormat="1" x14ac:dyDescent="0.3">
      <c r="A321" s="103" t="s">
        <v>896</v>
      </c>
      <c r="B321" s="103" t="s">
        <v>1303</v>
      </c>
      <c r="C321" s="103" t="s">
        <v>8</v>
      </c>
      <c r="D321" s="103" t="str">
        <f>IF(MouserListTable[[#This Row],[Vendor]]=FilterSpecs!$A$8,MouserListTable[[#This Row],[Mouser SKU]], MouserListTable[[#This Row],[SKU2]])</f>
        <v>PRT-10561</v>
      </c>
      <c r="E321" s="103">
        <v>1</v>
      </c>
      <c r="F321" s="103" t="s">
        <v>18921</v>
      </c>
      <c r="G321" s="103" t="s">
        <v>1241</v>
      </c>
      <c r="H321" s="103" t="s">
        <v>1242</v>
      </c>
      <c r="I321" s="103" t="s">
        <v>1243</v>
      </c>
      <c r="J321" s="103">
        <v>1</v>
      </c>
      <c r="K321" s="104">
        <v>2.95</v>
      </c>
      <c r="L321" s="103" t="s">
        <v>1910</v>
      </c>
      <c r="M321" s="106"/>
      <c r="N321" s="104">
        <f t="shared" si="21"/>
        <v>2.95</v>
      </c>
      <c r="O321" s="106" t="s">
        <v>1240</v>
      </c>
      <c r="P321" s="103">
        <f t="shared" si="19"/>
        <v>308</v>
      </c>
      <c r="Q321" s="103">
        <f t="shared" si="20"/>
        <v>1</v>
      </c>
      <c r="R321" s="103" t="s">
        <v>8</v>
      </c>
      <c r="S321" s="103" t="str">
        <f>_xlfn.IFS(MouserListTable[[#This Row],[Column1]]=FilterSpecs!$A$6, FilterSpecs!$B$6,MouserListTable[[#This Row],[Column1]]=FilterSpecs!$A$7,FilterSpecs!$B$7,MouserListTable[[#This Row],[Column1]]=FilterSpecs!$A$8,FilterSpecs!$B$8,MouserListTable[[#This Row],[Column1]]=FilterSpecs!$A$9,FilterSpecs!$B$9)</f>
        <v>474-</v>
      </c>
      <c r="T32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474-PRT-10561</v>
      </c>
      <c r="V321" s="151" t="str">
        <f>IF(MouserListTable[[#This Row],[Qty.]]=0, 0, "")</f>
        <v/>
      </c>
    </row>
    <row r="322" spans="1:22" s="146" customFormat="1" x14ac:dyDescent="0.3">
      <c r="A322" s="103" t="s">
        <v>896</v>
      </c>
      <c r="B322" s="103" t="s">
        <v>1303</v>
      </c>
      <c r="C322" s="103" t="s">
        <v>8</v>
      </c>
      <c r="D322" s="103" t="str">
        <f>IF(MouserListTable[[#This Row],[Vendor]]=FilterSpecs!$A$8,MouserListTable[[#This Row],[Mouser SKU]], MouserListTable[[#This Row],[SKU2]])</f>
        <v>PRT-13827</v>
      </c>
      <c r="E322" s="103">
        <v>1</v>
      </c>
      <c r="F322" s="103" t="s">
        <v>18921</v>
      </c>
      <c r="G322" s="103" t="s">
        <v>1245</v>
      </c>
      <c r="H322" s="103" t="s">
        <v>1246</v>
      </c>
      <c r="I322" s="103" t="s">
        <v>1247</v>
      </c>
      <c r="J322" s="103">
        <v>1</v>
      </c>
      <c r="K322" s="104">
        <v>3.95</v>
      </c>
      <c r="L322" s="103" t="s">
        <v>1910</v>
      </c>
      <c r="M322" s="106"/>
      <c r="N322" s="104">
        <f t="shared" si="21"/>
        <v>3.95</v>
      </c>
      <c r="O322" s="106" t="s">
        <v>1244</v>
      </c>
      <c r="P322" s="103">
        <f t="shared" si="19"/>
        <v>309</v>
      </c>
      <c r="Q322" s="103">
        <f t="shared" si="20"/>
        <v>1</v>
      </c>
      <c r="R322" s="103" t="s">
        <v>8</v>
      </c>
      <c r="S322" s="103" t="str">
        <f>_xlfn.IFS(MouserListTable[[#This Row],[Column1]]=FilterSpecs!$A$6, FilterSpecs!$B$6,MouserListTable[[#This Row],[Column1]]=FilterSpecs!$A$7,FilterSpecs!$B$7,MouserListTable[[#This Row],[Column1]]=FilterSpecs!$A$8,FilterSpecs!$B$8,MouserListTable[[#This Row],[Column1]]=FilterSpecs!$A$9,FilterSpecs!$B$9)</f>
        <v>474-</v>
      </c>
      <c r="T32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474-PRT-13827</v>
      </c>
      <c r="V322" s="151" t="str">
        <f>IF(MouserListTable[[#This Row],[Qty.]]=0, 0, "")</f>
        <v/>
      </c>
    </row>
    <row r="323" spans="1:22" s="146" customFormat="1" x14ac:dyDescent="0.3">
      <c r="A323" s="103" t="s">
        <v>897</v>
      </c>
      <c r="B323" s="103" t="s">
        <v>891</v>
      </c>
      <c r="C323" s="103" t="s">
        <v>8</v>
      </c>
      <c r="D323" s="103" t="str">
        <f>IF(MouserListTable[[#This Row],[Vendor]]=FilterSpecs!$A$8,MouserListTable[[#This Row],[Mouser SKU]], MouserListTable[[#This Row],[SKU2]])</f>
        <v>BOB-10467</v>
      </c>
      <c r="E323" s="104">
        <f>SUM(E324:E328)</f>
        <v>4</v>
      </c>
      <c r="F323" s="104" t="s">
        <v>18921</v>
      </c>
      <c r="G323" s="103" t="s">
        <v>1296</v>
      </c>
      <c r="H323" s="103" t="s">
        <v>1297</v>
      </c>
      <c r="I323" s="103" t="s">
        <v>1298</v>
      </c>
      <c r="J323" s="103">
        <v>1</v>
      </c>
      <c r="K323" s="104">
        <v>1.5</v>
      </c>
      <c r="L323" s="106" t="s">
        <v>1911</v>
      </c>
      <c r="M323" s="103"/>
      <c r="N323" s="104">
        <f t="shared" si="21"/>
        <v>6</v>
      </c>
      <c r="O323" s="103" t="s">
        <v>1295</v>
      </c>
      <c r="P323" s="103">
        <f t="shared" si="19"/>
        <v>310</v>
      </c>
      <c r="Q323" s="103">
        <f t="shared" si="20"/>
        <v>1</v>
      </c>
      <c r="R323" s="103" t="s">
        <v>8</v>
      </c>
      <c r="S323" s="103" t="str">
        <f>_xlfn.IFS(MouserListTable[[#This Row],[Column1]]=FilterSpecs!$A$6, FilterSpecs!$B$6,MouserListTable[[#This Row],[Column1]]=FilterSpecs!$A$7,FilterSpecs!$B$7,MouserListTable[[#This Row],[Column1]]=FilterSpecs!$A$8,FilterSpecs!$B$8,MouserListTable[[#This Row],[Column1]]=FilterSpecs!$A$9,FilterSpecs!$B$9)</f>
        <v>474-</v>
      </c>
      <c r="T32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474-BOB-10467</v>
      </c>
      <c r="V323" s="151" t="str">
        <f>IF(MouserListTable[[#This Row],[Qty.]]=0, 0, "")</f>
        <v/>
      </c>
    </row>
    <row r="324" spans="1:22" s="146" customFormat="1" x14ac:dyDescent="0.3">
      <c r="A324" s="103" t="s">
        <v>897</v>
      </c>
      <c r="B324" s="103" t="s">
        <v>891</v>
      </c>
      <c r="C324" s="103" t="s">
        <v>8</v>
      </c>
      <c r="D324" s="103" t="str">
        <f>IF(MouserListTable[[#This Row],[Vendor]]=FilterSpecs!$A$8,MouserListTable[[#This Row],[Mouser SKU]], MouserListTable[[#This Row],[SKU2]])</f>
        <v>COM-10443</v>
      </c>
      <c r="E324" s="104">
        <v>1</v>
      </c>
      <c r="F324" s="104" t="s">
        <v>18921</v>
      </c>
      <c r="G324" s="103" t="s">
        <v>604</v>
      </c>
      <c r="H324" s="103" t="s">
        <v>605</v>
      </c>
      <c r="I324" s="103" t="s">
        <v>606</v>
      </c>
      <c r="J324" s="103"/>
      <c r="K324" s="104">
        <v>1.95</v>
      </c>
      <c r="L324" s="103" t="s">
        <v>1910</v>
      </c>
      <c r="M324" s="103"/>
      <c r="N324" s="104">
        <f t="shared" si="21"/>
        <v>1.95</v>
      </c>
      <c r="O324" s="103" t="s">
        <v>603</v>
      </c>
      <c r="P324" s="103">
        <f t="shared" si="19"/>
        <v>311</v>
      </c>
      <c r="Q324" s="103">
        <f t="shared" si="20"/>
        <v>1</v>
      </c>
      <c r="R324" s="103" t="s">
        <v>8</v>
      </c>
      <c r="S324" s="103" t="str">
        <f>_xlfn.IFS(MouserListTable[[#This Row],[Column1]]=FilterSpecs!$A$6, FilterSpecs!$B$6,MouserListTable[[#This Row],[Column1]]=FilterSpecs!$A$7,FilterSpecs!$B$7,MouserListTable[[#This Row],[Column1]]=FilterSpecs!$A$8,FilterSpecs!$B$8,MouserListTable[[#This Row],[Column1]]=FilterSpecs!$A$9,FilterSpecs!$B$9)</f>
        <v>474-</v>
      </c>
      <c r="T32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474-COM-10443</v>
      </c>
      <c r="V324" s="151" t="str">
        <f>IF(MouserListTable[[#This Row],[Qty.]]=0, 0, "")</f>
        <v/>
      </c>
    </row>
    <row r="325" spans="1:22" s="146" customFormat="1" x14ac:dyDescent="0.3">
      <c r="A325" s="103" t="s">
        <v>897</v>
      </c>
      <c r="B325" s="103" t="s">
        <v>891</v>
      </c>
      <c r="C325" s="103" t="s">
        <v>8</v>
      </c>
      <c r="D325" s="103" t="str">
        <f>IF(MouserListTable[[#This Row],[Vendor]]=FilterSpecs!$A$8,MouserListTable[[#This Row],[Mouser SKU]], MouserListTable[[#This Row],[SKU2]])</f>
        <v>COM-10440</v>
      </c>
      <c r="E325" s="104">
        <v>1</v>
      </c>
      <c r="F325" s="104" t="s">
        <v>18921</v>
      </c>
      <c r="G325" s="103" t="s">
        <v>608</v>
      </c>
      <c r="H325" s="103" t="s">
        <v>609</v>
      </c>
      <c r="I325" s="103" t="s">
        <v>610</v>
      </c>
      <c r="J325" s="103"/>
      <c r="K325" s="104">
        <v>1.95</v>
      </c>
      <c r="L325" s="103" t="s">
        <v>1910</v>
      </c>
      <c r="M325" s="103"/>
      <c r="N325" s="104">
        <f t="shared" si="21"/>
        <v>1.95</v>
      </c>
      <c r="O325" s="103" t="s">
        <v>607</v>
      </c>
      <c r="P325" s="103">
        <f t="shared" si="19"/>
        <v>312</v>
      </c>
      <c r="Q325" s="103">
        <f t="shared" si="20"/>
        <v>1</v>
      </c>
      <c r="R325" s="103" t="s">
        <v>8</v>
      </c>
      <c r="S325" s="103" t="str">
        <f>_xlfn.IFS(MouserListTable[[#This Row],[Column1]]=FilterSpecs!$A$6, FilterSpecs!$B$6,MouserListTable[[#This Row],[Column1]]=FilterSpecs!$A$7,FilterSpecs!$B$7,MouserListTable[[#This Row],[Column1]]=FilterSpecs!$A$8,FilterSpecs!$B$8,MouserListTable[[#This Row],[Column1]]=FilterSpecs!$A$9,FilterSpecs!$B$9)</f>
        <v>474-</v>
      </c>
      <c r="T32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474-COM-10440</v>
      </c>
      <c r="V325" s="151" t="str">
        <f>IF(MouserListTable[[#This Row],[Qty.]]=0, 0, "")</f>
        <v/>
      </c>
    </row>
    <row r="326" spans="1:22" s="146" customFormat="1" x14ac:dyDescent="0.3">
      <c r="A326" s="103" t="s">
        <v>897</v>
      </c>
      <c r="B326" s="103" t="s">
        <v>891</v>
      </c>
      <c r="C326" s="103" t="s">
        <v>8</v>
      </c>
      <c r="D326" s="103" t="str">
        <f>IF(MouserListTable[[#This Row],[Vendor]]=FilterSpecs!$A$8,MouserListTable[[#This Row],[Mouser SKU]], MouserListTable[[#This Row],[SKU2]])</f>
        <v>COM-10442</v>
      </c>
      <c r="E326" s="104">
        <v>1</v>
      </c>
      <c r="F326" s="104" t="s">
        <v>18921</v>
      </c>
      <c r="G326" s="103" t="s">
        <v>1299</v>
      </c>
      <c r="H326" s="103" t="s">
        <v>1300</v>
      </c>
      <c r="I326" s="103" t="s">
        <v>1294</v>
      </c>
      <c r="J326" s="103"/>
      <c r="K326" s="104">
        <v>1.95</v>
      </c>
      <c r="L326" s="103" t="s">
        <v>1910</v>
      </c>
      <c r="M326" s="103"/>
      <c r="N326" s="104">
        <f t="shared" si="21"/>
        <v>1.95</v>
      </c>
      <c r="O326" s="103" t="s">
        <v>1293</v>
      </c>
      <c r="P326" s="103">
        <f t="shared" si="19"/>
        <v>313</v>
      </c>
      <c r="Q326" s="103">
        <f t="shared" si="20"/>
        <v>1</v>
      </c>
      <c r="R326" s="103" t="s">
        <v>8</v>
      </c>
      <c r="S326" s="103" t="str">
        <f>_xlfn.IFS(MouserListTable[[#This Row],[Column1]]=FilterSpecs!$A$6, FilterSpecs!$B$6,MouserListTable[[#This Row],[Column1]]=FilterSpecs!$A$7,FilterSpecs!$B$7,MouserListTable[[#This Row],[Column1]]=FilterSpecs!$A$8,FilterSpecs!$B$8,MouserListTable[[#This Row],[Column1]]=FilterSpecs!$A$9,FilterSpecs!$B$9)</f>
        <v>474-</v>
      </c>
      <c r="T32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474-COM-10442</v>
      </c>
      <c r="V326" s="151" t="str">
        <f>IF(MouserListTable[[#This Row],[Qty.]]=0, 0, "")</f>
        <v/>
      </c>
    </row>
    <row r="327" spans="1:22" s="144" customFormat="1" x14ac:dyDescent="0.3">
      <c r="A327" s="126" t="s">
        <v>897</v>
      </c>
      <c r="B327" s="126" t="s">
        <v>891</v>
      </c>
      <c r="C327" s="126" t="s">
        <v>8</v>
      </c>
      <c r="D327" s="103" t="str">
        <f>IF(MouserListTable[[#This Row],[Vendor]]=FilterSpecs!$A$8,MouserListTable[[#This Row],[Mouser SKU]], MouserListTable[[#This Row],[SKU2]])</f>
        <v>COM-10441</v>
      </c>
      <c r="E327" s="104">
        <v>0</v>
      </c>
      <c r="F327" s="104">
        <v>0</v>
      </c>
      <c r="G327" s="103" t="s">
        <v>1710</v>
      </c>
      <c r="H327" s="103" t="s">
        <v>1711</v>
      </c>
      <c r="I327" s="103" t="s">
        <v>1712</v>
      </c>
      <c r="J327" s="103"/>
      <c r="K327" s="104">
        <v>1.95</v>
      </c>
      <c r="L327" s="103" t="s">
        <v>1910</v>
      </c>
      <c r="M327" s="103"/>
      <c r="N327" s="148">
        <f t="shared" si="21"/>
        <v>0</v>
      </c>
      <c r="O327" s="103" t="s">
        <v>1709</v>
      </c>
      <c r="P327" s="103">
        <f t="shared" si="19"/>
        <v>314</v>
      </c>
      <c r="Q327" s="103">
        <f t="shared" si="20"/>
        <v>1</v>
      </c>
      <c r="R327" s="103" t="s">
        <v>8</v>
      </c>
      <c r="S327" s="103" t="str">
        <f>_xlfn.IFS(MouserListTable[[#This Row],[Column1]]=FilterSpecs!$A$6, FilterSpecs!$B$6,MouserListTable[[#This Row],[Column1]]=FilterSpecs!$A$7,FilterSpecs!$B$7,MouserListTable[[#This Row],[Column1]]=FilterSpecs!$A$8,FilterSpecs!$B$8,MouserListTable[[#This Row],[Column1]]=FilterSpecs!$A$9,FilterSpecs!$B$9)</f>
        <v>474-</v>
      </c>
      <c r="T32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474-COM-10441</v>
      </c>
      <c r="V327" s="151">
        <f>IF(MouserListTable[[#This Row],[Qty.]]=0, 0, "")</f>
        <v>0</v>
      </c>
    </row>
    <row r="328" spans="1:22" s="144" customFormat="1" x14ac:dyDescent="0.3">
      <c r="A328" s="103" t="s">
        <v>897</v>
      </c>
      <c r="B328" s="103" t="s">
        <v>891</v>
      </c>
      <c r="C328" s="103" t="s">
        <v>8</v>
      </c>
      <c r="D328" s="103" t="str">
        <f>IF(MouserListTable[[#This Row],[Vendor]]=FilterSpecs!$A$8,MouserListTable[[#This Row],[Mouser SKU]], MouserListTable[[#This Row],[SKU2]])</f>
        <v>COM-10439</v>
      </c>
      <c r="E328" s="104">
        <v>1</v>
      </c>
      <c r="F328" s="104" t="s">
        <v>18921</v>
      </c>
      <c r="G328" s="103" t="s">
        <v>1714</v>
      </c>
      <c r="H328" s="103" t="s">
        <v>1715</v>
      </c>
      <c r="I328" s="103" t="s">
        <v>1716</v>
      </c>
      <c r="J328" s="103"/>
      <c r="K328" s="104">
        <v>1.95</v>
      </c>
      <c r="L328" s="103" t="s">
        <v>1910</v>
      </c>
      <c r="M328" s="103"/>
      <c r="N328" s="104">
        <f t="shared" si="21"/>
        <v>1.95</v>
      </c>
      <c r="O328" s="103" t="s">
        <v>1713</v>
      </c>
      <c r="P328" s="103">
        <f t="shared" si="19"/>
        <v>315</v>
      </c>
      <c r="Q328" s="103">
        <f t="shared" si="20"/>
        <v>1</v>
      </c>
      <c r="R328" s="103" t="s">
        <v>8</v>
      </c>
      <c r="S328" s="103" t="str">
        <f>_xlfn.IFS(MouserListTable[[#This Row],[Column1]]=FilterSpecs!$A$6, FilterSpecs!$B$6,MouserListTable[[#This Row],[Column1]]=FilterSpecs!$A$7,FilterSpecs!$B$7,MouserListTable[[#This Row],[Column1]]=FilterSpecs!$A$8,FilterSpecs!$B$8,MouserListTable[[#This Row],[Column1]]=FilterSpecs!$A$9,FilterSpecs!$B$9)</f>
        <v>474-</v>
      </c>
      <c r="T32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474-COM-10439</v>
      </c>
      <c r="V328" s="151" t="str">
        <f>IF(MouserListTable[[#This Row],[Qty.]]=0, 0, "")</f>
        <v/>
      </c>
    </row>
    <row r="329" spans="1:22" s="144" customFormat="1" x14ac:dyDescent="0.3">
      <c r="A329" s="103" t="s">
        <v>897</v>
      </c>
      <c r="B329" s="103" t="s">
        <v>891</v>
      </c>
      <c r="C329" s="103" t="s">
        <v>1898</v>
      </c>
      <c r="D329" s="103" t="str">
        <f>IF(MouserListTable[[#This Row],[Vendor]]=FilterSpecs!$A$8,MouserListTable[[#This Row],[Mouser SKU]], MouserListTable[[#This Row],[SKU2]])</f>
        <v>1119</v>
      </c>
      <c r="E329" s="104">
        <v>0</v>
      </c>
      <c r="F329" s="104">
        <v>0</v>
      </c>
      <c r="G329" s="103"/>
      <c r="H329" s="103"/>
      <c r="I329" s="126" t="s">
        <v>2137</v>
      </c>
      <c r="J329" s="146"/>
      <c r="K329" s="148">
        <v>2.5</v>
      </c>
      <c r="L329" s="126" t="s">
        <v>1910</v>
      </c>
      <c r="M329" s="146"/>
      <c r="N329" s="148"/>
      <c r="O329" s="103" t="s">
        <v>2136</v>
      </c>
      <c r="P329" s="103">
        <f t="shared" si="19"/>
        <v>316</v>
      </c>
      <c r="Q329" s="103">
        <f t="shared" si="20"/>
        <v>1</v>
      </c>
      <c r="R329" s="103" t="s">
        <v>1898</v>
      </c>
      <c r="S329" s="103" t="str">
        <f>_xlfn.IFS(MouserListTable[[#This Row],[Column1]]=FilterSpecs!$A$6, FilterSpecs!$B$6,MouserListTable[[#This Row],[Column1]]=FilterSpecs!$A$7,FilterSpecs!$B$7,MouserListTable[[#This Row],[Column1]]=FilterSpecs!$A$8,FilterSpecs!$B$8,MouserListTable[[#This Row],[Column1]]=FilterSpecs!$A$9,FilterSpecs!$B$9)</f>
        <v>485-</v>
      </c>
      <c r="T32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485-1119</v>
      </c>
      <c r="V329" s="151">
        <f>IF(MouserListTable[[#This Row],[Qty.]]=0, 0, "")</f>
        <v>0</v>
      </c>
    </row>
    <row r="330" spans="1:22" s="144" customFormat="1" x14ac:dyDescent="0.3">
      <c r="A330" s="103" t="s">
        <v>897</v>
      </c>
      <c r="B330" s="103" t="s">
        <v>891</v>
      </c>
      <c r="C330" s="103" t="s">
        <v>8</v>
      </c>
      <c r="D330" s="103" t="str">
        <f>IF(MouserListTable[[#This Row],[Vendor]]=FilterSpecs!$A$8,MouserListTable[[#This Row],[Mouser SKU]], MouserListTable[[#This Row],[SKU2]])</f>
        <v>COM-00097</v>
      </c>
      <c r="E330" s="104">
        <v>2</v>
      </c>
      <c r="F330" s="104" t="s">
        <v>18921</v>
      </c>
      <c r="G330" s="103" t="s">
        <v>616</v>
      </c>
      <c r="H330" s="103" t="s">
        <v>617</v>
      </c>
      <c r="I330" s="103" t="s">
        <v>618</v>
      </c>
      <c r="J330" s="103">
        <v>1</v>
      </c>
      <c r="K330" s="104">
        <v>0.35</v>
      </c>
      <c r="L330" s="103" t="s">
        <v>1910</v>
      </c>
      <c r="M330" s="103"/>
      <c r="N330" s="104">
        <f>E330*K330</f>
        <v>0.7</v>
      </c>
      <c r="O330" s="103" t="s">
        <v>615</v>
      </c>
      <c r="P330" s="103">
        <f t="shared" si="19"/>
        <v>317</v>
      </c>
      <c r="Q330" s="103">
        <f t="shared" si="20"/>
        <v>1</v>
      </c>
      <c r="R330" s="103" t="s">
        <v>8</v>
      </c>
      <c r="S330" s="103" t="str">
        <f>_xlfn.IFS(MouserListTable[[#This Row],[Column1]]=FilterSpecs!$A$6, FilterSpecs!$B$6,MouserListTable[[#This Row],[Column1]]=FilterSpecs!$A$7,FilterSpecs!$B$7,MouserListTable[[#This Row],[Column1]]=FilterSpecs!$A$8,FilterSpecs!$B$8,MouserListTable[[#This Row],[Column1]]=FilterSpecs!$A$9,FilterSpecs!$B$9)</f>
        <v>474-</v>
      </c>
      <c r="T33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474-COM-00097</v>
      </c>
      <c r="V330" s="151" t="str">
        <f>IF(MouserListTable[[#This Row],[Qty.]]=0, 0, "")</f>
        <v/>
      </c>
    </row>
    <row r="331" spans="1:22" s="144" customFormat="1" x14ac:dyDescent="0.3">
      <c r="A331" s="103" t="s">
        <v>897</v>
      </c>
      <c r="B331" s="103" t="s">
        <v>891</v>
      </c>
      <c r="C331" s="103" t="s">
        <v>8</v>
      </c>
      <c r="D331" s="103" t="str">
        <f>IF(MouserListTable[[#This Row],[Vendor]]=FilterSpecs!$A$8,MouserListTable[[#This Row],[Mouser SKU]], MouserListTable[[#This Row],[SKU2]])</f>
        <v>COM-08605</v>
      </c>
      <c r="E331" s="104">
        <v>2</v>
      </c>
      <c r="F331" s="104" t="s">
        <v>18921</v>
      </c>
      <c r="G331" s="103" t="s">
        <v>628</v>
      </c>
      <c r="H331" s="103" t="s">
        <v>629</v>
      </c>
      <c r="I331" s="103" t="s">
        <v>630</v>
      </c>
      <c r="J331" s="103">
        <v>1</v>
      </c>
      <c r="K331" s="104">
        <v>0.5</v>
      </c>
      <c r="L331" s="103" t="s">
        <v>1910</v>
      </c>
      <c r="M331" s="103"/>
      <c r="N331" s="104">
        <f>E331*K331</f>
        <v>1</v>
      </c>
      <c r="O331" s="103" t="s">
        <v>627</v>
      </c>
      <c r="P331" s="103">
        <f t="shared" si="19"/>
        <v>318</v>
      </c>
      <c r="Q331" s="103">
        <f t="shared" si="20"/>
        <v>1</v>
      </c>
      <c r="R331" s="103" t="s">
        <v>8</v>
      </c>
      <c r="S331" s="103" t="str">
        <f>_xlfn.IFS(MouserListTable[[#This Row],[Column1]]=FilterSpecs!$A$6, FilterSpecs!$B$6,MouserListTable[[#This Row],[Column1]]=FilterSpecs!$A$7,FilterSpecs!$B$7,MouserListTable[[#This Row],[Column1]]=FilterSpecs!$A$8,FilterSpecs!$B$8,MouserListTable[[#This Row],[Column1]]=FilterSpecs!$A$9,FilterSpecs!$B$9)</f>
        <v>474-</v>
      </c>
      <c r="T33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474-COM-08605</v>
      </c>
      <c r="V331" s="151" t="str">
        <f>IF(MouserListTable[[#This Row],[Qty.]]=0, 0, "")</f>
        <v/>
      </c>
    </row>
    <row r="332" spans="1:22" s="144" customFormat="1" x14ac:dyDescent="0.3">
      <c r="A332" s="103" t="s">
        <v>897</v>
      </c>
      <c r="B332" s="103" t="s">
        <v>891</v>
      </c>
      <c r="C332" s="103" t="s">
        <v>8</v>
      </c>
      <c r="D332" s="103" t="str">
        <f>IF(MouserListTable[[#This Row],[Vendor]]=FilterSpecs!$A$8,MouserListTable[[#This Row],[Mouser SKU]], MouserListTable[[#This Row],[SKU2]])</f>
        <v>COM-09190</v>
      </c>
      <c r="E332" s="104">
        <v>2</v>
      </c>
      <c r="F332" s="104" t="s">
        <v>18921</v>
      </c>
      <c r="G332" s="103" t="s">
        <v>624</v>
      </c>
      <c r="H332" s="103" t="s">
        <v>625</v>
      </c>
      <c r="I332" s="103" t="s">
        <v>626</v>
      </c>
      <c r="J332" s="103">
        <v>1</v>
      </c>
      <c r="K332" s="104">
        <v>0.5</v>
      </c>
      <c r="L332" s="103" t="s">
        <v>1910</v>
      </c>
      <c r="M332" s="103"/>
      <c r="N332" s="104">
        <f>E332*K332</f>
        <v>1</v>
      </c>
      <c r="O332" s="103" t="s">
        <v>623</v>
      </c>
      <c r="P332" s="103">
        <f t="shared" si="19"/>
        <v>319</v>
      </c>
      <c r="Q332" s="103">
        <f t="shared" si="20"/>
        <v>1</v>
      </c>
      <c r="R332" s="103" t="s">
        <v>8</v>
      </c>
      <c r="S332" s="103" t="str">
        <f>_xlfn.IFS(MouserListTable[[#This Row],[Column1]]=FilterSpecs!$A$6, FilterSpecs!$B$6,MouserListTable[[#This Row],[Column1]]=FilterSpecs!$A$7,FilterSpecs!$B$7,MouserListTable[[#This Row],[Column1]]=FilterSpecs!$A$8,FilterSpecs!$B$8,MouserListTable[[#This Row],[Column1]]=FilterSpecs!$A$9,FilterSpecs!$B$9)</f>
        <v>474-</v>
      </c>
      <c r="T33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474-COM-09190</v>
      </c>
      <c r="V332" s="151" t="str">
        <f>IF(MouserListTable[[#This Row],[Qty.]]=0, 0, "")</f>
        <v/>
      </c>
    </row>
    <row r="333" spans="1:22" s="144" customFormat="1" x14ac:dyDescent="0.3">
      <c r="A333" s="103" t="s">
        <v>897</v>
      </c>
      <c r="B333" s="103" t="s">
        <v>891</v>
      </c>
      <c r="C333" s="103" t="s">
        <v>1898</v>
      </c>
      <c r="D333" s="103" t="str">
        <f>IF(MouserListTable[[#This Row],[Vendor]]=FilterSpecs!$A$8,MouserListTable[[#This Row],[Mouser SKU]], MouserListTable[[#This Row],[SKU2]])</f>
        <v>3105</v>
      </c>
      <c r="E333" s="104">
        <v>0</v>
      </c>
      <c r="F333" s="104">
        <v>0</v>
      </c>
      <c r="G333" s="103"/>
      <c r="H333" s="103"/>
      <c r="I333" s="126" t="s">
        <v>2125</v>
      </c>
      <c r="J333" s="146"/>
      <c r="K333" s="148">
        <v>1.95</v>
      </c>
      <c r="L333" s="126" t="s">
        <v>1910</v>
      </c>
      <c r="M333" s="146"/>
      <c r="N333" s="148"/>
      <c r="O333" s="103" t="s">
        <v>2124</v>
      </c>
      <c r="P333" s="103">
        <f t="shared" si="19"/>
        <v>320</v>
      </c>
      <c r="Q333" s="103">
        <f t="shared" si="20"/>
        <v>1</v>
      </c>
      <c r="R333" s="103" t="s">
        <v>1898</v>
      </c>
      <c r="S333" s="103" t="str">
        <f>_xlfn.IFS(MouserListTable[[#This Row],[Column1]]=FilterSpecs!$A$6, FilterSpecs!$B$6,MouserListTable[[#This Row],[Column1]]=FilterSpecs!$A$7,FilterSpecs!$B$7,MouserListTable[[#This Row],[Column1]]=FilterSpecs!$A$8,FilterSpecs!$B$8,MouserListTable[[#This Row],[Column1]]=FilterSpecs!$A$9,FilterSpecs!$B$9)</f>
        <v>485-</v>
      </c>
      <c r="T33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485-3105</v>
      </c>
      <c r="V333" s="151">
        <f>IF(MouserListTable[[#This Row],[Qty.]]=0, 0, "")</f>
        <v>0</v>
      </c>
    </row>
    <row r="334" spans="1:22" s="146" customFormat="1" x14ac:dyDescent="0.3">
      <c r="A334" s="103" t="s">
        <v>897</v>
      </c>
      <c r="B334" s="103" t="s">
        <v>891</v>
      </c>
      <c r="C334" s="103" t="s">
        <v>1898</v>
      </c>
      <c r="D334" s="103" t="str">
        <f>IF(MouserListTable[[#This Row],[Vendor]]=FilterSpecs!$A$8,MouserListTable[[#This Row],[Mouser SKU]], MouserListTable[[#This Row],[SKU2]])</f>
        <v>3104</v>
      </c>
      <c r="E334" s="104">
        <v>0</v>
      </c>
      <c r="F334" s="104">
        <v>0</v>
      </c>
      <c r="G334" s="103"/>
      <c r="H334" s="103"/>
      <c r="I334" s="126" t="s">
        <v>2127</v>
      </c>
      <c r="K334" s="148">
        <v>1.95</v>
      </c>
      <c r="L334" s="126" t="s">
        <v>1910</v>
      </c>
      <c r="N334" s="148"/>
      <c r="O334" s="103" t="s">
        <v>2126</v>
      </c>
      <c r="P334" s="103">
        <f t="shared" si="19"/>
        <v>321</v>
      </c>
      <c r="Q334" s="103">
        <f t="shared" si="20"/>
        <v>1</v>
      </c>
      <c r="R334" s="103" t="s">
        <v>1898</v>
      </c>
      <c r="S334" s="103" t="str">
        <f>_xlfn.IFS(MouserListTable[[#This Row],[Column1]]=FilterSpecs!$A$6, FilterSpecs!$B$6,MouserListTable[[#This Row],[Column1]]=FilterSpecs!$A$7,FilterSpecs!$B$7,MouserListTable[[#This Row],[Column1]]=FilterSpecs!$A$8,FilterSpecs!$B$8,MouserListTable[[#This Row],[Column1]]=FilterSpecs!$A$9,FilterSpecs!$B$9)</f>
        <v>485-</v>
      </c>
      <c r="T33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485-3104</v>
      </c>
      <c r="V334" s="151">
        <f>IF(MouserListTable[[#This Row],[Qty.]]=0, 0, "")</f>
        <v>0</v>
      </c>
    </row>
    <row r="335" spans="1:22" s="146" customFormat="1" x14ac:dyDescent="0.3">
      <c r="A335" s="103" t="s">
        <v>897</v>
      </c>
      <c r="B335" s="103" t="s">
        <v>891</v>
      </c>
      <c r="C335" s="103" t="s">
        <v>8</v>
      </c>
      <c r="D335" s="103" t="str">
        <f>IF(MouserListTable[[#This Row],[Vendor]]=FilterSpecs!$A$8,MouserListTable[[#This Row],[Mouser SKU]], MouserListTable[[#This Row],[SKU2]])</f>
        <v>COM-10791</v>
      </c>
      <c r="E335" s="104">
        <f>FilterSpecs!$C$3</f>
        <v>5</v>
      </c>
      <c r="F335" s="104" t="s">
        <v>18921</v>
      </c>
      <c r="G335" s="103" t="s">
        <v>620</v>
      </c>
      <c r="H335" s="103" t="s">
        <v>621</v>
      </c>
      <c r="I335" s="103" t="s">
        <v>622</v>
      </c>
      <c r="J335" s="103">
        <v>1</v>
      </c>
      <c r="K335" s="104">
        <v>0.5</v>
      </c>
      <c r="L335" s="103" t="s">
        <v>1911</v>
      </c>
      <c r="M335" s="103"/>
      <c r="N335" s="104">
        <f t="shared" ref="N335:N343" si="22">E335*K335</f>
        <v>2.5</v>
      </c>
      <c r="O335" s="103" t="s">
        <v>619</v>
      </c>
      <c r="P335" s="103">
        <f t="shared" si="19"/>
        <v>322</v>
      </c>
      <c r="Q335" s="103">
        <f t="shared" si="20"/>
        <v>1</v>
      </c>
      <c r="R335" s="103" t="s">
        <v>8</v>
      </c>
      <c r="S335" s="103" t="str">
        <f>_xlfn.IFS(MouserListTable[[#This Row],[Column1]]=FilterSpecs!$A$6, FilterSpecs!$B$6,MouserListTable[[#This Row],[Column1]]=FilterSpecs!$A$7,FilterSpecs!$B$7,MouserListTable[[#This Row],[Column1]]=FilterSpecs!$A$8,FilterSpecs!$B$8,MouserListTable[[#This Row],[Column1]]=FilterSpecs!$A$9,FilterSpecs!$B$9)</f>
        <v>474-</v>
      </c>
      <c r="T33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474-COM-10791</v>
      </c>
      <c r="V335" s="151" t="str">
        <f>IF(MouserListTable[[#This Row],[Qty.]]=0, 0, "")</f>
        <v/>
      </c>
    </row>
    <row r="336" spans="1:22" s="146" customFormat="1" x14ac:dyDescent="0.3">
      <c r="A336" s="103" t="s">
        <v>897</v>
      </c>
      <c r="B336" s="103" t="s">
        <v>891</v>
      </c>
      <c r="C336" s="103" t="s">
        <v>8</v>
      </c>
      <c r="D336" s="103" t="str">
        <f>IF(MouserListTable[[#This Row],[Vendor]]=FilterSpecs!$A$8,MouserListTable[[#This Row],[Mouser SKU]], MouserListTable[[#This Row],[SKU2]])</f>
        <v>COM-08837</v>
      </c>
      <c r="E336" s="104">
        <f>FilterSpecs!$C$3+2</f>
        <v>7</v>
      </c>
      <c r="F336" s="104" t="s">
        <v>18921</v>
      </c>
      <c r="G336" s="103" t="s">
        <v>532</v>
      </c>
      <c r="H336" s="103" t="s">
        <v>533</v>
      </c>
      <c r="I336" s="103" t="s">
        <v>534</v>
      </c>
      <c r="J336" s="103">
        <v>1</v>
      </c>
      <c r="K336" s="104">
        <v>0.95</v>
      </c>
      <c r="L336" s="106" t="s">
        <v>1911</v>
      </c>
      <c r="M336" s="103"/>
      <c r="N336" s="104">
        <f t="shared" si="22"/>
        <v>6.6499999999999995</v>
      </c>
      <c r="O336" s="103" t="s">
        <v>531</v>
      </c>
      <c r="P336" s="103">
        <f t="shared" ref="P336:P399" si="23">IF($P335="List #",1,$P335+1)</f>
        <v>323</v>
      </c>
      <c r="Q336" s="103">
        <f t="shared" ref="Q336:Q399" si="24">IF($D336=$O336,1,0)</f>
        <v>1</v>
      </c>
      <c r="R336" s="103" t="s">
        <v>8</v>
      </c>
      <c r="S336" s="103" t="str">
        <f>_xlfn.IFS(MouserListTable[[#This Row],[Column1]]=FilterSpecs!$A$6, FilterSpecs!$B$6,MouserListTable[[#This Row],[Column1]]=FilterSpecs!$A$7,FilterSpecs!$B$7,MouserListTable[[#This Row],[Column1]]=FilterSpecs!$A$8,FilterSpecs!$B$8,MouserListTable[[#This Row],[Column1]]=FilterSpecs!$A$9,FilterSpecs!$B$9)</f>
        <v>474-</v>
      </c>
      <c r="T33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474-COM-08837</v>
      </c>
      <c r="V336" s="151" t="str">
        <f>IF(MouserListTable[[#This Row],[Qty.]]=0, 0, "")</f>
        <v/>
      </c>
    </row>
    <row r="337" spans="1:22" s="146" customFormat="1" x14ac:dyDescent="0.3">
      <c r="A337" s="103" t="s">
        <v>897</v>
      </c>
      <c r="B337" s="103" t="s">
        <v>891</v>
      </c>
      <c r="C337" s="103" t="s">
        <v>8</v>
      </c>
      <c r="D337" s="103" t="str">
        <f>IF(MouserListTable[[#This Row],[Vendor]]=FilterSpecs!$A$8,MouserListTable[[#This Row],[Mouser SKU]], MouserListTable[[#This Row],[SKU2]])</f>
        <v>COM-00102</v>
      </c>
      <c r="E337" s="104">
        <v>2</v>
      </c>
      <c r="F337" s="104" t="s">
        <v>18921</v>
      </c>
      <c r="G337" s="103" t="s">
        <v>632</v>
      </c>
      <c r="H337" s="103" t="s">
        <v>633</v>
      </c>
      <c r="I337" s="103" t="s">
        <v>634</v>
      </c>
      <c r="J337" s="103">
        <v>1</v>
      </c>
      <c r="K337" s="104">
        <v>1.5</v>
      </c>
      <c r="L337" s="103" t="s">
        <v>1910</v>
      </c>
      <c r="M337" s="103"/>
      <c r="N337" s="104">
        <f t="shared" si="22"/>
        <v>3</v>
      </c>
      <c r="O337" s="103" t="s">
        <v>631</v>
      </c>
      <c r="P337" s="103">
        <f t="shared" si="23"/>
        <v>324</v>
      </c>
      <c r="Q337" s="103">
        <f t="shared" si="24"/>
        <v>1</v>
      </c>
      <c r="R337" s="103" t="s">
        <v>8</v>
      </c>
      <c r="S337" s="103" t="str">
        <f>_xlfn.IFS(MouserListTable[[#This Row],[Column1]]=FilterSpecs!$A$6, FilterSpecs!$B$6,MouserListTable[[#This Row],[Column1]]=FilterSpecs!$A$7,FilterSpecs!$B$7,MouserListTable[[#This Row],[Column1]]=FilterSpecs!$A$8,FilterSpecs!$B$8,MouserListTable[[#This Row],[Column1]]=FilterSpecs!$A$9,FilterSpecs!$B$9)</f>
        <v>474-</v>
      </c>
      <c r="T33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474-COM-00102</v>
      </c>
      <c r="V337" s="151" t="str">
        <f>IF(MouserListTable[[#This Row],[Qty.]]=0, 0, "")</f>
        <v/>
      </c>
    </row>
    <row r="338" spans="1:22" s="146" customFormat="1" x14ac:dyDescent="0.3">
      <c r="A338" s="103" t="s">
        <v>897</v>
      </c>
      <c r="B338" s="103" t="s">
        <v>891</v>
      </c>
      <c r="C338" s="103" t="s">
        <v>8</v>
      </c>
      <c r="D338" s="103" t="str">
        <f>IF(MouserListTable[[#This Row],[Vendor]]=FilterSpecs!$A$8,MouserListTable[[#This Row],[Mouser SKU]], MouserListTable[[#This Row],[SKU2]])</f>
        <v>COM-09609</v>
      </c>
      <c r="E338" s="104">
        <f>FilterSpecs!$C$3</f>
        <v>5</v>
      </c>
      <c r="F338" s="104" t="s">
        <v>18921</v>
      </c>
      <c r="G338" s="103" t="s">
        <v>1335</v>
      </c>
      <c r="H338" s="103" t="s">
        <v>1336</v>
      </c>
      <c r="I338" s="103" t="s">
        <v>1337</v>
      </c>
      <c r="J338" s="103">
        <v>1</v>
      </c>
      <c r="K338" s="104">
        <v>0.75</v>
      </c>
      <c r="L338" s="103" t="s">
        <v>1911</v>
      </c>
      <c r="M338" s="103"/>
      <c r="N338" s="104">
        <f t="shared" si="22"/>
        <v>3.75</v>
      </c>
      <c r="O338" s="103" t="s">
        <v>1334</v>
      </c>
      <c r="P338" s="103">
        <f t="shared" si="23"/>
        <v>325</v>
      </c>
      <c r="Q338" s="103">
        <f t="shared" si="24"/>
        <v>1</v>
      </c>
      <c r="R338" s="103" t="s">
        <v>8</v>
      </c>
      <c r="S338" s="103" t="str">
        <f>_xlfn.IFS(MouserListTable[[#This Row],[Column1]]=FilterSpecs!$A$6, FilterSpecs!$B$6,MouserListTable[[#This Row],[Column1]]=FilterSpecs!$A$7,FilterSpecs!$B$7,MouserListTable[[#This Row],[Column1]]=FilterSpecs!$A$8,FilterSpecs!$B$8,MouserListTable[[#This Row],[Column1]]=FilterSpecs!$A$9,FilterSpecs!$B$9)</f>
        <v>474-</v>
      </c>
      <c r="T33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474-COM-09609</v>
      </c>
      <c r="V338" s="151" t="str">
        <f>IF(MouserListTable[[#This Row],[Qty.]]=0, 0, "")</f>
        <v/>
      </c>
    </row>
    <row r="339" spans="1:22" s="144" customFormat="1" x14ac:dyDescent="0.3">
      <c r="A339" s="103" t="s">
        <v>897</v>
      </c>
      <c r="B339" s="103" t="s">
        <v>891</v>
      </c>
      <c r="C339" s="103" t="s">
        <v>8</v>
      </c>
      <c r="D339" s="103" t="str">
        <f>IF(MouserListTable[[#This Row],[Vendor]]=FilterSpecs!$A$8,MouserListTable[[#This Row],[Mouser SKU]], MouserListTable[[#This Row],[SKU2]])</f>
        <v>COM-13834</v>
      </c>
      <c r="E339" s="104">
        <v>1</v>
      </c>
      <c r="F339" s="104" t="s">
        <v>18921</v>
      </c>
      <c r="G339" s="103" t="s">
        <v>1678</v>
      </c>
      <c r="H339" s="103" t="s">
        <v>1679</v>
      </c>
      <c r="I339" s="103" t="s">
        <v>1680</v>
      </c>
      <c r="J339" s="103">
        <v>1</v>
      </c>
      <c r="K339" s="104">
        <v>0.95</v>
      </c>
      <c r="L339" s="103" t="s">
        <v>1910</v>
      </c>
      <c r="M339" s="103"/>
      <c r="N339" s="104">
        <f t="shared" si="22"/>
        <v>0.95</v>
      </c>
      <c r="O339" s="103" t="s">
        <v>1677</v>
      </c>
      <c r="P339" s="103">
        <f t="shared" si="23"/>
        <v>326</v>
      </c>
      <c r="Q339" s="103">
        <f t="shared" si="24"/>
        <v>1</v>
      </c>
      <c r="R339" s="103" t="s">
        <v>8</v>
      </c>
      <c r="S339" s="103" t="str">
        <f>_xlfn.IFS(MouserListTable[[#This Row],[Column1]]=FilterSpecs!$A$6, FilterSpecs!$B$6,MouserListTable[[#This Row],[Column1]]=FilterSpecs!$A$7,FilterSpecs!$B$7,MouserListTable[[#This Row],[Column1]]=FilterSpecs!$A$8,FilterSpecs!$B$8,MouserListTable[[#This Row],[Column1]]=FilterSpecs!$A$9,FilterSpecs!$B$9)</f>
        <v>474-</v>
      </c>
      <c r="T33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474-COM-13834</v>
      </c>
      <c r="V339" s="151" t="str">
        <f>IF(MouserListTable[[#This Row],[Qty.]]=0, 0, "")</f>
        <v/>
      </c>
    </row>
    <row r="340" spans="1:22" s="144" customFormat="1" x14ac:dyDescent="0.3">
      <c r="A340" s="103" t="s">
        <v>897</v>
      </c>
      <c r="B340" s="103" t="s">
        <v>891</v>
      </c>
      <c r="C340" s="103" t="s">
        <v>8</v>
      </c>
      <c r="D340" s="103" t="str">
        <f>IF(MouserListTable[[#This Row],[Vendor]]=FilterSpecs!$A$8,MouserListTable[[#This Row],[Mouser SKU]], MouserListTable[[#This Row],[SKU2]])</f>
        <v>COM-10063</v>
      </c>
      <c r="E340" s="104">
        <v>1</v>
      </c>
      <c r="F340" s="104" t="s">
        <v>18921</v>
      </c>
      <c r="G340" s="103" t="s">
        <v>1694</v>
      </c>
      <c r="H340" s="103" t="s">
        <v>1695</v>
      </c>
      <c r="I340" s="103" t="s">
        <v>1696</v>
      </c>
      <c r="J340" s="103">
        <v>1</v>
      </c>
      <c r="K340" s="104">
        <v>1.95</v>
      </c>
      <c r="L340" s="103" t="s">
        <v>1910</v>
      </c>
      <c r="M340" s="103"/>
      <c r="N340" s="104">
        <f t="shared" si="22"/>
        <v>1.95</v>
      </c>
      <c r="O340" s="103" t="s">
        <v>1693</v>
      </c>
      <c r="P340" s="103">
        <f t="shared" si="23"/>
        <v>327</v>
      </c>
      <c r="Q340" s="103">
        <f t="shared" si="24"/>
        <v>1</v>
      </c>
      <c r="R340" s="103" t="s">
        <v>8</v>
      </c>
      <c r="S340" s="103" t="str">
        <f>_xlfn.IFS(MouserListTable[[#This Row],[Column1]]=FilterSpecs!$A$6, FilterSpecs!$B$6,MouserListTable[[#This Row],[Column1]]=FilterSpecs!$A$7,FilterSpecs!$B$7,MouserListTable[[#This Row],[Column1]]=FilterSpecs!$A$8,FilterSpecs!$B$8,MouserListTable[[#This Row],[Column1]]=FilterSpecs!$A$9,FilterSpecs!$B$9)</f>
        <v>474-</v>
      </c>
      <c r="T34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474-COM-10063</v>
      </c>
      <c r="V340" s="151" t="str">
        <f>IF(MouserListTable[[#This Row],[Qty.]]=0, 0, "")</f>
        <v/>
      </c>
    </row>
    <row r="341" spans="1:22" s="144" customFormat="1" x14ac:dyDescent="0.3">
      <c r="A341" s="103" t="s">
        <v>897</v>
      </c>
      <c r="B341" s="103" t="s">
        <v>891</v>
      </c>
      <c r="C341" s="103" t="s">
        <v>8</v>
      </c>
      <c r="D341" s="103" t="str">
        <f>IF(MouserListTable[[#This Row],[Vendor]]=FilterSpecs!$A$8,MouserListTable[[#This Row],[Mouser SKU]], MouserListTable[[#This Row],[SKU2]])</f>
        <v>COM-09426</v>
      </c>
      <c r="E341" s="104">
        <v>1</v>
      </c>
      <c r="F341" s="104" t="s">
        <v>18921</v>
      </c>
      <c r="G341" s="103" t="s">
        <v>1690</v>
      </c>
      <c r="H341" s="103" t="s">
        <v>1691</v>
      </c>
      <c r="I341" s="103" t="s">
        <v>1692</v>
      </c>
      <c r="J341" s="103">
        <v>1</v>
      </c>
      <c r="K341" s="104">
        <v>3.5</v>
      </c>
      <c r="L341" s="103" t="s">
        <v>1910</v>
      </c>
      <c r="M341" s="103"/>
      <c r="N341" s="104">
        <f t="shared" si="22"/>
        <v>3.5</v>
      </c>
      <c r="O341" s="103" t="s">
        <v>1689</v>
      </c>
      <c r="P341" s="103">
        <f t="shared" si="23"/>
        <v>328</v>
      </c>
      <c r="Q341" s="103">
        <f t="shared" si="24"/>
        <v>1</v>
      </c>
      <c r="R341" s="103" t="s">
        <v>8</v>
      </c>
      <c r="S341" s="103" t="str">
        <f>_xlfn.IFS(MouserListTable[[#This Row],[Column1]]=FilterSpecs!$A$6, FilterSpecs!$B$6,MouserListTable[[#This Row],[Column1]]=FilterSpecs!$A$7,FilterSpecs!$B$7,MouserListTable[[#This Row],[Column1]]=FilterSpecs!$A$8,FilterSpecs!$B$8,MouserListTable[[#This Row],[Column1]]=FilterSpecs!$A$9,FilterSpecs!$B$9)</f>
        <v>474-</v>
      </c>
      <c r="T34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474-COM-09426</v>
      </c>
      <c r="V341" s="151" t="str">
        <f>IF(MouserListTable[[#This Row],[Qty.]]=0, 0, "")</f>
        <v/>
      </c>
    </row>
    <row r="342" spans="1:22" s="146" customFormat="1" x14ac:dyDescent="0.3">
      <c r="A342" s="103" t="s">
        <v>897</v>
      </c>
      <c r="B342" s="103" t="s">
        <v>891</v>
      </c>
      <c r="C342" s="103" t="s">
        <v>8</v>
      </c>
      <c r="D342" s="103" t="str">
        <f>IF(MouserListTable[[#This Row],[Vendor]]=FilterSpecs!$A$8,MouserListTable[[#This Row],[Mouser SKU]], MouserListTable[[#This Row],[SKU2]])</f>
        <v>COM-10002</v>
      </c>
      <c r="E342" s="103">
        <v>3</v>
      </c>
      <c r="F342" s="103" t="s">
        <v>18921</v>
      </c>
      <c r="G342" s="103" t="s">
        <v>732</v>
      </c>
      <c r="H342" s="103" t="s">
        <v>733</v>
      </c>
      <c r="I342" s="103" t="s">
        <v>734</v>
      </c>
      <c r="J342" s="103"/>
      <c r="K342" s="104">
        <v>1.5</v>
      </c>
      <c r="L342" s="103" t="s">
        <v>1910</v>
      </c>
      <c r="M342" s="106"/>
      <c r="N342" s="104">
        <f t="shared" si="22"/>
        <v>4.5</v>
      </c>
      <c r="O342" s="106" t="s">
        <v>731</v>
      </c>
      <c r="P342" s="103">
        <f t="shared" si="23"/>
        <v>329</v>
      </c>
      <c r="Q342" s="103">
        <f t="shared" si="24"/>
        <v>1</v>
      </c>
      <c r="R342" s="103" t="s">
        <v>8</v>
      </c>
      <c r="S342" s="103" t="str">
        <f>_xlfn.IFS(MouserListTable[[#This Row],[Column1]]=FilterSpecs!$A$6, FilterSpecs!$B$6,MouserListTable[[#This Row],[Column1]]=FilterSpecs!$A$7,FilterSpecs!$B$7,MouserListTable[[#This Row],[Column1]]=FilterSpecs!$A$8,FilterSpecs!$B$8,MouserListTable[[#This Row],[Column1]]=FilterSpecs!$A$9,FilterSpecs!$B$9)</f>
        <v>474-</v>
      </c>
      <c r="T34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474-COM-10002</v>
      </c>
      <c r="V342" s="151" t="str">
        <f>IF(MouserListTable[[#This Row],[Qty.]]=0, 0, "")</f>
        <v/>
      </c>
    </row>
    <row r="343" spans="1:22" s="146" customFormat="1" x14ac:dyDescent="0.3">
      <c r="A343" s="103" t="s">
        <v>897</v>
      </c>
      <c r="B343" s="103" t="s">
        <v>891</v>
      </c>
      <c r="C343" s="126" t="s">
        <v>8</v>
      </c>
      <c r="D343" s="103" t="str">
        <f>IF(MouserListTable[[#This Row],[Vendor]]=FilterSpecs!$A$8,MouserListTable[[#This Row],[Mouser SKU]], MouserListTable[[#This Row],[SKU2]])</f>
        <v>COM-10001</v>
      </c>
      <c r="E343" s="103">
        <v>0</v>
      </c>
      <c r="F343" s="103">
        <v>0</v>
      </c>
      <c r="G343" s="103" t="s">
        <v>732</v>
      </c>
      <c r="H343" s="103" t="s">
        <v>733</v>
      </c>
      <c r="I343" s="103" t="s">
        <v>1667</v>
      </c>
      <c r="J343" s="103"/>
      <c r="K343" s="104">
        <v>1.5</v>
      </c>
      <c r="L343" s="103" t="s">
        <v>1910</v>
      </c>
      <c r="N343" s="148">
        <f t="shared" si="22"/>
        <v>0</v>
      </c>
      <c r="O343" s="106" t="s">
        <v>1668</v>
      </c>
      <c r="P343" s="103">
        <f t="shared" si="23"/>
        <v>330</v>
      </c>
      <c r="Q343" s="103">
        <f t="shared" si="24"/>
        <v>1</v>
      </c>
      <c r="R343" s="103" t="s">
        <v>8</v>
      </c>
      <c r="S343" s="103" t="str">
        <f>_xlfn.IFS(MouserListTable[[#This Row],[Column1]]=FilterSpecs!$A$6, FilterSpecs!$B$6,MouserListTable[[#This Row],[Column1]]=FilterSpecs!$A$7,FilterSpecs!$B$7,MouserListTable[[#This Row],[Column1]]=FilterSpecs!$A$8,FilterSpecs!$B$8,MouserListTable[[#This Row],[Column1]]=FilterSpecs!$A$9,FilterSpecs!$B$9)</f>
        <v>474-</v>
      </c>
      <c r="T34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474-COM-10001</v>
      </c>
      <c r="V343" s="151">
        <f>IF(MouserListTable[[#This Row],[Qty.]]=0, 0, "")</f>
        <v>0</v>
      </c>
    </row>
    <row r="344" spans="1:22" s="144" customFormat="1" x14ac:dyDescent="0.3">
      <c r="A344" s="103" t="s">
        <v>897</v>
      </c>
      <c r="B344" s="103" t="s">
        <v>891</v>
      </c>
      <c r="C344" s="103" t="s">
        <v>1898</v>
      </c>
      <c r="D344" s="103" t="str">
        <f>IF(MouserListTable[[#This Row],[Vendor]]=FilterSpecs!$A$8,MouserListTable[[#This Row],[Mouser SKU]], MouserListTable[[#This Row],[SKU2]])</f>
        <v>2047</v>
      </c>
      <c r="E344" s="104">
        <v>0</v>
      </c>
      <c r="F344" s="104">
        <v>0</v>
      </c>
      <c r="G344" s="103"/>
      <c r="H344" s="103"/>
      <c r="I344" s="126" t="s">
        <v>2129</v>
      </c>
      <c r="J344" s="146"/>
      <c r="K344" s="148">
        <v>0.5</v>
      </c>
      <c r="L344" s="126" t="s">
        <v>1910</v>
      </c>
      <c r="M344" s="146"/>
      <c r="N344" s="148"/>
      <c r="O344" s="103" t="s">
        <v>2128</v>
      </c>
      <c r="P344" s="103">
        <f t="shared" si="23"/>
        <v>331</v>
      </c>
      <c r="Q344" s="103">
        <f t="shared" si="24"/>
        <v>1</v>
      </c>
      <c r="R344" s="103" t="s">
        <v>1898</v>
      </c>
      <c r="S344" s="103" t="str">
        <f>_xlfn.IFS(MouserListTable[[#This Row],[Column1]]=FilterSpecs!$A$6, FilterSpecs!$B$6,MouserListTable[[#This Row],[Column1]]=FilterSpecs!$A$7,FilterSpecs!$B$7,MouserListTable[[#This Row],[Column1]]=FilterSpecs!$A$8,FilterSpecs!$B$8,MouserListTable[[#This Row],[Column1]]=FilterSpecs!$A$9,FilterSpecs!$B$9)</f>
        <v>485-</v>
      </c>
      <c r="T34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485-2047</v>
      </c>
      <c r="V344" s="151">
        <f>IF(MouserListTable[[#This Row],[Qty.]]=0, 0, "")</f>
        <v>0</v>
      </c>
    </row>
    <row r="345" spans="1:22" s="144" customFormat="1" x14ac:dyDescent="0.3">
      <c r="A345" s="103" t="s">
        <v>897</v>
      </c>
      <c r="B345" s="103" t="s">
        <v>891</v>
      </c>
      <c r="C345" s="103" t="s">
        <v>1898</v>
      </c>
      <c r="D345" s="103" t="str">
        <f>IF(MouserListTable[[#This Row],[Vendor]]=FilterSpecs!$A$8,MouserListTable[[#This Row],[Mouser SKU]], MouserListTable[[#This Row],[SKU2]])</f>
        <v>2055</v>
      </c>
      <c r="E345" s="104">
        <v>0</v>
      </c>
      <c r="F345" s="104">
        <v>0</v>
      </c>
      <c r="G345" s="103"/>
      <c r="H345" s="103"/>
      <c r="I345" s="126" t="s">
        <v>2131</v>
      </c>
      <c r="J345" s="146"/>
      <c r="K345" s="148">
        <v>0.95</v>
      </c>
      <c r="L345" s="126" t="s">
        <v>1910</v>
      </c>
      <c r="M345" s="146"/>
      <c r="N345" s="148"/>
      <c r="O345" s="103" t="s">
        <v>2130</v>
      </c>
      <c r="P345" s="103">
        <f t="shared" si="23"/>
        <v>332</v>
      </c>
      <c r="Q345" s="103">
        <f t="shared" si="24"/>
        <v>1</v>
      </c>
      <c r="R345" s="103" t="s">
        <v>1898</v>
      </c>
      <c r="S345" s="103" t="str">
        <f>_xlfn.IFS(MouserListTable[[#This Row],[Column1]]=FilterSpecs!$A$6, FilterSpecs!$B$6,MouserListTable[[#This Row],[Column1]]=FilterSpecs!$A$7,FilterSpecs!$B$7,MouserListTable[[#This Row],[Column1]]=FilterSpecs!$A$8,FilterSpecs!$B$8,MouserListTable[[#This Row],[Column1]]=FilterSpecs!$A$9,FilterSpecs!$B$9)</f>
        <v>485-</v>
      </c>
      <c r="T34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485-2055</v>
      </c>
      <c r="V345" s="151">
        <f>IF(MouserListTable[[#This Row],[Qty.]]=0, 0, "")</f>
        <v>0</v>
      </c>
    </row>
    <row r="346" spans="1:22" s="144" customFormat="1" x14ac:dyDescent="0.3">
      <c r="A346" s="103" t="s">
        <v>897</v>
      </c>
      <c r="B346" s="103" t="s">
        <v>891</v>
      </c>
      <c r="C346" s="103" t="s">
        <v>1898</v>
      </c>
      <c r="D346" s="103" t="str">
        <f>IF(MouserListTable[[#This Row],[Vendor]]=FilterSpecs!$A$8,MouserListTable[[#This Row],[Mouser SKU]], MouserListTable[[#This Row],[SKU2]])</f>
        <v>2058</v>
      </c>
      <c r="E346" s="104">
        <v>0</v>
      </c>
      <c r="F346" s="104">
        <v>0</v>
      </c>
      <c r="G346" s="103"/>
      <c r="H346" s="103"/>
      <c r="I346" s="126" t="s">
        <v>2133</v>
      </c>
      <c r="J346" s="146"/>
      <c r="K346" s="148">
        <v>0.95</v>
      </c>
      <c r="L346" s="126" t="s">
        <v>1910</v>
      </c>
      <c r="M346" s="146"/>
      <c r="N346" s="148"/>
      <c r="O346" s="103" t="s">
        <v>2132</v>
      </c>
      <c r="P346" s="103">
        <f t="shared" si="23"/>
        <v>333</v>
      </c>
      <c r="Q346" s="103">
        <f t="shared" si="24"/>
        <v>1</v>
      </c>
      <c r="R346" s="103" t="s">
        <v>1898</v>
      </c>
      <c r="S346" s="103" t="str">
        <f>_xlfn.IFS(MouserListTable[[#This Row],[Column1]]=FilterSpecs!$A$6, FilterSpecs!$B$6,MouserListTable[[#This Row],[Column1]]=FilterSpecs!$A$7,FilterSpecs!$B$7,MouserListTable[[#This Row],[Column1]]=FilterSpecs!$A$8,FilterSpecs!$B$8,MouserListTable[[#This Row],[Column1]]=FilterSpecs!$A$9,FilterSpecs!$B$9)</f>
        <v>485-</v>
      </c>
      <c r="T34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485-2058</v>
      </c>
      <c r="V346" s="151">
        <f>IF(MouserListTable[[#This Row],[Qty.]]=0, 0, "")</f>
        <v>0</v>
      </c>
    </row>
    <row r="347" spans="1:22" s="144" customFormat="1" x14ac:dyDescent="0.3">
      <c r="A347" s="103" t="s">
        <v>897</v>
      </c>
      <c r="B347" s="103" t="s">
        <v>891</v>
      </c>
      <c r="C347" s="103" t="s">
        <v>1898</v>
      </c>
      <c r="D347" s="103" t="str">
        <f>IF(MouserListTable[[#This Row],[Vendor]]=FilterSpecs!$A$8,MouserListTable[[#This Row],[Mouser SKU]], MouserListTable[[#This Row],[SKU2]])</f>
        <v>2056</v>
      </c>
      <c r="E347" s="104">
        <v>0</v>
      </c>
      <c r="F347" s="104">
        <v>0</v>
      </c>
      <c r="G347" s="103"/>
      <c r="H347" s="103"/>
      <c r="I347" s="126" t="s">
        <v>2135</v>
      </c>
      <c r="J347" s="146"/>
      <c r="K347" s="148">
        <v>3.95</v>
      </c>
      <c r="L347" s="126" t="s">
        <v>1910</v>
      </c>
      <c r="M347" s="146"/>
      <c r="N347" s="148"/>
      <c r="O347" s="103" t="s">
        <v>2134</v>
      </c>
      <c r="P347" s="103">
        <f t="shared" si="23"/>
        <v>334</v>
      </c>
      <c r="Q347" s="103">
        <f t="shared" si="24"/>
        <v>1</v>
      </c>
      <c r="R347" s="103" t="s">
        <v>1898</v>
      </c>
      <c r="S347" s="103" t="str">
        <f>_xlfn.IFS(MouserListTable[[#This Row],[Column1]]=FilterSpecs!$A$6, FilterSpecs!$B$6,MouserListTable[[#This Row],[Column1]]=FilterSpecs!$A$7,FilterSpecs!$B$7,MouserListTable[[#This Row],[Column1]]=FilterSpecs!$A$8,FilterSpecs!$B$8,MouserListTable[[#This Row],[Column1]]=FilterSpecs!$A$9,FilterSpecs!$B$9)</f>
        <v>485-</v>
      </c>
      <c r="T34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485-2056</v>
      </c>
      <c r="V347" s="151">
        <f>IF(MouserListTable[[#This Row],[Qty.]]=0, 0, "")</f>
        <v>0</v>
      </c>
    </row>
    <row r="348" spans="1:22" s="144" customFormat="1" x14ac:dyDescent="0.3">
      <c r="A348" s="106" t="s">
        <v>897</v>
      </c>
      <c r="B348" s="106" t="s">
        <v>2027</v>
      </c>
      <c r="C348" s="106" t="s">
        <v>1898</v>
      </c>
      <c r="D348" s="103" t="str">
        <f>IF(MouserListTable[[#This Row],[Vendor]]=FilterSpecs!$A$8,MouserListTable[[#This Row],[Mouser SKU]], MouserListTable[[#This Row],[SKU2]])</f>
        <v>2103</v>
      </c>
      <c r="E348" s="104">
        <v>0</v>
      </c>
      <c r="F348" s="104">
        <v>0</v>
      </c>
      <c r="G348" s="103"/>
      <c r="H348" s="103"/>
      <c r="I348" s="146" t="s">
        <v>2139</v>
      </c>
      <c r="J348" s="146"/>
      <c r="K348" s="148">
        <v>1.95</v>
      </c>
      <c r="L348" s="146" t="s">
        <v>1910</v>
      </c>
      <c r="M348" s="146"/>
      <c r="N348" s="148"/>
      <c r="O348" s="106" t="s">
        <v>2138</v>
      </c>
      <c r="P348" s="103">
        <f t="shared" si="23"/>
        <v>335</v>
      </c>
      <c r="Q348" s="103">
        <f t="shared" si="24"/>
        <v>1</v>
      </c>
      <c r="R348" s="103" t="s">
        <v>1898</v>
      </c>
      <c r="S348" s="103" t="str">
        <f>_xlfn.IFS(MouserListTable[[#This Row],[Column1]]=FilterSpecs!$A$6, FilterSpecs!$B$6,MouserListTable[[#This Row],[Column1]]=FilterSpecs!$A$7,FilterSpecs!$B$7,MouserListTable[[#This Row],[Column1]]=FilterSpecs!$A$8,FilterSpecs!$B$8,MouserListTable[[#This Row],[Column1]]=FilterSpecs!$A$9,FilterSpecs!$B$9)</f>
        <v>485-</v>
      </c>
      <c r="T34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485-2103</v>
      </c>
      <c r="V348" s="151">
        <f>IF(MouserListTable[[#This Row],[Qty.]]=0, 0, "")</f>
        <v>0</v>
      </c>
    </row>
    <row r="349" spans="1:22" s="144" customFormat="1" x14ac:dyDescent="0.3">
      <c r="A349" s="106" t="s">
        <v>897</v>
      </c>
      <c r="B349" s="106" t="s">
        <v>2027</v>
      </c>
      <c r="C349" s="106" t="s">
        <v>1898</v>
      </c>
      <c r="D349" s="103" t="str">
        <f>IF(MouserListTable[[#This Row],[Vendor]]=FilterSpecs!$A$8,MouserListTable[[#This Row],[Mouser SKU]], MouserListTable[[#This Row],[SKU2]])</f>
        <v>2270</v>
      </c>
      <c r="E349" s="104">
        <v>0</v>
      </c>
      <c r="F349" s="104">
        <v>0</v>
      </c>
      <c r="G349" s="103"/>
      <c r="H349" s="103"/>
      <c r="I349" s="146" t="s">
        <v>2141</v>
      </c>
      <c r="J349" s="146"/>
      <c r="K349" s="148">
        <v>2.25</v>
      </c>
      <c r="L349" s="146" t="s">
        <v>1910</v>
      </c>
      <c r="M349" s="146"/>
      <c r="N349" s="148"/>
      <c r="O349" s="106" t="s">
        <v>2140</v>
      </c>
      <c r="P349" s="103">
        <f t="shared" si="23"/>
        <v>336</v>
      </c>
      <c r="Q349" s="103">
        <f t="shared" si="24"/>
        <v>1</v>
      </c>
      <c r="R349" s="103" t="s">
        <v>1898</v>
      </c>
      <c r="S349" s="103" t="str">
        <f>_xlfn.IFS(MouserListTable[[#This Row],[Column1]]=FilterSpecs!$A$6, FilterSpecs!$B$6,MouserListTable[[#This Row],[Column1]]=FilterSpecs!$A$7,FilterSpecs!$B$7,MouserListTable[[#This Row],[Column1]]=FilterSpecs!$A$8,FilterSpecs!$B$8,MouserListTable[[#This Row],[Column1]]=FilterSpecs!$A$9,FilterSpecs!$B$9)</f>
        <v>485-</v>
      </c>
      <c r="T34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485-2270</v>
      </c>
      <c r="V349" s="151">
        <f>IF(MouserListTable[[#This Row],[Qty.]]=0, 0, "")</f>
        <v>0</v>
      </c>
    </row>
    <row r="350" spans="1:22" s="144" customFormat="1" x14ac:dyDescent="0.3">
      <c r="A350" s="106" t="s">
        <v>897</v>
      </c>
      <c r="B350" s="106" t="s">
        <v>2027</v>
      </c>
      <c r="C350" s="106" t="s">
        <v>1898</v>
      </c>
      <c r="D350" s="103" t="str">
        <f>IF(MouserListTable[[#This Row],[Vendor]]=FilterSpecs!$A$8,MouserListTable[[#This Row],[Mouser SKU]], MouserListTable[[#This Row],[SKU2]])</f>
        <v>2102</v>
      </c>
      <c r="E350" s="104">
        <f>2*FilterSpecs!$C$3</f>
        <v>10</v>
      </c>
      <c r="F350" s="104" t="s">
        <v>18921</v>
      </c>
      <c r="G350" s="103"/>
      <c r="H350" s="103"/>
      <c r="I350" s="106" t="s">
        <v>2143</v>
      </c>
      <c r="J350" s="146"/>
      <c r="K350" s="104">
        <v>0.95</v>
      </c>
      <c r="L350" s="106" t="s">
        <v>1911</v>
      </c>
      <c r="M350" s="106"/>
      <c r="N350" s="104">
        <f t="shared" ref="N350:N355" si="25">E350*K350</f>
        <v>9.5</v>
      </c>
      <c r="O350" s="106" t="s">
        <v>2142</v>
      </c>
      <c r="P350" s="103">
        <f t="shared" si="23"/>
        <v>337</v>
      </c>
      <c r="Q350" s="103">
        <f t="shared" si="24"/>
        <v>1</v>
      </c>
      <c r="R350" s="103" t="s">
        <v>1898</v>
      </c>
      <c r="S350" s="103" t="str">
        <f>_xlfn.IFS(MouserListTable[[#This Row],[Column1]]=FilterSpecs!$A$6, FilterSpecs!$B$6,MouserListTable[[#This Row],[Column1]]=FilterSpecs!$A$7,FilterSpecs!$B$7,MouserListTable[[#This Row],[Column1]]=FilterSpecs!$A$8,FilterSpecs!$B$8,MouserListTable[[#This Row],[Column1]]=FilterSpecs!$A$9,FilterSpecs!$B$9)</f>
        <v>485-</v>
      </c>
      <c r="T35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485-2102</v>
      </c>
      <c r="V350" s="151" t="str">
        <f>IF(MouserListTable[[#This Row],[Qty.]]=0, 0, "")</f>
        <v/>
      </c>
    </row>
    <row r="351" spans="1:22" s="144" customFormat="1" x14ac:dyDescent="0.3">
      <c r="A351" s="106" t="s">
        <v>897</v>
      </c>
      <c r="B351" s="106" t="s">
        <v>1884</v>
      </c>
      <c r="C351" s="106" t="s">
        <v>8</v>
      </c>
      <c r="D351" s="103" t="str">
        <f>IF(MouserListTable[[#This Row],[Vendor]]=FilterSpecs!$A$8,MouserListTable[[#This Row],[Mouser SKU]], MouserListTable[[#This Row],[SKU2]])</f>
        <v>PRT-09749</v>
      </c>
      <c r="E351" s="104">
        <f>2*FilterSpecs!$C$3</f>
        <v>10</v>
      </c>
      <c r="F351" s="104" t="s">
        <v>18921</v>
      </c>
      <c r="G351" s="103" t="s">
        <v>446</v>
      </c>
      <c r="H351" s="103" t="s">
        <v>447</v>
      </c>
      <c r="I351" s="106" t="s">
        <v>448</v>
      </c>
      <c r="J351" s="103">
        <v>1</v>
      </c>
      <c r="K351" s="104">
        <v>0.95</v>
      </c>
      <c r="L351" s="106" t="s">
        <v>1911</v>
      </c>
      <c r="M351" s="103"/>
      <c r="N351" s="104">
        <f t="shared" si="25"/>
        <v>9.5</v>
      </c>
      <c r="O351" s="106" t="s">
        <v>445</v>
      </c>
      <c r="P351" s="103">
        <f t="shared" si="23"/>
        <v>338</v>
      </c>
      <c r="Q351" s="103">
        <f t="shared" si="24"/>
        <v>1</v>
      </c>
      <c r="R351" s="103" t="s">
        <v>8</v>
      </c>
      <c r="S351" s="103" t="str">
        <f>_xlfn.IFS(MouserListTable[[#This Row],[Column1]]=FilterSpecs!$A$6, FilterSpecs!$B$6,MouserListTable[[#This Row],[Column1]]=FilterSpecs!$A$7,FilterSpecs!$B$7,MouserListTable[[#This Row],[Column1]]=FilterSpecs!$A$8,FilterSpecs!$B$8,MouserListTable[[#This Row],[Column1]]=FilterSpecs!$A$9,FilterSpecs!$B$9)</f>
        <v>474-</v>
      </c>
      <c r="T35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474-PRT-09749</v>
      </c>
      <c r="V351" s="151" t="str">
        <f>IF(MouserListTable[[#This Row],[Qty.]]=0, 0, "")</f>
        <v/>
      </c>
    </row>
    <row r="352" spans="1:22" s="144" customFormat="1" x14ac:dyDescent="0.3">
      <c r="A352" s="106" t="s">
        <v>897</v>
      </c>
      <c r="B352" s="106" t="s">
        <v>1884</v>
      </c>
      <c r="C352" s="106" t="s">
        <v>8</v>
      </c>
      <c r="D352" s="103" t="str">
        <f>IF(MouserListTable[[#This Row],[Vendor]]=FilterSpecs!$A$8,MouserListTable[[#This Row],[Mouser SKU]], MouserListTable[[#This Row],[SKU2]])</f>
        <v>PRT-09750</v>
      </c>
      <c r="E352" s="104">
        <f>FilterSpecs!$C$3</f>
        <v>5</v>
      </c>
      <c r="F352" s="104" t="s">
        <v>18921</v>
      </c>
      <c r="G352" s="103" t="s">
        <v>1856</v>
      </c>
      <c r="H352" s="103" t="s">
        <v>1857</v>
      </c>
      <c r="I352" s="106" t="s">
        <v>1858</v>
      </c>
      <c r="J352" s="103">
        <v>1</v>
      </c>
      <c r="K352" s="104">
        <v>0.95</v>
      </c>
      <c r="L352" s="106" t="s">
        <v>1911</v>
      </c>
      <c r="M352" s="103"/>
      <c r="N352" s="104">
        <f t="shared" si="25"/>
        <v>4.75</v>
      </c>
      <c r="O352" s="106" t="s">
        <v>1855</v>
      </c>
      <c r="P352" s="103">
        <f t="shared" si="23"/>
        <v>339</v>
      </c>
      <c r="Q352" s="103">
        <f t="shared" si="24"/>
        <v>1</v>
      </c>
      <c r="R352" s="103" t="s">
        <v>8</v>
      </c>
      <c r="S352" s="103" t="str">
        <f>_xlfn.IFS(MouserListTable[[#This Row],[Column1]]=FilterSpecs!$A$6, FilterSpecs!$B$6,MouserListTable[[#This Row],[Column1]]=FilterSpecs!$A$7,FilterSpecs!$B$7,MouserListTable[[#This Row],[Column1]]=FilterSpecs!$A$8,FilterSpecs!$B$8,MouserListTable[[#This Row],[Column1]]=FilterSpecs!$A$9,FilterSpecs!$B$9)</f>
        <v>474-</v>
      </c>
      <c r="T35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474-PRT-09750</v>
      </c>
      <c r="V352" s="151" t="str">
        <f>IF(MouserListTable[[#This Row],[Qty.]]=0, 0, "")</f>
        <v/>
      </c>
    </row>
    <row r="353" spans="1:22" s="144" customFormat="1" x14ac:dyDescent="0.3">
      <c r="A353" s="146" t="s">
        <v>897</v>
      </c>
      <c r="B353" s="146" t="s">
        <v>1884</v>
      </c>
      <c r="C353" s="146" t="s">
        <v>8</v>
      </c>
      <c r="D353" s="103" t="str">
        <f>IF(MouserListTable[[#This Row],[Vendor]]=FilterSpecs!$A$8,MouserListTable[[#This Row],[Mouser SKU]], MouserListTable[[#This Row],[SKU2]])</f>
        <v>PRT-10501</v>
      </c>
      <c r="E353" s="104">
        <v>0</v>
      </c>
      <c r="F353" s="104">
        <v>0</v>
      </c>
      <c r="G353" s="103" t="s">
        <v>1362</v>
      </c>
      <c r="H353" s="103" t="s">
        <v>1363</v>
      </c>
      <c r="I353" s="106" t="s">
        <v>1364</v>
      </c>
      <c r="J353" s="103"/>
      <c r="K353" s="104">
        <v>0.5</v>
      </c>
      <c r="L353" s="106" t="s">
        <v>1913</v>
      </c>
      <c r="M353" s="103"/>
      <c r="N353" s="148">
        <f t="shared" si="25"/>
        <v>0</v>
      </c>
      <c r="O353" s="106" t="s">
        <v>1361</v>
      </c>
      <c r="P353" s="103">
        <f t="shared" si="23"/>
        <v>340</v>
      </c>
      <c r="Q353" s="103">
        <f t="shared" si="24"/>
        <v>1</v>
      </c>
      <c r="R353" s="103" t="s">
        <v>8</v>
      </c>
      <c r="S353" s="103" t="str">
        <f>_xlfn.IFS(MouserListTable[[#This Row],[Column1]]=FilterSpecs!$A$6, FilterSpecs!$B$6,MouserListTable[[#This Row],[Column1]]=FilterSpecs!$A$7,FilterSpecs!$B$7,MouserListTable[[#This Row],[Column1]]=FilterSpecs!$A$8,FilterSpecs!$B$8,MouserListTable[[#This Row],[Column1]]=FilterSpecs!$A$9,FilterSpecs!$B$9)</f>
        <v>474-</v>
      </c>
      <c r="T35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474-PRT-10501</v>
      </c>
      <c r="V353" s="151">
        <f>IF(MouserListTable[[#This Row],[Qty.]]=0, 0, "")</f>
        <v>0</v>
      </c>
    </row>
    <row r="354" spans="1:22" s="144" customFormat="1" x14ac:dyDescent="0.3">
      <c r="A354" s="146" t="s">
        <v>897</v>
      </c>
      <c r="B354" s="146" t="s">
        <v>1884</v>
      </c>
      <c r="C354" s="146" t="s">
        <v>8</v>
      </c>
      <c r="D354" s="103" t="str">
        <f>IF(MouserListTable[[#This Row],[Vendor]]=FilterSpecs!$A$8,MouserListTable[[#This Row],[Mouser SKU]], MouserListTable[[#This Row],[SKU2]])</f>
        <v>PRT-08612</v>
      </c>
      <c r="E354" s="104">
        <v>0</v>
      </c>
      <c r="F354" s="104">
        <v>0</v>
      </c>
      <c r="G354" s="103" t="s">
        <v>1760</v>
      </c>
      <c r="H354" s="103" t="s">
        <v>1761</v>
      </c>
      <c r="I354" s="106" t="s">
        <v>1762</v>
      </c>
      <c r="J354" s="103">
        <v>1</v>
      </c>
      <c r="K354" s="104">
        <v>0.95</v>
      </c>
      <c r="L354" s="106" t="s">
        <v>1910</v>
      </c>
      <c r="M354" s="103"/>
      <c r="N354" s="148">
        <f t="shared" si="25"/>
        <v>0</v>
      </c>
      <c r="O354" s="106" t="s">
        <v>1759</v>
      </c>
      <c r="P354" s="103">
        <f t="shared" si="23"/>
        <v>341</v>
      </c>
      <c r="Q354" s="103">
        <f t="shared" si="24"/>
        <v>1</v>
      </c>
      <c r="R354" s="103" t="s">
        <v>8</v>
      </c>
      <c r="S354" s="103" t="str">
        <f>_xlfn.IFS(MouserListTable[[#This Row],[Column1]]=FilterSpecs!$A$6, FilterSpecs!$B$6,MouserListTable[[#This Row],[Column1]]=FilterSpecs!$A$7,FilterSpecs!$B$7,MouserListTable[[#This Row],[Column1]]=FilterSpecs!$A$8,FilterSpecs!$B$8,MouserListTable[[#This Row],[Column1]]=FilterSpecs!$A$9,FilterSpecs!$B$9)</f>
        <v>474-</v>
      </c>
      <c r="T35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474-PRT-08612</v>
      </c>
      <c r="V354" s="151">
        <f>IF(MouserListTable[[#This Row],[Qty.]]=0, 0, "")</f>
        <v>0</v>
      </c>
    </row>
    <row r="355" spans="1:22" s="144" customFormat="1" x14ac:dyDescent="0.3">
      <c r="A355" s="146" t="s">
        <v>897</v>
      </c>
      <c r="B355" s="146" t="s">
        <v>1884</v>
      </c>
      <c r="C355" s="146" t="s">
        <v>8</v>
      </c>
      <c r="D355" s="103" t="str">
        <f>IF(MouserListTable[[#This Row],[Vendor]]=FilterSpecs!$A$8,MouserListTable[[#This Row],[Mouser SKU]], MouserListTable[[#This Row],[SKU2]])</f>
        <v>PRT-08613</v>
      </c>
      <c r="E355" s="104">
        <v>0</v>
      </c>
      <c r="F355" s="104">
        <v>0</v>
      </c>
      <c r="G355" s="103" t="s">
        <v>1764</v>
      </c>
      <c r="H355" s="103" t="s">
        <v>1765</v>
      </c>
      <c r="I355" s="106" t="s">
        <v>1766</v>
      </c>
      <c r="J355" s="103">
        <v>1</v>
      </c>
      <c r="K355" s="104">
        <v>0.95</v>
      </c>
      <c r="L355" s="106" t="s">
        <v>1910</v>
      </c>
      <c r="M355" s="103"/>
      <c r="N355" s="148">
        <f t="shared" si="25"/>
        <v>0</v>
      </c>
      <c r="O355" s="106" t="s">
        <v>1763</v>
      </c>
      <c r="P355" s="103">
        <f t="shared" si="23"/>
        <v>342</v>
      </c>
      <c r="Q355" s="103">
        <f t="shared" si="24"/>
        <v>1</v>
      </c>
      <c r="R355" s="103" t="s">
        <v>8</v>
      </c>
      <c r="S355" s="103" t="str">
        <f>_xlfn.IFS(MouserListTable[[#This Row],[Column1]]=FilterSpecs!$A$6, FilterSpecs!$B$6,MouserListTable[[#This Row],[Column1]]=FilterSpecs!$A$7,FilterSpecs!$B$7,MouserListTable[[#This Row],[Column1]]=FilterSpecs!$A$8,FilterSpecs!$B$8,MouserListTable[[#This Row],[Column1]]=FilterSpecs!$A$9,FilterSpecs!$B$9)</f>
        <v>474-</v>
      </c>
      <c r="T35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474-PRT-08613</v>
      </c>
      <c r="V355" s="151">
        <f>IF(MouserListTable[[#This Row],[Qty.]]=0, 0, "")</f>
        <v>0</v>
      </c>
    </row>
    <row r="356" spans="1:22" s="144" customFormat="1" x14ac:dyDescent="0.3">
      <c r="A356" s="106" t="s">
        <v>897</v>
      </c>
      <c r="B356" s="106" t="s">
        <v>1884</v>
      </c>
      <c r="C356" s="106" t="s">
        <v>1898</v>
      </c>
      <c r="D356" s="103" t="str">
        <f>IF(MouserListTable[[#This Row],[Vendor]]=FilterSpecs!$A$8,MouserListTable[[#This Row],[Mouser SKU]], MouserListTable[[#This Row],[SKU2]])</f>
        <v>1862</v>
      </c>
      <c r="E356" s="104">
        <v>0</v>
      </c>
      <c r="F356" s="104">
        <v>0</v>
      </c>
      <c r="G356" s="103"/>
      <c r="H356" s="103"/>
      <c r="I356" s="146" t="s">
        <v>2145</v>
      </c>
      <c r="J356" s="146"/>
      <c r="K356" s="148">
        <v>1.5</v>
      </c>
      <c r="L356" s="146" t="s">
        <v>1910</v>
      </c>
      <c r="M356" s="146"/>
      <c r="N356" s="148"/>
      <c r="O356" s="106" t="s">
        <v>2144</v>
      </c>
      <c r="P356" s="103">
        <f t="shared" si="23"/>
        <v>343</v>
      </c>
      <c r="Q356" s="103">
        <f t="shared" si="24"/>
        <v>1</v>
      </c>
      <c r="R356" s="103" t="s">
        <v>1898</v>
      </c>
      <c r="S356" s="103" t="str">
        <f>_xlfn.IFS(MouserListTable[[#This Row],[Column1]]=FilterSpecs!$A$6, FilterSpecs!$B$6,MouserListTable[[#This Row],[Column1]]=FilterSpecs!$A$7,FilterSpecs!$B$7,MouserListTable[[#This Row],[Column1]]=FilterSpecs!$A$8,FilterSpecs!$B$8,MouserListTable[[#This Row],[Column1]]=FilterSpecs!$A$9,FilterSpecs!$B$9)</f>
        <v>485-</v>
      </c>
      <c r="T35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485-1862</v>
      </c>
      <c r="V356" s="151">
        <f>IF(MouserListTable[[#This Row],[Qty.]]=0, 0, "")</f>
        <v>0</v>
      </c>
    </row>
    <row r="357" spans="1:22" s="144" customFormat="1" x14ac:dyDescent="0.3">
      <c r="A357" s="106" t="s">
        <v>897</v>
      </c>
      <c r="B357" s="106" t="s">
        <v>1884</v>
      </c>
      <c r="C357" s="106" t="s">
        <v>1898</v>
      </c>
      <c r="D357" s="103" t="str">
        <f>IF(MouserListTable[[#This Row],[Vendor]]=FilterSpecs!$A$8,MouserListTable[[#This Row],[Mouser SKU]], MouserListTable[[#This Row],[SKU2]])</f>
        <v>1769</v>
      </c>
      <c r="E357" s="104">
        <v>0</v>
      </c>
      <c r="F357" s="104">
        <v>0</v>
      </c>
      <c r="G357" s="103"/>
      <c r="H357" s="103"/>
      <c r="I357" s="146" t="s">
        <v>2147</v>
      </c>
      <c r="J357" s="146"/>
      <c r="K357" s="148">
        <v>0.75</v>
      </c>
      <c r="L357" s="146" t="s">
        <v>1910</v>
      </c>
      <c r="M357" s="146"/>
      <c r="N357" s="148"/>
      <c r="O357" s="106" t="s">
        <v>2146</v>
      </c>
      <c r="P357" s="103">
        <f t="shared" si="23"/>
        <v>344</v>
      </c>
      <c r="Q357" s="103">
        <f t="shared" si="24"/>
        <v>1</v>
      </c>
      <c r="R357" s="103" t="s">
        <v>1898</v>
      </c>
      <c r="S357" s="103" t="str">
        <f>_xlfn.IFS(MouserListTable[[#This Row],[Column1]]=FilterSpecs!$A$6, FilterSpecs!$B$6,MouserListTable[[#This Row],[Column1]]=FilterSpecs!$A$7,FilterSpecs!$B$7,MouserListTable[[#This Row],[Column1]]=FilterSpecs!$A$8,FilterSpecs!$B$8,MouserListTable[[#This Row],[Column1]]=FilterSpecs!$A$9,FilterSpecs!$B$9)</f>
        <v>485-</v>
      </c>
      <c r="T35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485-1769</v>
      </c>
      <c r="V357" s="151">
        <f>IF(MouserListTable[[#This Row],[Qty.]]=0, 0, "")</f>
        <v>0</v>
      </c>
    </row>
    <row r="358" spans="1:22" s="144" customFormat="1" x14ac:dyDescent="0.3">
      <c r="A358" s="106" t="s">
        <v>897</v>
      </c>
      <c r="B358" s="106" t="s">
        <v>1884</v>
      </c>
      <c r="C358" s="106" t="s">
        <v>1898</v>
      </c>
      <c r="D358" s="103" t="str">
        <f>IF(MouserListTable[[#This Row],[Vendor]]=FilterSpecs!$A$8,MouserListTable[[#This Row],[Mouser SKU]], MouserListTable[[#This Row],[SKU2]])</f>
        <v>1863</v>
      </c>
      <c r="E358" s="104">
        <v>0</v>
      </c>
      <c r="F358" s="104">
        <v>0</v>
      </c>
      <c r="G358" s="103"/>
      <c r="H358" s="103"/>
      <c r="I358" s="146" t="s">
        <v>2149</v>
      </c>
      <c r="J358" s="146"/>
      <c r="K358" s="148">
        <v>2.5</v>
      </c>
      <c r="L358" s="146" t="s">
        <v>1910</v>
      </c>
      <c r="M358" s="146"/>
      <c r="N358" s="148"/>
      <c r="O358" s="106" t="s">
        <v>2148</v>
      </c>
      <c r="P358" s="103">
        <f t="shared" si="23"/>
        <v>345</v>
      </c>
      <c r="Q358" s="103">
        <f t="shared" si="24"/>
        <v>1</v>
      </c>
      <c r="R358" s="103" t="s">
        <v>1898</v>
      </c>
      <c r="S358" s="103" t="str">
        <f>_xlfn.IFS(MouserListTable[[#This Row],[Column1]]=FilterSpecs!$A$6, FilterSpecs!$B$6,MouserListTable[[#This Row],[Column1]]=FilterSpecs!$A$7,FilterSpecs!$B$7,MouserListTable[[#This Row],[Column1]]=FilterSpecs!$A$8,FilterSpecs!$B$8,MouserListTable[[#This Row],[Column1]]=FilterSpecs!$A$9,FilterSpecs!$B$9)</f>
        <v>485-</v>
      </c>
      <c r="T35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485-1863</v>
      </c>
      <c r="V358" s="151">
        <f>IF(MouserListTable[[#This Row],[Qty.]]=0, 0, "")</f>
        <v>0</v>
      </c>
    </row>
    <row r="359" spans="1:22" s="144" customFormat="1" x14ac:dyDescent="0.3">
      <c r="A359" s="146" t="s">
        <v>897</v>
      </c>
      <c r="B359" s="146" t="s">
        <v>1886</v>
      </c>
      <c r="C359" s="146" t="s">
        <v>8</v>
      </c>
      <c r="D359" s="103" t="str">
        <f>IF(MouserListTable[[#This Row],[Vendor]]=FilterSpecs!$A$8,MouserListTable[[#This Row],[Mouser SKU]], MouserListTable[[#This Row],[SKU2]])</f>
        <v>PRT-08233</v>
      </c>
      <c r="E359" s="104">
        <v>0</v>
      </c>
      <c r="F359" s="104">
        <v>0</v>
      </c>
      <c r="G359" s="103" t="s">
        <v>1366</v>
      </c>
      <c r="H359" s="103" t="s">
        <v>1367</v>
      </c>
      <c r="I359" s="106" t="s">
        <v>1368</v>
      </c>
      <c r="J359" s="103">
        <v>1</v>
      </c>
      <c r="K359" s="104">
        <v>0.45</v>
      </c>
      <c r="L359" s="106" t="s">
        <v>1910</v>
      </c>
      <c r="M359" s="103"/>
      <c r="N359" s="148">
        <f t="shared" ref="N359:N396" si="26">E359*K359</f>
        <v>0</v>
      </c>
      <c r="O359" s="106" t="s">
        <v>1365</v>
      </c>
      <c r="P359" s="103">
        <f t="shared" si="23"/>
        <v>346</v>
      </c>
      <c r="Q359" s="103">
        <f t="shared" si="24"/>
        <v>1</v>
      </c>
      <c r="R359" s="103" t="s">
        <v>8</v>
      </c>
      <c r="S359" s="103" t="str">
        <f>_xlfn.IFS(MouserListTable[[#This Row],[Column1]]=FilterSpecs!$A$6, FilterSpecs!$B$6,MouserListTable[[#This Row],[Column1]]=FilterSpecs!$A$7,FilterSpecs!$B$7,MouserListTable[[#This Row],[Column1]]=FilterSpecs!$A$8,FilterSpecs!$B$8,MouserListTable[[#This Row],[Column1]]=FilterSpecs!$A$9,FilterSpecs!$B$9)</f>
        <v>474-</v>
      </c>
      <c r="T35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474-PRT-08233</v>
      </c>
      <c r="V359" s="151">
        <f>IF(MouserListTable[[#This Row],[Qty.]]=0, 0, "")</f>
        <v>0</v>
      </c>
    </row>
    <row r="360" spans="1:22" s="144" customFormat="1" x14ac:dyDescent="0.3">
      <c r="A360" s="146" t="s">
        <v>897</v>
      </c>
      <c r="B360" s="146" t="s">
        <v>1886</v>
      </c>
      <c r="C360" s="146" t="s">
        <v>8</v>
      </c>
      <c r="D360" s="103" t="str">
        <f>IF(MouserListTable[[#This Row],[Vendor]]=FilterSpecs!$A$8,MouserListTable[[#This Row],[Mouser SKU]], MouserListTable[[#This Row],[SKU2]])</f>
        <v>PRT-08095</v>
      </c>
      <c r="E360" s="104">
        <v>0</v>
      </c>
      <c r="F360" s="104">
        <v>0</v>
      </c>
      <c r="G360" s="103" t="s">
        <v>1374</v>
      </c>
      <c r="H360" s="103" t="s">
        <v>1375</v>
      </c>
      <c r="I360" s="106" t="s">
        <v>1376</v>
      </c>
      <c r="J360" s="103">
        <v>1</v>
      </c>
      <c r="K360" s="104">
        <v>0.45</v>
      </c>
      <c r="L360" s="106" t="s">
        <v>1910</v>
      </c>
      <c r="M360" s="103"/>
      <c r="N360" s="148">
        <f t="shared" si="26"/>
        <v>0</v>
      </c>
      <c r="O360" s="106" t="s">
        <v>1373</v>
      </c>
      <c r="P360" s="103">
        <f t="shared" si="23"/>
        <v>347</v>
      </c>
      <c r="Q360" s="103">
        <f t="shared" si="24"/>
        <v>1</v>
      </c>
      <c r="R360" s="103" t="s">
        <v>8</v>
      </c>
      <c r="S360" s="103" t="str">
        <f>_xlfn.IFS(MouserListTable[[#This Row],[Column1]]=FilterSpecs!$A$6, FilterSpecs!$B$6,MouserListTable[[#This Row],[Column1]]=FilterSpecs!$A$7,FilterSpecs!$B$7,MouserListTable[[#This Row],[Column1]]=FilterSpecs!$A$8,FilterSpecs!$B$8,MouserListTable[[#This Row],[Column1]]=FilterSpecs!$A$9,FilterSpecs!$B$9)</f>
        <v>474-</v>
      </c>
      <c r="T36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474-PRT-08095</v>
      </c>
      <c r="V360" s="151">
        <f>IF(MouserListTable[[#This Row],[Qty.]]=0, 0, "")</f>
        <v>0</v>
      </c>
    </row>
    <row r="361" spans="1:22" s="144" customFormat="1" x14ac:dyDescent="0.3">
      <c r="A361" s="106" t="s">
        <v>897</v>
      </c>
      <c r="B361" s="106" t="s">
        <v>1886</v>
      </c>
      <c r="C361" s="106" t="s">
        <v>8</v>
      </c>
      <c r="D361" s="103" t="str">
        <f>IF(MouserListTable[[#This Row],[Vendor]]=FilterSpecs!$A$8,MouserListTable[[#This Row],[Mouser SKU]], MouserListTable[[#This Row],[SKU2]])</f>
        <v>PRT-08232</v>
      </c>
      <c r="E361" s="104">
        <f>FilterSpecs!$C$3+1</f>
        <v>6</v>
      </c>
      <c r="F361" s="104" t="s">
        <v>18921</v>
      </c>
      <c r="G361" s="103" t="s">
        <v>1382</v>
      </c>
      <c r="H361" s="103" t="s">
        <v>1383</v>
      </c>
      <c r="I361" s="106" t="s">
        <v>1384</v>
      </c>
      <c r="J361" s="103">
        <v>1</v>
      </c>
      <c r="K361" s="104">
        <v>0.45</v>
      </c>
      <c r="L361" s="106" t="s">
        <v>1911</v>
      </c>
      <c r="M361" s="103"/>
      <c r="N361" s="104">
        <f t="shared" si="26"/>
        <v>2.7</v>
      </c>
      <c r="O361" s="106" t="s">
        <v>1381</v>
      </c>
      <c r="P361" s="103">
        <f t="shared" si="23"/>
        <v>348</v>
      </c>
      <c r="Q361" s="103">
        <f t="shared" si="24"/>
        <v>1</v>
      </c>
      <c r="R361" s="103" t="s">
        <v>8</v>
      </c>
      <c r="S361" s="103" t="str">
        <f>_xlfn.IFS(MouserListTable[[#This Row],[Column1]]=FilterSpecs!$A$6, FilterSpecs!$B$6,MouserListTable[[#This Row],[Column1]]=FilterSpecs!$A$7,FilterSpecs!$B$7,MouserListTable[[#This Row],[Column1]]=FilterSpecs!$A$8,FilterSpecs!$B$8,MouserListTable[[#This Row],[Column1]]=FilterSpecs!$A$9,FilterSpecs!$B$9)</f>
        <v>474-</v>
      </c>
      <c r="T36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474-PRT-08232</v>
      </c>
      <c r="V361" s="151" t="str">
        <f>IF(MouserListTable[[#This Row],[Qty.]]=0, 0, "")</f>
        <v/>
      </c>
    </row>
    <row r="362" spans="1:22" s="144" customFormat="1" x14ac:dyDescent="0.3">
      <c r="A362" s="106" t="s">
        <v>897</v>
      </c>
      <c r="B362" s="106" t="s">
        <v>1886</v>
      </c>
      <c r="C362" s="106" t="s">
        <v>8</v>
      </c>
      <c r="D362" s="103" t="str">
        <f>IF(MouserListTable[[#This Row],[Vendor]]=FilterSpecs!$A$8,MouserListTable[[#This Row],[Mouser SKU]], MouserListTable[[#This Row],[SKU2]])</f>
        <v>PRT-08096</v>
      </c>
      <c r="E362" s="104">
        <f>FilterSpecs!$C$3+1</f>
        <v>6</v>
      </c>
      <c r="F362" s="104" t="s">
        <v>18921</v>
      </c>
      <c r="G362" s="103" t="s">
        <v>1386</v>
      </c>
      <c r="H362" s="103" t="s">
        <v>1387</v>
      </c>
      <c r="I362" s="106" t="s">
        <v>1388</v>
      </c>
      <c r="J362" s="103">
        <v>1</v>
      </c>
      <c r="K362" s="104">
        <v>0.45</v>
      </c>
      <c r="L362" s="106" t="s">
        <v>1911</v>
      </c>
      <c r="M362" s="103"/>
      <c r="N362" s="104">
        <f t="shared" si="26"/>
        <v>2.7</v>
      </c>
      <c r="O362" s="106" t="s">
        <v>1385</v>
      </c>
      <c r="P362" s="103">
        <f t="shared" si="23"/>
        <v>349</v>
      </c>
      <c r="Q362" s="103">
        <f t="shared" si="24"/>
        <v>1</v>
      </c>
      <c r="R362" s="103" t="s">
        <v>8</v>
      </c>
      <c r="S362" s="103" t="str">
        <f>_xlfn.IFS(MouserListTable[[#This Row],[Column1]]=FilterSpecs!$A$6, FilterSpecs!$B$6,MouserListTable[[#This Row],[Column1]]=FilterSpecs!$A$7,FilterSpecs!$B$7,MouserListTable[[#This Row],[Column1]]=FilterSpecs!$A$8,FilterSpecs!$B$8,MouserListTable[[#This Row],[Column1]]=FilterSpecs!$A$9,FilterSpecs!$B$9)</f>
        <v>474-</v>
      </c>
      <c r="T36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474-PRT-08096</v>
      </c>
      <c r="V362" s="151" t="str">
        <f>IF(MouserListTable[[#This Row],[Qty.]]=0, 0, "")</f>
        <v/>
      </c>
    </row>
    <row r="363" spans="1:22" s="144" customFormat="1" x14ac:dyDescent="0.3">
      <c r="A363" s="106" t="s">
        <v>897</v>
      </c>
      <c r="B363" s="106" t="s">
        <v>1886</v>
      </c>
      <c r="C363" s="106" t="s">
        <v>8</v>
      </c>
      <c r="D363" s="103" t="str">
        <f>IF(MouserListTable[[#This Row],[Vendor]]=FilterSpecs!$A$8,MouserListTable[[#This Row],[Mouser SKU]], MouserListTable[[#This Row],[SKU2]])</f>
        <v>PRT-08231</v>
      </c>
      <c r="E363" s="104">
        <f>FilterSpecs!$C$3+1</f>
        <v>6</v>
      </c>
      <c r="F363" s="104" t="s">
        <v>18921</v>
      </c>
      <c r="G363" s="103" t="s">
        <v>1370</v>
      </c>
      <c r="H363" s="103" t="s">
        <v>1371</v>
      </c>
      <c r="I363" s="106" t="s">
        <v>1372</v>
      </c>
      <c r="J363" s="103">
        <v>1</v>
      </c>
      <c r="K363" s="104">
        <v>0.45</v>
      </c>
      <c r="L363" s="106" t="s">
        <v>1911</v>
      </c>
      <c r="M363" s="103"/>
      <c r="N363" s="104">
        <f t="shared" si="26"/>
        <v>2.7</v>
      </c>
      <c r="O363" s="106" t="s">
        <v>1369</v>
      </c>
      <c r="P363" s="103">
        <f t="shared" si="23"/>
        <v>350</v>
      </c>
      <c r="Q363" s="103">
        <f t="shared" si="24"/>
        <v>1</v>
      </c>
      <c r="R363" s="103" t="s">
        <v>8</v>
      </c>
      <c r="S363" s="103" t="str">
        <f>_xlfn.IFS(MouserListTable[[#This Row],[Column1]]=FilterSpecs!$A$6, FilterSpecs!$B$6,MouserListTable[[#This Row],[Column1]]=FilterSpecs!$A$7,FilterSpecs!$B$7,MouserListTable[[#This Row],[Column1]]=FilterSpecs!$A$8,FilterSpecs!$B$8,MouserListTable[[#This Row],[Column1]]=FilterSpecs!$A$9,FilterSpecs!$B$9)</f>
        <v>474-</v>
      </c>
      <c r="T36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474-PRT-08231</v>
      </c>
      <c r="V363" s="151" t="str">
        <f>IF(MouserListTable[[#This Row],[Qty.]]=0, 0, "")</f>
        <v/>
      </c>
    </row>
    <row r="364" spans="1:22" s="144" customFormat="1" x14ac:dyDescent="0.3">
      <c r="A364" s="106" t="s">
        <v>897</v>
      </c>
      <c r="B364" s="106" t="s">
        <v>1886</v>
      </c>
      <c r="C364" s="106" t="s">
        <v>8</v>
      </c>
      <c r="D364" s="103" t="str">
        <f>IF(MouserListTable[[#This Row],[Vendor]]=FilterSpecs!$A$8,MouserListTable[[#This Row],[Mouser SKU]], MouserListTable[[#This Row],[SKU2]])</f>
        <v>PRT-08097</v>
      </c>
      <c r="E364" s="104">
        <f>FilterSpecs!$C$3+1</f>
        <v>6</v>
      </c>
      <c r="F364" s="104" t="s">
        <v>18921</v>
      </c>
      <c r="G364" s="103" t="s">
        <v>1358</v>
      </c>
      <c r="H364" s="103" t="s">
        <v>1359</v>
      </c>
      <c r="I364" s="106" t="s">
        <v>1360</v>
      </c>
      <c r="J364" s="103">
        <v>1</v>
      </c>
      <c r="K364" s="104">
        <v>0.45</v>
      </c>
      <c r="L364" s="106" t="s">
        <v>1911</v>
      </c>
      <c r="M364" s="103"/>
      <c r="N364" s="104">
        <f t="shared" si="26"/>
        <v>2.7</v>
      </c>
      <c r="O364" s="106" t="s">
        <v>1357</v>
      </c>
      <c r="P364" s="103">
        <f t="shared" si="23"/>
        <v>351</v>
      </c>
      <c r="Q364" s="103">
        <f t="shared" si="24"/>
        <v>1</v>
      </c>
      <c r="R364" s="103" t="s">
        <v>8</v>
      </c>
      <c r="S364" s="103" t="str">
        <f>_xlfn.IFS(MouserListTable[[#This Row],[Column1]]=FilterSpecs!$A$6, FilterSpecs!$B$6,MouserListTable[[#This Row],[Column1]]=FilterSpecs!$A$7,FilterSpecs!$B$7,MouserListTable[[#This Row],[Column1]]=FilterSpecs!$A$8,FilterSpecs!$B$8,MouserListTable[[#This Row],[Column1]]=FilterSpecs!$A$9,FilterSpecs!$B$9)</f>
        <v>474-</v>
      </c>
      <c r="T36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474-PRT-08097</v>
      </c>
      <c r="V364" s="151" t="str">
        <f>IF(MouserListTable[[#This Row],[Qty.]]=0, 0, "")</f>
        <v/>
      </c>
    </row>
    <row r="365" spans="1:22" s="144" customFormat="1" x14ac:dyDescent="0.3">
      <c r="A365" s="106" t="s">
        <v>897</v>
      </c>
      <c r="B365" s="106" t="s">
        <v>1886</v>
      </c>
      <c r="C365" s="106" t="s">
        <v>8</v>
      </c>
      <c r="D365" s="103" t="str">
        <f>IF(MouserListTable[[#This Row],[Vendor]]=FilterSpecs!$A$8,MouserListTable[[#This Row],[Mouser SKU]], MouserListTable[[#This Row],[SKU2]])</f>
        <v>PRT-08100</v>
      </c>
      <c r="E365" s="104">
        <f>FilterSpecs!$C$3+1</f>
        <v>6</v>
      </c>
      <c r="F365" s="104" t="s">
        <v>18921</v>
      </c>
      <c r="G365" s="103" t="s">
        <v>2427</v>
      </c>
      <c r="H365" s="103" t="s">
        <v>2428</v>
      </c>
      <c r="I365" s="106" t="s">
        <v>2429</v>
      </c>
      <c r="J365" s="103">
        <v>1</v>
      </c>
      <c r="K365" s="104">
        <v>1.95</v>
      </c>
      <c r="L365" s="106" t="s">
        <v>1911</v>
      </c>
      <c r="M365" s="106"/>
      <c r="N365" s="104">
        <f t="shared" si="26"/>
        <v>11.7</v>
      </c>
      <c r="O365" s="106" t="s">
        <v>2426</v>
      </c>
      <c r="P365" s="103">
        <f t="shared" si="23"/>
        <v>352</v>
      </c>
      <c r="Q365" s="103">
        <f t="shared" si="24"/>
        <v>1</v>
      </c>
      <c r="R365" s="103" t="s">
        <v>8</v>
      </c>
      <c r="S365" s="103" t="str">
        <f>_xlfn.IFS(MouserListTable[[#This Row],[Column1]]=FilterSpecs!$A$6, FilterSpecs!$B$6,MouserListTable[[#This Row],[Column1]]=FilterSpecs!$A$7,FilterSpecs!$B$7,MouserListTable[[#This Row],[Column1]]=FilterSpecs!$A$8,FilterSpecs!$B$8,MouserListTable[[#This Row],[Column1]]=FilterSpecs!$A$9,FilterSpecs!$B$9)</f>
        <v>474-</v>
      </c>
      <c r="T36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474-PRT-08100</v>
      </c>
      <c r="V365" s="151" t="str">
        <f>IF(MouserListTable[[#This Row],[Qty.]]=0, 0, "")</f>
        <v/>
      </c>
    </row>
    <row r="366" spans="1:22" s="146" customFormat="1" x14ac:dyDescent="0.3">
      <c r="A366" s="106" t="s">
        <v>897</v>
      </c>
      <c r="B366" s="106" t="s">
        <v>1885</v>
      </c>
      <c r="C366" s="106" t="s">
        <v>8</v>
      </c>
      <c r="D366" s="103" t="str">
        <f>IF(MouserListTable[[#This Row],[Vendor]]=FilterSpecs!$A$8,MouserListTable[[#This Row],[Mouser SKU]], MouserListTable[[#This Row],[SKU2]])</f>
        <v>PRT-10651</v>
      </c>
      <c r="E366" s="104">
        <f>2*FilterSpecs!$C$3</f>
        <v>10</v>
      </c>
      <c r="F366" s="104" t="s">
        <v>18921</v>
      </c>
      <c r="G366" s="103" t="s">
        <v>1588</v>
      </c>
      <c r="H366" s="103" t="s">
        <v>1589</v>
      </c>
      <c r="I366" s="106" t="s">
        <v>1590</v>
      </c>
      <c r="J366" s="103">
        <v>1</v>
      </c>
      <c r="K366" s="104">
        <v>0.35</v>
      </c>
      <c r="L366" s="106" t="s">
        <v>1911</v>
      </c>
      <c r="M366" s="103"/>
      <c r="N366" s="104">
        <f t="shared" si="26"/>
        <v>3.5</v>
      </c>
      <c r="O366" s="106" t="s">
        <v>1587</v>
      </c>
      <c r="P366" s="103">
        <f t="shared" si="23"/>
        <v>353</v>
      </c>
      <c r="Q366" s="103">
        <f t="shared" si="24"/>
        <v>1</v>
      </c>
      <c r="R366" s="103" t="s">
        <v>8</v>
      </c>
      <c r="S366" s="103" t="str">
        <f>_xlfn.IFS(MouserListTable[[#This Row],[Column1]]=FilterSpecs!$A$6, FilterSpecs!$B$6,MouserListTable[[#This Row],[Column1]]=FilterSpecs!$A$7,FilterSpecs!$B$7,MouserListTable[[#This Row],[Column1]]=FilterSpecs!$A$8,FilterSpecs!$B$8,MouserListTable[[#This Row],[Column1]]=FilterSpecs!$A$9,FilterSpecs!$B$9)</f>
        <v>474-</v>
      </c>
      <c r="T36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474-PRT-10651</v>
      </c>
      <c r="V366" s="151" t="str">
        <f>IF(MouserListTable[[#This Row],[Qty.]]=0, 0, "")</f>
        <v/>
      </c>
    </row>
    <row r="367" spans="1:22" s="146" customFormat="1" x14ac:dyDescent="0.3">
      <c r="A367" s="106" t="s">
        <v>897</v>
      </c>
      <c r="B367" s="106" t="s">
        <v>1885</v>
      </c>
      <c r="C367" s="106" t="s">
        <v>8</v>
      </c>
      <c r="D367" s="103" t="str">
        <f>IF(MouserListTable[[#This Row],[Vendor]]=FilterSpecs!$A$8,MouserListTable[[#This Row],[Mouser SKU]], MouserListTable[[#This Row],[SKU2]])</f>
        <v>PRT-10650</v>
      </c>
      <c r="E367" s="104">
        <v>10</v>
      </c>
      <c r="F367" s="104" t="s">
        <v>18921</v>
      </c>
      <c r="G367" s="103" t="s">
        <v>1584</v>
      </c>
      <c r="H367" s="103" t="s">
        <v>1585</v>
      </c>
      <c r="I367" s="106" t="s">
        <v>1586</v>
      </c>
      <c r="J367" s="103">
        <v>1</v>
      </c>
      <c r="K367" s="104">
        <v>0.5</v>
      </c>
      <c r="L367" s="106" t="s">
        <v>1911</v>
      </c>
      <c r="M367" s="103"/>
      <c r="N367" s="104">
        <f t="shared" si="26"/>
        <v>5</v>
      </c>
      <c r="O367" s="106" t="s">
        <v>1583</v>
      </c>
      <c r="P367" s="103">
        <f t="shared" si="23"/>
        <v>354</v>
      </c>
      <c r="Q367" s="103">
        <f t="shared" si="24"/>
        <v>1</v>
      </c>
      <c r="R367" s="103" t="s">
        <v>8</v>
      </c>
      <c r="S367" s="103" t="str">
        <f>_xlfn.IFS(MouserListTable[[#This Row],[Column1]]=FilterSpecs!$A$6, FilterSpecs!$B$6,MouserListTable[[#This Row],[Column1]]=FilterSpecs!$A$7,FilterSpecs!$B$7,MouserListTable[[#This Row],[Column1]]=FilterSpecs!$A$8,FilterSpecs!$B$8,MouserListTable[[#This Row],[Column1]]=FilterSpecs!$A$9,FilterSpecs!$B$9)</f>
        <v>474-</v>
      </c>
      <c r="T36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474-PRT-10650</v>
      </c>
      <c r="V367" s="151" t="str">
        <f>IF(MouserListTable[[#This Row],[Qty.]]=0, 0, "")</f>
        <v/>
      </c>
    </row>
    <row r="368" spans="1:22" s="146" customFormat="1" x14ac:dyDescent="0.3">
      <c r="A368" s="146" t="s">
        <v>897</v>
      </c>
      <c r="B368" s="146" t="s">
        <v>1888</v>
      </c>
      <c r="C368" s="146" t="s">
        <v>8</v>
      </c>
      <c r="D368" s="103" t="str">
        <f>IF(MouserListTable[[#This Row],[Vendor]]=FilterSpecs!$A$8,MouserListTable[[#This Row],[Mouser SKU]], MouserListTable[[#This Row],[SKU2]])</f>
        <v>PRT-10571</v>
      </c>
      <c r="E368" s="104">
        <v>0</v>
      </c>
      <c r="F368" s="104">
        <v>0</v>
      </c>
      <c r="G368" s="103" t="s">
        <v>458</v>
      </c>
      <c r="H368" s="103" t="s">
        <v>459</v>
      </c>
      <c r="I368" s="106" t="s">
        <v>460</v>
      </c>
      <c r="J368" s="103">
        <v>1</v>
      </c>
      <c r="K368" s="104">
        <v>0.75</v>
      </c>
      <c r="L368" s="106" t="s">
        <v>1910</v>
      </c>
      <c r="M368" s="103"/>
      <c r="N368" s="148">
        <f t="shared" si="26"/>
        <v>0</v>
      </c>
      <c r="O368" s="106" t="s">
        <v>457</v>
      </c>
      <c r="P368" s="103">
        <f t="shared" si="23"/>
        <v>355</v>
      </c>
      <c r="Q368" s="103">
        <f t="shared" si="24"/>
        <v>1</v>
      </c>
      <c r="R368" s="103" t="s">
        <v>8</v>
      </c>
      <c r="S368" s="103" t="str">
        <f>_xlfn.IFS(MouserListTable[[#This Row],[Column1]]=FilterSpecs!$A$6, FilterSpecs!$B$6,MouserListTable[[#This Row],[Column1]]=FilterSpecs!$A$7,FilterSpecs!$B$7,MouserListTable[[#This Row],[Column1]]=FilterSpecs!$A$8,FilterSpecs!$B$8,MouserListTable[[#This Row],[Column1]]=FilterSpecs!$A$9,FilterSpecs!$B$9)</f>
        <v>474-</v>
      </c>
      <c r="T36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474-PRT-10571</v>
      </c>
      <c r="V368" s="151">
        <f>IF(MouserListTable[[#This Row],[Qty.]]=0, 0, "")</f>
        <v>0</v>
      </c>
    </row>
    <row r="369" spans="1:22" s="146" customFormat="1" x14ac:dyDescent="0.3">
      <c r="A369" s="106" t="s">
        <v>897</v>
      </c>
      <c r="B369" s="106" t="s">
        <v>1888</v>
      </c>
      <c r="C369" s="106" t="s">
        <v>8</v>
      </c>
      <c r="D369" s="103" t="str">
        <f>IF(MouserListTable[[#This Row],[Vendor]]=FilterSpecs!$A$8,MouserListTable[[#This Row],[Mouser SKU]], MouserListTable[[#This Row],[SKU2]])</f>
        <v>PRT-08432</v>
      </c>
      <c r="E369" s="104">
        <f>2*FilterSpecs!$C$3</f>
        <v>10</v>
      </c>
      <c r="F369" s="104" t="s">
        <v>18921</v>
      </c>
      <c r="G369" s="103" t="s">
        <v>902</v>
      </c>
      <c r="H369" s="103" t="s">
        <v>903</v>
      </c>
      <c r="I369" s="106" t="s">
        <v>904</v>
      </c>
      <c r="J369" s="103">
        <v>1</v>
      </c>
      <c r="K369" s="104">
        <v>0.95</v>
      </c>
      <c r="L369" s="106" t="s">
        <v>1911</v>
      </c>
      <c r="M369" s="103"/>
      <c r="N369" s="104">
        <f t="shared" si="26"/>
        <v>9.5</v>
      </c>
      <c r="O369" s="106" t="s">
        <v>901</v>
      </c>
      <c r="P369" s="103">
        <f t="shared" si="23"/>
        <v>356</v>
      </c>
      <c r="Q369" s="103">
        <f t="shared" si="24"/>
        <v>1</v>
      </c>
      <c r="R369" s="103" t="s">
        <v>8</v>
      </c>
      <c r="S369" s="103" t="str">
        <f>_xlfn.IFS(MouserListTable[[#This Row],[Column1]]=FilterSpecs!$A$6, FilterSpecs!$B$6,MouserListTable[[#This Row],[Column1]]=FilterSpecs!$A$7,FilterSpecs!$B$7,MouserListTable[[#This Row],[Column1]]=FilterSpecs!$A$8,FilterSpecs!$B$8,MouserListTable[[#This Row],[Column1]]=FilterSpecs!$A$9,FilterSpecs!$B$9)</f>
        <v>474-</v>
      </c>
      <c r="T36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474-PRT-08432</v>
      </c>
      <c r="V369" s="151" t="str">
        <f>IF(MouserListTable[[#This Row],[Qty.]]=0, 0, "")</f>
        <v/>
      </c>
    </row>
    <row r="370" spans="1:22" s="146" customFormat="1" x14ac:dyDescent="0.3">
      <c r="A370" s="106" t="s">
        <v>897</v>
      </c>
      <c r="B370" s="106" t="s">
        <v>1888</v>
      </c>
      <c r="C370" s="106" t="s">
        <v>8</v>
      </c>
      <c r="D370" s="103" t="str">
        <f>IF(MouserListTable[[#This Row],[Vendor]]=FilterSpecs!$A$8,MouserListTable[[#This Row],[Mouser SKU]], MouserListTable[[#This Row],[SKU2]])</f>
        <v>PRT-08433</v>
      </c>
      <c r="E370" s="104">
        <f>2*FilterSpecs!$C$3</f>
        <v>10</v>
      </c>
      <c r="F370" s="104" t="s">
        <v>18921</v>
      </c>
      <c r="G370" s="103" t="s">
        <v>1414</v>
      </c>
      <c r="H370" s="103" t="s">
        <v>1415</v>
      </c>
      <c r="I370" s="106" t="s">
        <v>1416</v>
      </c>
      <c r="J370" s="103">
        <v>1</v>
      </c>
      <c r="K370" s="104">
        <v>0.95</v>
      </c>
      <c r="L370" s="106" t="s">
        <v>1911</v>
      </c>
      <c r="M370" s="103"/>
      <c r="N370" s="104">
        <f t="shared" si="26"/>
        <v>9.5</v>
      </c>
      <c r="O370" s="106" t="s">
        <v>1413</v>
      </c>
      <c r="P370" s="103">
        <f t="shared" si="23"/>
        <v>357</v>
      </c>
      <c r="Q370" s="103">
        <f t="shared" si="24"/>
        <v>1</v>
      </c>
      <c r="R370" s="103" t="s">
        <v>8</v>
      </c>
      <c r="S370" s="103" t="str">
        <f>_xlfn.IFS(MouserListTable[[#This Row],[Column1]]=FilterSpecs!$A$6, FilterSpecs!$B$6,MouserListTable[[#This Row],[Column1]]=FilterSpecs!$A$7,FilterSpecs!$B$7,MouserListTable[[#This Row],[Column1]]=FilterSpecs!$A$8,FilterSpecs!$B$8,MouserListTable[[#This Row],[Column1]]=FilterSpecs!$A$9,FilterSpecs!$B$9)</f>
        <v>474-</v>
      </c>
      <c r="T37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474-PRT-08433</v>
      </c>
      <c r="V370" s="151" t="str">
        <f>IF(MouserListTable[[#This Row],[Qty.]]=0, 0, "")</f>
        <v/>
      </c>
    </row>
    <row r="371" spans="1:22" s="146" customFormat="1" x14ac:dyDescent="0.3">
      <c r="A371" s="146" t="s">
        <v>897</v>
      </c>
      <c r="B371" s="146" t="s">
        <v>1888</v>
      </c>
      <c r="C371" s="146" t="s">
        <v>8</v>
      </c>
      <c r="D371" s="103" t="str">
        <f>IF(MouserListTable[[#This Row],[Vendor]]=FilterSpecs!$A$8,MouserListTable[[#This Row],[Mouser SKU]], MouserListTable[[#This Row],[SKU2]])</f>
        <v>PRT-08073</v>
      </c>
      <c r="E371" s="104">
        <v>0</v>
      </c>
      <c r="F371" s="104">
        <v>0</v>
      </c>
      <c r="G371" s="103" t="s">
        <v>1378</v>
      </c>
      <c r="H371" s="103" t="s">
        <v>1379</v>
      </c>
      <c r="I371" s="106" t="s">
        <v>1380</v>
      </c>
      <c r="J371" s="103">
        <v>1</v>
      </c>
      <c r="K371" s="104">
        <v>1.5</v>
      </c>
      <c r="L371" s="106" t="s">
        <v>1910</v>
      </c>
      <c r="M371" s="103"/>
      <c r="N371" s="148">
        <f t="shared" si="26"/>
        <v>0</v>
      </c>
      <c r="O371" s="106" t="s">
        <v>1377</v>
      </c>
      <c r="P371" s="103">
        <f t="shared" si="23"/>
        <v>358</v>
      </c>
      <c r="Q371" s="103">
        <f t="shared" si="24"/>
        <v>1</v>
      </c>
      <c r="R371" s="103" t="s">
        <v>8</v>
      </c>
      <c r="S371" s="103" t="str">
        <f>_xlfn.IFS(MouserListTable[[#This Row],[Column1]]=FilterSpecs!$A$6, FilterSpecs!$B$6,MouserListTable[[#This Row],[Column1]]=FilterSpecs!$A$7,FilterSpecs!$B$7,MouserListTable[[#This Row],[Column1]]=FilterSpecs!$A$8,FilterSpecs!$B$8,MouserListTable[[#This Row],[Column1]]=FilterSpecs!$A$9,FilterSpecs!$B$9)</f>
        <v>474-</v>
      </c>
      <c r="T37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474-PRT-08073</v>
      </c>
      <c r="V371" s="151">
        <f>IF(MouserListTable[[#This Row],[Qty.]]=0, 0, "")</f>
        <v>0</v>
      </c>
    </row>
    <row r="372" spans="1:22" s="144" customFormat="1" x14ac:dyDescent="0.3">
      <c r="A372" s="146" t="s">
        <v>897</v>
      </c>
      <c r="B372" s="146" t="s">
        <v>1888</v>
      </c>
      <c r="C372" s="146" t="s">
        <v>8</v>
      </c>
      <c r="D372" s="103" t="str">
        <f>IF(MouserListTable[[#This Row],[Vendor]]=FilterSpecs!$A$8,MouserListTable[[#This Row],[Mouser SKU]], MouserListTable[[#This Row],[SKU2]])</f>
        <v>PRT-08074</v>
      </c>
      <c r="E372" s="104">
        <v>0</v>
      </c>
      <c r="F372" s="104">
        <v>0</v>
      </c>
      <c r="G372" s="103" t="s">
        <v>1418</v>
      </c>
      <c r="H372" s="103" t="s">
        <v>1419</v>
      </c>
      <c r="I372" s="106" t="s">
        <v>1420</v>
      </c>
      <c r="J372" s="103">
        <v>1</v>
      </c>
      <c r="K372" s="104">
        <v>1.5</v>
      </c>
      <c r="L372" s="106" t="s">
        <v>1910</v>
      </c>
      <c r="M372" s="103"/>
      <c r="N372" s="148">
        <f t="shared" si="26"/>
        <v>0</v>
      </c>
      <c r="O372" s="106" t="s">
        <v>1417</v>
      </c>
      <c r="P372" s="103">
        <f t="shared" si="23"/>
        <v>359</v>
      </c>
      <c r="Q372" s="103">
        <f t="shared" si="24"/>
        <v>1</v>
      </c>
      <c r="R372" s="103" t="s">
        <v>8</v>
      </c>
      <c r="S372" s="103" t="str">
        <f>_xlfn.IFS(MouserListTable[[#This Row],[Column1]]=FilterSpecs!$A$6, FilterSpecs!$B$6,MouserListTable[[#This Row],[Column1]]=FilterSpecs!$A$7,FilterSpecs!$B$7,MouserListTable[[#This Row],[Column1]]=FilterSpecs!$A$8,FilterSpecs!$B$8,MouserListTable[[#This Row],[Column1]]=FilterSpecs!$A$9,FilterSpecs!$B$9)</f>
        <v>474-</v>
      </c>
      <c r="T37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474-PRT-08074</v>
      </c>
      <c r="V372" s="151">
        <f>IF(MouserListTable[[#This Row],[Qty.]]=0, 0, "")</f>
        <v>0</v>
      </c>
    </row>
    <row r="373" spans="1:22" s="144" customFormat="1" x14ac:dyDescent="0.3">
      <c r="A373" s="146" t="s">
        <v>897</v>
      </c>
      <c r="B373" s="146" t="s">
        <v>1888</v>
      </c>
      <c r="C373" s="146" t="s">
        <v>8</v>
      </c>
      <c r="D373" s="103" t="str">
        <f>IF(MouserListTable[[#This Row],[Vendor]]=FilterSpecs!$A$8,MouserListTable[[#This Row],[Mouser SKU]], MouserListTable[[#This Row],[SKU2]])</f>
        <v>PRT-08075</v>
      </c>
      <c r="E373" s="104">
        <v>0</v>
      </c>
      <c r="F373" s="104">
        <v>0</v>
      </c>
      <c r="G373" s="103" t="s">
        <v>454</v>
      </c>
      <c r="H373" s="103" t="s">
        <v>455</v>
      </c>
      <c r="I373" s="106" t="s">
        <v>456</v>
      </c>
      <c r="J373" s="103">
        <v>1</v>
      </c>
      <c r="K373" s="104">
        <v>1.5</v>
      </c>
      <c r="L373" s="106" t="s">
        <v>1910</v>
      </c>
      <c r="M373" s="103"/>
      <c r="N373" s="148">
        <f t="shared" si="26"/>
        <v>0</v>
      </c>
      <c r="O373" s="106" t="s">
        <v>453</v>
      </c>
      <c r="P373" s="103">
        <f t="shared" si="23"/>
        <v>360</v>
      </c>
      <c r="Q373" s="103">
        <f t="shared" si="24"/>
        <v>1</v>
      </c>
      <c r="R373" s="103" t="s">
        <v>8</v>
      </c>
      <c r="S373" s="103" t="str">
        <f>_xlfn.IFS(MouserListTable[[#This Row],[Column1]]=FilterSpecs!$A$6, FilterSpecs!$B$6,MouserListTable[[#This Row],[Column1]]=FilterSpecs!$A$7,FilterSpecs!$B$7,MouserListTable[[#This Row],[Column1]]=FilterSpecs!$A$8,FilterSpecs!$B$8,MouserListTable[[#This Row],[Column1]]=FilterSpecs!$A$9,FilterSpecs!$B$9)</f>
        <v>474-</v>
      </c>
      <c r="T37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474-PRT-08075</v>
      </c>
      <c r="V373" s="151">
        <f>IF(MouserListTable[[#This Row],[Qty.]]=0, 0, "")</f>
        <v>0</v>
      </c>
    </row>
    <row r="374" spans="1:22" s="144" customFormat="1" x14ac:dyDescent="0.3">
      <c r="A374" s="106" t="s">
        <v>897</v>
      </c>
      <c r="B374" s="106" t="s">
        <v>1888</v>
      </c>
      <c r="C374" s="106" t="s">
        <v>8</v>
      </c>
      <c r="D374" s="103" t="str">
        <f>IF(MouserListTable[[#This Row],[Vendor]]=FilterSpecs!$A$8,MouserListTable[[#This Row],[Mouser SKU]], MouserListTable[[#This Row],[SKU2]])</f>
        <v>PRT-08077</v>
      </c>
      <c r="E374" s="104">
        <v>2</v>
      </c>
      <c r="F374" s="104" t="s">
        <v>18921</v>
      </c>
      <c r="G374" s="103" t="s">
        <v>450</v>
      </c>
      <c r="H374" s="103" t="s">
        <v>451</v>
      </c>
      <c r="I374" s="106" t="s">
        <v>452</v>
      </c>
      <c r="J374" s="103">
        <v>1</v>
      </c>
      <c r="K374" s="104">
        <v>1.5</v>
      </c>
      <c r="L374" s="106" t="s">
        <v>1910</v>
      </c>
      <c r="M374" s="103"/>
      <c r="N374" s="104">
        <f t="shared" si="26"/>
        <v>3</v>
      </c>
      <c r="O374" s="106" t="s">
        <v>449</v>
      </c>
      <c r="P374" s="103">
        <f t="shared" si="23"/>
        <v>361</v>
      </c>
      <c r="Q374" s="103">
        <f t="shared" si="24"/>
        <v>1</v>
      </c>
      <c r="R374" s="103" t="s">
        <v>8</v>
      </c>
      <c r="S374" s="103" t="str">
        <f>_xlfn.IFS(MouserListTable[[#This Row],[Column1]]=FilterSpecs!$A$6, FilterSpecs!$B$6,MouserListTable[[#This Row],[Column1]]=FilterSpecs!$A$7,FilterSpecs!$B$7,MouserListTable[[#This Row],[Column1]]=FilterSpecs!$A$8,FilterSpecs!$B$8,MouserListTable[[#This Row],[Column1]]=FilterSpecs!$A$9,FilterSpecs!$B$9)</f>
        <v>474-</v>
      </c>
      <c r="T37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474-PRT-08077</v>
      </c>
      <c r="V374" s="151" t="str">
        <f>IF(MouserListTable[[#This Row],[Qty.]]=0, 0, "")</f>
        <v/>
      </c>
    </row>
    <row r="375" spans="1:22" s="144" customFormat="1" x14ac:dyDescent="0.3">
      <c r="A375" s="146" t="s">
        <v>897</v>
      </c>
      <c r="B375" s="146" t="s">
        <v>1887</v>
      </c>
      <c r="C375" s="146" t="s">
        <v>8</v>
      </c>
      <c r="D375" s="103" t="str">
        <f>IF(MouserListTable[[#This Row],[Vendor]]=FilterSpecs!$A$8,MouserListTable[[#This Row],[Mouser SKU]], MouserListTable[[#This Row],[SKU2]])</f>
        <v>PRT-00139</v>
      </c>
      <c r="E375" s="104">
        <v>0</v>
      </c>
      <c r="F375" s="104">
        <v>0</v>
      </c>
      <c r="G375" s="103" t="s">
        <v>1670</v>
      </c>
      <c r="H375" s="103" t="s">
        <v>1671</v>
      </c>
      <c r="I375" s="106" t="s">
        <v>1672</v>
      </c>
      <c r="J375" s="103">
        <v>1</v>
      </c>
      <c r="K375" s="104">
        <v>1.25</v>
      </c>
      <c r="L375" s="106" t="s">
        <v>1910</v>
      </c>
      <c r="M375" s="103"/>
      <c r="N375" s="148">
        <f t="shared" si="26"/>
        <v>0</v>
      </c>
      <c r="O375" s="106" t="s">
        <v>1669</v>
      </c>
      <c r="P375" s="103">
        <f t="shared" si="23"/>
        <v>362</v>
      </c>
      <c r="Q375" s="103">
        <f t="shared" si="24"/>
        <v>1</v>
      </c>
      <c r="R375" s="103" t="s">
        <v>8</v>
      </c>
      <c r="S375" s="103" t="str">
        <f>_xlfn.IFS(MouserListTable[[#This Row],[Column1]]=FilterSpecs!$A$6, FilterSpecs!$B$6,MouserListTable[[#This Row],[Column1]]=FilterSpecs!$A$7,FilterSpecs!$B$7,MouserListTable[[#This Row],[Column1]]=FilterSpecs!$A$8,FilterSpecs!$B$8,MouserListTable[[#This Row],[Column1]]=FilterSpecs!$A$9,FilterSpecs!$B$9)</f>
        <v>474-</v>
      </c>
      <c r="T37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474-PRT-00139</v>
      </c>
      <c r="V375" s="151">
        <f>IF(MouserListTable[[#This Row],[Qty.]]=0, 0, "")</f>
        <v>0</v>
      </c>
    </row>
    <row r="376" spans="1:22" s="144" customFormat="1" x14ac:dyDescent="0.3">
      <c r="A376" s="146" t="s">
        <v>897</v>
      </c>
      <c r="B376" s="146" t="s">
        <v>1887</v>
      </c>
      <c r="C376" s="146" t="s">
        <v>8</v>
      </c>
      <c r="D376" s="103" t="str">
        <f>IF(MouserListTable[[#This Row],[Vendor]]=FilterSpecs!$A$8,MouserListTable[[#This Row],[Mouser SKU]], MouserListTable[[#This Row],[SKU2]])</f>
        <v>BOB-12035</v>
      </c>
      <c r="E376" s="104">
        <v>0</v>
      </c>
      <c r="F376" s="104">
        <v>0</v>
      </c>
      <c r="G376" s="103" t="s">
        <v>1722</v>
      </c>
      <c r="H376" s="103" t="s">
        <v>1723</v>
      </c>
      <c r="I376" s="106" t="s">
        <v>1724</v>
      </c>
      <c r="J376" s="103">
        <v>1</v>
      </c>
      <c r="K376" s="104">
        <v>1.95</v>
      </c>
      <c r="L376" s="106" t="s">
        <v>1910</v>
      </c>
      <c r="M376" s="103"/>
      <c r="N376" s="148">
        <f t="shared" si="26"/>
        <v>0</v>
      </c>
      <c r="O376" s="106" t="s">
        <v>1721</v>
      </c>
      <c r="P376" s="103">
        <f t="shared" si="23"/>
        <v>363</v>
      </c>
      <c r="Q376" s="103">
        <f t="shared" si="24"/>
        <v>1</v>
      </c>
      <c r="R376" s="103" t="s">
        <v>8</v>
      </c>
      <c r="S376" s="103" t="str">
        <f>_xlfn.IFS(MouserListTable[[#This Row],[Column1]]=FilterSpecs!$A$6, FilterSpecs!$B$6,MouserListTable[[#This Row],[Column1]]=FilterSpecs!$A$7,FilterSpecs!$B$7,MouserListTable[[#This Row],[Column1]]=FilterSpecs!$A$8,FilterSpecs!$B$8,MouserListTable[[#This Row],[Column1]]=FilterSpecs!$A$9,FilterSpecs!$B$9)</f>
        <v>474-</v>
      </c>
      <c r="T37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474-BOB-12035</v>
      </c>
      <c r="V376" s="151">
        <f>IF(MouserListTable[[#This Row],[Qty.]]=0, 0, "")</f>
        <v>0</v>
      </c>
    </row>
    <row r="377" spans="1:22" s="144" customFormat="1" x14ac:dyDescent="0.3">
      <c r="A377" s="146" t="s">
        <v>897</v>
      </c>
      <c r="B377" s="146" t="s">
        <v>1887</v>
      </c>
      <c r="C377" s="146" t="s">
        <v>8</v>
      </c>
      <c r="D377" s="103" t="str">
        <f>IF(MouserListTable[[#This Row],[Vendor]]=FilterSpecs!$A$8,MouserListTable[[#This Row],[Mouser SKU]], MouserListTable[[#This Row],[SKU2]])</f>
        <v>BOB-10031</v>
      </c>
      <c r="E377" s="104">
        <v>0</v>
      </c>
      <c r="F377" s="104">
        <v>0</v>
      </c>
      <c r="G377" s="103" t="s">
        <v>1726</v>
      </c>
      <c r="H377" s="103" t="s">
        <v>1727</v>
      </c>
      <c r="I377" s="106" t="s">
        <v>1728</v>
      </c>
      <c r="J377" s="103">
        <v>1</v>
      </c>
      <c r="K377" s="104">
        <v>3.95</v>
      </c>
      <c r="L377" s="106" t="s">
        <v>1910</v>
      </c>
      <c r="M377" s="103"/>
      <c r="N377" s="148">
        <f t="shared" si="26"/>
        <v>0</v>
      </c>
      <c r="O377" s="106" t="s">
        <v>1725</v>
      </c>
      <c r="P377" s="103">
        <f t="shared" si="23"/>
        <v>364</v>
      </c>
      <c r="Q377" s="103">
        <f t="shared" si="24"/>
        <v>1</v>
      </c>
      <c r="R377" s="103" t="s">
        <v>8</v>
      </c>
      <c r="S377" s="103" t="str">
        <f>_xlfn.IFS(MouserListTable[[#This Row],[Column1]]=FilterSpecs!$A$6, FilterSpecs!$B$6,MouserListTable[[#This Row],[Column1]]=FilterSpecs!$A$7,FilterSpecs!$B$7,MouserListTable[[#This Row],[Column1]]=FilterSpecs!$A$8,FilterSpecs!$B$8,MouserListTable[[#This Row],[Column1]]=FilterSpecs!$A$9,FilterSpecs!$B$9)</f>
        <v>474-</v>
      </c>
      <c r="T37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474-BOB-10031</v>
      </c>
      <c r="V377" s="151">
        <f>IF(MouserListTable[[#This Row],[Qty.]]=0, 0, "")</f>
        <v>0</v>
      </c>
    </row>
    <row r="378" spans="1:22" s="144" customFormat="1" x14ac:dyDescent="0.3">
      <c r="A378" s="146" t="s">
        <v>897</v>
      </c>
      <c r="B378" s="146" t="s">
        <v>1887</v>
      </c>
      <c r="C378" s="146" t="s">
        <v>8</v>
      </c>
      <c r="D378" s="103" t="str">
        <f>IF(MouserListTable[[#This Row],[Vendor]]=FilterSpecs!$A$8,MouserListTable[[#This Row],[Mouser SKU]], MouserListTable[[#This Row],[SKU2]])</f>
        <v>BOB-09966</v>
      </c>
      <c r="E378" s="104">
        <v>0</v>
      </c>
      <c r="F378" s="104">
        <v>0</v>
      </c>
      <c r="G378" s="103" t="s">
        <v>1718</v>
      </c>
      <c r="H378" s="103" t="s">
        <v>1719</v>
      </c>
      <c r="I378" s="106" t="s">
        <v>1720</v>
      </c>
      <c r="J378" s="103">
        <v>1</v>
      </c>
      <c r="K378" s="104">
        <v>1.95</v>
      </c>
      <c r="L378" s="106" t="s">
        <v>1910</v>
      </c>
      <c r="M378" s="103"/>
      <c r="N378" s="148">
        <f t="shared" si="26"/>
        <v>0</v>
      </c>
      <c r="O378" s="106" t="s">
        <v>1717</v>
      </c>
      <c r="P378" s="103">
        <f t="shared" si="23"/>
        <v>365</v>
      </c>
      <c r="Q378" s="103">
        <f t="shared" si="24"/>
        <v>1</v>
      </c>
      <c r="R378" s="103" t="s">
        <v>8</v>
      </c>
      <c r="S378" s="103" t="str">
        <f>_xlfn.IFS(MouserListTable[[#This Row],[Column1]]=FilterSpecs!$A$6, FilterSpecs!$B$6,MouserListTable[[#This Row],[Column1]]=FilterSpecs!$A$7,FilterSpecs!$B$7,MouserListTable[[#This Row],[Column1]]=FilterSpecs!$A$8,FilterSpecs!$B$8,MouserListTable[[#This Row],[Column1]]=FilterSpecs!$A$9,FilterSpecs!$B$9)</f>
        <v>474-</v>
      </c>
      <c r="T37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474-BOB-09966</v>
      </c>
      <c r="V378" s="151">
        <f>IF(MouserListTable[[#This Row],[Qty.]]=0, 0, "")</f>
        <v>0</v>
      </c>
    </row>
    <row r="379" spans="1:22" s="144" customFormat="1" x14ac:dyDescent="0.3">
      <c r="A379" s="146" t="s">
        <v>897</v>
      </c>
      <c r="B379" s="146" t="s">
        <v>1889</v>
      </c>
      <c r="C379" s="146" t="s">
        <v>8</v>
      </c>
      <c r="D379" s="103" t="str">
        <f>IF(MouserListTable[[#This Row],[Vendor]]=FilterSpecs!$A$8,MouserListTable[[#This Row],[Mouser SKU]], MouserListTable[[#This Row],[SKU2]])</f>
        <v>COM-14194</v>
      </c>
      <c r="E379" s="104">
        <v>0</v>
      </c>
      <c r="F379" s="104">
        <v>0</v>
      </c>
      <c r="G379" s="103" t="s">
        <v>704</v>
      </c>
      <c r="H379" s="103" t="s">
        <v>705</v>
      </c>
      <c r="I379" s="106" t="s">
        <v>706</v>
      </c>
      <c r="J379" s="103">
        <v>1</v>
      </c>
      <c r="K379" s="104">
        <v>1.95</v>
      </c>
      <c r="L379" s="106" t="s">
        <v>1910</v>
      </c>
      <c r="M379" s="103"/>
      <c r="N379" s="148">
        <f t="shared" si="26"/>
        <v>0</v>
      </c>
      <c r="O379" s="106" t="s">
        <v>703</v>
      </c>
      <c r="P379" s="103">
        <f t="shared" si="23"/>
        <v>366</v>
      </c>
      <c r="Q379" s="103">
        <f t="shared" si="24"/>
        <v>1</v>
      </c>
      <c r="R379" s="103" t="s">
        <v>8</v>
      </c>
      <c r="S379" s="103" t="str">
        <f>_xlfn.IFS(MouserListTable[[#This Row],[Column1]]=FilterSpecs!$A$6, FilterSpecs!$B$6,MouserListTable[[#This Row],[Column1]]=FilterSpecs!$A$7,FilterSpecs!$B$7,MouserListTable[[#This Row],[Column1]]=FilterSpecs!$A$8,FilterSpecs!$B$8,MouserListTable[[#This Row],[Column1]]=FilterSpecs!$A$9,FilterSpecs!$B$9)</f>
        <v>474-</v>
      </c>
      <c r="T37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474-COM-14194</v>
      </c>
      <c r="V379" s="151">
        <f>IF(MouserListTable[[#This Row],[Qty.]]=0, 0, "")</f>
        <v>0</v>
      </c>
    </row>
    <row r="380" spans="1:22" s="144" customFormat="1" x14ac:dyDescent="0.3">
      <c r="A380" s="106" t="s">
        <v>897</v>
      </c>
      <c r="B380" s="106" t="s">
        <v>1889</v>
      </c>
      <c r="C380" s="106" t="s">
        <v>8</v>
      </c>
      <c r="D380" s="103" t="str">
        <f>IF(MouserListTable[[#This Row],[Vendor]]=FilterSpecs!$A$8,MouserListTable[[#This Row],[Mouser SKU]], MouserListTable[[#This Row],[SKU2]])</f>
        <v>COM-14195</v>
      </c>
      <c r="E380" s="104">
        <f>E133+E134+E135+E136+E137+E138+E139+E140+E141+E142+E143+E144</f>
        <v>9</v>
      </c>
      <c r="F380" s="104" t="s">
        <v>18921</v>
      </c>
      <c r="G380" s="103" t="s">
        <v>700</v>
      </c>
      <c r="H380" s="103" t="s">
        <v>701</v>
      </c>
      <c r="I380" s="106" t="s">
        <v>702</v>
      </c>
      <c r="J380" s="103">
        <v>1</v>
      </c>
      <c r="K380" s="104">
        <v>1.95</v>
      </c>
      <c r="L380" s="106" t="s">
        <v>1911</v>
      </c>
      <c r="M380" s="103"/>
      <c r="N380" s="104">
        <f t="shared" si="26"/>
        <v>17.55</v>
      </c>
      <c r="O380" s="106" t="s">
        <v>699</v>
      </c>
      <c r="P380" s="103">
        <f t="shared" si="23"/>
        <v>367</v>
      </c>
      <c r="Q380" s="103">
        <f t="shared" si="24"/>
        <v>1</v>
      </c>
      <c r="R380" s="103" t="s">
        <v>8</v>
      </c>
      <c r="S380" s="103" t="str">
        <f>_xlfn.IFS(MouserListTable[[#This Row],[Column1]]=FilterSpecs!$A$6, FilterSpecs!$B$6,MouserListTable[[#This Row],[Column1]]=FilterSpecs!$A$7,FilterSpecs!$B$7,MouserListTable[[#This Row],[Column1]]=FilterSpecs!$A$8,FilterSpecs!$B$8,MouserListTable[[#This Row],[Column1]]=FilterSpecs!$A$9,FilterSpecs!$B$9)</f>
        <v>474-</v>
      </c>
      <c r="T38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474-COM-14195</v>
      </c>
      <c r="V380" s="151" t="str">
        <f>IF(MouserListTable[[#This Row],[Qty.]]=0, 0, "")</f>
        <v/>
      </c>
    </row>
    <row r="381" spans="1:22" s="146" customFormat="1" x14ac:dyDescent="0.3">
      <c r="A381" s="146" t="s">
        <v>897</v>
      </c>
      <c r="B381" s="146" t="s">
        <v>1889</v>
      </c>
      <c r="C381" s="146" t="s">
        <v>8</v>
      </c>
      <c r="D381" s="103" t="str">
        <f>IF(MouserListTable[[#This Row],[Vendor]]=FilterSpecs!$A$8,MouserListTable[[#This Row],[Mouser SKU]], MouserListTable[[#This Row],[SKU2]])</f>
        <v>PRT-09044</v>
      </c>
      <c r="E381" s="104">
        <v>0</v>
      </c>
      <c r="F381" s="104">
        <v>0</v>
      </c>
      <c r="G381" s="103" t="s">
        <v>752</v>
      </c>
      <c r="H381" s="103" t="s">
        <v>753</v>
      </c>
      <c r="I381" s="106" t="s">
        <v>754</v>
      </c>
      <c r="J381" s="103">
        <v>1</v>
      </c>
      <c r="K381" s="104">
        <v>0.35</v>
      </c>
      <c r="L381" s="106" t="s">
        <v>1910</v>
      </c>
      <c r="M381" s="103"/>
      <c r="N381" s="148">
        <f t="shared" si="26"/>
        <v>0</v>
      </c>
      <c r="O381" s="106" t="s">
        <v>751</v>
      </c>
      <c r="P381" s="103">
        <f t="shared" si="23"/>
        <v>368</v>
      </c>
      <c r="Q381" s="103">
        <f t="shared" si="24"/>
        <v>1</v>
      </c>
      <c r="R381" s="103" t="s">
        <v>8</v>
      </c>
      <c r="S381" s="103" t="str">
        <f>_xlfn.IFS(MouserListTable[[#This Row],[Column1]]=FilterSpecs!$A$6, FilterSpecs!$B$6,MouserListTable[[#This Row],[Column1]]=FilterSpecs!$A$7,FilterSpecs!$B$7,MouserListTable[[#This Row],[Column1]]=FilterSpecs!$A$8,FilterSpecs!$B$8,MouserListTable[[#This Row],[Column1]]=FilterSpecs!$A$9,FilterSpecs!$B$9)</f>
        <v>474-</v>
      </c>
      <c r="T38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474-PRT-09044</v>
      </c>
      <c r="V381" s="151">
        <f>IF(MouserListTable[[#This Row],[Qty.]]=0, 0, "")</f>
        <v>0</v>
      </c>
    </row>
    <row r="382" spans="1:22" s="146" customFormat="1" x14ac:dyDescent="0.3">
      <c r="A382" s="106" t="s">
        <v>897</v>
      </c>
      <c r="B382" s="106" t="s">
        <v>1889</v>
      </c>
      <c r="C382" s="106" t="s">
        <v>1898</v>
      </c>
      <c r="D382" s="103">
        <f>IF(MouserListTable[[#This Row],[Vendor]]=FilterSpecs!$A$8,MouserListTable[[#This Row],[Mouser SKU]], MouserListTable[[#This Row],[SKU2]])</f>
        <v>3525</v>
      </c>
      <c r="E382" s="104">
        <v>1</v>
      </c>
      <c r="F382" s="104" t="s">
        <v>18921</v>
      </c>
      <c r="G382" s="103"/>
      <c r="H382" s="103"/>
      <c r="I382" s="106" t="s">
        <v>2150</v>
      </c>
      <c r="K382" s="104">
        <v>0.95</v>
      </c>
      <c r="L382" s="106" t="s">
        <v>1910</v>
      </c>
      <c r="M382" s="106"/>
      <c r="N382" s="104">
        <f t="shared" si="26"/>
        <v>0.95</v>
      </c>
      <c r="O382" s="106">
        <v>3525</v>
      </c>
      <c r="P382" s="103">
        <f t="shared" si="23"/>
        <v>369</v>
      </c>
      <c r="Q382" s="103">
        <f t="shared" si="24"/>
        <v>1</v>
      </c>
      <c r="R382" s="103" t="s">
        <v>1898</v>
      </c>
      <c r="S382" s="103" t="str">
        <f>_xlfn.IFS(MouserListTable[[#This Row],[Column1]]=FilterSpecs!$A$6, FilterSpecs!$B$6,MouserListTable[[#This Row],[Column1]]=FilterSpecs!$A$7,FilterSpecs!$B$7,MouserListTable[[#This Row],[Column1]]=FilterSpecs!$A$8,FilterSpecs!$B$8,MouserListTable[[#This Row],[Column1]]=FilterSpecs!$A$9,FilterSpecs!$B$9)</f>
        <v>485-</v>
      </c>
      <c r="T38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485-3525</v>
      </c>
      <c r="V382" s="151" t="str">
        <f>IF(MouserListTable[[#This Row],[Qty.]]=0, 0, "")</f>
        <v/>
      </c>
    </row>
    <row r="383" spans="1:22" s="146" customFormat="1" x14ac:dyDescent="0.3">
      <c r="A383" s="126" t="s">
        <v>897</v>
      </c>
      <c r="B383" s="146" t="s">
        <v>1617</v>
      </c>
      <c r="C383" s="146" t="s">
        <v>8</v>
      </c>
      <c r="D383" s="103" t="str">
        <f>IF(MouserListTable[[#This Row],[Vendor]]=FilterSpecs!$A$8,MouserListTable[[#This Row],[Mouser SKU]], MouserListTable[[#This Row],[SKU2]])</f>
        <v>KIT-13973</v>
      </c>
      <c r="E383" s="104">
        <v>0</v>
      </c>
      <c r="F383" s="104">
        <v>0</v>
      </c>
      <c r="G383" s="103" t="s">
        <v>368</v>
      </c>
      <c r="H383" s="103" t="s">
        <v>369</v>
      </c>
      <c r="I383" s="106" t="s">
        <v>370</v>
      </c>
      <c r="J383" s="103">
        <v>1</v>
      </c>
      <c r="K383" s="104">
        <v>14.95</v>
      </c>
      <c r="L383" s="106" t="s">
        <v>1913</v>
      </c>
      <c r="M383" s="103"/>
      <c r="N383" s="148">
        <f t="shared" si="26"/>
        <v>0</v>
      </c>
      <c r="O383" s="106" t="s">
        <v>367</v>
      </c>
      <c r="P383" s="103">
        <f t="shared" si="23"/>
        <v>370</v>
      </c>
      <c r="Q383" s="103">
        <f t="shared" si="24"/>
        <v>1</v>
      </c>
      <c r="R383" s="103" t="s">
        <v>8</v>
      </c>
      <c r="S383" s="103" t="str">
        <f>_xlfn.IFS(MouserListTable[[#This Row],[Column1]]=FilterSpecs!$A$6, FilterSpecs!$B$6,MouserListTable[[#This Row],[Column1]]=FilterSpecs!$A$7,FilterSpecs!$B$7,MouserListTable[[#This Row],[Column1]]=FilterSpecs!$A$8,FilterSpecs!$B$8,MouserListTable[[#This Row],[Column1]]=FilterSpecs!$A$9,FilterSpecs!$B$9)</f>
        <v>474-</v>
      </c>
      <c r="T38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474-KIT-13973</v>
      </c>
      <c r="V383" s="151">
        <f>IF(MouserListTable[[#This Row],[Qty.]]=0, 0, "")</f>
        <v>0</v>
      </c>
    </row>
    <row r="384" spans="1:22" s="146" customFormat="1" x14ac:dyDescent="0.3">
      <c r="A384" s="103" t="s">
        <v>897</v>
      </c>
      <c r="B384" s="106" t="s">
        <v>1617</v>
      </c>
      <c r="C384" s="106" t="s">
        <v>1898</v>
      </c>
      <c r="D384" s="103" t="str">
        <f>IF(MouserListTable[[#This Row],[Vendor]]=FilterSpecs!$A$8,MouserListTable[[#This Row],[Mouser SKU]], MouserListTable[[#This Row],[SKU2]])</f>
        <v>2975</v>
      </c>
      <c r="E384" s="104">
        <v>1</v>
      </c>
      <c r="F384" s="104" t="s">
        <v>18921</v>
      </c>
      <c r="G384" s="103"/>
      <c r="H384" s="103"/>
      <c r="I384" s="106" t="s">
        <v>2154</v>
      </c>
      <c r="K384" s="104">
        <v>19.95</v>
      </c>
      <c r="L384" s="106" t="s">
        <v>1910</v>
      </c>
      <c r="M384" s="106"/>
      <c r="N384" s="104">
        <f t="shared" si="26"/>
        <v>19.95</v>
      </c>
      <c r="O384" s="106" t="s">
        <v>2153</v>
      </c>
      <c r="P384" s="103">
        <f t="shared" si="23"/>
        <v>371</v>
      </c>
      <c r="Q384" s="103">
        <f t="shared" si="24"/>
        <v>1</v>
      </c>
      <c r="R384" s="103" t="s">
        <v>1898</v>
      </c>
      <c r="S384" s="103" t="str">
        <f>_xlfn.IFS(MouserListTable[[#This Row],[Column1]]=FilterSpecs!$A$6, FilterSpecs!$B$6,MouserListTable[[#This Row],[Column1]]=FilterSpecs!$A$7,FilterSpecs!$B$7,MouserListTable[[#This Row],[Column1]]=FilterSpecs!$A$8,FilterSpecs!$B$8,MouserListTable[[#This Row],[Column1]]=FilterSpecs!$A$9,FilterSpecs!$B$9)</f>
        <v>485-</v>
      </c>
      <c r="T38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485-2975</v>
      </c>
      <c r="V384" s="151" t="str">
        <f>IF(MouserListTable[[#This Row],[Qty.]]=0, 0, "")</f>
        <v/>
      </c>
    </row>
    <row r="385" spans="1:22" s="146" customFormat="1" x14ac:dyDescent="0.3">
      <c r="A385" s="126" t="s">
        <v>897</v>
      </c>
      <c r="B385" s="146" t="s">
        <v>1617</v>
      </c>
      <c r="C385" s="146" t="s">
        <v>8</v>
      </c>
      <c r="D385" s="103" t="str">
        <f>IF(MouserListTable[[#This Row],[Vendor]]=FilterSpecs!$A$8,MouserListTable[[#This Row],[Mouser SKU]], MouserListTable[[#This Row],[SKU2]])</f>
        <v>COM-00522</v>
      </c>
      <c r="E385" s="104">
        <v>0</v>
      </c>
      <c r="F385" s="104">
        <v>0</v>
      </c>
      <c r="G385" s="103" t="s">
        <v>1568</v>
      </c>
      <c r="H385" s="103" t="s">
        <v>1569</v>
      </c>
      <c r="I385" s="106" t="s">
        <v>1570</v>
      </c>
      <c r="J385" s="103">
        <v>1</v>
      </c>
      <c r="K385" s="104">
        <v>0.5</v>
      </c>
      <c r="L385" s="106" t="s">
        <v>1910</v>
      </c>
      <c r="M385" s="103"/>
      <c r="N385" s="148">
        <f t="shared" si="26"/>
        <v>0</v>
      </c>
      <c r="O385" s="106" t="s">
        <v>1567</v>
      </c>
      <c r="P385" s="103">
        <f t="shared" si="23"/>
        <v>372</v>
      </c>
      <c r="Q385" s="103">
        <f t="shared" si="24"/>
        <v>1</v>
      </c>
      <c r="R385" s="103" t="s">
        <v>8</v>
      </c>
      <c r="S385" s="103" t="str">
        <f>_xlfn.IFS(MouserListTable[[#This Row],[Column1]]=FilterSpecs!$A$6, FilterSpecs!$B$6,MouserListTable[[#This Row],[Column1]]=FilterSpecs!$A$7,FilterSpecs!$B$7,MouserListTable[[#This Row],[Column1]]=FilterSpecs!$A$8,FilterSpecs!$B$8,MouserListTable[[#This Row],[Column1]]=FilterSpecs!$A$9,FilterSpecs!$B$9)</f>
        <v>474-</v>
      </c>
      <c r="T38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474-COM-00522</v>
      </c>
      <c r="V385" s="151">
        <f>IF(MouserListTable[[#This Row],[Qty.]]=0, 0, "")</f>
        <v>0</v>
      </c>
    </row>
    <row r="386" spans="1:22" s="146" customFormat="1" x14ac:dyDescent="0.3">
      <c r="A386" s="126" t="s">
        <v>897</v>
      </c>
      <c r="B386" s="146" t="s">
        <v>1617</v>
      </c>
      <c r="C386" s="146" t="s">
        <v>8</v>
      </c>
      <c r="D386" s="103" t="str">
        <f>IF(MouserListTable[[#This Row],[Vendor]]=FilterSpecs!$A$8,MouserListTable[[#This Row],[Mouser SKU]], MouserListTable[[#This Row],[SKU2]])</f>
        <v>COM-00521</v>
      </c>
      <c r="E386" s="104">
        <v>0</v>
      </c>
      <c r="F386" s="104">
        <v>0</v>
      </c>
      <c r="G386" s="103" t="s">
        <v>1572</v>
      </c>
      <c r="H386" s="103" t="s">
        <v>1573</v>
      </c>
      <c r="I386" s="106" t="s">
        <v>1574</v>
      </c>
      <c r="J386" s="103">
        <v>1</v>
      </c>
      <c r="K386" s="104">
        <v>0.5</v>
      </c>
      <c r="L386" s="106" t="s">
        <v>1910</v>
      </c>
      <c r="M386" s="103"/>
      <c r="N386" s="148">
        <f t="shared" si="26"/>
        <v>0</v>
      </c>
      <c r="O386" s="106" t="s">
        <v>1571</v>
      </c>
      <c r="P386" s="103">
        <f t="shared" si="23"/>
        <v>373</v>
      </c>
      <c r="Q386" s="103">
        <f t="shared" si="24"/>
        <v>1</v>
      </c>
      <c r="R386" s="103" t="s">
        <v>8</v>
      </c>
      <c r="S386" s="103" t="str">
        <f>_xlfn.IFS(MouserListTable[[#This Row],[Column1]]=FilterSpecs!$A$6, FilterSpecs!$B$6,MouserListTable[[#This Row],[Column1]]=FilterSpecs!$A$7,FilterSpecs!$B$7,MouserListTable[[#This Row],[Column1]]=FilterSpecs!$A$8,FilterSpecs!$B$8,MouserListTable[[#This Row],[Column1]]=FilterSpecs!$A$9,FilterSpecs!$B$9)</f>
        <v>474-</v>
      </c>
      <c r="T38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474-COM-00521</v>
      </c>
      <c r="V386" s="151">
        <f>IF(MouserListTable[[#This Row],[Qty.]]=0, 0, "")</f>
        <v>0</v>
      </c>
    </row>
    <row r="387" spans="1:22" s="146" customFormat="1" x14ac:dyDescent="0.3">
      <c r="A387" s="126" t="s">
        <v>897</v>
      </c>
      <c r="B387" s="146" t="s">
        <v>1617</v>
      </c>
      <c r="C387" s="146" t="s">
        <v>8</v>
      </c>
      <c r="D387" s="103" t="str">
        <f>IF(MouserListTable[[#This Row],[Vendor]]=FilterSpecs!$A$8,MouserListTable[[#This Row],[Mouser SKU]], MouserListTable[[#This Row],[SKU2]])</f>
        <v>COM-08928</v>
      </c>
      <c r="E387" s="104">
        <v>0</v>
      </c>
      <c r="F387" s="104">
        <v>0</v>
      </c>
      <c r="G387" s="103" t="s">
        <v>1556</v>
      </c>
      <c r="H387" s="103" t="s">
        <v>1557</v>
      </c>
      <c r="I387" s="106" t="s">
        <v>1558</v>
      </c>
      <c r="J387" s="103">
        <v>1</v>
      </c>
      <c r="K387" s="104">
        <v>0.5</v>
      </c>
      <c r="L387" s="106" t="s">
        <v>1910</v>
      </c>
      <c r="M387" s="103"/>
      <c r="N387" s="148">
        <f t="shared" si="26"/>
        <v>0</v>
      </c>
      <c r="O387" s="106" t="s">
        <v>1555</v>
      </c>
      <c r="P387" s="103">
        <f t="shared" si="23"/>
        <v>374</v>
      </c>
      <c r="Q387" s="103">
        <f t="shared" si="24"/>
        <v>1</v>
      </c>
      <c r="R387" s="103" t="s">
        <v>8</v>
      </c>
      <c r="S387" s="103" t="str">
        <f>_xlfn.IFS(MouserListTable[[#This Row],[Column1]]=FilterSpecs!$A$6, FilterSpecs!$B$6,MouserListTable[[#This Row],[Column1]]=FilterSpecs!$A$7,FilterSpecs!$B$7,MouserListTable[[#This Row],[Column1]]=FilterSpecs!$A$8,FilterSpecs!$B$8,MouserListTable[[#This Row],[Column1]]=FilterSpecs!$A$9,FilterSpecs!$B$9)</f>
        <v>474-</v>
      </c>
      <c r="T38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474-COM-08928</v>
      </c>
      <c r="V387" s="151">
        <f>IF(MouserListTable[[#This Row],[Qty.]]=0, 0, "")</f>
        <v>0</v>
      </c>
    </row>
    <row r="388" spans="1:22" s="146" customFormat="1" x14ac:dyDescent="0.3">
      <c r="A388" s="126" t="s">
        <v>897</v>
      </c>
      <c r="B388" s="146" t="s">
        <v>1617</v>
      </c>
      <c r="C388" s="146" t="s">
        <v>8</v>
      </c>
      <c r="D388" s="103" t="str">
        <f>IF(MouserListTable[[#This Row],[Vendor]]=FilterSpecs!$A$8,MouserListTable[[#This Row],[Mouser SKU]], MouserListTable[[#This Row],[SKU2]])</f>
        <v>COM-10213</v>
      </c>
      <c r="E388" s="104">
        <v>0</v>
      </c>
      <c r="F388" s="104">
        <v>0</v>
      </c>
      <c r="G388" s="103" t="s">
        <v>1560</v>
      </c>
      <c r="H388" s="103" t="s">
        <v>1561</v>
      </c>
      <c r="I388" s="106" t="s">
        <v>1562</v>
      </c>
      <c r="J388" s="103">
        <v>1</v>
      </c>
      <c r="K388" s="104">
        <v>0.95</v>
      </c>
      <c r="L388" s="106" t="s">
        <v>1910</v>
      </c>
      <c r="M388" s="103"/>
      <c r="N388" s="148">
        <f t="shared" si="26"/>
        <v>0</v>
      </c>
      <c r="O388" s="106" t="s">
        <v>1559</v>
      </c>
      <c r="P388" s="103">
        <f t="shared" si="23"/>
        <v>375</v>
      </c>
      <c r="Q388" s="103">
        <f t="shared" si="24"/>
        <v>1</v>
      </c>
      <c r="R388" s="103" t="s">
        <v>8</v>
      </c>
      <c r="S388" s="103" t="str">
        <f>_xlfn.IFS(MouserListTable[[#This Row],[Column1]]=FilterSpecs!$A$6, FilterSpecs!$B$6,MouserListTable[[#This Row],[Column1]]=FilterSpecs!$A$7,FilterSpecs!$B$7,MouserListTable[[#This Row],[Column1]]=FilterSpecs!$A$8,FilterSpecs!$B$8,MouserListTable[[#This Row],[Column1]]=FilterSpecs!$A$9,FilterSpecs!$B$9)</f>
        <v>474-</v>
      </c>
      <c r="T38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474-COM-10213</v>
      </c>
      <c r="V388" s="151">
        <f>IF(MouserListTable[[#This Row],[Qty.]]=0, 0, "")</f>
        <v>0</v>
      </c>
    </row>
    <row r="389" spans="1:22" s="146" customFormat="1" x14ac:dyDescent="0.3">
      <c r="A389" s="126" t="s">
        <v>897</v>
      </c>
      <c r="B389" s="146" t="s">
        <v>1617</v>
      </c>
      <c r="C389" s="146" t="s">
        <v>8</v>
      </c>
      <c r="D389" s="103" t="str">
        <f>IF(MouserListTable[[#This Row],[Vendor]]=FilterSpecs!$A$8,MouserListTable[[#This Row],[Mouser SKU]], MouserListTable[[#This Row],[SKU2]])</f>
        <v>COM-10349</v>
      </c>
      <c r="E389" s="104">
        <v>0</v>
      </c>
      <c r="F389" s="104">
        <v>0</v>
      </c>
      <c r="G389" s="103" t="s">
        <v>1564</v>
      </c>
      <c r="H389" s="103" t="s">
        <v>1565</v>
      </c>
      <c r="I389" s="106" t="s">
        <v>1566</v>
      </c>
      <c r="J389" s="103">
        <v>1</v>
      </c>
      <c r="K389" s="104">
        <v>0.95</v>
      </c>
      <c r="L389" s="106" t="s">
        <v>1913</v>
      </c>
      <c r="M389" s="103"/>
      <c r="N389" s="148">
        <f t="shared" si="26"/>
        <v>0</v>
      </c>
      <c r="O389" s="106" t="s">
        <v>1563</v>
      </c>
      <c r="P389" s="103">
        <f t="shared" si="23"/>
        <v>376</v>
      </c>
      <c r="Q389" s="103">
        <f t="shared" si="24"/>
        <v>1</v>
      </c>
      <c r="R389" s="103" t="s">
        <v>8</v>
      </c>
      <c r="S389" s="103" t="str">
        <f>_xlfn.IFS(MouserListTable[[#This Row],[Column1]]=FilterSpecs!$A$6, FilterSpecs!$B$6,MouserListTable[[#This Row],[Column1]]=FilterSpecs!$A$7,FilterSpecs!$B$7,MouserListTable[[#This Row],[Column1]]=FilterSpecs!$A$8,FilterSpecs!$B$8,MouserListTable[[#This Row],[Column1]]=FilterSpecs!$A$9,FilterSpecs!$B$9)</f>
        <v>474-</v>
      </c>
      <c r="T38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474-COM-10349</v>
      </c>
      <c r="V389" s="151">
        <f>IF(MouserListTable[[#This Row],[Qty.]]=0, 0, "")</f>
        <v>0</v>
      </c>
    </row>
    <row r="390" spans="1:22" s="146" customFormat="1" x14ac:dyDescent="0.3">
      <c r="A390" s="126" t="s">
        <v>897</v>
      </c>
      <c r="B390" s="146" t="s">
        <v>1617</v>
      </c>
      <c r="C390" s="146" t="s">
        <v>8</v>
      </c>
      <c r="D390" s="103" t="str">
        <f>IF(MouserListTable[[#This Row],[Vendor]]=FilterSpecs!$A$8,MouserListTable[[#This Row],[Mouser SKU]], MouserListTable[[#This Row],[SKU2]])</f>
        <v>COM-12901</v>
      </c>
      <c r="E390" s="104">
        <v>0</v>
      </c>
      <c r="F390" s="104">
        <v>0</v>
      </c>
      <c r="G390" s="103" t="s">
        <v>1576</v>
      </c>
      <c r="H390" s="103" t="s">
        <v>1577</v>
      </c>
      <c r="I390" s="106" t="s">
        <v>1578</v>
      </c>
      <c r="J390" s="103"/>
      <c r="K390" s="104">
        <v>1.95</v>
      </c>
      <c r="L390" s="106" t="s">
        <v>1913</v>
      </c>
      <c r="M390" s="103"/>
      <c r="N390" s="148">
        <f t="shared" si="26"/>
        <v>0</v>
      </c>
      <c r="O390" s="106" t="s">
        <v>1575</v>
      </c>
      <c r="P390" s="103">
        <f t="shared" si="23"/>
        <v>377</v>
      </c>
      <c r="Q390" s="103">
        <f t="shared" si="24"/>
        <v>1</v>
      </c>
      <c r="R390" s="103" t="s">
        <v>8</v>
      </c>
      <c r="S390" s="103" t="str">
        <f>_xlfn.IFS(MouserListTable[[#This Row],[Column1]]=FilterSpecs!$A$6, FilterSpecs!$B$6,MouserListTable[[#This Row],[Column1]]=FilterSpecs!$A$7,FilterSpecs!$B$7,MouserListTable[[#This Row],[Column1]]=FilterSpecs!$A$8,FilterSpecs!$B$8,MouserListTable[[#This Row],[Column1]]=FilterSpecs!$A$9,FilterSpecs!$B$9)</f>
        <v>474-</v>
      </c>
      <c r="T39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474-COM-12901</v>
      </c>
      <c r="V390" s="151">
        <f>IF(MouserListTable[[#This Row],[Qty.]]=0, 0, "")</f>
        <v>0</v>
      </c>
    </row>
    <row r="391" spans="1:22" s="146" customFormat="1" x14ac:dyDescent="0.3">
      <c r="A391" s="103" t="s">
        <v>897</v>
      </c>
      <c r="B391" s="106" t="s">
        <v>1617</v>
      </c>
      <c r="C391" s="106" t="s">
        <v>8</v>
      </c>
      <c r="D391" s="103" t="str">
        <f>IF(MouserListTable[[#This Row],[Vendor]]=FilterSpecs!$A$8,MouserListTable[[#This Row],[Mouser SKU]], MouserListTable[[#This Row],[SKU2]])</f>
        <v>COM-11078</v>
      </c>
      <c r="E391" s="104">
        <f>1*FilterSpecs!$C$3+1</f>
        <v>6</v>
      </c>
      <c r="F391" s="104" t="s">
        <v>18921</v>
      </c>
      <c r="G391" s="103" t="s">
        <v>392</v>
      </c>
      <c r="H391" s="103" t="s">
        <v>393</v>
      </c>
      <c r="I391" s="106" t="s">
        <v>394</v>
      </c>
      <c r="J391" s="103">
        <v>1</v>
      </c>
      <c r="K391" s="104">
        <v>0.5</v>
      </c>
      <c r="L391" s="106" t="s">
        <v>1911</v>
      </c>
      <c r="M391" s="103"/>
      <c r="N391" s="104">
        <f t="shared" si="26"/>
        <v>3</v>
      </c>
      <c r="O391" s="106" t="s">
        <v>391</v>
      </c>
      <c r="P391" s="103">
        <f t="shared" si="23"/>
        <v>378</v>
      </c>
      <c r="Q391" s="103">
        <f t="shared" si="24"/>
        <v>1</v>
      </c>
      <c r="R391" s="103" t="s">
        <v>8</v>
      </c>
      <c r="S391" s="103" t="str">
        <f>_xlfn.IFS(MouserListTable[[#This Row],[Column1]]=FilterSpecs!$A$6, FilterSpecs!$B$6,MouserListTable[[#This Row],[Column1]]=FilterSpecs!$A$7,FilterSpecs!$B$7,MouserListTable[[#This Row],[Column1]]=FilterSpecs!$A$8,FilterSpecs!$B$8,MouserListTable[[#This Row],[Column1]]=FilterSpecs!$A$9,FilterSpecs!$B$9)</f>
        <v>474-</v>
      </c>
      <c r="T39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474-COM-11078</v>
      </c>
      <c r="V391" s="151" t="str">
        <f>IF(MouserListTable[[#This Row],[Qty.]]=0, 0, "")</f>
        <v/>
      </c>
    </row>
    <row r="392" spans="1:22" s="146" customFormat="1" x14ac:dyDescent="0.3">
      <c r="A392" s="103" t="s">
        <v>897</v>
      </c>
      <c r="B392" s="106" t="s">
        <v>1617</v>
      </c>
      <c r="C392" s="106" t="s">
        <v>8</v>
      </c>
      <c r="D392" s="103" t="str">
        <f>IF(MouserListTable[[#This Row],[Vendor]]=FilterSpecs!$A$8,MouserListTable[[#This Row],[Mouser SKU]], MouserListTable[[#This Row],[SKU2]])</f>
        <v>COM-00526</v>
      </c>
      <c r="E392" s="104">
        <v>2</v>
      </c>
      <c r="F392" s="104" t="s">
        <v>18921</v>
      </c>
      <c r="G392" s="103" t="s">
        <v>380</v>
      </c>
      <c r="H392" s="103" t="s">
        <v>381</v>
      </c>
      <c r="I392" s="106" t="s">
        <v>382</v>
      </c>
      <c r="J392" s="103">
        <v>1</v>
      </c>
      <c r="K392" s="104">
        <v>1.95</v>
      </c>
      <c r="L392" s="106" t="s">
        <v>1910</v>
      </c>
      <c r="M392" s="103"/>
      <c r="N392" s="104">
        <f t="shared" si="26"/>
        <v>3.9</v>
      </c>
      <c r="O392" s="106" t="s">
        <v>379</v>
      </c>
      <c r="P392" s="103">
        <f t="shared" si="23"/>
        <v>379</v>
      </c>
      <c r="Q392" s="103">
        <f t="shared" si="24"/>
        <v>1</v>
      </c>
      <c r="R392" s="103" t="s">
        <v>8</v>
      </c>
      <c r="S392" s="103" t="str">
        <f>_xlfn.IFS(MouserListTable[[#This Row],[Column1]]=FilterSpecs!$A$6, FilterSpecs!$B$6,MouserListTable[[#This Row],[Column1]]=FilterSpecs!$A$7,FilterSpecs!$B$7,MouserListTable[[#This Row],[Column1]]=FilterSpecs!$A$8,FilterSpecs!$B$8,MouserListTable[[#This Row],[Column1]]=FilterSpecs!$A$9,FilterSpecs!$B$9)</f>
        <v>474-</v>
      </c>
      <c r="T39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474-COM-00526</v>
      </c>
      <c r="V392" s="151" t="str">
        <f>IF(MouserListTable[[#This Row],[Qty.]]=0, 0, "")</f>
        <v/>
      </c>
    </row>
    <row r="393" spans="1:22" s="146" customFormat="1" x14ac:dyDescent="0.3">
      <c r="A393" s="103" t="s">
        <v>897</v>
      </c>
      <c r="B393" s="106" t="s">
        <v>1617</v>
      </c>
      <c r="C393" s="106" t="s">
        <v>8</v>
      </c>
      <c r="D393" s="103" t="str">
        <f>IF(MouserListTable[[#This Row],[Vendor]]=FilterSpecs!$A$8,MouserListTable[[#This Row],[Mouser SKU]], MouserListTable[[#This Row],[SKU2]])</f>
        <v>COM-00107</v>
      </c>
      <c r="E393" s="104">
        <v>3</v>
      </c>
      <c r="F393" s="104" t="s">
        <v>18921</v>
      </c>
      <c r="G393" s="103" t="s">
        <v>396</v>
      </c>
      <c r="H393" s="103" t="s">
        <v>397</v>
      </c>
      <c r="I393" s="106" t="s">
        <v>398</v>
      </c>
      <c r="J393" s="103">
        <v>1</v>
      </c>
      <c r="K393" s="104">
        <v>0.95</v>
      </c>
      <c r="L393" s="106" t="s">
        <v>1910</v>
      </c>
      <c r="M393" s="103"/>
      <c r="N393" s="104">
        <f t="shared" si="26"/>
        <v>2.8499999999999996</v>
      </c>
      <c r="O393" s="106" t="s">
        <v>395</v>
      </c>
      <c r="P393" s="103">
        <f t="shared" si="23"/>
        <v>380</v>
      </c>
      <c r="Q393" s="103">
        <f t="shared" si="24"/>
        <v>1</v>
      </c>
      <c r="R393" s="103" t="s">
        <v>8</v>
      </c>
      <c r="S393" s="103" t="str">
        <f>_xlfn.IFS(MouserListTable[[#This Row],[Column1]]=FilterSpecs!$A$6, FilterSpecs!$B$6,MouserListTable[[#This Row],[Column1]]=FilterSpecs!$A$7,FilterSpecs!$B$7,MouserListTable[[#This Row],[Column1]]=FilterSpecs!$A$8,FilterSpecs!$B$8,MouserListTable[[#This Row],[Column1]]=FilterSpecs!$A$9,FilterSpecs!$B$9)</f>
        <v>474-</v>
      </c>
      <c r="T39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474-COM-00107</v>
      </c>
      <c r="V393" s="151" t="str">
        <f>IF(MouserListTable[[#This Row],[Qty.]]=0, 0, "")</f>
        <v/>
      </c>
    </row>
    <row r="394" spans="1:22" s="146" customFormat="1" x14ac:dyDescent="0.3">
      <c r="A394" s="103" t="s">
        <v>897</v>
      </c>
      <c r="B394" s="106" t="s">
        <v>1617</v>
      </c>
      <c r="C394" s="106" t="s">
        <v>8</v>
      </c>
      <c r="D394" s="103" t="str">
        <f>IF(MouserListTable[[#This Row],[Vendor]]=FilterSpecs!$A$8,MouserListTable[[#This Row],[Mouser SKU]], MouserListTable[[#This Row],[SKU2]])</f>
        <v>COM-12766</v>
      </c>
      <c r="E394" s="104">
        <v>2</v>
      </c>
      <c r="F394" s="104" t="s">
        <v>18921</v>
      </c>
      <c r="G394" s="103" t="s">
        <v>1273</v>
      </c>
      <c r="H394" s="103" t="s">
        <v>1274</v>
      </c>
      <c r="I394" s="106" t="s">
        <v>1275</v>
      </c>
      <c r="J394" s="103">
        <v>1</v>
      </c>
      <c r="K394" s="104">
        <v>1.5</v>
      </c>
      <c r="L394" s="106" t="s">
        <v>1910</v>
      </c>
      <c r="M394" s="103"/>
      <c r="N394" s="104">
        <f t="shared" si="26"/>
        <v>3</v>
      </c>
      <c r="O394" s="106" t="s">
        <v>1272</v>
      </c>
      <c r="P394" s="103">
        <f t="shared" si="23"/>
        <v>381</v>
      </c>
      <c r="Q394" s="103">
        <f t="shared" si="24"/>
        <v>1</v>
      </c>
      <c r="R394" s="103" t="s">
        <v>8</v>
      </c>
      <c r="S394" s="103" t="str">
        <f>_xlfn.IFS(MouserListTable[[#This Row],[Column1]]=FilterSpecs!$A$6, FilterSpecs!$B$6,MouserListTable[[#This Row],[Column1]]=FilterSpecs!$A$7,FilterSpecs!$B$7,MouserListTable[[#This Row],[Column1]]=FilterSpecs!$A$8,FilterSpecs!$B$8,MouserListTable[[#This Row],[Column1]]=FilterSpecs!$A$9,FilterSpecs!$B$9)</f>
        <v>474-</v>
      </c>
      <c r="T39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474-COM-12766</v>
      </c>
      <c r="V394" s="151" t="str">
        <f>IF(MouserListTable[[#This Row],[Qty.]]=0, 0, "")</f>
        <v/>
      </c>
    </row>
    <row r="395" spans="1:22" s="146" customFormat="1" x14ac:dyDescent="0.3">
      <c r="A395" s="103" t="s">
        <v>897</v>
      </c>
      <c r="B395" s="106" t="s">
        <v>1617</v>
      </c>
      <c r="C395" s="106" t="s">
        <v>8</v>
      </c>
      <c r="D395" s="103" t="str">
        <f>IF(MouserListTable[[#This Row],[Vendor]]=FilterSpecs!$A$8,MouserListTable[[#This Row],[Mouser SKU]], MouserListTable[[#This Row],[SKU2]])</f>
        <v>COM-00527</v>
      </c>
      <c r="E395" s="104">
        <v>1</v>
      </c>
      <c r="F395" s="104" t="s">
        <v>18921</v>
      </c>
      <c r="G395" s="103" t="s">
        <v>384</v>
      </c>
      <c r="H395" s="103" t="s">
        <v>385</v>
      </c>
      <c r="I395" s="106" t="s">
        <v>386</v>
      </c>
      <c r="J395" s="103">
        <v>1</v>
      </c>
      <c r="K395" s="104">
        <v>1.95</v>
      </c>
      <c r="L395" s="106" t="s">
        <v>1910</v>
      </c>
      <c r="M395" s="103"/>
      <c r="N395" s="104">
        <f t="shared" si="26"/>
        <v>1.95</v>
      </c>
      <c r="O395" s="106" t="s">
        <v>383</v>
      </c>
      <c r="P395" s="103">
        <f t="shared" si="23"/>
        <v>382</v>
      </c>
      <c r="Q395" s="103">
        <f t="shared" si="24"/>
        <v>1</v>
      </c>
      <c r="R395" s="103" t="s">
        <v>8</v>
      </c>
      <c r="S395" s="103" t="str">
        <f>_xlfn.IFS(MouserListTable[[#This Row],[Column1]]=FilterSpecs!$A$6, FilterSpecs!$B$6,MouserListTable[[#This Row],[Column1]]=FilterSpecs!$A$7,FilterSpecs!$B$7,MouserListTable[[#This Row],[Column1]]=FilterSpecs!$A$8,FilterSpecs!$B$8,MouserListTable[[#This Row],[Column1]]=FilterSpecs!$A$9,FilterSpecs!$B$9)</f>
        <v>474-</v>
      </c>
      <c r="T39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474-COM-00527</v>
      </c>
      <c r="V395" s="151" t="str">
        <f>IF(MouserListTable[[#This Row],[Qty.]]=0, 0, "")</f>
        <v/>
      </c>
    </row>
    <row r="396" spans="1:22" s="146" customFormat="1" x14ac:dyDescent="0.3">
      <c r="A396" s="103" t="s">
        <v>897</v>
      </c>
      <c r="B396" s="106" t="s">
        <v>1617</v>
      </c>
      <c r="C396" s="106" t="s">
        <v>8</v>
      </c>
      <c r="D396" s="103" t="str">
        <f>IF(MouserListTable[[#This Row],[Vendor]]=FilterSpecs!$A$8,MouserListTable[[#This Row],[Mouser SKU]], MouserListTable[[#This Row],[SKU2]])</f>
        <v>PRT-07937</v>
      </c>
      <c r="E396" s="104">
        <v>1</v>
      </c>
      <c r="F396" s="104" t="s">
        <v>18921</v>
      </c>
      <c r="G396" s="103" t="s">
        <v>1844</v>
      </c>
      <c r="H396" s="103" t="s">
        <v>1845</v>
      </c>
      <c r="I396" s="106" t="s">
        <v>1846</v>
      </c>
      <c r="J396" s="103">
        <v>1</v>
      </c>
      <c r="K396" s="104">
        <v>0.5</v>
      </c>
      <c r="L396" s="106" t="s">
        <v>1913</v>
      </c>
      <c r="M396" s="103"/>
      <c r="N396" s="104">
        <f t="shared" si="26"/>
        <v>0.5</v>
      </c>
      <c r="O396" s="106" t="s">
        <v>1843</v>
      </c>
      <c r="P396" s="103">
        <f t="shared" si="23"/>
        <v>383</v>
      </c>
      <c r="Q396" s="103">
        <f t="shared" si="24"/>
        <v>1</v>
      </c>
      <c r="R396" s="103" t="s">
        <v>8</v>
      </c>
      <c r="S396" s="103" t="str">
        <f>_xlfn.IFS(MouserListTable[[#This Row],[Column1]]=FilterSpecs!$A$6, FilterSpecs!$B$6,MouserListTable[[#This Row],[Column1]]=FilterSpecs!$A$7,FilterSpecs!$B$7,MouserListTable[[#This Row],[Column1]]=FilterSpecs!$A$8,FilterSpecs!$B$8,MouserListTable[[#This Row],[Column1]]=FilterSpecs!$A$9,FilterSpecs!$B$9)</f>
        <v>474-</v>
      </c>
      <c r="T39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474-PRT-07937</v>
      </c>
      <c r="V396" s="151" t="str">
        <f>IF(MouserListTable[[#This Row],[Qty.]]=0, 0, "")</f>
        <v/>
      </c>
    </row>
    <row r="397" spans="1:22" s="146" customFormat="1" x14ac:dyDescent="0.3">
      <c r="A397" s="128" t="s">
        <v>897</v>
      </c>
      <c r="B397" s="128" t="s">
        <v>1617</v>
      </c>
      <c r="C397" s="128" t="s">
        <v>1898</v>
      </c>
      <c r="D397" s="103" t="str">
        <f>IF(MouserListTable[[#This Row],[Vendor]]=FilterSpecs!$A$8,MouserListTable[[#This Row],[Mouser SKU]], MouserListTable[[#This Row],[SKU2]])</f>
        <v>2202</v>
      </c>
      <c r="E397" s="129">
        <v>0</v>
      </c>
      <c r="F397" s="129">
        <v>0</v>
      </c>
      <c r="I397" s="128" t="s">
        <v>2476</v>
      </c>
      <c r="J397" s="155">
        <v>114</v>
      </c>
      <c r="K397" s="129">
        <v>0.75</v>
      </c>
      <c r="L397" s="126" t="s">
        <v>1910</v>
      </c>
      <c r="N397" s="148"/>
      <c r="O397" s="128" t="s">
        <v>2477</v>
      </c>
      <c r="P397" s="103">
        <f t="shared" si="23"/>
        <v>384</v>
      </c>
      <c r="Q397" s="103">
        <f t="shared" si="24"/>
        <v>1</v>
      </c>
      <c r="R397" s="103" t="s">
        <v>1898</v>
      </c>
      <c r="S397" s="103" t="str">
        <f>_xlfn.IFS(MouserListTable[[#This Row],[Column1]]=FilterSpecs!$A$6, FilterSpecs!$B$6,MouserListTable[[#This Row],[Column1]]=FilterSpecs!$A$7,FilterSpecs!$B$7,MouserListTable[[#This Row],[Column1]]=FilterSpecs!$A$8,FilterSpecs!$B$8,MouserListTable[[#This Row],[Column1]]=FilterSpecs!$A$9,FilterSpecs!$B$9)</f>
        <v>485-</v>
      </c>
      <c r="T39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485-2202</v>
      </c>
      <c r="V397" s="151">
        <f>IF(MouserListTable[[#This Row],[Qty.]]=0, 0, "")</f>
        <v>0</v>
      </c>
    </row>
    <row r="398" spans="1:22" s="146" customFormat="1" x14ac:dyDescent="0.3">
      <c r="A398" s="103" t="s">
        <v>897</v>
      </c>
      <c r="B398" s="106" t="s">
        <v>1617</v>
      </c>
      <c r="C398" s="106" t="s">
        <v>8</v>
      </c>
      <c r="D398" s="103" t="str">
        <f>IF(MouserListTable[[#This Row],[Vendor]]=FilterSpecs!$A$8,MouserListTable[[#This Row],[Mouser SKU]], MouserListTable[[#This Row],[SKU2]])</f>
        <v>COM-09456</v>
      </c>
      <c r="E398" s="104">
        <v>5</v>
      </c>
      <c r="F398" s="104" t="s">
        <v>18921</v>
      </c>
      <c r="G398" s="103" t="s">
        <v>664</v>
      </c>
      <c r="H398" s="103" t="s">
        <v>665</v>
      </c>
      <c r="I398" s="106" t="s">
        <v>666</v>
      </c>
      <c r="J398" s="103">
        <v>1</v>
      </c>
      <c r="K398" s="104">
        <v>0.95</v>
      </c>
      <c r="L398" s="106" t="s">
        <v>1913</v>
      </c>
      <c r="M398" s="103"/>
      <c r="N398" s="104">
        <f>E398*K398</f>
        <v>4.75</v>
      </c>
      <c r="O398" s="106" t="s">
        <v>663</v>
      </c>
      <c r="P398" s="103">
        <f t="shared" si="23"/>
        <v>385</v>
      </c>
      <c r="Q398" s="103">
        <f t="shared" si="24"/>
        <v>1</v>
      </c>
      <c r="R398" s="103" t="s">
        <v>8</v>
      </c>
      <c r="S398" s="103" t="str">
        <f>_xlfn.IFS(MouserListTable[[#This Row],[Column1]]=FilterSpecs!$A$6, FilterSpecs!$B$6,MouserListTable[[#This Row],[Column1]]=FilterSpecs!$A$7,FilterSpecs!$B$7,MouserListTable[[#This Row],[Column1]]=FilterSpecs!$A$8,FilterSpecs!$B$8,MouserListTable[[#This Row],[Column1]]=FilterSpecs!$A$9,FilterSpecs!$B$9)</f>
        <v>474-</v>
      </c>
      <c r="T39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474-COM-09456</v>
      </c>
      <c r="V398" s="151" t="str">
        <f>IF(MouserListTable[[#This Row],[Qty.]]=0, 0, "")</f>
        <v/>
      </c>
    </row>
    <row r="399" spans="1:22" s="146" customFormat="1" x14ac:dyDescent="0.3">
      <c r="A399" s="103" t="s">
        <v>897</v>
      </c>
      <c r="B399" s="106" t="s">
        <v>1617</v>
      </c>
      <c r="C399" s="106" t="s">
        <v>8</v>
      </c>
      <c r="D399" s="103" t="str">
        <f>IF(MouserListTable[[#This Row],[Vendor]]=FilterSpecs!$A$8,MouserListTable[[#This Row],[Mouser SKU]], MouserListTable[[#This Row],[SKU2]])</f>
        <v>COM-10613</v>
      </c>
      <c r="E399" s="104">
        <v>1</v>
      </c>
      <c r="F399" s="104" t="s">
        <v>18921</v>
      </c>
      <c r="G399" s="103" t="s">
        <v>962</v>
      </c>
      <c r="H399" s="103" t="s">
        <v>963</v>
      </c>
      <c r="I399" s="106" t="s">
        <v>964</v>
      </c>
      <c r="J399" s="103">
        <v>1</v>
      </c>
      <c r="K399" s="104">
        <v>1.5</v>
      </c>
      <c r="L399" s="106" t="s">
        <v>1910</v>
      </c>
      <c r="M399" s="103"/>
      <c r="N399" s="104">
        <f>E399*K399</f>
        <v>1.5</v>
      </c>
      <c r="O399" s="106" t="s">
        <v>961</v>
      </c>
      <c r="P399" s="103">
        <f t="shared" si="23"/>
        <v>386</v>
      </c>
      <c r="Q399" s="103">
        <f t="shared" si="24"/>
        <v>1</v>
      </c>
      <c r="R399" s="103" t="s">
        <v>8</v>
      </c>
      <c r="S399" s="103" t="str">
        <f>_xlfn.IFS(MouserListTable[[#This Row],[Column1]]=FilterSpecs!$A$6, FilterSpecs!$B$6,MouserListTable[[#This Row],[Column1]]=FilterSpecs!$A$7,FilterSpecs!$B$7,MouserListTable[[#This Row],[Column1]]=FilterSpecs!$A$8,FilterSpecs!$B$8,MouserListTable[[#This Row],[Column1]]=FilterSpecs!$A$9,FilterSpecs!$B$9)</f>
        <v>474-</v>
      </c>
      <c r="T39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474-COM-10613</v>
      </c>
      <c r="V399" s="151" t="str">
        <f>IF(MouserListTable[[#This Row],[Qty.]]=0, 0, "")</f>
        <v/>
      </c>
    </row>
    <row r="400" spans="1:22" s="146" customFormat="1" x14ac:dyDescent="0.3">
      <c r="A400" s="103" t="s">
        <v>897</v>
      </c>
      <c r="B400" s="106" t="s">
        <v>1617</v>
      </c>
      <c r="C400" s="106" t="s">
        <v>8</v>
      </c>
      <c r="D400" s="103" t="str">
        <f>IF(MouserListTable[[#This Row],[Vendor]]=FilterSpecs!$A$8,MouserListTable[[#This Row],[Mouser SKU]], MouserListTable[[#This Row],[SKU2]])</f>
        <v>COM-09273</v>
      </c>
      <c r="E400" s="104">
        <v>2</v>
      </c>
      <c r="F400" s="104" t="s">
        <v>18921</v>
      </c>
      <c r="G400" s="103" t="s">
        <v>404</v>
      </c>
      <c r="H400" s="103" t="s">
        <v>405</v>
      </c>
      <c r="I400" s="106" t="s">
        <v>406</v>
      </c>
      <c r="J400" s="103">
        <v>1</v>
      </c>
      <c r="K400" s="104">
        <v>0.95</v>
      </c>
      <c r="L400" s="106" t="s">
        <v>1910</v>
      </c>
      <c r="M400" s="103"/>
      <c r="N400" s="104">
        <f>E400*K400</f>
        <v>1.9</v>
      </c>
      <c r="O400" s="106" t="s">
        <v>403</v>
      </c>
      <c r="P400" s="103">
        <f t="shared" ref="P400:P463" si="27">IF($P399="List #",1,$P399+1)</f>
        <v>387</v>
      </c>
      <c r="Q400" s="103">
        <f t="shared" ref="Q400:Q463" si="28">IF($D400=$O400,1,0)</f>
        <v>1</v>
      </c>
      <c r="R400" s="103" t="s">
        <v>8</v>
      </c>
      <c r="S400" s="103" t="str">
        <f>_xlfn.IFS(MouserListTable[[#This Row],[Column1]]=FilterSpecs!$A$6, FilterSpecs!$B$6,MouserListTable[[#This Row],[Column1]]=FilterSpecs!$A$7,FilterSpecs!$B$7,MouserListTable[[#This Row],[Column1]]=FilterSpecs!$A$8,FilterSpecs!$B$8,MouserListTable[[#This Row],[Column1]]=FilterSpecs!$A$9,FilterSpecs!$B$9)</f>
        <v>474-</v>
      </c>
      <c r="T40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474-COM-09273</v>
      </c>
      <c r="V400" s="151" t="str">
        <f>IF(MouserListTable[[#This Row],[Qty.]]=0, 0, "")</f>
        <v/>
      </c>
    </row>
    <row r="401" spans="1:22" s="146" customFormat="1" x14ac:dyDescent="0.3">
      <c r="A401" s="103" t="s">
        <v>897</v>
      </c>
      <c r="B401" s="106" t="s">
        <v>1617</v>
      </c>
      <c r="C401" s="106" t="s">
        <v>8</v>
      </c>
      <c r="D401" s="103" t="str">
        <f>IF(MouserListTable[[#This Row],[Vendor]]=FilterSpecs!$A$8,MouserListTable[[#This Row],[Mouser SKU]], MouserListTable[[#This Row],[SKU2]])</f>
        <v>COM-08636</v>
      </c>
      <c r="E401" s="104">
        <v>3</v>
      </c>
      <c r="F401" s="104" t="s">
        <v>18921</v>
      </c>
      <c r="G401" s="103" t="s">
        <v>400</v>
      </c>
      <c r="H401" s="103" t="s">
        <v>401</v>
      </c>
      <c r="I401" s="106" t="s">
        <v>402</v>
      </c>
      <c r="J401" s="103">
        <v>1</v>
      </c>
      <c r="K401" s="104">
        <v>2.2999999999999998</v>
      </c>
      <c r="L401" s="106" t="s">
        <v>1910</v>
      </c>
      <c r="M401" s="103"/>
      <c r="N401" s="104">
        <f>E401*K401</f>
        <v>6.8999999999999995</v>
      </c>
      <c r="O401" s="106" t="s">
        <v>399</v>
      </c>
      <c r="P401" s="103">
        <f t="shared" si="27"/>
        <v>388</v>
      </c>
      <c r="Q401" s="103">
        <f t="shared" si="28"/>
        <v>1</v>
      </c>
      <c r="R401" s="103" t="s">
        <v>8</v>
      </c>
      <c r="S401" s="103" t="str">
        <f>_xlfn.IFS(MouserListTable[[#This Row],[Column1]]=FilterSpecs!$A$6, FilterSpecs!$B$6,MouserListTable[[#This Row],[Column1]]=FilterSpecs!$A$7,FilterSpecs!$B$7,MouserListTable[[#This Row],[Column1]]=FilterSpecs!$A$8,FilterSpecs!$B$8,MouserListTable[[#This Row],[Column1]]=FilterSpecs!$A$9,FilterSpecs!$B$9)</f>
        <v>474-</v>
      </c>
      <c r="T40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474-COM-08636</v>
      </c>
      <c r="V401" s="151" t="str">
        <f>IF(MouserListTable[[#This Row],[Qty.]]=0, 0, "")</f>
        <v/>
      </c>
    </row>
    <row r="402" spans="1:22" s="146" customFormat="1" x14ac:dyDescent="0.3">
      <c r="A402" s="103" t="s">
        <v>897</v>
      </c>
      <c r="B402" s="106" t="s">
        <v>1617</v>
      </c>
      <c r="C402" s="106" t="s">
        <v>8</v>
      </c>
      <c r="D402" s="103" t="str">
        <f>IF(MouserListTable[[#This Row],[Vendor]]=FilterSpecs!$A$8,MouserListTable[[#This Row],[Mouser SKU]], MouserListTable[[#This Row],[SKU2]])</f>
        <v>COM-00317</v>
      </c>
      <c r="E402" s="104">
        <v>1</v>
      </c>
      <c r="F402" s="104" t="s">
        <v>18921</v>
      </c>
      <c r="G402" s="103" t="s">
        <v>1097</v>
      </c>
      <c r="H402" s="103" t="s">
        <v>1098</v>
      </c>
      <c r="I402" s="106" t="s">
        <v>1099</v>
      </c>
      <c r="J402" s="103">
        <v>1</v>
      </c>
      <c r="K402" s="104">
        <v>1.95</v>
      </c>
      <c r="L402" s="106" t="s">
        <v>1910</v>
      </c>
      <c r="M402" s="103"/>
      <c r="N402" s="104">
        <f>E402*K402</f>
        <v>1.95</v>
      </c>
      <c r="O402" s="106" t="s">
        <v>1096</v>
      </c>
      <c r="P402" s="103">
        <f t="shared" si="27"/>
        <v>389</v>
      </c>
      <c r="Q402" s="103">
        <f t="shared" si="28"/>
        <v>1</v>
      </c>
      <c r="R402" s="103" t="s">
        <v>8</v>
      </c>
      <c r="S402" s="103" t="str">
        <f>_xlfn.IFS(MouserListTable[[#This Row],[Column1]]=FilterSpecs!$A$6, FilterSpecs!$B$6,MouserListTable[[#This Row],[Column1]]=FilterSpecs!$A$7,FilterSpecs!$B$7,MouserListTable[[#This Row],[Column1]]=FilterSpecs!$A$8,FilterSpecs!$B$8,MouserListTable[[#This Row],[Column1]]=FilterSpecs!$A$9,FilterSpecs!$B$9)</f>
        <v>474-</v>
      </c>
      <c r="T40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474-COM-00317</v>
      </c>
      <c r="V402" s="151" t="str">
        <f>IF(MouserListTable[[#This Row],[Qty.]]=0, 0, "")</f>
        <v/>
      </c>
    </row>
    <row r="403" spans="1:22" s="146" customFormat="1" x14ac:dyDescent="0.3">
      <c r="A403" s="103" t="s">
        <v>897</v>
      </c>
      <c r="B403" s="106" t="s">
        <v>1617</v>
      </c>
      <c r="C403" s="106" t="s">
        <v>1898</v>
      </c>
      <c r="D403" s="103" t="str">
        <f>IF(MouserListTable[[#This Row],[Vendor]]=FilterSpecs!$A$8,MouserListTable[[#This Row],[Mouser SKU]], MouserListTable[[#This Row],[SKU2]])</f>
        <v>1787</v>
      </c>
      <c r="E403" s="104">
        <v>0</v>
      </c>
      <c r="F403" s="104">
        <v>0</v>
      </c>
      <c r="G403" s="103"/>
      <c r="H403" s="103"/>
      <c r="I403" s="146" t="s">
        <v>2152</v>
      </c>
      <c r="K403" s="148">
        <v>1.5</v>
      </c>
      <c r="L403" s="146" t="s">
        <v>1910</v>
      </c>
      <c r="N403" s="148"/>
      <c r="O403" s="106" t="s">
        <v>2151</v>
      </c>
      <c r="P403" s="103">
        <f t="shared" si="27"/>
        <v>390</v>
      </c>
      <c r="Q403" s="103">
        <f t="shared" si="28"/>
        <v>1</v>
      </c>
      <c r="R403" s="103" t="s">
        <v>1898</v>
      </c>
      <c r="S403" s="103" t="str">
        <f>_xlfn.IFS(MouserListTable[[#This Row],[Column1]]=FilterSpecs!$A$6, FilterSpecs!$B$6,MouserListTable[[#This Row],[Column1]]=FilterSpecs!$A$7,FilterSpecs!$B$7,MouserListTable[[#This Row],[Column1]]=FilterSpecs!$A$8,FilterSpecs!$B$8,MouserListTable[[#This Row],[Column1]]=FilterSpecs!$A$9,FilterSpecs!$B$9)</f>
        <v>485-</v>
      </c>
      <c r="T40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485-1787</v>
      </c>
      <c r="V403" s="151">
        <f>IF(MouserListTable[[#This Row],[Qty.]]=0, 0, "")</f>
        <v>0</v>
      </c>
    </row>
    <row r="404" spans="1:22" s="146" customFormat="1" x14ac:dyDescent="0.3">
      <c r="A404" s="126" t="s">
        <v>897</v>
      </c>
      <c r="B404" s="146" t="s">
        <v>1617</v>
      </c>
      <c r="C404" s="146" t="s">
        <v>8</v>
      </c>
      <c r="D404" s="103" t="str">
        <f>IF(MouserListTable[[#This Row],[Vendor]]=FilterSpecs!$A$8,MouserListTable[[#This Row],[Mouser SKU]], MouserListTable[[#This Row],[SKU2]])</f>
        <v>COM-00525</v>
      </c>
      <c r="E404" s="104">
        <v>0</v>
      </c>
      <c r="F404" s="104">
        <v>0</v>
      </c>
      <c r="G404" s="103" t="s">
        <v>680</v>
      </c>
      <c r="H404" s="103" t="s">
        <v>681</v>
      </c>
      <c r="I404" s="106" t="s">
        <v>682</v>
      </c>
      <c r="J404" s="103">
        <v>1</v>
      </c>
      <c r="K404" s="104">
        <v>1.95</v>
      </c>
      <c r="L404" s="106" t="s">
        <v>1910</v>
      </c>
      <c r="M404" s="103"/>
      <c r="N404" s="148">
        <f t="shared" ref="N404:N424" si="29">E404*K404</f>
        <v>0</v>
      </c>
      <c r="O404" s="106" t="s">
        <v>679</v>
      </c>
      <c r="P404" s="103">
        <f t="shared" si="27"/>
        <v>391</v>
      </c>
      <c r="Q404" s="103">
        <f t="shared" si="28"/>
        <v>1</v>
      </c>
      <c r="R404" s="103" t="s">
        <v>8</v>
      </c>
      <c r="S404" s="103" t="str">
        <f>_xlfn.IFS(MouserListTable[[#This Row],[Column1]]=FilterSpecs!$A$6, FilterSpecs!$B$6,MouserListTable[[#This Row],[Column1]]=FilterSpecs!$A$7,FilterSpecs!$B$7,MouserListTable[[#This Row],[Column1]]=FilterSpecs!$A$8,FilterSpecs!$B$8,MouserListTable[[#This Row],[Column1]]=FilterSpecs!$A$9,FilterSpecs!$B$9)</f>
        <v>474-</v>
      </c>
      <c r="T40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474-COM-00525</v>
      </c>
      <c r="V404" s="151">
        <f>IF(MouserListTable[[#This Row],[Qty.]]=0, 0, "")</f>
        <v>0</v>
      </c>
    </row>
    <row r="405" spans="1:22" s="146" customFormat="1" x14ac:dyDescent="0.3">
      <c r="A405" s="126" t="s">
        <v>897</v>
      </c>
      <c r="B405" s="146" t="s">
        <v>1617</v>
      </c>
      <c r="C405" s="146" t="s">
        <v>8</v>
      </c>
      <c r="D405" s="103" t="str">
        <f>IF(MouserListTable[[#This Row],[Vendor]]=FilterSpecs!$A$8,MouserListTable[[#This Row],[Mouser SKU]], MouserListTable[[#This Row],[SKU2]])</f>
        <v>COM-13699</v>
      </c>
      <c r="E405" s="104">
        <v>0</v>
      </c>
      <c r="F405" s="104">
        <v>0</v>
      </c>
      <c r="G405" s="103" t="s">
        <v>408</v>
      </c>
      <c r="H405" s="103" t="s">
        <v>409</v>
      </c>
      <c r="I405" s="106" t="s">
        <v>410</v>
      </c>
      <c r="J405" s="103">
        <v>1</v>
      </c>
      <c r="K405" s="104">
        <v>0.95</v>
      </c>
      <c r="L405" s="106" t="s">
        <v>1910</v>
      </c>
      <c r="M405" s="103"/>
      <c r="N405" s="148">
        <f t="shared" si="29"/>
        <v>0</v>
      </c>
      <c r="O405" s="106" t="s">
        <v>407</v>
      </c>
      <c r="P405" s="103">
        <f t="shared" si="27"/>
        <v>392</v>
      </c>
      <c r="Q405" s="103">
        <f t="shared" si="28"/>
        <v>1</v>
      </c>
      <c r="R405" s="103" t="s">
        <v>8</v>
      </c>
      <c r="S405" s="103" t="str">
        <f>_xlfn.IFS(MouserListTable[[#This Row],[Column1]]=FilterSpecs!$A$6, FilterSpecs!$B$6,MouserListTable[[#This Row],[Column1]]=FilterSpecs!$A$7,FilterSpecs!$B$7,MouserListTable[[#This Row],[Column1]]=FilterSpecs!$A$8,FilterSpecs!$B$8,MouserListTable[[#This Row],[Column1]]=FilterSpecs!$A$9,FilterSpecs!$B$9)</f>
        <v>474-</v>
      </c>
      <c r="T40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474-COM-13699</v>
      </c>
      <c r="V405" s="151">
        <f>IF(MouserListTable[[#This Row],[Qty.]]=0, 0, "")</f>
        <v>0</v>
      </c>
    </row>
    <row r="406" spans="1:22" s="146" customFormat="1" x14ac:dyDescent="0.3">
      <c r="A406" s="126" t="s">
        <v>897</v>
      </c>
      <c r="B406" s="146" t="s">
        <v>1617</v>
      </c>
      <c r="C406" s="146" t="s">
        <v>8</v>
      </c>
      <c r="D406" s="103" t="str">
        <f>IF(MouserListTable[[#This Row],[Vendor]]=FilterSpecs!$A$8,MouserListTable[[#This Row],[Mouser SKU]], MouserListTable[[#This Row],[SKU2]])</f>
        <v>BOB-11733</v>
      </c>
      <c r="E406" s="104">
        <v>0</v>
      </c>
      <c r="F406" s="104">
        <v>0</v>
      </c>
      <c r="G406" s="103" t="s">
        <v>412</v>
      </c>
      <c r="H406" s="103" t="s">
        <v>413</v>
      </c>
      <c r="I406" s="106" t="s">
        <v>221</v>
      </c>
      <c r="J406" s="103">
        <v>1</v>
      </c>
      <c r="K406" s="104">
        <v>3.95</v>
      </c>
      <c r="L406" s="106" t="s">
        <v>2490</v>
      </c>
      <c r="M406" s="103"/>
      <c r="N406" s="148">
        <f t="shared" si="29"/>
        <v>0</v>
      </c>
      <c r="O406" s="106" t="s">
        <v>411</v>
      </c>
      <c r="P406" s="103">
        <f t="shared" si="27"/>
        <v>393</v>
      </c>
      <c r="Q406" s="103">
        <f t="shared" si="28"/>
        <v>1</v>
      </c>
      <c r="R406" s="103" t="s">
        <v>8</v>
      </c>
      <c r="S406" s="103" t="str">
        <f>_xlfn.IFS(MouserListTable[[#This Row],[Column1]]=FilterSpecs!$A$6, FilterSpecs!$B$6,MouserListTable[[#This Row],[Column1]]=FilterSpecs!$A$7,FilterSpecs!$B$7,MouserListTable[[#This Row],[Column1]]=FilterSpecs!$A$8,FilterSpecs!$B$8,MouserListTable[[#This Row],[Column1]]=FilterSpecs!$A$9,FilterSpecs!$B$9)</f>
        <v>474-</v>
      </c>
      <c r="T40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474-BOB-11733</v>
      </c>
      <c r="V406" s="151">
        <f>IF(MouserListTable[[#This Row],[Qty.]]=0, 0, "")</f>
        <v>0</v>
      </c>
    </row>
    <row r="407" spans="1:22" s="146" customFormat="1" x14ac:dyDescent="0.3">
      <c r="A407" s="103" t="s">
        <v>897</v>
      </c>
      <c r="B407" s="106" t="s">
        <v>1617</v>
      </c>
      <c r="C407" s="106" t="s">
        <v>8</v>
      </c>
      <c r="D407" s="103" t="str">
        <f>IF(MouserListTable[[#This Row],[Vendor]]=FilterSpecs!$A$8,MouserListTable[[#This Row],[Mouser SKU]], MouserListTable[[#This Row],[SKU2]])</f>
        <v>COM-08034</v>
      </c>
      <c r="E407" s="104">
        <f>FilterSpecs!$C$3</f>
        <v>5</v>
      </c>
      <c r="F407" s="104" t="s">
        <v>18921</v>
      </c>
      <c r="G407" s="103" t="s">
        <v>434</v>
      </c>
      <c r="H407" s="103" t="s">
        <v>435</v>
      </c>
      <c r="I407" s="106" t="s">
        <v>436</v>
      </c>
      <c r="J407" s="103">
        <v>1</v>
      </c>
      <c r="K407" s="104">
        <v>1.5</v>
      </c>
      <c r="L407" s="106" t="s">
        <v>1911</v>
      </c>
      <c r="M407" s="103"/>
      <c r="N407" s="104">
        <f t="shared" si="29"/>
        <v>7.5</v>
      </c>
      <c r="O407" s="106" t="s">
        <v>433</v>
      </c>
      <c r="P407" s="103">
        <f t="shared" si="27"/>
        <v>394</v>
      </c>
      <c r="Q407" s="103">
        <f t="shared" si="28"/>
        <v>1</v>
      </c>
      <c r="R407" s="103" t="s">
        <v>8</v>
      </c>
      <c r="S407" s="103" t="str">
        <f>_xlfn.IFS(MouserListTable[[#This Row],[Column1]]=FilterSpecs!$A$6, FilterSpecs!$B$6,MouserListTable[[#This Row],[Column1]]=FilterSpecs!$A$7,FilterSpecs!$B$7,MouserListTable[[#This Row],[Column1]]=FilterSpecs!$A$8,FilterSpecs!$B$8,MouserListTable[[#This Row],[Column1]]=FilterSpecs!$A$9,FilterSpecs!$B$9)</f>
        <v>474-</v>
      </c>
      <c r="T40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474-COM-08034</v>
      </c>
      <c r="V407" s="151" t="str">
        <f>IF(MouserListTable[[#This Row],[Qty.]]=0, 0, "")</f>
        <v/>
      </c>
    </row>
    <row r="408" spans="1:22" s="146" customFormat="1" x14ac:dyDescent="0.3">
      <c r="A408" s="126" t="s">
        <v>897</v>
      </c>
      <c r="B408" s="126" t="s">
        <v>1893</v>
      </c>
      <c r="C408" s="126" t="s">
        <v>8</v>
      </c>
      <c r="D408" s="103" t="str">
        <f>IF(MouserListTable[[#This Row],[Vendor]]=FilterSpecs!$A$8,MouserListTable[[#This Row],[Mouser SKU]], MouserListTable[[#This Row],[SKU2]])</f>
        <v>PRT-13875</v>
      </c>
      <c r="E408" s="104">
        <v>0</v>
      </c>
      <c r="F408" s="104">
        <v>0</v>
      </c>
      <c r="G408" s="103" t="s">
        <v>776</v>
      </c>
      <c r="H408" s="103" t="s">
        <v>777</v>
      </c>
      <c r="I408" s="103" t="s">
        <v>778</v>
      </c>
      <c r="J408" s="103">
        <v>1</v>
      </c>
      <c r="K408" s="104">
        <v>0.5</v>
      </c>
      <c r="L408" s="103" t="s">
        <v>1910</v>
      </c>
      <c r="M408" s="103"/>
      <c r="N408" s="148">
        <f t="shared" si="29"/>
        <v>0</v>
      </c>
      <c r="O408" s="103" t="s">
        <v>775</v>
      </c>
      <c r="P408" s="103">
        <f t="shared" si="27"/>
        <v>395</v>
      </c>
      <c r="Q408" s="103">
        <f t="shared" si="28"/>
        <v>1</v>
      </c>
      <c r="R408" s="103" t="s">
        <v>8</v>
      </c>
      <c r="S408" s="103" t="str">
        <f>_xlfn.IFS(MouserListTable[[#This Row],[Column1]]=FilterSpecs!$A$6, FilterSpecs!$B$6,MouserListTable[[#This Row],[Column1]]=FilterSpecs!$A$7,FilterSpecs!$B$7,MouserListTable[[#This Row],[Column1]]=FilterSpecs!$A$8,FilterSpecs!$B$8,MouserListTable[[#This Row],[Column1]]=FilterSpecs!$A$9,FilterSpecs!$B$9)</f>
        <v>474-</v>
      </c>
      <c r="T40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474-PRT-13875</v>
      </c>
      <c r="V408" s="151">
        <f>IF(MouserListTable[[#This Row],[Qty.]]=0, 0, "")</f>
        <v>0</v>
      </c>
    </row>
    <row r="409" spans="1:22" s="146" customFormat="1" x14ac:dyDescent="0.3">
      <c r="A409" s="103" t="s">
        <v>897</v>
      </c>
      <c r="B409" s="103" t="s">
        <v>1893</v>
      </c>
      <c r="C409" s="103" t="s">
        <v>8</v>
      </c>
      <c r="D409" s="103" t="str">
        <f>IF(MouserListTable[[#This Row],[Vendor]]=FilterSpecs!$A$8,MouserListTable[[#This Row],[Mouser SKU]], MouserListTable[[#This Row],[SKU2]])</f>
        <v>PRT-12790</v>
      </c>
      <c r="E409" s="104">
        <v>1</v>
      </c>
      <c r="F409" s="104" t="s">
        <v>18921</v>
      </c>
      <c r="G409" s="103" t="s">
        <v>1776</v>
      </c>
      <c r="H409" s="103" t="s">
        <v>1777</v>
      </c>
      <c r="I409" s="103" t="s">
        <v>1778</v>
      </c>
      <c r="J409" s="103">
        <v>1</v>
      </c>
      <c r="K409" s="104">
        <v>2.95</v>
      </c>
      <c r="L409" s="103" t="s">
        <v>1910</v>
      </c>
      <c r="M409" s="103"/>
      <c r="N409" s="104">
        <f t="shared" si="29"/>
        <v>2.95</v>
      </c>
      <c r="O409" s="103" t="s">
        <v>1775</v>
      </c>
      <c r="P409" s="103">
        <f t="shared" si="27"/>
        <v>396</v>
      </c>
      <c r="Q409" s="103">
        <f t="shared" si="28"/>
        <v>1</v>
      </c>
      <c r="R409" s="103" t="s">
        <v>8</v>
      </c>
      <c r="S409" s="103" t="str">
        <f>_xlfn.IFS(MouserListTable[[#This Row],[Column1]]=FilterSpecs!$A$6, FilterSpecs!$B$6,MouserListTable[[#This Row],[Column1]]=FilterSpecs!$A$7,FilterSpecs!$B$7,MouserListTable[[#This Row],[Column1]]=FilterSpecs!$A$8,FilterSpecs!$B$8,MouserListTable[[#This Row],[Column1]]=FilterSpecs!$A$9,FilterSpecs!$B$9)</f>
        <v>474-</v>
      </c>
      <c r="T40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474-PRT-12790</v>
      </c>
      <c r="V409" s="151" t="str">
        <f>IF(MouserListTable[[#This Row],[Qty.]]=0, 0, "")</f>
        <v/>
      </c>
    </row>
    <row r="410" spans="1:22" s="146" customFormat="1" x14ac:dyDescent="0.3">
      <c r="A410" s="126" t="s">
        <v>897</v>
      </c>
      <c r="B410" s="126" t="s">
        <v>1893</v>
      </c>
      <c r="C410" s="126" t="s">
        <v>8</v>
      </c>
      <c r="D410" s="103" t="str">
        <f>IF(MouserListTable[[#This Row],[Vendor]]=FilterSpecs!$A$8,MouserListTable[[#This Row],[Mouser SKU]], MouserListTable[[#This Row],[SKU2]])</f>
        <v>PRT-10007</v>
      </c>
      <c r="E410" s="104">
        <v>0</v>
      </c>
      <c r="F410" s="104">
        <v>0</v>
      </c>
      <c r="G410" s="103" t="s">
        <v>524</v>
      </c>
      <c r="H410" s="103" t="s">
        <v>525</v>
      </c>
      <c r="I410" s="103" t="s">
        <v>526</v>
      </c>
      <c r="J410" s="103">
        <v>1</v>
      </c>
      <c r="K410" s="104">
        <v>1.5</v>
      </c>
      <c r="L410" s="103" t="s">
        <v>1910</v>
      </c>
      <c r="M410" s="103"/>
      <c r="N410" s="148">
        <f t="shared" si="29"/>
        <v>0</v>
      </c>
      <c r="O410" s="103" t="s">
        <v>523</v>
      </c>
      <c r="P410" s="103">
        <f t="shared" si="27"/>
        <v>397</v>
      </c>
      <c r="Q410" s="103">
        <f t="shared" si="28"/>
        <v>1</v>
      </c>
      <c r="R410" s="103" t="s">
        <v>8</v>
      </c>
      <c r="S410" s="103" t="str">
        <f>_xlfn.IFS(MouserListTable[[#This Row],[Column1]]=FilterSpecs!$A$6, FilterSpecs!$B$6,MouserListTable[[#This Row],[Column1]]=FilterSpecs!$A$7,FilterSpecs!$B$7,MouserListTable[[#This Row],[Column1]]=FilterSpecs!$A$8,FilterSpecs!$B$8,MouserListTable[[#This Row],[Column1]]=FilterSpecs!$A$9,FilterSpecs!$B$9)</f>
        <v>474-</v>
      </c>
      <c r="T41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474-PRT-10007</v>
      </c>
      <c r="V410" s="151">
        <f>IF(MouserListTable[[#This Row],[Qty.]]=0, 0, "")</f>
        <v>0</v>
      </c>
    </row>
    <row r="411" spans="1:22" s="146" customFormat="1" x14ac:dyDescent="0.3">
      <c r="A411" s="126" t="s">
        <v>897</v>
      </c>
      <c r="B411" s="126" t="s">
        <v>1893</v>
      </c>
      <c r="C411" s="126" t="s">
        <v>8</v>
      </c>
      <c r="D411" s="103" t="str">
        <f>IF(MouserListTable[[#This Row],[Vendor]]=FilterSpecs!$A$8,MouserListTable[[#This Row],[Mouser SKU]], MouserListTable[[#This Row],[SKU2]])</f>
        <v>PRT-11376</v>
      </c>
      <c r="E411" s="104">
        <v>0</v>
      </c>
      <c r="F411" s="104">
        <v>0</v>
      </c>
      <c r="G411" s="103" t="s">
        <v>528</v>
      </c>
      <c r="H411" s="103" t="s">
        <v>529</v>
      </c>
      <c r="I411" s="103" t="s">
        <v>530</v>
      </c>
      <c r="J411" s="103">
        <v>1</v>
      </c>
      <c r="K411" s="104">
        <v>0.5</v>
      </c>
      <c r="L411" s="103" t="s">
        <v>1910</v>
      </c>
      <c r="M411" s="103"/>
      <c r="N411" s="148">
        <f t="shared" si="29"/>
        <v>0</v>
      </c>
      <c r="O411" s="103" t="s">
        <v>527</v>
      </c>
      <c r="P411" s="103">
        <f t="shared" si="27"/>
        <v>398</v>
      </c>
      <c r="Q411" s="103">
        <f t="shared" si="28"/>
        <v>1</v>
      </c>
      <c r="R411" s="103" t="s">
        <v>8</v>
      </c>
      <c r="S411" s="103" t="str">
        <f>_xlfn.IFS(MouserListTable[[#This Row],[Column1]]=FilterSpecs!$A$6, FilterSpecs!$B$6,MouserListTable[[#This Row],[Column1]]=FilterSpecs!$A$7,FilterSpecs!$B$7,MouserListTable[[#This Row],[Column1]]=FilterSpecs!$A$8,FilterSpecs!$B$8,MouserListTable[[#This Row],[Column1]]=FilterSpecs!$A$9,FilterSpecs!$B$9)</f>
        <v>474-</v>
      </c>
      <c r="T41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474-PRT-11376</v>
      </c>
      <c r="V411" s="151">
        <f>IF(MouserListTable[[#This Row],[Qty.]]=0, 0, "")</f>
        <v>0</v>
      </c>
    </row>
    <row r="412" spans="1:22" s="146" customFormat="1" x14ac:dyDescent="0.3">
      <c r="A412" s="126" t="s">
        <v>897</v>
      </c>
      <c r="B412" s="126" t="s">
        <v>1893</v>
      </c>
      <c r="C412" s="126" t="s">
        <v>8</v>
      </c>
      <c r="D412" s="103" t="str">
        <f>IF(MouserListTable[[#This Row],[Vendor]]=FilterSpecs!$A$8,MouserListTable[[#This Row],[Mouser SKU]], MouserListTable[[#This Row],[SKU2]])</f>
        <v>PRT-14311</v>
      </c>
      <c r="E412" s="104">
        <v>0</v>
      </c>
      <c r="F412" s="104">
        <v>0</v>
      </c>
      <c r="G412" s="103" t="s">
        <v>580</v>
      </c>
      <c r="H412" s="103" t="s">
        <v>581</v>
      </c>
      <c r="I412" s="103" t="s">
        <v>582</v>
      </c>
      <c r="J412" s="103">
        <v>1</v>
      </c>
      <c r="K412" s="104">
        <v>1.5</v>
      </c>
      <c r="L412" s="103" t="s">
        <v>1910</v>
      </c>
      <c r="M412" s="103"/>
      <c r="N412" s="148">
        <f t="shared" si="29"/>
        <v>0</v>
      </c>
      <c r="O412" s="103" t="s">
        <v>579</v>
      </c>
      <c r="P412" s="103">
        <f t="shared" si="27"/>
        <v>399</v>
      </c>
      <c r="Q412" s="103">
        <f t="shared" si="28"/>
        <v>1</v>
      </c>
      <c r="R412" s="103" t="s">
        <v>8</v>
      </c>
      <c r="S412" s="103" t="str">
        <f>_xlfn.IFS(MouserListTable[[#This Row],[Column1]]=FilterSpecs!$A$6, FilterSpecs!$B$6,MouserListTable[[#This Row],[Column1]]=FilterSpecs!$A$7,FilterSpecs!$B$7,MouserListTable[[#This Row],[Column1]]=FilterSpecs!$A$8,FilterSpecs!$B$8,MouserListTable[[#This Row],[Column1]]=FilterSpecs!$A$9,FilterSpecs!$B$9)</f>
        <v>474-</v>
      </c>
      <c r="T41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474-PRT-14311</v>
      </c>
      <c r="V412" s="151">
        <f>IF(MouserListTable[[#This Row],[Qty.]]=0, 0, "")</f>
        <v>0</v>
      </c>
    </row>
    <row r="413" spans="1:22" s="146" customFormat="1" x14ac:dyDescent="0.3">
      <c r="A413" s="126" t="s">
        <v>897</v>
      </c>
      <c r="B413" s="126" t="s">
        <v>1893</v>
      </c>
      <c r="C413" s="126" t="s">
        <v>8</v>
      </c>
      <c r="D413" s="103" t="str">
        <f>IF(MouserListTable[[#This Row],[Vendor]]=FilterSpecs!$A$8,MouserListTable[[#This Row],[Mouser SKU]], MouserListTable[[#This Row],[SKU2]])</f>
        <v>PRT-14322</v>
      </c>
      <c r="E413" s="104">
        <v>0</v>
      </c>
      <c r="F413" s="104">
        <v>0</v>
      </c>
      <c r="G413" s="103" t="s">
        <v>482</v>
      </c>
      <c r="H413" s="103" t="s">
        <v>483</v>
      </c>
      <c r="I413" s="103" t="s">
        <v>484</v>
      </c>
      <c r="J413" s="103"/>
      <c r="K413" s="104">
        <v>0.5</v>
      </c>
      <c r="L413" s="103" t="s">
        <v>1910</v>
      </c>
      <c r="M413" s="103"/>
      <c r="N413" s="148">
        <f t="shared" si="29"/>
        <v>0</v>
      </c>
      <c r="O413" s="103" t="s">
        <v>481</v>
      </c>
      <c r="P413" s="103">
        <f t="shared" si="27"/>
        <v>400</v>
      </c>
      <c r="Q413" s="103">
        <f t="shared" si="28"/>
        <v>1</v>
      </c>
      <c r="R413" s="103" t="s">
        <v>8</v>
      </c>
      <c r="S413" s="103" t="str">
        <f>_xlfn.IFS(MouserListTable[[#This Row],[Column1]]=FilterSpecs!$A$6, FilterSpecs!$B$6,MouserListTable[[#This Row],[Column1]]=FilterSpecs!$A$7,FilterSpecs!$B$7,MouserListTable[[#This Row],[Column1]]=FilterSpecs!$A$8,FilterSpecs!$B$8,MouserListTable[[#This Row],[Column1]]=FilterSpecs!$A$9,FilterSpecs!$B$9)</f>
        <v>474-</v>
      </c>
      <c r="T41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474-PRT-14322</v>
      </c>
      <c r="V413" s="151">
        <f>IF(MouserListTable[[#This Row],[Qty.]]=0, 0, "")</f>
        <v>0</v>
      </c>
    </row>
    <row r="414" spans="1:22" s="146" customFormat="1" x14ac:dyDescent="0.3">
      <c r="A414" s="126" t="s">
        <v>897</v>
      </c>
      <c r="B414" s="126" t="s">
        <v>1893</v>
      </c>
      <c r="C414" s="126" t="s">
        <v>8</v>
      </c>
      <c r="D414" s="103" t="str">
        <f>IF(MouserListTable[[#This Row],[Vendor]]=FilterSpecs!$A$8,MouserListTable[[#This Row],[Mouser SKU]], MouserListTable[[#This Row],[SKU2]])</f>
        <v>PRT-13925</v>
      </c>
      <c r="E414" s="104">
        <v>0</v>
      </c>
      <c r="F414" s="104">
        <v>0</v>
      </c>
      <c r="G414" s="103" t="s">
        <v>478</v>
      </c>
      <c r="H414" s="103" t="s">
        <v>479</v>
      </c>
      <c r="I414" s="103" t="s">
        <v>480</v>
      </c>
      <c r="J414" s="103">
        <v>1</v>
      </c>
      <c r="K414" s="104">
        <v>1.5</v>
      </c>
      <c r="L414" s="103" t="s">
        <v>1910</v>
      </c>
      <c r="M414" s="103"/>
      <c r="N414" s="148">
        <f t="shared" si="29"/>
        <v>0</v>
      </c>
      <c r="O414" s="103" t="s">
        <v>477</v>
      </c>
      <c r="P414" s="103">
        <f t="shared" si="27"/>
        <v>401</v>
      </c>
      <c r="Q414" s="103">
        <f t="shared" si="28"/>
        <v>1</v>
      </c>
      <c r="R414" s="103" t="s">
        <v>8</v>
      </c>
      <c r="S414" s="103" t="str">
        <f>_xlfn.IFS(MouserListTable[[#This Row],[Column1]]=FilterSpecs!$A$6, FilterSpecs!$B$6,MouserListTable[[#This Row],[Column1]]=FilterSpecs!$A$7,FilterSpecs!$B$7,MouserListTable[[#This Row],[Column1]]=FilterSpecs!$A$8,FilterSpecs!$B$8,MouserListTable[[#This Row],[Column1]]=FilterSpecs!$A$9,FilterSpecs!$B$9)</f>
        <v>474-</v>
      </c>
      <c r="T41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474-PRT-13925</v>
      </c>
      <c r="V414" s="151">
        <f>IF(MouserListTable[[#This Row],[Qty.]]=0, 0, "")</f>
        <v>0</v>
      </c>
    </row>
    <row r="415" spans="1:22" s="146" customFormat="1" x14ac:dyDescent="0.3">
      <c r="A415" s="103" t="s">
        <v>897</v>
      </c>
      <c r="B415" s="103" t="s">
        <v>1893</v>
      </c>
      <c r="C415" s="103" t="s">
        <v>1898</v>
      </c>
      <c r="D415" s="103" t="str">
        <f>IF(MouserListTable[[#This Row],[Vendor]]=FilterSpecs!$A$8,MouserListTable[[#This Row],[Mouser SKU]], MouserListTable[[#This Row],[SKU2]])</f>
        <v>85</v>
      </c>
      <c r="E415" s="104">
        <f>FilterSpecs!$C$3</f>
        <v>5</v>
      </c>
      <c r="F415" s="104" t="s">
        <v>18921</v>
      </c>
      <c r="G415" s="103"/>
      <c r="H415" s="103"/>
      <c r="I415" s="103" t="s">
        <v>2194</v>
      </c>
      <c r="K415" s="104">
        <v>1.95</v>
      </c>
      <c r="L415" s="103" t="s">
        <v>1911</v>
      </c>
      <c r="M415" s="106"/>
      <c r="N415" s="104">
        <f t="shared" si="29"/>
        <v>9.75</v>
      </c>
      <c r="O415" s="103" t="s">
        <v>2193</v>
      </c>
      <c r="P415" s="103">
        <f t="shared" si="27"/>
        <v>402</v>
      </c>
      <c r="Q415" s="103">
        <f t="shared" si="28"/>
        <v>1</v>
      </c>
      <c r="R415" s="103" t="s">
        <v>1898</v>
      </c>
      <c r="S415" s="103" t="str">
        <f>_xlfn.IFS(MouserListTable[[#This Row],[Column1]]=FilterSpecs!$A$6, FilterSpecs!$B$6,MouserListTable[[#This Row],[Column1]]=FilterSpecs!$A$7,FilterSpecs!$B$7,MouserListTable[[#This Row],[Column1]]=FilterSpecs!$A$8,FilterSpecs!$B$8,MouserListTable[[#This Row],[Column1]]=FilterSpecs!$A$9,FilterSpecs!$B$9)</f>
        <v>485-</v>
      </c>
      <c r="T41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485-85</v>
      </c>
      <c r="V415" s="151" t="str">
        <f>IF(MouserListTable[[#This Row],[Qty.]]=0, 0, "")</f>
        <v/>
      </c>
    </row>
    <row r="416" spans="1:22" s="146" customFormat="1" x14ac:dyDescent="0.3">
      <c r="A416" s="103" t="s">
        <v>897</v>
      </c>
      <c r="B416" s="103" t="s">
        <v>1893</v>
      </c>
      <c r="C416" s="103" t="s">
        <v>1898</v>
      </c>
      <c r="D416" s="103" t="str">
        <f>IF(MouserListTable[[#This Row],[Vendor]]=FilterSpecs!$A$8,MouserListTable[[#This Row],[Mouser SKU]], MouserListTable[[#This Row],[SKU2]])</f>
        <v>3366</v>
      </c>
      <c r="E416" s="104">
        <v>1</v>
      </c>
      <c r="F416" s="104" t="s">
        <v>18921</v>
      </c>
      <c r="G416" s="103"/>
      <c r="H416" s="103"/>
      <c r="I416" s="103" t="s">
        <v>2176</v>
      </c>
      <c r="K416" s="104">
        <v>2.95</v>
      </c>
      <c r="L416" s="103" t="s">
        <v>1910</v>
      </c>
      <c r="M416" s="106"/>
      <c r="N416" s="104">
        <f t="shared" si="29"/>
        <v>2.95</v>
      </c>
      <c r="O416" s="103" t="s">
        <v>2175</v>
      </c>
      <c r="P416" s="103">
        <f t="shared" si="27"/>
        <v>403</v>
      </c>
      <c r="Q416" s="103">
        <f t="shared" si="28"/>
        <v>1</v>
      </c>
      <c r="R416" s="103" t="s">
        <v>1898</v>
      </c>
      <c r="S416" s="103" t="str">
        <f>_xlfn.IFS(MouserListTable[[#This Row],[Column1]]=FilterSpecs!$A$6, FilterSpecs!$B$6,MouserListTable[[#This Row],[Column1]]=FilterSpecs!$A$7,FilterSpecs!$B$7,MouserListTable[[#This Row],[Column1]]=FilterSpecs!$A$8,FilterSpecs!$B$8,MouserListTable[[#This Row],[Column1]]=FilterSpecs!$A$9,FilterSpecs!$B$9)</f>
        <v>485-</v>
      </c>
      <c r="T41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485-3366</v>
      </c>
      <c r="V416" s="151" t="str">
        <f>IF(MouserListTable[[#This Row],[Qty.]]=0, 0, "")</f>
        <v/>
      </c>
    </row>
    <row r="417" spans="1:22" s="146" customFormat="1" x14ac:dyDescent="0.3">
      <c r="A417" s="126" t="s">
        <v>897</v>
      </c>
      <c r="B417" s="126" t="s">
        <v>1891</v>
      </c>
      <c r="C417" s="126" t="s">
        <v>8</v>
      </c>
      <c r="D417" s="103" t="str">
        <f>IF(MouserListTable[[#This Row],[Vendor]]=FilterSpecs!$A$8,MouserListTable[[#This Row],[Mouser SKU]], MouserListTable[[#This Row],[SKU2]])</f>
        <v>PRT-12807</v>
      </c>
      <c r="E417" s="104">
        <v>0</v>
      </c>
      <c r="F417" s="104">
        <v>0</v>
      </c>
      <c r="G417" s="103" t="s">
        <v>772</v>
      </c>
      <c r="H417" s="103" t="s">
        <v>773</v>
      </c>
      <c r="I417" s="103" t="s">
        <v>774</v>
      </c>
      <c r="J417" s="103">
        <v>1</v>
      </c>
      <c r="K417" s="104">
        <v>0.5</v>
      </c>
      <c r="L417" s="103" t="s">
        <v>1910</v>
      </c>
      <c r="M417" s="103"/>
      <c r="N417" s="148">
        <f t="shared" si="29"/>
        <v>0</v>
      </c>
      <c r="O417" s="103" t="s">
        <v>771</v>
      </c>
      <c r="P417" s="103">
        <f t="shared" si="27"/>
        <v>404</v>
      </c>
      <c r="Q417" s="103">
        <f t="shared" si="28"/>
        <v>1</v>
      </c>
      <c r="R417" s="103" t="s">
        <v>8</v>
      </c>
      <c r="S417" s="103" t="str">
        <f>_xlfn.IFS(MouserListTable[[#This Row],[Column1]]=FilterSpecs!$A$6, FilterSpecs!$B$6,MouserListTable[[#This Row],[Column1]]=FilterSpecs!$A$7,FilterSpecs!$B$7,MouserListTable[[#This Row],[Column1]]=FilterSpecs!$A$8,FilterSpecs!$B$8,MouserListTable[[#This Row],[Column1]]=FilterSpecs!$A$9,FilterSpecs!$B$9)</f>
        <v>474-</v>
      </c>
      <c r="T41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474-PRT-12807</v>
      </c>
      <c r="V417" s="151">
        <f>IF(MouserListTable[[#This Row],[Qty.]]=0, 0, "")</f>
        <v>0</v>
      </c>
    </row>
    <row r="418" spans="1:22" s="146" customFormat="1" x14ac:dyDescent="0.3">
      <c r="A418" s="126" t="s">
        <v>897</v>
      </c>
      <c r="B418" s="126" t="s">
        <v>1891</v>
      </c>
      <c r="C418" s="126" t="s">
        <v>8</v>
      </c>
      <c r="D418" s="103" t="str">
        <f>IF(MouserListTable[[#This Row],[Vendor]]=FilterSpecs!$A$8,MouserListTable[[#This Row],[Mouser SKU]], MouserListTable[[#This Row],[SKU2]])</f>
        <v>PRT-13156</v>
      </c>
      <c r="E418" s="104">
        <v>0</v>
      </c>
      <c r="F418" s="104">
        <v>0</v>
      </c>
      <c r="G418" s="103" t="s">
        <v>516</v>
      </c>
      <c r="H418" s="103" t="s">
        <v>517</v>
      </c>
      <c r="I418" s="103" t="s">
        <v>518</v>
      </c>
      <c r="J418" s="103">
        <v>1</v>
      </c>
      <c r="K418" s="104">
        <v>0.95</v>
      </c>
      <c r="L418" s="103" t="s">
        <v>1910</v>
      </c>
      <c r="M418" s="103"/>
      <c r="N418" s="148">
        <f t="shared" si="29"/>
        <v>0</v>
      </c>
      <c r="O418" s="103" t="s">
        <v>515</v>
      </c>
      <c r="P418" s="103">
        <f t="shared" si="27"/>
        <v>405</v>
      </c>
      <c r="Q418" s="103">
        <f t="shared" si="28"/>
        <v>1</v>
      </c>
      <c r="R418" s="103" t="s">
        <v>8</v>
      </c>
      <c r="S418" s="103" t="str">
        <f>_xlfn.IFS(MouserListTable[[#This Row],[Column1]]=FilterSpecs!$A$6, FilterSpecs!$B$6,MouserListTable[[#This Row],[Column1]]=FilterSpecs!$A$7,FilterSpecs!$B$7,MouserListTable[[#This Row],[Column1]]=FilterSpecs!$A$8,FilterSpecs!$B$8,MouserListTable[[#This Row],[Column1]]=FilterSpecs!$A$9,FilterSpecs!$B$9)</f>
        <v>474-</v>
      </c>
      <c r="T41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474-PRT-13156</v>
      </c>
      <c r="V418" s="151">
        <f>IF(MouserListTable[[#This Row],[Qty.]]=0, 0, "")</f>
        <v>0</v>
      </c>
    </row>
    <row r="419" spans="1:22" s="146" customFormat="1" x14ac:dyDescent="0.3">
      <c r="A419" s="103" t="s">
        <v>897</v>
      </c>
      <c r="B419" s="103" t="s">
        <v>1891</v>
      </c>
      <c r="C419" s="103" t="s">
        <v>8</v>
      </c>
      <c r="D419" s="103" t="str">
        <f>IF(MouserListTable[[#This Row],[Vendor]]=FilterSpecs!$A$8,MouserListTable[[#This Row],[Mouser SKU]], MouserListTable[[#This Row],[SKU2]])</f>
        <v>PRT-12791</v>
      </c>
      <c r="E419" s="104">
        <v>1</v>
      </c>
      <c r="F419" s="104" t="s">
        <v>18921</v>
      </c>
      <c r="G419" s="103" t="s">
        <v>1792</v>
      </c>
      <c r="H419" s="103" t="s">
        <v>1793</v>
      </c>
      <c r="I419" s="103" t="s">
        <v>1794</v>
      </c>
      <c r="J419" s="103">
        <v>1</v>
      </c>
      <c r="K419" s="104">
        <v>0.95</v>
      </c>
      <c r="L419" s="103" t="s">
        <v>1910</v>
      </c>
      <c r="M419" s="103"/>
      <c r="N419" s="104">
        <f t="shared" si="29"/>
        <v>0.95</v>
      </c>
      <c r="O419" s="103" t="s">
        <v>1791</v>
      </c>
      <c r="P419" s="103">
        <f t="shared" si="27"/>
        <v>406</v>
      </c>
      <c r="Q419" s="103">
        <f t="shared" si="28"/>
        <v>1</v>
      </c>
      <c r="R419" s="103" t="s">
        <v>8</v>
      </c>
      <c r="S419" s="103" t="str">
        <f>_xlfn.IFS(MouserListTable[[#This Row],[Column1]]=FilterSpecs!$A$6, FilterSpecs!$B$6,MouserListTable[[#This Row],[Column1]]=FilterSpecs!$A$7,FilterSpecs!$B$7,MouserListTable[[#This Row],[Column1]]=FilterSpecs!$A$8,FilterSpecs!$B$8,MouserListTable[[#This Row],[Column1]]=FilterSpecs!$A$9,FilterSpecs!$B$9)</f>
        <v>474-</v>
      </c>
      <c r="T41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474-PRT-12791</v>
      </c>
      <c r="V419" s="151" t="str">
        <f>IF(MouserListTable[[#This Row],[Qty.]]=0, 0, "")</f>
        <v/>
      </c>
    </row>
    <row r="420" spans="1:22" s="146" customFormat="1" x14ac:dyDescent="0.3">
      <c r="A420" s="126" t="s">
        <v>897</v>
      </c>
      <c r="B420" s="126" t="s">
        <v>1891</v>
      </c>
      <c r="C420" s="126" t="s">
        <v>8</v>
      </c>
      <c r="D420" s="103" t="str">
        <f>IF(MouserListTable[[#This Row],[Vendor]]=FilterSpecs!$A$8,MouserListTable[[#This Row],[Mouser SKU]], MouserListTable[[#This Row],[SKU2]])</f>
        <v>PRT-00116</v>
      </c>
      <c r="E420" s="104">
        <v>0</v>
      </c>
      <c r="F420" s="104">
        <v>0</v>
      </c>
      <c r="G420" s="103" t="s">
        <v>756</v>
      </c>
      <c r="H420" s="103" t="s">
        <v>757</v>
      </c>
      <c r="I420" s="103" t="s">
        <v>758</v>
      </c>
      <c r="J420" s="103">
        <v>1</v>
      </c>
      <c r="K420" s="104">
        <v>1.5</v>
      </c>
      <c r="L420" s="103" t="s">
        <v>1910</v>
      </c>
      <c r="M420" s="103"/>
      <c r="N420" s="148">
        <f t="shared" si="29"/>
        <v>0</v>
      </c>
      <c r="O420" s="103" t="s">
        <v>755</v>
      </c>
      <c r="P420" s="103">
        <f t="shared" si="27"/>
        <v>407</v>
      </c>
      <c r="Q420" s="103">
        <f t="shared" si="28"/>
        <v>1</v>
      </c>
      <c r="R420" s="103" t="s">
        <v>8</v>
      </c>
      <c r="S420" s="103" t="str">
        <f>_xlfn.IFS(MouserListTable[[#This Row],[Column1]]=FilterSpecs!$A$6, FilterSpecs!$B$6,MouserListTable[[#This Row],[Column1]]=FilterSpecs!$A$7,FilterSpecs!$B$7,MouserListTable[[#This Row],[Column1]]=FilterSpecs!$A$8,FilterSpecs!$B$8,MouserListTable[[#This Row],[Column1]]=FilterSpecs!$A$9,FilterSpecs!$B$9)</f>
        <v>474-</v>
      </c>
      <c r="T42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474-PRT-00116</v>
      </c>
      <c r="V420" s="151">
        <f>IF(MouserListTable[[#This Row],[Qty.]]=0, 0, "")</f>
        <v>0</v>
      </c>
    </row>
    <row r="421" spans="1:22" s="146" customFormat="1" x14ac:dyDescent="0.3">
      <c r="A421" s="103" t="s">
        <v>897</v>
      </c>
      <c r="B421" s="103" t="s">
        <v>1891</v>
      </c>
      <c r="C421" s="103" t="s">
        <v>1898</v>
      </c>
      <c r="D421" s="103" t="str">
        <f>IF(MouserListTable[[#This Row],[Vendor]]=FilterSpecs!$A$8,MouserListTable[[#This Row],[Mouser SKU]], MouserListTable[[#This Row],[SKU2]])</f>
        <v>392</v>
      </c>
      <c r="E421" s="104">
        <v>1</v>
      </c>
      <c r="F421" s="104" t="s">
        <v>18921</v>
      </c>
      <c r="G421" s="103"/>
      <c r="H421" s="103"/>
      <c r="I421" s="103" t="s">
        <v>2190</v>
      </c>
      <c r="K421" s="104">
        <v>4.95</v>
      </c>
      <c r="L421" s="103" t="s">
        <v>1910</v>
      </c>
      <c r="M421" s="106"/>
      <c r="N421" s="104">
        <f t="shared" si="29"/>
        <v>4.95</v>
      </c>
      <c r="O421" s="103" t="s">
        <v>2189</v>
      </c>
      <c r="P421" s="103">
        <f t="shared" si="27"/>
        <v>408</v>
      </c>
      <c r="Q421" s="103">
        <f t="shared" si="28"/>
        <v>1</v>
      </c>
      <c r="R421" s="103" t="s">
        <v>1898</v>
      </c>
      <c r="S421" s="103" t="str">
        <f>_xlfn.IFS(MouserListTable[[#This Row],[Column1]]=FilterSpecs!$A$6, FilterSpecs!$B$6,MouserListTable[[#This Row],[Column1]]=FilterSpecs!$A$7,FilterSpecs!$B$7,MouserListTable[[#This Row],[Column1]]=FilterSpecs!$A$8,FilterSpecs!$B$8,MouserListTable[[#This Row],[Column1]]=FilterSpecs!$A$9,FilterSpecs!$B$9)</f>
        <v>485-</v>
      </c>
      <c r="T42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485-392</v>
      </c>
      <c r="V421" s="151" t="str">
        <f>IF(MouserListTable[[#This Row],[Qty.]]=0, 0, "")</f>
        <v/>
      </c>
    </row>
    <row r="422" spans="1:22" s="146" customFormat="1" x14ac:dyDescent="0.3">
      <c r="A422" s="103" t="s">
        <v>897</v>
      </c>
      <c r="B422" s="103" t="s">
        <v>1891</v>
      </c>
      <c r="C422" s="103" t="s">
        <v>1898</v>
      </c>
      <c r="D422" s="103" t="str">
        <f>IF(MouserListTable[[#This Row],[Vendor]]=FilterSpecs!$A$8,MouserListTable[[#This Row],[Mouser SKU]], MouserListTable[[#This Row],[SKU2]])</f>
        <v>3009</v>
      </c>
      <c r="E422" s="104">
        <v>1</v>
      </c>
      <c r="F422" s="104" t="s">
        <v>18921</v>
      </c>
      <c r="G422" s="103"/>
      <c r="H422" s="103"/>
      <c r="I422" s="103" t="s">
        <v>2182</v>
      </c>
      <c r="K422" s="104">
        <v>4.95</v>
      </c>
      <c r="L422" s="103" t="s">
        <v>1910</v>
      </c>
      <c r="M422" s="106"/>
      <c r="N422" s="104">
        <f t="shared" si="29"/>
        <v>4.95</v>
      </c>
      <c r="O422" s="103" t="s">
        <v>2181</v>
      </c>
      <c r="P422" s="103">
        <f t="shared" si="27"/>
        <v>409</v>
      </c>
      <c r="Q422" s="103">
        <f t="shared" si="28"/>
        <v>1</v>
      </c>
      <c r="R422" s="103" t="s">
        <v>1898</v>
      </c>
      <c r="S422" s="103" t="str">
        <f>_xlfn.IFS(MouserListTable[[#This Row],[Column1]]=FilterSpecs!$A$6, FilterSpecs!$B$6,MouserListTable[[#This Row],[Column1]]=FilterSpecs!$A$7,FilterSpecs!$B$7,MouserListTable[[#This Row],[Column1]]=FilterSpecs!$A$8,FilterSpecs!$B$8,MouserListTable[[#This Row],[Column1]]=FilterSpecs!$A$9,FilterSpecs!$B$9)</f>
        <v>485-</v>
      </c>
      <c r="T42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485-3009</v>
      </c>
      <c r="V422" s="151" t="str">
        <f>IF(MouserListTable[[#This Row],[Qty.]]=0, 0, "")</f>
        <v/>
      </c>
    </row>
    <row r="423" spans="1:22" s="146" customFormat="1" x14ac:dyDescent="0.3">
      <c r="A423" s="103" t="s">
        <v>897</v>
      </c>
      <c r="B423" s="103" t="s">
        <v>1891</v>
      </c>
      <c r="C423" s="103" t="s">
        <v>8</v>
      </c>
      <c r="D423" s="103" t="str">
        <f>IF(MouserListTable[[#This Row],[Vendor]]=FilterSpecs!$A$8,MouserListTable[[#This Row],[Mouser SKU]], MouserListTable[[#This Row],[SKU2]])</f>
        <v>PRT-10158</v>
      </c>
      <c r="E423" s="104">
        <f>FilterSpecs!$C$3</f>
        <v>5</v>
      </c>
      <c r="F423" s="104" t="s">
        <v>18921</v>
      </c>
      <c r="G423" s="103" t="s">
        <v>490</v>
      </c>
      <c r="H423" s="103" t="s">
        <v>491</v>
      </c>
      <c r="I423" s="103" t="s">
        <v>492</v>
      </c>
      <c r="J423" s="103">
        <v>1</v>
      </c>
      <c r="K423" s="104">
        <v>2.95</v>
      </c>
      <c r="L423" s="103" t="s">
        <v>1911</v>
      </c>
      <c r="M423" s="103"/>
      <c r="N423" s="104">
        <f t="shared" si="29"/>
        <v>14.75</v>
      </c>
      <c r="O423" s="103" t="s">
        <v>489</v>
      </c>
      <c r="P423" s="103">
        <f t="shared" si="27"/>
        <v>410</v>
      </c>
      <c r="Q423" s="103">
        <f t="shared" si="28"/>
        <v>1</v>
      </c>
      <c r="R423" s="103" t="s">
        <v>8</v>
      </c>
      <c r="S423" s="103" t="str">
        <f>_xlfn.IFS(MouserListTable[[#This Row],[Column1]]=FilterSpecs!$A$6, FilterSpecs!$B$6,MouserListTable[[#This Row],[Column1]]=FilterSpecs!$A$7,FilterSpecs!$B$7,MouserListTable[[#This Row],[Column1]]=FilterSpecs!$A$8,FilterSpecs!$B$8,MouserListTable[[#This Row],[Column1]]=FilterSpecs!$A$9,FilterSpecs!$B$9)</f>
        <v>474-</v>
      </c>
      <c r="T42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474-PRT-10158</v>
      </c>
      <c r="V423" s="151" t="str">
        <f>IF(MouserListTable[[#This Row],[Qty.]]=0, 0, "")</f>
        <v/>
      </c>
    </row>
    <row r="424" spans="1:22" s="146" customFormat="1" x14ac:dyDescent="0.3">
      <c r="A424" s="103" t="s">
        <v>897</v>
      </c>
      <c r="B424" s="103" t="s">
        <v>1891</v>
      </c>
      <c r="C424" s="103" t="s">
        <v>8</v>
      </c>
      <c r="D424" s="103" t="str">
        <f>IF(MouserListTable[[#This Row],[Vendor]]=FilterSpecs!$A$8,MouserListTable[[#This Row],[Mouser SKU]], MouserListTable[[#This Row],[SKU2]])</f>
        <v>PRT-12693</v>
      </c>
      <c r="E424" s="104">
        <f>FilterSpecs!$C$3</f>
        <v>5</v>
      </c>
      <c r="F424" s="104" t="s">
        <v>18921</v>
      </c>
      <c r="G424" s="103" t="s">
        <v>474</v>
      </c>
      <c r="H424" s="103" t="s">
        <v>475</v>
      </c>
      <c r="I424" s="103" t="s">
        <v>476</v>
      </c>
      <c r="J424" s="103">
        <v>1</v>
      </c>
      <c r="K424" s="104">
        <v>0.75</v>
      </c>
      <c r="L424" s="103" t="s">
        <v>1911</v>
      </c>
      <c r="M424" s="103"/>
      <c r="N424" s="104">
        <f t="shared" si="29"/>
        <v>3.75</v>
      </c>
      <c r="O424" s="103" t="s">
        <v>473</v>
      </c>
      <c r="P424" s="103">
        <f t="shared" si="27"/>
        <v>411</v>
      </c>
      <c r="Q424" s="103">
        <f t="shared" si="28"/>
        <v>1</v>
      </c>
      <c r="R424" s="103" t="s">
        <v>8</v>
      </c>
      <c r="S424" s="103" t="str">
        <f>_xlfn.IFS(MouserListTable[[#This Row],[Column1]]=FilterSpecs!$A$6, FilterSpecs!$B$6,MouserListTable[[#This Row],[Column1]]=FilterSpecs!$A$7,FilterSpecs!$B$7,MouserListTable[[#This Row],[Column1]]=FilterSpecs!$A$8,FilterSpecs!$B$8,MouserListTable[[#This Row],[Column1]]=FilterSpecs!$A$9,FilterSpecs!$B$9)</f>
        <v>474-</v>
      </c>
      <c r="T42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474-PRT-12693</v>
      </c>
      <c r="V424" s="151" t="str">
        <f>IF(MouserListTable[[#This Row],[Qty.]]=0, 0, "")</f>
        <v/>
      </c>
    </row>
    <row r="425" spans="1:22" s="146" customFormat="1" x14ac:dyDescent="0.3">
      <c r="A425" s="128" t="s">
        <v>897</v>
      </c>
      <c r="B425" s="128" t="s">
        <v>1891</v>
      </c>
      <c r="C425" s="128" t="s">
        <v>1898</v>
      </c>
      <c r="D425" s="103" t="str">
        <f>IF(MouserListTable[[#This Row],[Vendor]]=FilterSpecs!$A$8,MouserListTable[[#This Row],[Mouser SKU]], MouserListTable[[#This Row],[SKU2]])</f>
        <v>400</v>
      </c>
      <c r="E425" s="129">
        <v>0</v>
      </c>
      <c r="F425" s="129">
        <v>0</v>
      </c>
      <c r="I425" s="128" t="s">
        <v>2482</v>
      </c>
      <c r="J425" s="155">
        <v>117</v>
      </c>
      <c r="K425" s="129">
        <v>3</v>
      </c>
      <c r="L425" s="126" t="s">
        <v>1910</v>
      </c>
      <c r="N425" s="148"/>
      <c r="O425" s="128" t="s">
        <v>2483</v>
      </c>
      <c r="P425" s="103">
        <f t="shared" si="27"/>
        <v>412</v>
      </c>
      <c r="Q425" s="103">
        <f t="shared" si="28"/>
        <v>1</v>
      </c>
      <c r="R425" s="103" t="s">
        <v>1898</v>
      </c>
      <c r="S425" s="103" t="str">
        <f>_xlfn.IFS(MouserListTable[[#This Row],[Column1]]=FilterSpecs!$A$6, FilterSpecs!$B$6,MouserListTable[[#This Row],[Column1]]=FilterSpecs!$A$7,FilterSpecs!$B$7,MouserListTable[[#This Row],[Column1]]=FilterSpecs!$A$8,FilterSpecs!$B$8,MouserListTable[[#This Row],[Column1]]=FilterSpecs!$A$9,FilterSpecs!$B$9)</f>
        <v>485-</v>
      </c>
      <c r="T42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485-400</v>
      </c>
      <c r="V425" s="151">
        <f>IF(MouserListTable[[#This Row],[Qty.]]=0, 0, "")</f>
        <v>0</v>
      </c>
    </row>
    <row r="426" spans="1:22" s="146" customFormat="1" x14ac:dyDescent="0.3">
      <c r="A426" s="126" t="s">
        <v>897</v>
      </c>
      <c r="B426" s="126" t="s">
        <v>1891</v>
      </c>
      <c r="C426" s="126" t="s">
        <v>8</v>
      </c>
      <c r="D426" s="103" t="str">
        <f>IF(MouserListTable[[#This Row],[Vendor]]=FilterSpecs!$A$8,MouserListTable[[#This Row],[Mouser SKU]], MouserListTable[[#This Row],[SKU2]])</f>
        <v>PRT-00553</v>
      </c>
      <c r="E426" s="104">
        <v>0</v>
      </c>
      <c r="F426" s="104">
        <v>0</v>
      </c>
      <c r="G426" s="103" t="s">
        <v>760</v>
      </c>
      <c r="H426" s="103" t="s">
        <v>761</v>
      </c>
      <c r="I426" s="103" t="s">
        <v>762</v>
      </c>
      <c r="J426" s="103">
        <v>1</v>
      </c>
      <c r="K426" s="104">
        <v>1.95</v>
      </c>
      <c r="L426" s="103" t="s">
        <v>1910</v>
      </c>
      <c r="M426" s="103"/>
      <c r="N426" s="148">
        <f>E426*K426</f>
        <v>0</v>
      </c>
      <c r="O426" s="103" t="s">
        <v>759</v>
      </c>
      <c r="P426" s="103">
        <f t="shared" si="27"/>
        <v>413</v>
      </c>
      <c r="Q426" s="103">
        <f t="shared" si="28"/>
        <v>1</v>
      </c>
      <c r="R426" s="103" t="s">
        <v>8</v>
      </c>
      <c r="S426" s="103" t="str">
        <f>_xlfn.IFS(MouserListTable[[#This Row],[Column1]]=FilterSpecs!$A$6, FilterSpecs!$B$6,MouserListTable[[#This Row],[Column1]]=FilterSpecs!$A$7,FilterSpecs!$B$7,MouserListTable[[#This Row],[Column1]]=FilterSpecs!$A$8,FilterSpecs!$B$8,MouserListTable[[#This Row],[Column1]]=FilterSpecs!$A$9,FilterSpecs!$B$9)</f>
        <v>474-</v>
      </c>
      <c r="T42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474-PRT-00553</v>
      </c>
      <c r="V426" s="151">
        <f>IF(MouserListTable[[#This Row],[Qty.]]=0, 0, "")</f>
        <v>0</v>
      </c>
    </row>
    <row r="427" spans="1:22" s="146" customFormat="1" x14ac:dyDescent="0.3">
      <c r="A427" s="103" t="s">
        <v>897</v>
      </c>
      <c r="B427" s="103" t="s">
        <v>1891</v>
      </c>
      <c r="C427" s="103" t="s">
        <v>1898</v>
      </c>
      <c r="D427" s="103" t="str">
        <f>IF(MouserListTable[[#This Row],[Vendor]]=FilterSpecs!$A$8,MouserListTable[[#This Row],[Mouser SKU]], MouserListTable[[#This Row],[SKU2]])</f>
        <v>1540</v>
      </c>
      <c r="E427" s="104">
        <v>0</v>
      </c>
      <c r="F427" s="104">
        <v>0</v>
      </c>
      <c r="G427" s="103"/>
      <c r="H427" s="103"/>
      <c r="I427" s="126" t="s">
        <v>2192</v>
      </c>
      <c r="K427" s="148">
        <v>5.95</v>
      </c>
      <c r="L427" s="126" t="s">
        <v>1913</v>
      </c>
      <c r="N427" s="148"/>
      <c r="O427" s="103" t="s">
        <v>2191</v>
      </c>
      <c r="P427" s="103">
        <f t="shared" si="27"/>
        <v>414</v>
      </c>
      <c r="Q427" s="103">
        <f t="shared" si="28"/>
        <v>1</v>
      </c>
      <c r="R427" s="103" t="s">
        <v>1898</v>
      </c>
      <c r="S427" s="103" t="str">
        <f>_xlfn.IFS(MouserListTable[[#This Row],[Column1]]=FilterSpecs!$A$6, FilterSpecs!$B$6,MouserListTable[[#This Row],[Column1]]=FilterSpecs!$A$7,FilterSpecs!$B$7,MouserListTable[[#This Row],[Column1]]=FilterSpecs!$A$8,FilterSpecs!$B$8,MouserListTable[[#This Row],[Column1]]=FilterSpecs!$A$9,FilterSpecs!$B$9)</f>
        <v>485-</v>
      </c>
      <c r="T42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485-1540</v>
      </c>
      <c r="V427" s="151">
        <f>IF(MouserListTable[[#This Row],[Qty.]]=0, 0, "")</f>
        <v>0</v>
      </c>
    </row>
    <row r="428" spans="1:22" s="146" customFormat="1" x14ac:dyDescent="0.3">
      <c r="A428" s="103" t="s">
        <v>897</v>
      </c>
      <c r="B428" s="103" t="s">
        <v>1891</v>
      </c>
      <c r="C428" s="103" t="s">
        <v>1898</v>
      </c>
      <c r="D428" s="103" t="str">
        <f>IF(MouserListTable[[#This Row],[Vendor]]=FilterSpecs!$A$8,MouserListTable[[#This Row],[Mouser SKU]], MouserListTable[[#This Row],[SKU2]])</f>
        <v>2822</v>
      </c>
      <c r="E428" s="104">
        <v>0</v>
      </c>
      <c r="F428" s="104">
        <v>0</v>
      </c>
      <c r="G428" s="103"/>
      <c r="H428" s="103"/>
      <c r="I428" s="126" t="s">
        <v>2184</v>
      </c>
      <c r="K428" s="148">
        <v>0.95</v>
      </c>
      <c r="L428" s="126" t="s">
        <v>1910</v>
      </c>
      <c r="N428" s="148"/>
      <c r="O428" s="103" t="s">
        <v>2183</v>
      </c>
      <c r="P428" s="103">
        <f t="shared" si="27"/>
        <v>415</v>
      </c>
      <c r="Q428" s="103">
        <f t="shared" si="28"/>
        <v>1</v>
      </c>
      <c r="R428" s="103" t="s">
        <v>1898</v>
      </c>
      <c r="S428" s="103" t="str">
        <f>_xlfn.IFS(MouserListTable[[#This Row],[Column1]]=FilterSpecs!$A$6, FilterSpecs!$B$6,MouserListTable[[#This Row],[Column1]]=FilterSpecs!$A$7,FilterSpecs!$B$7,MouserListTable[[#This Row],[Column1]]=FilterSpecs!$A$8,FilterSpecs!$B$8,MouserListTable[[#This Row],[Column1]]=FilterSpecs!$A$9,FilterSpecs!$B$9)</f>
        <v>485-</v>
      </c>
      <c r="T42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485-2822</v>
      </c>
      <c r="V428" s="151">
        <f>IF(MouserListTable[[#This Row],[Qty.]]=0, 0, "")</f>
        <v>0</v>
      </c>
    </row>
    <row r="429" spans="1:22" s="146" customFormat="1" x14ac:dyDescent="0.3">
      <c r="A429" s="103" t="s">
        <v>897</v>
      </c>
      <c r="B429" s="103" t="s">
        <v>1891</v>
      </c>
      <c r="C429" s="103" t="s">
        <v>1898</v>
      </c>
      <c r="D429" s="103" t="str">
        <f>IF(MouserListTable[[#This Row],[Vendor]]=FilterSpecs!$A$8,MouserListTable[[#This Row],[Mouser SKU]], MouserListTable[[#This Row],[SKU2]])</f>
        <v>1539</v>
      </c>
      <c r="E429" s="104">
        <v>1</v>
      </c>
      <c r="F429" s="104" t="s">
        <v>18921</v>
      </c>
      <c r="G429" s="103"/>
      <c r="H429" s="103"/>
      <c r="I429" s="103" t="s">
        <v>2186</v>
      </c>
      <c r="K429" s="104">
        <v>7.5</v>
      </c>
      <c r="L429" s="103" t="s">
        <v>1910</v>
      </c>
      <c r="M429" s="106"/>
      <c r="N429" s="104">
        <f t="shared" ref="N429:N434" si="30">E429*K429</f>
        <v>7.5</v>
      </c>
      <c r="O429" s="103" t="s">
        <v>2185</v>
      </c>
      <c r="P429" s="103">
        <f t="shared" si="27"/>
        <v>416</v>
      </c>
      <c r="Q429" s="103">
        <f t="shared" si="28"/>
        <v>1</v>
      </c>
      <c r="R429" s="103" t="s">
        <v>1898</v>
      </c>
      <c r="S429" s="103" t="str">
        <f>_xlfn.IFS(MouserListTable[[#This Row],[Column1]]=FilterSpecs!$A$6, FilterSpecs!$B$6,MouserListTable[[#This Row],[Column1]]=FilterSpecs!$A$7,FilterSpecs!$B$7,MouserListTable[[#This Row],[Column1]]=FilterSpecs!$A$8,FilterSpecs!$B$8,MouserListTable[[#This Row],[Column1]]=FilterSpecs!$A$9,FilterSpecs!$B$9)</f>
        <v>485-</v>
      </c>
      <c r="T42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485-1539</v>
      </c>
      <c r="V429" s="151" t="str">
        <f>IF(MouserListTable[[#This Row],[Qty.]]=0, 0, "")</f>
        <v/>
      </c>
    </row>
    <row r="430" spans="1:22" s="146" customFormat="1" x14ac:dyDescent="0.3">
      <c r="A430" s="103" t="s">
        <v>897</v>
      </c>
      <c r="B430" s="103" t="s">
        <v>1891</v>
      </c>
      <c r="C430" s="103" t="s">
        <v>1898</v>
      </c>
      <c r="D430" s="103" t="str">
        <f>IF(MouserListTable[[#This Row],[Vendor]]=FilterSpecs!$A$8,MouserListTable[[#This Row],[Mouser SKU]], MouserListTable[[#This Row],[SKU2]])</f>
        <v>1541</v>
      </c>
      <c r="E430" s="104">
        <v>1</v>
      </c>
      <c r="F430" s="104" t="s">
        <v>18921</v>
      </c>
      <c r="G430" s="103"/>
      <c r="H430" s="103"/>
      <c r="I430" s="103" t="s">
        <v>2188</v>
      </c>
      <c r="K430" s="104">
        <v>5.95</v>
      </c>
      <c r="L430" s="103" t="s">
        <v>1910</v>
      </c>
      <c r="M430" s="106"/>
      <c r="N430" s="104">
        <f t="shared" si="30"/>
        <v>5.95</v>
      </c>
      <c r="O430" s="103" t="s">
        <v>2187</v>
      </c>
      <c r="P430" s="103">
        <f t="shared" si="27"/>
        <v>417</v>
      </c>
      <c r="Q430" s="103">
        <f t="shared" si="28"/>
        <v>1</v>
      </c>
      <c r="R430" s="103" t="s">
        <v>1898</v>
      </c>
      <c r="S430" s="103" t="str">
        <f>_xlfn.IFS(MouserListTable[[#This Row],[Column1]]=FilterSpecs!$A$6, FilterSpecs!$B$6,MouserListTable[[#This Row],[Column1]]=FilterSpecs!$A$7,FilterSpecs!$B$7,MouserListTable[[#This Row],[Column1]]=FilterSpecs!$A$8,FilterSpecs!$B$8,MouserListTable[[#This Row],[Column1]]=FilterSpecs!$A$9,FilterSpecs!$B$9)</f>
        <v>485-</v>
      </c>
      <c r="T43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485-1541</v>
      </c>
      <c r="V430" s="151" t="str">
        <f>IF(MouserListTable[[#This Row],[Qty.]]=0, 0, "")</f>
        <v/>
      </c>
    </row>
    <row r="431" spans="1:22" s="146" customFormat="1" x14ac:dyDescent="0.3">
      <c r="A431" s="126" t="s">
        <v>897</v>
      </c>
      <c r="B431" s="126" t="s">
        <v>1891</v>
      </c>
      <c r="C431" s="126" t="s">
        <v>8</v>
      </c>
      <c r="D431" s="103" t="str">
        <f>IF(MouserListTable[[#This Row],[Vendor]]=FilterSpecs!$A$8,MouserListTable[[#This Row],[Mouser SKU]], MouserListTable[[#This Row],[SKU2]])</f>
        <v>COM-12792</v>
      </c>
      <c r="E431" s="104">
        <v>0</v>
      </c>
      <c r="F431" s="104">
        <v>0</v>
      </c>
      <c r="G431" s="103" t="s">
        <v>764</v>
      </c>
      <c r="H431" s="103" t="s">
        <v>765</v>
      </c>
      <c r="I431" s="103" t="s">
        <v>766</v>
      </c>
      <c r="J431" s="103">
        <v>1</v>
      </c>
      <c r="K431" s="104">
        <v>1.95</v>
      </c>
      <c r="L431" s="103" t="s">
        <v>1910</v>
      </c>
      <c r="M431" s="103"/>
      <c r="N431" s="148">
        <f t="shared" si="30"/>
        <v>0</v>
      </c>
      <c r="O431" s="103" t="s">
        <v>763</v>
      </c>
      <c r="P431" s="103">
        <f t="shared" si="27"/>
        <v>418</v>
      </c>
      <c r="Q431" s="103">
        <f t="shared" si="28"/>
        <v>1</v>
      </c>
      <c r="R431" s="103" t="s">
        <v>8</v>
      </c>
      <c r="S431" s="103" t="str">
        <f>_xlfn.IFS(MouserListTable[[#This Row],[Column1]]=FilterSpecs!$A$6, FilterSpecs!$B$6,MouserListTable[[#This Row],[Column1]]=FilterSpecs!$A$7,FilterSpecs!$B$7,MouserListTable[[#This Row],[Column1]]=FilterSpecs!$A$8,FilterSpecs!$B$8,MouserListTable[[#This Row],[Column1]]=FilterSpecs!$A$9,FilterSpecs!$B$9)</f>
        <v>474-</v>
      </c>
      <c r="T43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474-COM-12792</v>
      </c>
      <c r="V431" s="151">
        <f>IF(MouserListTable[[#This Row],[Qty.]]=0, 0, "")</f>
        <v>0</v>
      </c>
    </row>
    <row r="432" spans="1:22" s="146" customFormat="1" x14ac:dyDescent="0.3">
      <c r="A432" s="126" t="s">
        <v>897</v>
      </c>
      <c r="B432" s="126" t="s">
        <v>1891</v>
      </c>
      <c r="C432" s="126" t="s">
        <v>8</v>
      </c>
      <c r="D432" s="103" t="str">
        <f>IF(MouserListTable[[#This Row],[Vendor]]=FilterSpecs!$A$8,MouserListTable[[#This Row],[Mouser SKU]], MouserListTable[[#This Row],[SKU2]])</f>
        <v>COM-10095</v>
      </c>
      <c r="E432" s="104">
        <v>0</v>
      </c>
      <c r="F432" s="104">
        <v>0</v>
      </c>
      <c r="G432" s="103" t="s">
        <v>1305</v>
      </c>
      <c r="H432" s="103" t="s">
        <v>1306</v>
      </c>
      <c r="I432" s="103" t="s">
        <v>1307</v>
      </c>
      <c r="J432" s="103">
        <v>1</v>
      </c>
      <c r="K432" s="104">
        <v>4.95</v>
      </c>
      <c r="L432" s="103" t="s">
        <v>1910</v>
      </c>
      <c r="M432" s="103"/>
      <c r="N432" s="148">
        <f t="shared" si="30"/>
        <v>0</v>
      </c>
      <c r="O432" s="103" t="s">
        <v>1304</v>
      </c>
      <c r="P432" s="103">
        <f t="shared" si="27"/>
        <v>419</v>
      </c>
      <c r="Q432" s="103">
        <f t="shared" si="28"/>
        <v>1</v>
      </c>
      <c r="R432" s="103" t="s">
        <v>8</v>
      </c>
      <c r="S432" s="103" t="str">
        <f>_xlfn.IFS(MouserListTable[[#This Row],[Column1]]=FilterSpecs!$A$6, FilterSpecs!$B$6,MouserListTable[[#This Row],[Column1]]=FilterSpecs!$A$7,FilterSpecs!$B$7,MouserListTable[[#This Row],[Column1]]=FilterSpecs!$A$8,FilterSpecs!$B$8,MouserListTable[[#This Row],[Column1]]=FilterSpecs!$A$9,FilterSpecs!$B$9)</f>
        <v>474-</v>
      </c>
      <c r="T43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474-COM-10095</v>
      </c>
      <c r="V432" s="151">
        <f>IF(MouserListTable[[#This Row],[Qty.]]=0, 0, "")</f>
        <v>0</v>
      </c>
    </row>
    <row r="433" spans="1:22" s="146" customFormat="1" x14ac:dyDescent="0.3">
      <c r="A433" s="126" t="s">
        <v>897</v>
      </c>
      <c r="B433" s="126" t="s">
        <v>1891</v>
      </c>
      <c r="C433" s="126" t="s">
        <v>8</v>
      </c>
      <c r="D433" s="103" t="str">
        <f>IF(MouserListTable[[#This Row],[Vendor]]=FilterSpecs!$A$8,MouserListTable[[#This Row],[Mouser SKU]], MouserListTable[[#This Row],[SKU2]])</f>
        <v>PRT-10112</v>
      </c>
      <c r="E433" s="104">
        <v>0</v>
      </c>
      <c r="F433" s="104">
        <v>0</v>
      </c>
      <c r="G433" s="103" t="s">
        <v>784</v>
      </c>
      <c r="H433" s="103" t="s">
        <v>785</v>
      </c>
      <c r="I433" s="103" t="s">
        <v>786</v>
      </c>
      <c r="J433" s="103">
        <v>1</v>
      </c>
      <c r="K433" s="104">
        <v>0.95</v>
      </c>
      <c r="L433" s="103" t="s">
        <v>1910</v>
      </c>
      <c r="M433" s="103"/>
      <c r="N433" s="148">
        <f t="shared" si="30"/>
        <v>0</v>
      </c>
      <c r="O433" s="103" t="s">
        <v>783</v>
      </c>
      <c r="P433" s="103">
        <f t="shared" si="27"/>
        <v>420</v>
      </c>
      <c r="Q433" s="103">
        <f t="shared" si="28"/>
        <v>1</v>
      </c>
      <c r="R433" s="103" t="s">
        <v>8</v>
      </c>
      <c r="S433" s="103" t="str">
        <f>_xlfn.IFS(MouserListTable[[#This Row],[Column1]]=FilterSpecs!$A$6, FilterSpecs!$B$6,MouserListTable[[#This Row],[Column1]]=FilterSpecs!$A$7,FilterSpecs!$B$7,MouserListTable[[#This Row],[Column1]]=FilterSpecs!$A$8,FilterSpecs!$B$8,MouserListTable[[#This Row],[Column1]]=FilterSpecs!$A$9,FilterSpecs!$B$9)</f>
        <v>474-</v>
      </c>
      <c r="T43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474-PRT-10112</v>
      </c>
      <c r="V433" s="151">
        <f>IF(MouserListTable[[#This Row],[Qty.]]=0, 0, "")</f>
        <v>0</v>
      </c>
    </row>
    <row r="434" spans="1:22" s="146" customFormat="1" x14ac:dyDescent="0.3">
      <c r="A434" s="103" t="s">
        <v>897</v>
      </c>
      <c r="B434" s="103" t="s">
        <v>1891</v>
      </c>
      <c r="C434" s="103" t="s">
        <v>1898</v>
      </c>
      <c r="D434" s="103" t="str">
        <f>IF(MouserListTable[[#This Row],[Vendor]]=FilterSpecs!$A$8,MouserListTable[[#This Row],[Mouser SKU]], MouserListTable[[#This Row],[SKU2]])</f>
        <v>2671</v>
      </c>
      <c r="E434" s="104">
        <v>1</v>
      </c>
      <c r="F434" s="104" t="s">
        <v>18921</v>
      </c>
      <c r="G434" s="103"/>
      <c r="H434" s="103"/>
      <c r="I434" s="103" t="s">
        <v>2180</v>
      </c>
      <c r="K434" s="104">
        <v>2.95</v>
      </c>
      <c r="L434" s="103" t="s">
        <v>1910</v>
      </c>
      <c r="M434" s="106"/>
      <c r="N434" s="104">
        <f t="shared" si="30"/>
        <v>2.95</v>
      </c>
      <c r="O434" s="103" t="s">
        <v>2179</v>
      </c>
      <c r="P434" s="103">
        <f t="shared" si="27"/>
        <v>421</v>
      </c>
      <c r="Q434" s="103">
        <f t="shared" si="28"/>
        <v>1</v>
      </c>
      <c r="R434" s="103" t="s">
        <v>1898</v>
      </c>
      <c r="S434" s="103" t="str">
        <f>_xlfn.IFS(MouserListTable[[#This Row],[Column1]]=FilterSpecs!$A$6, FilterSpecs!$B$6,MouserListTable[[#This Row],[Column1]]=FilterSpecs!$A$7,FilterSpecs!$B$7,MouserListTable[[#This Row],[Column1]]=FilterSpecs!$A$8,FilterSpecs!$B$8,MouserListTable[[#This Row],[Column1]]=FilterSpecs!$A$9,FilterSpecs!$B$9)</f>
        <v>485-</v>
      </c>
      <c r="T43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485-2671</v>
      </c>
      <c r="V434" s="151" t="str">
        <f>IF(MouserListTable[[#This Row],[Qty.]]=0, 0, "")</f>
        <v/>
      </c>
    </row>
    <row r="435" spans="1:22" s="146" customFormat="1" x14ac:dyDescent="0.3">
      <c r="A435" s="103" t="s">
        <v>897</v>
      </c>
      <c r="B435" s="103" t="s">
        <v>1892</v>
      </c>
      <c r="C435" s="103" t="s">
        <v>1898</v>
      </c>
      <c r="D435" s="103" t="str">
        <f>IF(MouserListTable[[#This Row],[Vendor]]=FilterSpecs!$A$8,MouserListTable[[#This Row],[Mouser SKU]], MouserListTable[[#This Row],[SKU2]])</f>
        <v>2886</v>
      </c>
      <c r="E435" s="104">
        <v>0</v>
      </c>
      <c r="F435" s="104">
        <v>0</v>
      </c>
      <c r="G435" s="103"/>
      <c r="H435" s="103"/>
      <c r="I435" s="126" t="s">
        <v>2178</v>
      </c>
      <c r="K435" s="148">
        <v>0.95</v>
      </c>
      <c r="L435" s="126" t="s">
        <v>1910</v>
      </c>
      <c r="N435" s="148"/>
      <c r="O435" s="103" t="s">
        <v>2177</v>
      </c>
      <c r="P435" s="103">
        <f t="shared" si="27"/>
        <v>422</v>
      </c>
      <c r="Q435" s="103">
        <f t="shared" si="28"/>
        <v>1</v>
      </c>
      <c r="R435" s="103" t="s">
        <v>1898</v>
      </c>
      <c r="S435" s="103" t="str">
        <f>_xlfn.IFS(MouserListTable[[#This Row],[Column1]]=FilterSpecs!$A$6, FilterSpecs!$B$6,MouserListTable[[#This Row],[Column1]]=FilterSpecs!$A$7,FilterSpecs!$B$7,MouserListTable[[#This Row],[Column1]]=FilterSpecs!$A$8,FilterSpecs!$B$8,MouserListTable[[#This Row],[Column1]]=FilterSpecs!$A$9,FilterSpecs!$B$9)</f>
        <v>485-</v>
      </c>
      <c r="T43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485-2886</v>
      </c>
      <c r="V435" s="151">
        <f>IF(MouserListTable[[#This Row],[Qty.]]=0, 0, "")</f>
        <v>0</v>
      </c>
    </row>
    <row r="436" spans="1:22" s="146" customFormat="1" x14ac:dyDescent="0.3">
      <c r="A436" s="103" t="s">
        <v>897</v>
      </c>
      <c r="B436" s="103" t="s">
        <v>1892</v>
      </c>
      <c r="C436" s="103" t="s">
        <v>1898</v>
      </c>
      <c r="D436" s="103" t="str">
        <f>IF(MouserListTable[[#This Row],[Vendor]]=FilterSpecs!$A$8,MouserListTable[[#This Row],[Mouser SKU]], MouserListTable[[#This Row],[SKU2]])</f>
        <v>598</v>
      </c>
      <c r="E436" s="104">
        <v>1</v>
      </c>
      <c r="F436" s="104" t="s">
        <v>18921</v>
      </c>
      <c r="G436" s="103"/>
      <c r="H436" s="103"/>
      <c r="I436" s="103" t="s">
        <v>2172</v>
      </c>
      <c r="K436" s="104">
        <v>2.95</v>
      </c>
      <c r="L436" s="103" t="s">
        <v>1910</v>
      </c>
      <c r="M436" s="106"/>
      <c r="N436" s="104">
        <f>E436*K436</f>
        <v>2.95</v>
      </c>
      <c r="O436" s="103" t="s">
        <v>2171</v>
      </c>
      <c r="P436" s="103">
        <f t="shared" si="27"/>
        <v>423</v>
      </c>
      <c r="Q436" s="103">
        <f t="shared" si="28"/>
        <v>1</v>
      </c>
      <c r="R436" s="103" t="s">
        <v>1898</v>
      </c>
      <c r="S436" s="103" t="str">
        <f>_xlfn.IFS(MouserListTable[[#This Row],[Column1]]=FilterSpecs!$A$6, FilterSpecs!$B$6,MouserListTable[[#This Row],[Column1]]=FilterSpecs!$A$7,FilterSpecs!$B$7,MouserListTable[[#This Row],[Column1]]=FilterSpecs!$A$8,FilterSpecs!$B$8,MouserListTable[[#This Row],[Column1]]=FilterSpecs!$A$9,FilterSpecs!$B$9)</f>
        <v>485-</v>
      </c>
      <c r="T43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485-598</v>
      </c>
      <c r="V436" s="151" t="str">
        <f>IF(MouserListTable[[#This Row],[Qty.]]=0, 0, "")</f>
        <v/>
      </c>
    </row>
    <row r="437" spans="1:22" s="146" customFormat="1" x14ac:dyDescent="0.3">
      <c r="A437" s="103" t="s">
        <v>897</v>
      </c>
      <c r="B437" s="103" t="s">
        <v>1892</v>
      </c>
      <c r="C437" s="103" t="s">
        <v>1898</v>
      </c>
      <c r="D437" s="103" t="str">
        <f>IF(MouserListTable[[#This Row],[Vendor]]=FilterSpecs!$A$8,MouserListTable[[#This Row],[Mouser SKU]], MouserListTable[[#This Row],[SKU2]])</f>
        <v>3008</v>
      </c>
      <c r="E437" s="104">
        <v>1</v>
      </c>
      <c r="F437" s="104" t="s">
        <v>18921</v>
      </c>
      <c r="G437" s="103"/>
      <c r="H437" s="103"/>
      <c r="I437" s="103" t="s">
        <v>2174</v>
      </c>
      <c r="K437" s="104">
        <v>7.95</v>
      </c>
      <c r="L437" s="103" t="s">
        <v>1910</v>
      </c>
      <c r="M437" s="106"/>
      <c r="N437" s="104">
        <f>E437*K437</f>
        <v>7.95</v>
      </c>
      <c r="O437" s="103" t="s">
        <v>2173</v>
      </c>
      <c r="P437" s="103">
        <f t="shared" si="27"/>
        <v>424</v>
      </c>
      <c r="Q437" s="103">
        <f t="shared" si="28"/>
        <v>1</v>
      </c>
      <c r="R437" s="103" t="s">
        <v>1898</v>
      </c>
      <c r="S437" s="103" t="str">
        <f>_xlfn.IFS(MouserListTable[[#This Row],[Column1]]=FilterSpecs!$A$6, FilterSpecs!$B$6,MouserListTable[[#This Row],[Column1]]=FilterSpecs!$A$7,FilterSpecs!$B$7,MouserListTable[[#This Row],[Column1]]=FilterSpecs!$A$8,FilterSpecs!$B$8,MouserListTable[[#This Row],[Column1]]=FilterSpecs!$A$9,FilterSpecs!$B$9)</f>
        <v>485-</v>
      </c>
      <c r="T43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485-3008</v>
      </c>
      <c r="V437" s="151" t="str">
        <f>IF(MouserListTable[[#This Row],[Qty.]]=0, 0, "")</f>
        <v/>
      </c>
    </row>
    <row r="438" spans="1:22" s="146" customFormat="1" x14ac:dyDescent="0.3">
      <c r="A438" s="103" t="s">
        <v>897</v>
      </c>
      <c r="B438" s="103" t="s">
        <v>1892</v>
      </c>
      <c r="C438" s="103" t="s">
        <v>1898</v>
      </c>
      <c r="D438" s="103" t="str">
        <f>IF(MouserListTable[[#This Row],[Vendor]]=FilterSpecs!$A$8,MouserListTable[[#This Row],[Mouser SKU]], MouserListTable[[#This Row],[SKU2]])</f>
        <v>1542</v>
      </c>
      <c r="E438" s="104">
        <v>1</v>
      </c>
      <c r="F438" s="104" t="s">
        <v>18921</v>
      </c>
      <c r="G438" s="103"/>
      <c r="H438" s="103"/>
      <c r="I438" s="103" t="s">
        <v>2164</v>
      </c>
      <c r="K438" s="104">
        <v>4.95</v>
      </c>
      <c r="L438" s="103" t="s">
        <v>1910</v>
      </c>
      <c r="M438" s="106"/>
      <c r="N438" s="104">
        <f>E438*K438</f>
        <v>4.95</v>
      </c>
      <c r="O438" s="103" t="s">
        <v>2163</v>
      </c>
      <c r="P438" s="103">
        <f t="shared" si="27"/>
        <v>425</v>
      </c>
      <c r="Q438" s="103">
        <f t="shared" si="28"/>
        <v>1</v>
      </c>
      <c r="R438" s="103" t="s">
        <v>1898</v>
      </c>
      <c r="S438" s="103" t="str">
        <f>_xlfn.IFS(MouserListTable[[#This Row],[Column1]]=FilterSpecs!$A$6, FilterSpecs!$B$6,MouserListTable[[#This Row],[Column1]]=FilterSpecs!$A$7,FilterSpecs!$B$7,MouserListTable[[#This Row],[Column1]]=FilterSpecs!$A$8,FilterSpecs!$B$8,MouserListTable[[#This Row],[Column1]]=FilterSpecs!$A$9,FilterSpecs!$B$9)</f>
        <v>485-</v>
      </c>
      <c r="T43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485-1542</v>
      </c>
      <c r="V438" s="151" t="str">
        <f>IF(MouserListTable[[#This Row],[Qty.]]=0, 0, "")</f>
        <v/>
      </c>
    </row>
    <row r="439" spans="1:22" s="146" customFormat="1" x14ac:dyDescent="0.3">
      <c r="A439" s="103" t="s">
        <v>897</v>
      </c>
      <c r="B439" s="103" t="s">
        <v>1892</v>
      </c>
      <c r="C439" s="103" t="s">
        <v>1898</v>
      </c>
      <c r="D439" s="103" t="str">
        <f>IF(MouserListTable[[#This Row],[Vendor]]=FilterSpecs!$A$8,MouserListTable[[#This Row],[Mouser SKU]], MouserListTable[[#This Row],[SKU2]])</f>
        <v>1544</v>
      </c>
      <c r="E439" s="104">
        <v>1</v>
      </c>
      <c r="F439" s="104" t="s">
        <v>18921</v>
      </c>
      <c r="G439" s="103"/>
      <c r="H439" s="103"/>
      <c r="I439" s="103" t="s">
        <v>2162</v>
      </c>
      <c r="K439" s="104">
        <v>5.95</v>
      </c>
      <c r="L439" s="103" t="s">
        <v>1910</v>
      </c>
      <c r="M439" s="106"/>
      <c r="N439" s="104">
        <f>E439*K439</f>
        <v>5.95</v>
      </c>
      <c r="O439" s="103" t="s">
        <v>2161</v>
      </c>
      <c r="P439" s="103">
        <f t="shared" si="27"/>
        <v>426</v>
      </c>
      <c r="Q439" s="103">
        <f t="shared" si="28"/>
        <v>1</v>
      </c>
      <c r="R439" s="103" t="s">
        <v>1898</v>
      </c>
      <c r="S439" s="103" t="str">
        <f>_xlfn.IFS(MouserListTable[[#This Row],[Column1]]=FilterSpecs!$A$6, FilterSpecs!$B$6,MouserListTable[[#This Row],[Column1]]=FilterSpecs!$A$7,FilterSpecs!$B$7,MouserListTable[[#This Row],[Column1]]=FilterSpecs!$A$8,FilterSpecs!$B$8,MouserListTable[[#This Row],[Column1]]=FilterSpecs!$A$9,FilterSpecs!$B$9)</f>
        <v>485-</v>
      </c>
      <c r="T43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485-1544</v>
      </c>
      <c r="V439" s="151" t="str">
        <f>IF(MouserListTable[[#This Row],[Qty.]]=0, 0, "")</f>
        <v/>
      </c>
    </row>
    <row r="440" spans="1:22" s="146" customFormat="1" x14ac:dyDescent="0.3">
      <c r="A440" s="103" t="s">
        <v>897</v>
      </c>
      <c r="B440" s="103" t="s">
        <v>1892</v>
      </c>
      <c r="C440" s="103" t="s">
        <v>1898</v>
      </c>
      <c r="D440" s="103" t="str">
        <f>IF(MouserListTable[[#This Row],[Vendor]]=FilterSpecs!$A$8,MouserListTable[[#This Row],[Mouser SKU]], MouserListTable[[#This Row],[SKU2]])</f>
        <v>2823</v>
      </c>
      <c r="E440" s="104">
        <v>0</v>
      </c>
      <c r="F440" s="104">
        <v>0</v>
      </c>
      <c r="G440" s="103"/>
      <c r="H440" s="103"/>
      <c r="I440" s="126" t="s">
        <v>2158</v>
      </c>
      <c r="K440" s="148">
        <v>1.5</v>
      </c>
      <c r="L440" s="126" t="s">
        <v>1910</v>
      </c>
      <c r="N440" s="148"/>
      <c r="O440" s="103" t="s">
        <v>2157</v>
      </c>
      <c r="P440" s="103">
        <f t="shared" si="27"/>
        <v>427</v>
      </c>
      <c r="Q440" s="103">
        <f t="shared" si="28"/>
        <v>1</v>
      </c>
      <c r="R440" s="103" t="s">
        <v>1898</v>
      </c>
      <c r="S440" s="103" t="str">
        <f>_xlfn.IFS(MouserListTable[[#This Row],[Column1]]=FilterSpecs!$A$6, FilterSpecs!$B$6,MouserListTable[[#This Row],[Column1]]=FilterSpecs!$A$7,FilterSpecs!$B$7,MouserListTable[[#This Row],[Column1]]=FilterSpecs!$A$8,FilterSpecs!$B$8,MouserListTable[[#This Row],[Column1]]=FilterSpecs!$A$9,FilterSpecs!$B$9)</f>
        <v>485-</v>
      </c>
      <c r="T44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485-2823</v>
      </c>
      <c r="V440" s="151">
        <f>IF(MouserListTable[[#This Row],[Qty.]]=0, 0, "")</f>
        <v>0</v>
      </c>
    </row>
    <row r="441" spans="1:22" s="146" customFormat="1" x14ac:dyDescent="0.3">
      <c r="A441" s="103" t="s">
        <v>897</v>
      </c>
      <c r="B441" s="103" t="s">
        <v>1892</v>
      </c>
      <c r="C441" s="103" t="s">
        <v>1898</v>
      </c>
      <c r="D441" s="103" t="str">
        <f>IF(MouserListTable[[#This Row],[Vendor]]=FilterSpecs!$A$8,MouserListTable[[#This Row],[Mouser SKU]], MouserListTable[[#This Row],[SKU2]])</f>
        <v>1543</v>
      </c>
      <c r="E441" s="104">
        <v>1</v>
      </c>
      <c r="F441" s="104" t="s">
        <v>18921</v>
      </c>
      <c r="G441" s="103"/>
      <c r="H441" s="103"/>
      <c r="I441" s="103" t="s">
        <v>2160</v>
      </c>
      <c r="K441" s="104">
        <v>7.95</v>
      </c>
      <c r="L441" s="103" t="s">
        <v>1910</v>
      </c>
      <c r="M441" s="106"/>
      <c r="N441" s="104">
        <f>E441*K441</f>
        <v>7.95</v>
      </c>
      <c r="O441" s="103" t="s">
        <v>2159</v>
      </c>
      <c r="P441" s="103">
        <f t="shared" si="27"/>
        <v>428</v>
      </c>
      <c r="Q441" s="103">
        <f t="shared" si="28"/>
        <v>1</v>
      </c>
      <c r="R441" s="103" t="s">
        <v>1898</v>
      </c>
      <c r="S441" s="103" t="str">
        <f>_xlfn.IFS(MouserListTable[[#This Row],[Column1]]=FilterSpecs!$A$6, FilterSpecs!$B$6,MouserListTable[[#This Row],[Column1]]=FilterSpecs!$A$7,FilterSpecs!$B$7,MouserListTable[[#This Row],[Column1]]=FilterSpecs!$A$8,FilterSpecs!$B$8,MouserListTable[[#This Row],[Column1]]=FilterSpecs!$A$9,FilterSpecs!$B$9)</f>
        <v>485-</v>
      </c>
      <c r="T44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485-1543</v>
      </c>
      <c r="V441" s="151" t="str">
        <f>IF(MouserListTable[[#This Row],[Qty.]]=0, 0, "")</f>
        <v/>
      </c>
    </row>
    <row r="442" spans="1:22" s="146" customFormat="1" x14ac:dyDescent="0.3">
      <c r="A442" s="103" t="s">
        <v>897</v>
      </c>
      <c r="B442" s="103" t="s">
        <v>1892</v>
      </c>
      <c r="C442" s="103" t="s">
        <v>1898</v>
      </c>
      <c r="D442" s="103" t="str">
        <f>IF(MouserListTable[[#This Row],[Vendor]]=FilterSpecs!$A$8,MouserListTable[[#This Row],[Mouser SKU]], MouserListTable[[#This Row],[SKU2]])</f>
        <v>3342</v>
      </c>
      <c r="E442" s="104">
        <v>0</v>
      </c>
      <c r="F442" s="104">
        <v>0</v>
      </c>
      <c r="G442" s="103"/>
      <c r="H442" s="103"/>
      <c r="I442" s="126" t="s">
        <v>2170</v>
      </c>
      <c r="K442" s="148">
        <v>0</v>
      </c>
      <c r="L442" s="126" t="s">
        <v>1910</v>
      </c>
      <c r="N442" s="148"/>
      <c r="O442" s="103" t="s">
        <v>2169</v>
      </c>
      <c r="P442" s="103">
        <f t="shared" si="27"/>
        <v>429</v>
      </c>
      <c r="Q442" s="103">
        <f t="shared" si="28"/>
        <v>1</v>
      </c>
      <c r="R442" s="103" t="s">
        <v>1898</v>
      </c>
      <c r="S442" s="103" t="str">
        <f>_xlfn.IFS(MouserListTable[[#This Row],[Column1]]=FilterSpecs!$A$6, FilterSpecs!$B$6,MouserListTable[[#This Row],[Column1]]=FilterSpecs!$A$7,FilterSpecs!$B$7,MouserListTable[[#This Row],[Column1]]=FilterSpecs!$A$8,FilterSpecs!$B$8,MouserListTable[[#This Row],[Column1]]=FilterSpecs!$A$9,FilterSpecs!$B$9)</f>
        <v>485-</v>
      </c>
      <c r="T44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485-3342</v>
      </c>
      <c r="V442" s="151">
        <f>IF(MouserListTable[[#This Row],[Qty.]]=0, 0, "")</f>
        <v>0</v>
      </c>
    </row>
    <row r="443" spans="1:22" s="146" customFormat="1" x14ac:dyDescent="0.3">
      <c r="A443" s="126" t="s">
        <v>897</v>
      </c>
      <c r="B443" s="126" t="s">
        <v>1892</v>
      </c>
      <c r="C443" s="126" t="s">
        <v>8</v>
      </c>
      <c r="D443" s="103" t="str">
        <f>IF(MouserListTable[[#This Row],[Vendor]]=FilterSpecs!$A$8,MouserListTable[[#This Row],[Mouser SKU]], MouserListTable[[#This Row],[SKU2]])</f>
        <v>PRT-13010</v>
      </c>
      <c r="E443" s="104">
        <v>0</v>
      </c>
      <c r="F443" s="104">
        <v>0</v>
      </c>
      <c r="G443" s="103" t="s">
        <v>768</v>
      </c>
      <c r="H443" s="103" t="s">
        <v>769</v>
      </c>
      <c r="I443" s="103" t="s">
        <v>770</v>
      </c>
      <c r="J443" s="103">
        <v>1</v>
      </c>
      <c r="K443" s="104">
        <v>0.5</v>
      </c>
      <c r="L443" s="103" t="s">
        <v>1910</v>
      </c>
      <c r="M443" s="103"/>
      <c r="N443" s="148">
        <f>E443*K443</f>
        <v>0</v>
      </c>
      <c r="O443" s="103" t="s">
        <v>767</v>
      </c>
      <c r="P443" s="103">
        <f t="shared" si="27"/>
        <v>430</v>
      </c>
      <c r="Q443" s="103">
        <f t="shared" si="28"/>
        <v>1</v>
      </c>
      <c r="R443" s="103" t="s">
        <v>8</v>
      </c>
      <c r="S443" s="103" t="str">
        <f>_xlfn.IFS(MouserListTable[[#This Row],[Column1]]=FilterSpecs!$A$6, FilterSpecs!$B$6,MouserListTable[[#This Row],[Column1]]=FilterSpecs!$A$7,FilterSpecs!$B$7,MouserListTable[[#This Row],[Column1]]=FilterSpecs!$A$8,FilterSpecs!$B$8,MouserListTable[[#This Row],[Column1]]=FilterSpecs!$A$9,FilterSpecs!$B$9)</f>
        <v>474-</v>
      </c>
      <c r="T44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474-PRT-13010</v>
      </c>
      <c r="V443" s="151">
        <f>IF(MouserListTable[[#This Row],[Qty.]]=0, 0, "")</f>
        <v>0</v>
      </c>
    </row>
    <row r="444" spans="1:22" s="146" customFormat="1" x14ac:dyDescent="0.3">
      <c r="A444" s="103" t="s">
        <v>897</v>
      </c>
      <c r="B444" s="103" t="s">
        <v>1892</v>
      </c>
      <c r="C444" s="103" t="s">
        <v>8</v>
      </c>
      <c r="D444" s="103" t="str">
        <f>IF(MouserListTable[[#This Row],[Vendor]]=FilterSpecs!$A$8,MouserListTable[[#This Row],[Mouser SKU]], MouserListTable[[#This Row],[SKU2]])</f>
        <v>PRT-10877</v>
      </c>
      <c r="E444" s="104">
        <f>FilterSpecs!$C$3</f>
        <v>5</v>
      </c>
      <c r="F444" s="104" t="s">
        <v>18921</v>
      </c>
      <c r="G444" s="103" t="s">
        <v>1536</v>
      </c>
      <c r="H444" s="103" t="s">
        <v>1537</v>
      </c>
      <c r="I444" s="103" t="s">
        <v>1538</v>
      </c>
      <c r="J444" s="103">
        <v>1</v>
      </c>
      <c r="K444" s="104">
        <v>1.5</v>
      </c>
      <c r="L444" s="103" t="s">
        <v>1911</v>
      </c>
      <c r="M444" s="103"/>
      <c r="N444" s="104">
        <f>E444*K444</f>
        <v>7.5</v>
      </c>
      <c r="O444" s="103" t="s">
        <v>1535</v>
      </c>
      <c r="P444" s="103">
        <f t="shared" si="27"/>
        <v>431</v>
      </c>
      <c r="Q444" s="103">
        <f t="shared" si="28"/>
        <v>1</v>
      </c>
      <c r="R444" s="103" t="s">
        <v>8</v>
      </c>
      <c r="S444" s="103" t="str">
        <f>_xlfn.IFS(MouserListTable[[#This Row],[Column1]]=FilterSpecs!$A$6, FilterSpecs!$B$6,MouserListTable[[#This Row],[Column1]]=FilterSpecs!$A$7,FilterSpecs!$B$7,MouserListTable[[#This Row],[Column1]]=FilterSpecs!$A$8,FilterSpecs!$B$8,MouserListTable[[#This Row],[Column1]]=FilterSpecs!$A$9,FilterSpecs!$B$9)</f>
        <v>474-</v>
      </c>
      <c r="T44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474-PRT-10877</v>
      </c>
      <c r="V444" s="151" t="str">
        <f>IF(MouserListTable[[#This Row],[Qty.]]=0, 0, "")</f>
        <v/>
      </c>
    </row>
    <row r="445" spans="1:22" s="146" customFormat="1" x14ac:dyDescent="0.3">
      <c r="A445" s="103" t="s">
        <v>897</v>
      </c>
      <c r="B445" s="103" t="s">
        <v>1892</v>
      </c>
      <c r="C445" s="103" t="s">
        <v>8</v>
      </c>
      <c r="D445" s="103" t="str">
        <f>IF(MouserListTable[[#This Row],[Vendor]]=FilterSpecs!$A$8,MouserListTable[[#This Row],[Mouser SKU]], MouserListTable[[#This Row],[SKU2]])</f>
        <v>PRT-08506</v>
      </c>
      <c r="E445" s="104">
        <f>FilterSpecs!$C$3</f>
        <v>5</v>
      </c>
      <c r="F445" s="104" t="s">
        <v>18921</v>
      </c>
      <c r="G445" s="103" t="s">
        <v>1540</v>
      </c>
      <c r="H445" s="103" t="s">
        <v>1541</v>
      </c>
      <c r="I445" s="103" t="s">
        <v>1542</v>
      </c>
      <c r="J445" s="103">
        <v>1</v>
      </c>
      <c r="K445" s="104">
        <v>1.5</v>
      </c>
      <c r="L445" s="103" t="s">
        <v>1911</v>
      </c>
      <c r="M445" s="103"/>
      <c r="N445" s="104">
        <f>E445*K445</f>
        <v>7.5</v>
      </c>
      <c r="O445" s="103" t="s">
        <v>1539</v>
      </c>
      <c r="P445" s="103">
        <f t="shared" si="27"/>
        <v>432</v>
      </c>
      <c r="Q445" s="103">
        <f t="shared" si="28"/>
        <v>1</v>
      </c>
      <c r="R445" s="103" t="s">
        <v>8</v>
      </c>
      <c r="S445" s="103" t="str">
        <f>_xlfn.IFS(MouserListTable[[#This Row],[Column1]]=FilterSpecs!$A$6, FilterSpecs!$B$6,MouserListTable[[#This Row],[Column1]]=FilterSpecs!$A$7,FilterSpecs!$B$7,MouserListTable[[#This Row],[Column1]]=FilterSpecs!$A$8,FilterSpecs!$B$8,MouserListTable[[#This Row],[Column1]]=FilterSpecs!$A$9,FilterSpecs!$B$9)</f>
        <v>474-</v>
      </c>
      <c r="T44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474-PRT-08506</v>
      </c>
      <c r="V445" s="151" t="str">
        <f>IF(MouserListTable[[#This Row],[Qty.]]=0, 0, "")</f>
        <v/>
      </c>
    </row>
    <row r="446" spans="1:22" s="146" customFormat="1" x14ac:dyDescent="0.3">
      <c r="A446" s="128" t="s">
        <v>897</v>
      </c>
      <c r="B446" s="128" t="s">
        <v>1892</v>
      </c>
      <c r="C446" s="128" t="s">
        <v>1898</v>
      </c>
      <c r="D446" s="103" t="str">
        <f>IF(MouserListTable[[#This Row],[Vendor]]=FilterSpecs!$A$8,MouserListTable[[#This Row],[Mouser SKU]], MouserListTable[[#This Row],[SKU2]])</f>
        <v>1465</v>
      </c>
      <c r="E446" s="129">
        <v>0</v>
      </c>
      <c r="F446" s="129">
        <v>0</v>
      </c>
      <c r="I446" s="128" t="s">
        <v>2480</v>
      </c>
      <c r="J446" s="155">
        <v>116</v>
      </c>
      <c r="K446" s="129">
        <v>0.95</v>
      </c>
      <c r="L446" s="126" t="s">
        <v>1910</v>
      </c>
      <c r="N446" s="148"/>
      <c r="O446" s="128" t="s">
        <v>2481</v>
      </c>
      <c r="P446" s="103">
        <f t="shared" si="27"/>
        <v>433</v>
      </c>
      <c r="Q446" s="103">
        <f t="shared" si="28"/>
        <v>1</v>
      </c>
      <c r="R446" s="103" t="s">
        <v>1898</v>
      </c>
      <c r="S446" s="103" t="str">
        <f>_xlfn.IFS(MouserListTable[[#This Row],[Column1]]=FilterSpecs!$A$6, FilterSpecs!$B$6,MouserListTable[[#This Row],[Column1]]=FilterSpecs!$A$7,FilterSpecs!$B$7,MouserListTable[[#This Row],[Column1]]=FilterSpecs!$A$8,FilterSpecs!$B$8,MouserListTable[[#This Row],[Column1]]=FilterSpecs!$A$9,FilterSpecs!$B$9)</f>
        <v>485-</v>
      </c>
      <c r="T44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485-1465</v>
      </c>
      <c r="V446" s="151">
        <f>IF(MouserListTable[[#This Row],[Qty.]]=0, 0, "")</f>
        <v>0</v>
      </c>
    </row>
    <row r="447" spans="1:22" s="146" customFormat="1" x14ac:dyDescent="0.3">
      <c r="A447" s="126" t="s">
        <v>897</v>
      </c>
      <c r="B447" s="126" t="s">
        <v>1892</v>
      </c>
      <c r="C447" s="126" t="s">
        <v>8</v>
      </c>
      <c r="D447" s="103" t="str">
        <f>IF(MouserListTable[[#This Row],[Vendor]]=FilterSpecs!$A$8,MouserListTable[[#This Row],[Mouser SKU]], MouserListTable[[#This Row],[SKU2]])</f>
        <v>PRT-08272</v>
      </c>
      <c r="E447" s="104">
        <v>0</v>
      </c>
      <c r="F447" s="104">
        <v>0</v>
      </c>
      <c r="G447" s="103" t="s">
        <v>780</v>
      </c>
      <c r="H447" s="103" t="s">
        <v>781</v>
      </c>
      <c r="I447" s="103" t="s">
        <v>782</v>
      </c>
      <c r="J447" s="103">
        <v>1</v>
      </c>
      <c r="K447" s="104">
        <v>1</v>
      </c>
      <c r="L447" s="103" t="s">
        <v>1910</v>
      </c>
      <c r="M447" s="103"/>
      <c r="N447" s="148">
        <f t="shared" ref="N447:N463" si="31">E447*K447</f>
        <v>0</v>
      </c>
      <c r="O447" s="103" t="s">
        <v>779</v>
      </c>
      <c r="P447" s="103">
        <f t="shared" si="27"/>
        <v>434</v>
      </c>
      <c r="Q447" s="103">
        <f t="shared" si="28"/>
        <v>1</v>
      </c>
      <c r="R447" s="103" t="s">
        <v>8</v>
      </c>
      <c r="S447" s="103" t="str">
        <f>_xlfn.IFS(MouserListTable[[#This Row],[Column1]]=FilterSpecs!$A$6, FilterSpecs!$B$6,MouserListTable[[#This Row],[Column1]]=FilterSpecs!$A$7,FilterSpecs!$B$7,MouserListTable[[#This Row],[Column1]]=FilterSpecs!$A$8,FilterSpecs!$B$8,MouserListTable[[#This Row],[Column1]]=FilterSpecs!$A$9,FilterSpecs!$B$9)</f>
        <v>474-</v>
      </c>
      <c r="T44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474-PRT-08272</v>
      </c>
      <c r="V447" s="151">
        <f>IF(MouserListTable[[#This Row],[Qty.]]=0, 0, "")</f>
        <v>0</v>
      </c>
    </row>
    <row r="448" spans="1:22" s="146" customFormat="1" x14ac:dyDescent="0.3">
      <c r="A448" s="103" t="s">
        <v>897</v>
      </c>
      <c r="B448" s="103" t="s">
        <v>1892</v>
      </c>
      <c r="C448" s="103" t="s">
        <v>1898</v>
      </c>
      <c r="D448" s="103" t="str">
        <f>IF(MouserListTable[[#This Row],[Vendor]]=FilterSpecs!$A$8,MouserListTable[[#This Row],[Mouser SKU]], MouserListTable[[#This Row],[SKU2]])</f>
        <v>366</v>
      </c>
      <c r="E448" s="104">
        <v>2</v>
      </c>
      <c r="F448" s="104" t="s">
        <v>18921</v>
      </c>
      <c r="G448" s="103"/>
      <c r="H448" s="103"/>
      <c r="I448" s="103" t="s">
        <v>2166</v>
      </c>
      <c r="K448" s="104">
        <v>0.95</v>
      </c>
      <c r="L448" s="103" t="s">
        <v>1910</v>
      </c>
      <c r="M448" s="106"/>
      <c r="N448" s="104">
        <f t="shared" si="31"/>
        <v>1.9</v>
      </c>
      <c r="O448" s="103" t="s">
        <v>2165</v>
      </c>
      <c r="P448" s="103">
        <f t="shared" si="27"/>
        <v>435</v>
      </c>
      <c r="Q448" s="103">
        <f t="shared" si="28"/>
        <v>1</v>
      </c>
      <c r="R448" s="103" t="s">
        <v>1898</v>
      </c>
      <c r="S448" s="103" t="str">
        <f>_xlfn.IFS(MouserListTable[[#This Row],[Column1]]=FilterSpecs!$A$6, FilterSpecs!$B$6,MouserListTable[[#This Row],[Column1]]=FilterSpecs!$A$7,FilterSpecs!$B$7,MouserListTable[[#This Row],[Column1]]=FilterSpecs!$A$8,FilterSpecs!$B$8,MouserListTable[[#This Row],[Column1]]=FilterSpecs!$A$9,FilterSpecs!$B$9)</f>
        <v>485-</v>
      </c>
      <c r="T44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485-366</v>
      </c>
      <c r="V448" s="151" t="str">
        <f>IF(MouserListTable[[#This Row],[Qty.]]=0, 0, "")</f>
        <v/>
      </c>
    </row>
    <row r="449" spans="1:22" s="146" customFormat="1" x14ac:dyDescent="0.3">
      <c r="A449" s="103" t="s">
        <v>897</v>
      </c>
      <c r="B449" s="103" t="s">
        <v>1892</v>
      </c>
      <c r="C449" s="103" t="s">
        <v>1898</v>
      </c>
      <c r="D449" s="103" t="str">
        <f>IF(MouserListTable[[#This Row],[Vendor]]=FilterSpecs!$A$8,MouserListTable[[#This Row],[Mouser SKU]], MouserListTable[[#This Row],[SKU2]])</f>
        <v>2672</v>
      </c>
      <c r="E449" s="104">
        <v>1</v>
      </c>
      <c r="F449" s="104" t="s">
        <v>18921</v>
      </c>
      <c r="G449" s="103"/>
      <c r="H449" s="103"/>
      <c r="I449" s="103" t="s">
        <v>2168</v>
      </c>
      <c r="K449" s="104">
        <v>3.95</v>
      </c>
      <c r="L449" s="103" t="s">
        <v>1910</v>
      </c>
      <c r="M449" s="106"/>
      <c r="N449" s="104">
        <f t="shared" si="31"/>
        <v>3.95</v>
      </c>
      <c r="O449" s="103" t="s">
        <v>2167</v>
      </c>
      <c r="P449" s="103">
        <f t="shared" si="27"/>
        <v>436</v>
      </c>
      <c r="Q449" s="103">
        <f t="shared" si="28"/>
        <v>1</v>
      </c>
      <c r="R449" s="103" t="s">
        <v>1898</v>
      </c>
      <c r="S449" s="103" t="str">
        <f>_xlfn.IFS(MouserListTable[[#This Row],[Column1]]=FilterSpecs!$A$6, FilterSpecs!$B$6,MouserListTable[[#This Row],[Column1]]=FilterSpecs!$A$7,FilterSpecs!$B$7,MouserListTable[[#This Row],[Column1]]=FilterSpecs!$A$8,FilterSpecs!$B$8,MouserListTable[[#This Row],[Column1]]=FilterSpecs!$A$9,FilterSpecs!$B$9)</f>
        <v>485-</v>
      </c>
      <c r="T44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485-2672</v>
      </c>
      <c r="V449" s="151" t="str">
        <f>IF(MouserListTable[[#This Row],[Qty.]]=0, 0, "")</f>
        <v/>
      </c>
    </row>
    <row r="450" spans="1:22" s="146" customFormat="1" x14ac:dyDescent="0.3">
      <c r="A450" s="103" t="s">
        <v>897</v>
      </c>
      <c r="B450" s="103" t="s">
        <v>1890</v>
      </c>
      <c r="C450" s="103" t="s">
        <v>8</v>
      </c>
      <c r="D450" s="103" t="str">
        <f>IF(MouserListTable[[#This Row],[Vendor]]=FilterSpecs!$A$8,MouserListTable[[#This Row],[Mouser SKU]], MouserListTable[[#This Row],[SKU2]])</f>
        <v>COM-14087</v>
      </c>
      <c r="E450" s="104">
        <f>3*FilterSpecs!$C$3</f>
        <v>15</v>
      </c>
      <c r="F450" s="104" t="s">
        <v>18921</v>
      </c>
      <c r="G450" s="103" t="s">
        <v>824</v>
      </c>
      <c r="H450" s="103" t="s">
        <v>825</v>
      </c>
      <c r="I450" s="103" t="s">
        <v>826</v>
      </c>
      <c r="J450" s="103">
        <v>1</v>
      </c>
      <c r="K450" s="104">
        <v>1.95</v>
      </c>
      <c r="L450" s="103" t="s">
        <v>1911</v>
      </c>
      <c r="M450" s="103"/>
      <c r="N450" s="104">
        <f t="shared" si="31"/>
        <v>29.25</v>
      </c>
      <c r="O450" s="103" t="s">
        <v>823</v>
      </c>
      <c r="P450" s="103">
        <f t="shared" si="27"/>
        <v>437</v>
      </c>
      <c r="Q450" s="103">
        <f t="shared" si="28"/>
        <v>1</v>
      </c>
      <c r="R450" s="103" t="s">
        <v>8</v>
      </c>
      <c r="S450" s="103" t="str">
        <f>_xlfn.IFS(MouserListTable[[#This Row],[Column1]]=FilterSpecs!$A$6, FilterSpecs!$B$6,MouserListTable[[#This Row],[Column1]]=FilterSpecs!$A$7,FilterSpecs!$B$7,MouserListTable[[#This Row],[Column1]]=FilterSpecs!$A$8,FilterSpecs!$B$8,MouserListTable[[#This Row],[Column1]]=FilterSpecs!$A$9,FilterSpecs!$B$9)</f>
        <v>474-</v>
      </c>
      <c r="T45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474-COM-14087</v>
      </c>
      <c r="V450" s="151" t="str">
        <f>IF(MouserListTable[[#This Row],[Qty.]]=0, 0, "")</f>
        <v/>
      </c>
    </row>
    <row r="451" spans="1:22" s="146" customFormat="1" x14ac:dyDescent="0.3">
      <c r="A451" s="126" t="s">
        <v>897</v>
      </c>
      <c r="B451" s="126" t="s">
        <v>1890</v>
      </c>
      <c r="C451" s="126" t="s">
        <v>8</v>
      </c>
      <c r="D451" s="103" t="str">
        <f>IF(MouserListTable[[#This Row],[Vendor]]=FilterSpecs!$A$8,MouserListTable[[#This Row],[Mouser SKU]], MouserListTable[[#This Row],[SKU2]])</f>
        <v>COM-14085</v>
      </c>
      <c r="E451" s="104">
        <v>0</v>
      </c>
      <c r="F451" s="104">
        <v>0</v>
      </c>
      <c r="G451" s="103" t="s">
        <v>820</v>
      </c>
      <c r="H451" s="103" t="s">
        <v>821</v>
      </c>
      <c r="I451" s="103" t="s">
        <v>822</v>
      </c>
      <c r="J451" s="103">
        <v>1</v>
      </c>
      <c r="K451" s="104">
        <v>0.95</v>
      </c>
      <c r="L451" s="103" t="s">
        <v>1910</v>
      </c>
      <c r="M451" s="103"/>
      <c r="N451" s="148">
        <f t="shared" si="31"/>
        <v>0</v>
      </c>
      <c r="O451" s="103" t="s">
        <v>819</v>
      </c>
      <c r="P451" s="103">
        <f t="shared" si="27"/>
        <v>438</v>
      </c>
      <c r="Q451" s="103">
        <f t="shared" si="28"/>
        <v>1</v>
      </c>
      <c r="R451" s="103" t="s">
        <v>8</v>
      </c>
      <c r="S451" s="103" t="str">
        <f>_xlfn.IFS(MouserListTable[[#This Row],[Column1]]=FilterSpecs!$A$6, FilterSpecs!$B$6,MouserListTable[[#This Row],[Column1]]=FilterSpecs!$A$7,FilterSpecs!$B$7,MouserListTable[[#This Row],[Column1]]=FilterSpecs!$A$8,FilterSpecs!$B$8,MouserListTable[[#This Row],[Column1]]=FilterSpecs!$A$9,FilterSpecs!$B$9)</f>
        <v>474-</v>
      </c>
      <c r="T45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474-COM-14085</v>
      </c>
      <c r="V451" s="151">
        <f>IF(MouserListTable[[#This Row],[Qty.]]=0, 0, "")</f>
        <v>0</v>
      </c>
    </row>
    <row r="452" spans="1:22" s="144" customFormat="1" x14ac:dyDescent="0.3">
      <c r="A452" s="106" t="s">
        <v>897</v>
      </c>
      <c r="B452" s="106" t="s">
        <v>2025</v>
      </c>
      <c r="C452" s="106" t="s">
        <v>1898</v>
      </c>
      <c r="D452" s="103" t="str">
        <f>IF(MouserListTable[[#This Row],[Vendor]]=FilterSpecs!$A$8,MouserListTable[[#This Row],[Mouser SKU]], MouserListTable[[#This Row],[SKU2]])</f>
        <v>3145</v>
      </c>
      <c r="E452" s="104">
        <v>3</v>
      </c>
      <c r="F452" s="104" t="s">
        <v>18921</v>
      </c>
      <c r="G452" s="103"/>
      <c r="H452" s="103"/>
      <c r="I452" s="106" t="s">
        <v>2206</v>
      </c>
      <c r="J452" s="146"/>
      <c r="K452" s="104">
        <v>1.95</v>
      </c>
      <c r="L452" s="106" t="s">
        <v>1910</v>
      </c>
      <c r="M452" s="106"/>
      <c r="N452" s="104">
        <f t="shared" si="31"/>
        <v>5.85</v>
      </c>
      <c r="O452" s="106" t="s">
        <v>2205</v>
      </c>
      <c r="P452" s="103">
        <f t="shared" si="27"/>
        <v>439</v>
      </c>
      <c r="Q452" s="103">
        <f t="shared" si="28"/>
        <v>1</v>
      </c>
      <c r="R452" s="103" t="s">
        <v>1898</v>
      </c>
      <c r="S452" s="103" t="str">
        <f>_xlfn.IFS(MouserListTable[[#This Row],[Column1]]=FilterSpecs!$A$6, FilterSpecs!$B$6,MouserListTable[[#This Row],[Column1]]=FilterSpecs!$A$7,FilterSpecs!$B$7,MouserListTable[[#This Row],[Column1]]=FilterSpecs!$A$8,FilterSpecs!$B$8,MouserListTable[[#This Row],[Column1]]=FilterSpecs!$A$9,FilterSpecs!$B$9)</f>
        <v>485-</v>
      </c>
      <c r="T45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485-3145</v>
      </c>
      <c r="V452" s="151" t="str">
        <f>IF(MouserListTable[[#This Row],[Qty.]]=0, 0, "")</f>
        <v/>
      </c>
    </row>
    <row r="453" spans="1:22" s="144" customFormat="1" x14ac:dyDescent="0.3">
      <c r="A453" s="106" t="s">
        <v>897</v>
      </c>
      <c r="B453" s="106" t="s">
        <v>2025</v>
      </c>
      <c r="C453" s="106" t="s">
        <v>1898</v>
      </c>
      <c r="D453" s="103" t="str">
        <f>IF(MouserListTable[[#This Row],[Vendor]]=FilterSpecs!$A$8,MouserListTable[[#This Row],[Mouser SKU]], MouserListTable[[#This Row],[SKU2]])</f>
        <v>3144</v>
      </c>
      <c r="E453" s="104">
        <v>1</v>
      </c>
      <c r="F453" s="104" t="s">
        <v>18921</v>
      </c>
      <c r="G453" s="103"/>
      <c r="H453" s="103"/>
      <c r="I453" s="106" t="s">
        <v>2196</v>
      </c>
      <c r="J453" s="146"/>
      <c r="K453" s="104">
        <v>3.95</v>
      </c>
      <c r="L453" s="106" t="s">
        <v>1910</v>
      </c>
      <c r="M453" s="106"/>
      <c r="N453" s="104">
        <f t="shared" si="31"/>
        <v>3.95</v>
      </c>
      <c r="O453" s="106" t="s">
        <v>2195</v>
      </c>
      <c r="P453" s="103">
        <f t="shared" si="27"/>
        <v>440</v>
      </c>
      <c r="Q453" s="103">
        <f t="shared" si="28"/>
        <v>1</v>
      </c>
      <c r="R453" s="103" t="s">
        <v>1898</v>
      </c>
      <c r="S453" s="103" t="str">
        <f>_xlfn.IFS(MouserListTable[[#This Row],[Column1]]=FilterSpecs!$A$6, FilterSpecs!$B$6,MouserListTable[[#This Row],[Column1]]=FilterSpecs!$A$7,FilterSpecs!$B$7,MouserListTable[[#This Row],[Column1]]=FilterSpecs!$A$8,FilterSpecs!$B$8,MouserListTable[[#This Row],[Column1]]=FilterSpecs!$A$9,FilterSpecs!$B$9)</f>
        <v>485-</v>
      </c>
      <c r="T45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485-3144</v>
      </c>
      <c r="V453" s="151" t="str">
        <f>IF(MouserListTable[[#This Row],[Qty.]]=0, 0, "")</f>
        <v/>
      </c>
    </row>
    <row r="454" spans="1:22" s="144" customFormat="1" x14ac:dyDescent="0.3">
      <c r="A454" s="106" t="s">
        <v>897</v>
      </c>
      <c r="B454" s="106" t="s">
        <v>2025</v>
      </c>
      <c r="C454" s="106" t="s">
        <v>1898</v>
      </c>
      <c r="D454" s="103" t="str">
        <f>IF(MouserListTable[[#This Row],[Vendor]]=FilterSpecs!$A$8,MouserListTable[[#This Row],[Mouser SKU]], MouserListTable[[#This Row],[SKU2]])</f>
        <v>3143</v>
      </c>
      <c r="E454" s="104">
        <v>2</v>
      </c>
      <c r="F454" s="104" t="s">
        <v>18921</v>
      </c>
      <c r="G454" s="103"/>
      <c r="H454" s="103"/>
      <c r="I454" s="106" t="s">
        <v>2204</v>
      </c>
      <c r="J454" s="146"/>
      <c r="K454" s="104">
        <v>1.95</v>
      </c>
      <c r="L454" s="106" t="s">
        <v>1910</v>
      </c>
      <c r="M454" s="106"/>
      <c r="N454" s="104">
        <f t="shared" si="31"/>
        <v>3.9</v>
      </c>
      <c r="O454" s="106" t="s">
        <v>2203</v>
      </c>
      <c r="P454" s="103">
        <f t="shared" si="27"/>
        <v>441</v>
      </c>
      <c r="Q454" s="103">
        <f t="shared" si="28"/>
        <v>1</v>
      </c>
      <c r="R454" s="103" t="s">
        <v>1898</v>
      </c>
      <c r="S454" s="103" t="str">
        <f>_xlfn.IFS(MouserListTable[[#This Row],[Column1]]=FilterSpecs!$A$6, FilterSpecs!$B$6,MouserListTable[[#This Row],[Column1]]=FilterSpecs!$A$7,FilterSpecs!$B$7,MouserListTable[[#This Row],[Column1]]=FilterSpecs!$A$8,FilterSpecs!$B$8,MouserListTable[[#This Row],[Column1]]=FilterSpecs!$A$9,FilterSpecs!$B$9)</f>
        <v>485-</v>
      </c>
      <c r="T45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485-3143</v>
      </c>
      <c r="V454" s="151" t="str">
        <f>IF(MouserListTable[[#This Row],[Qty.]]=0, 0, "")</f>
        <v/>
      </c>
    </row>
    <row r="455" spans="1:22" s="144" customFormat="1" x14ac:dyDescent="0.3">
      <c r="A455" s="106" t="s">
        <v>897</v>
      </c>
      <c r="B455" s="106" t="s">
        <v>2025</v>
      </c>
      <c r="C455" s="106" t="s">
        <v>1898</v>
      </c>
      <c r="D455" s="103" t="str">
        <f>IF(MouserListTable[[#This Row],[Vendor]]=FilterSpecs!$A$8,MouserListTable[[#This Row],[Mouser SKU]], MouserListTable[[#This Row],[SKU2]])</f>
        <v>3146</v>
      </c>
      <c r="E455" s="104">
        <v>1</v>
      </c>
      <c r="F455" s="104" t="s">
        <v>18921</v>
      </c>
      <c r="G455" s="103"/>
      <c r="H455" s="103"/>
      <c r="I455" s="106" t="s">
        <v>2198</v>
      </c>
      <c r="J455" s="146"/>
      <c r="K455" s="104">
        <v>2.95</v>
      </c>
      <c r="L455" s="106" t="s">
        <v>1910</v>
      </c>
      <c r="M455" s="106"/>
      <c r="N455" s="104">
        <f t="shared" si="31"/>
        <v>2.95</v>
      </c>
      <c r="O455" s="106" t="s">
        <v>2197</v>
      </c>
      <c r="P455" s="103">
        <f t="shared" si="27"/>
        <v>442</v>
      </c>
      <c r="Q455" s="103">
        <f t="shared" si="28"/>
        <v>1</v>
      </c>
      <c r="R455" s="103" t="s">
        <v>1898</v>
      </c>
      <c r="S455" s="103" t="str">
        <f>_xlfn.IFS(MouserListTable[[#This Row],[Column1]]=FilterSpecs!$A$6, FilterSpecs!$B$6,MouserListTable[[#This Row],[Column1]]=FilterSpecs!$A$7,FilterSpecs!$B$7,MouserListTable[[#This Row],[Column1]]=FilterSpecs!$A$8,FilterSpecs!$B$8,MouserListTable[[#This Row],[Column1]]=FilterSpecs!$A$9,FilterSpecs!$B$9)</f>
        <v>485-</v>
      </c>
      <c r="T45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485-3146</v>
      </c>
      <c r="V455" s="151" t="str">
        <f>IF(MouserListTable[[#This Row],[Qty.]]=0, 0, "")</f>
        <v/>
      </c>
    </row>
    <row r="456" spans="1:22" s="144" customFormat="1" x14ac:dyDescent="0.3">
      <c r="A456" s="106" t="s">
        <v>897</v>
      </c>
      <c r="B456" s="106" t="s">
        <v>2025</v>
      </c>
      <c r="C456" s="106" t="s">
        <v>1898</v>
      </c>
      <c r="D456" s="103" t="str">
        <f>IF(MouserListTable[[#This Row],[Vendor]]=FilterSpecs!$A$8,MouserListTable[[#This Row],[Mouser SKU]], MouserListTable[[#This Row],[SKU2]])</f>
        <v>3141</v>
      </c>
      <c r="E456" s="104">
        <f>FilterSpecs!$C$3</f>
        <v>5</v>
      </c>
      <c r="F456" s="104" t="s">
        <v>18921</v>
      </c>
      <c r="G456" s="103"/>
      <c r="H456" s="103"/>
      <c r="I456" s="106" t="s">
        <v>2200</v>
      </c>
      <c r="J456" s="146"/>
      <c r="K456" s="104">
        <v>2.95</v>
      </c>
      <c r="L456" s="106" t="s">
        <v>1911</v>
      </c>
      <c r="M456" s="106"/>
      <c r="N456" s="104">
        <f t="shared" si="31"/>
        <v>14.75</v>
      </c>
      <c r="O456" s="106" t="s">
        <v>2199</v>
      </c>
      <c r="P456" s="103">
        <f t="shared" si="27"/>
        <v>443</v>
      </c>
      <c r="Q456" s="103">
        <f t="shared" si="28"/>
        <v>1</v>
      </c>
      <c r="R456" s="103" t="s">
        <v>1898</v>
      </c>
      <c r="S456" s="103" t="str">
        <f>_xlfn.IFS(MouserListTable[[#This Row],[Column1]]=FilterSpecs!$A$6, FilterSpecs!$B$6,MouserListTable[[#This Row],[Column1]]=FilterSpecs!$A$7,FilterSpecs!$B$7,MouserListTable[[#This Row],[Column1]]=FilterSpecs!$A$8,FilterSpecs!$B$8,MouserListTable[[#This Row],[Column1]]=FilterSpecs!$A$9,FilterSpecs!$B$9)</f>
        <v>485-</v>
      </c>
      <c r="T45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485-3141</v>
      </c>
      <c r="V456" s="151" t="str">
        <f>IF(MouserListTable[[#This Row],[Qty.]]=0, 0, "")</f>
        <v/>
      </c>
    </row>
    <row r="457" spans="1:22" s="144" customFormat="1" x14ac:dyDescent="0.3">
      <c r="A457" s="106" t="s">
        <v>897</v>
      </c>
      <c r="B457" s="106" t="s">
        <v>2025</v>
      </c>
      <c r="C457" s="106" t="s">
        <v>1898</v>
      </c>
      <c r="D457" s="103" t="str">
        <f>IF(MouserListTable[[#This Row],[Vendor]]=FilterSpecs!$A$8,MouserListTable[[#This Row],[Mouser SKU]], MouserListTable[[#This Row],[SKU2]])</f>
        <v>3142</v>
      </c>
      <c r="E457" s="104">
        <f>FilterSpecs!$C$3</f>
        <v>5</v>
      </c>
      <c r="F457" s="104" t="s">
        <v>18921</v>
      </c>
      <c r="G457" s="103"/>
      <c r="H457" s="103"/>
      <c r="I457" s="106" t="s">
        <v>2202</v>
      </c>
      <c r="J457" s="146"/>
      <c r="K457" s="104">
        <v>3.95</v>
      </c>
      <c r="L457" s="106" t="s">
        <v>1911</v>
      </c>
      <c r="M457" s="106"/>
      <c r="N457" s="104">
        <f t="shared" si="31"/>
        <v>19.75</v>
      </c>
      <c r="O457" s="106" t="s">
        <v>2201</v>
      </c>
      <c r="P457" s="103">
        <f t="shared" si="27"/>
        <v>444</v>
      </c>
      <c r="Q457" s="103">
        <f t="shared" si="28"/>
        <v>1</v>
      </c>
      <c r="R457" s="103" t="s">
        <v>1898</v>
      </c>
      <c r="S457" s="103" t="str">
        <f>_xlfn.IFS(MouserListTable[[#This Row],[Column1]]=FilterSpecs!$A$6, FilterSpecs!$B$6,MouserListTable[[#This Row],[Column1]]=FilterSpecs!$A$7,FilterSpecs!$B$7,MouserListTable[[#This Row],[Column1]]=FilterSpecs!$A$8,FilterSpecs!$B$8,MouserListTable[[#This Row],[Column1]]=FilterSpecs!$A$9,FilterSpecs!$B$9)</f>
        <v>485-</v>
      </c>
      <c r="T45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485-3142</v>
      </c>
      <c r="V457" s="151" t="str">
        <f>IF(MouserListTable[[#This Row],[Qty.]]=0, 0, "")</f>
        <v/>
      </c>
    </row>
    <row r="458" spans="1:22" s="144" customFormat="1" x14ac:dyDescent="0.3">
      <c r="A458" s="146" t="s">
        <v>897</v>
      </c>
      <c r="B458" s="146" t="s">
        <v>2434</v>
      </c>
      <c r="C458" s="146" t="s">
        <v>8</v>
      </c>
      <c r="D458" s="103" t="str">
        <f>IF(MouserListTable[[#This Row],[Vendor]]=FilterSpecs!$A$8,MouserListTable[[#This Row],[Mouser SKU]], MouserListTable[[#This Row],[SKU2]])</f>
        <v>PRT-08671</v>
      </c>
      <c r="E458" s="104">
        <v>0</v>
      </c>
      <c r="F458" s="104">
        <v>0</v>
      </c>
      <c r="G458" s="103" t="s">
        <v>596</v>
      </c>
      <c r="H458" s="103" t="s">
        <v>597</v>
      </c>
      <c r="I458" s="106" t="s">
        <v>598</v>
      </c>
      <c r="J458" s="103">
        <v>1</v>
      </c>
      <c r="K458" s="104">
        <v>0.95</v>
      </c>
      <c r="L458" s="106" t="s">
        <v>1910</v>
      </c>
      <c r="M458" s="103" t="s">
        <v>2399</v>
      </c>
      <c r="N458" s="148">
        <f t="shared" si="31"/>
        <v>0</v>
      </c>
      <c r="O458" s="106" t="s">
        <v>595</v>
      </c>
      <c r="P458" s="103">
        <f t="shared" si="27"/>
        <v>445</v>
      </c>
      <c r="Q458" s="103">
        <f t="shared" si="28"/>
        <v>1</v>
      </c>
      <c r="R458" s="103" t="s">
        <v>8</v>
      </c>
      <c r="S458" s="103" t="str">
        <f>_xlfn.IFS(MouserListTable[[#This Row],[Column1]]=FilterSpecs!$A$6, FilterSpecs!$B$6,MouserListTable[[#This Row],[Column1]]=FilterSpecs!$A$7,FilterSpecs!$B$7,MouserListTable[[#This Row],[Column1]]=FilterSpecs!$A$8,FilterSpecs!$B$8,MouserListTable[[#This Row],[Column1]]=FilterSpecs!$A$9,FilterSpecs!$B$9)</f>
        <v>474-</v>
      </c>
      <c r="T45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474-PRT-08671</v>
      </c>
      <c r="V458" s="151">
        <f>IF(MouserListTable[[#This Row],[Qty.]]=0, 0, "")</f>
        <v>0</v>
      </c>
    </row>
    <row r="459" spans="1:22" s="144" customFormat="1" x14ac:dyDescent="0.3">
      <c r="A459" s="146" t="s">
        <v>897</v>
      </c>
      <c r="B459" s="146" t="s">
        <v>2434</v>
      </c>
      <c r="C459" s="146" t="s">
        <v>8</v>
      </c>
      <c r="D459" s="103" t="str">
        <f>IF(MouserListTable[[#This Row],[Vendor]]=FilterSpecs!$A$8,MouserListTable[[#This Row],[Mouser SKU]], MouserListTable[[#This Row],[SKU2]])</f>
        <v>PRT-08670</v>
      </c>
      <c r="E459" s="104">
        <v>0</v>
      </c>
      <c r="F459" s="104">
        <v>0</v>
      </c>
      <c r="G459" s="103" t="s">
        <v>592</v>
      </c>
      <c r="H459" s="103" t="s">
        <v>593</v>
      </c>
      <c r="I459" s="106" t="s">
        <v>594</v>
      </c>
      <c r="J459" s="103">
        <v>1</v>
      </c>
      <c r="K459" s="104">
        <v>0.95</v>
      </c>
      <c r="L459" s="106" t="s">
        <v>1910</v>
      </c>
      <c r="M459" s="103" t="s">
        <v>2399</v>
      </c>
      <c r="N459" s="148">
        <f t="shared" si="31"/>
        <v>0</v>
      </c>
      <c r="O459" s="106" t="s">
        <v>591</v>
      </c>
      <c r="P459" s="103">
        <f t="shared" si="27"/>
        <v>446</v>
      </c>
      <c r="Q459" s="103">
        <f t="shared" si="28"/>
        <v>1</v>
      </c>
      <c r="R459" s="103" t="s">
        <v>8</v>
      </c>
      <c r="S459" s="103" t="str">
        <f>_xlfn.IFS(MouserListTable[[#This Row],[Column1]]=FilterSpecs!$A$6, FilterSpecs!$B$6,MouserListTable[[#This Row],[Column1]]=FilterSpecs!$A$7,FilterSpecs!$B$7,MouserListTable[[#This Row],[Column1]]=FilterSpecs!$A$8,FilterSpecs!$B$8,MouserListTable[[#This Row],[Column1]]=FilterSpecs!$A$9,FilterSpecs!$B$9)</f>
        <v>474-</v>
      </c>
      <c r="T45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474-PRT-08670</v>
      </c>
      <c r="V459" s="151">
        <f>IF(MouserListTable[[#This Row],[Qty.]]=0, 0, "")</f>
        <v>0</v>
      </c>
    </row>
    <row r="460" spans="1:22" s="144" customFormat="1" x14ac:dyDescent="0.3">
      <c r="A460" s="106" t="s">
        <v>897</v>
      </c>
      <c r="B460" s="106" t="s">
        <v>2434</v>
      </c>
      <c r="C460" s="106" t="s">
        <v>8</v>
      </c>
      <c r="D460" s="103" t="str">
        <f>IF(MouserListTable[[#This Row],[Vendor]]=FilterSpecs!$A$8,MouserListTable[[#This Row],[Mouser SKU]], MouserListTable[[#This Row],[SKU2]])</f>
        <v>PRT-09914</v>
      </c>
      <c r="E460" s="104">
        <f>2*FilterSpecs!$C$3</f>
        <v>10</v>
      </c>
      <c r="F460" s="104" t="s">
        <v>18921</v>
      </c>
      <c r="G460" s="103" t="s">
        <v>512</v>
      </c>
      <c r="H460" s="103" t="s">
        <v>513</v>
      </c>
      <c r="I460" s="106" t="s">
        <v>514</v>
      </c>
      <c r="J460" s="103">
        <v>1</v>
      </c>
      <c r="K460" s="104">
        <v>0.95</v>
      </c>
      <c r="L460" s="106" t="s">
        <v>1911</v>
      </c>
      <c r="M460" s="103" t="s">
        <v>2399</v>
      </c>
      <c r="N460" s="104">
        <f t="shared" si="31"/>
        <v>9.5</v>
      </c>
      <c r="O460" s="106" t="s">
        <v>511</v>
      </c>
      <c r="P460" s="103">
        <f t="shared" si="27"/>
        <v>447</v>
      </c>
      <c r="Q460" s="103">
        <f t="shared" si="28"/>
        <v>1</v>
      </c>
      <c r="R460" s="103" t="s">
        <v>8</v>
      </c>
      <c r="S460" s="103" t="str">
        <f>_xlfn.IFS(MouserListTable[[#This Row],[Column1]]=FilterSpecs!$A$6, FilterSpecs!$B$6,MouserListTable[[#This Row],[Column1]]=FilterSpecs!$A$7,FilterSpecs!$B$7,MouserListTable[[#This Row],[Column1]]=FilterSpecs!$A$8,FilterSpecs!$B$8,MouserListTable[[#This Row],[Column1]]=FilterSpecs!$A$9,FilterSpecs!$B$9)</f>
        <v>474-</v>
      </c>
      <c r="T46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474-PRT-09914</v>
      </c>
      <c r="V460" s="151" t="str">
        <f>IF(MouserListTable[[#This Row],[Qty.]]=0, 0, "")</f>
        <v/>
      </c>
    </row>
    <row r="461" spans="1:22" s="144" customFormat="1" x14ac:dyDescent="0.3">
      <c r="A461" s="106" t="s">
        <v>897</v>
      </c>
      <c r="B461" s="106" t="s">
        <v>2434</v>
      </c>
      <c r="C461" s="106" t="s">
        <v>8</v>
      </c>
      <c r="D461" s="103" t="str">
        <f>IF(MouserListTable[[#This Row],[Vendor]]=FilterSpecs!$A$8,MouserListTable[[#This Row],[Mouser SKU]], MouserListTable[[#This Row],[SKU2]])</f>
        <v>PRT-09915</v>
      </c>
      <c r="E461" s="104">
        <f>FilterSpecs!$C$3</f>
        <v>5</v>
      </c>
      <c r="F461" s="104" t="s">
        <v>18921</v>
      </c>
      <c r="G461" s="103" t="s">
        <v>1354</v>
      </c>
      <c r="H461" s="103" t="s">
        <v>1355</v>
      </c>
      <c r="I461" s="106" t="s">
        <v>1356</v>
      </c>
      <c r="J461" s="103">
        <v>1</v>
      </c>
      <c r="K461" s="104">
        <v>1.5</v>
      </c>
      <c r="L461" s="106" t="s">
        <v>1911</v>
      </c>
      <c r="M461" s="103" t="s">
        <v>2399</v>
      </c>
      <c r="N461" s="104">
        <f t="shared" si="31"/>
        <v>7.5</v>
      </c>
      <c r="O461" s="106" t="s">
        <v>1353</v>
      </c>
      <c r="P461" s="103">
        <f t="shared" si="27"/>
        <v>448</v>
      </c>
      <c r="Q461" s="103">
        <f t="shared" si="28"/>
        <v>1</v>
      </c>
      <c r="R461" s="103" t="s">
        <v>8</v>
      </c>
      <c r="S461" s="103" t="str">
        <f>_xlfn.IFS(MouserListTable[[#This Row],[Column1]]=FilterSpecs!$A$6, FilterSpecs!$B$6,MouserListTable[[#This Row],[Column1]]=FilterSpecs!$A$7,FilterSpecs!$B$7,MouserListTable[[#This Row],[Column1]]=FilterSpecs!$A$8,FilterSpecs!$B$8,MouserListTable[[#This Row],[Column1]]=FilterSpecs!$A$9,FilterSpecs!$B$9)</f>
        <v>474-</v>
      </c>
      <c r="T46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474-PRT-09915</v>
      </c>
      <c r="V461" s="151" t="str">
        <f>IF(MouserListTable[[#This Row],[Qty.]]=0, 0, "")</f>
        <v/>
      </c>
    </row>
    <row r="462" spans="1:22" s="144" customFormat="1" x14ac:dyDescent="0.3">
      <c r="A462" s="106" t="s">
        <v>897</v>
      </c>
      <c r="B462" s="106" t="s">
        <v>2434</v>
      </c>
      <c r="C462" s="106" t="s">
        <v>8</v>
      </c>
      <c r="D462" s="103" t="str">
        <f>IF(MouserListTable[[#This Row],[Vendor]]=FilterSpecs!$A$8,MouserListTable[[#This Row],[Mouser SKU]], MouserListTable[[#This Row],[SKU2]])</f>
        <v>PRT-09916</v>
      </c>
      <c r="E462" s="104">
        <f>2*FilterSpecs!$C$3</f>
        <v>10</v>
      </c>
      <c r="F462" s="104" t="s">
        <v>18921</v>
      </c>
      <c r="G462" s="103" t="s">
        <v>486</v>
      </c>
      <c r="H462" s="103" t="s">
        <v>487</v>
      </c>
      <c r="I462" s="106" t="s">
        <v>488</v>
      </c>
      <c r="J462" s="103"/>
      <c r="K462" s="104">
        <v>1.5</v>
      </c>
      <c r="L462" s="106" t="s">
        <v>1911</v>
      </c>
      <c r="M462" s="103" t="s">
        <v>2399</v>
      </c>
      <c r="N462" s="104">
        <f t="shared" si="31"/>
        <v>15</v>
      </c>
      <c r="O462" s="106" t="s">
        <v>485</v>
      </c>
      <c r="P462" s="103">
        <f t="shared" si="27"/>
        <v>449</v>
      </c>
      <c r="Q462" s="103">
        <f t="shared" si="28"/>
        <v>1</v>
      </c>
      <c r="R462" s="103" t="s">
        <v>8</v>
      </c>
      <c r="S462" s="103" t="str">
        <f>_xlfn.IFS(MouserListTable[[#This Row],[Column1]]=FilterSpecs!$A$6, FilterSpecs!$B$6,MouserListTable[[#This Row],[Column1]]=FilterSpecs!$A$7,FilterSpecs!$B$7,MouserListTable[[#This Row],[Column1]]=FilterSpecs!$A$8,FilterSpecs!$B$8,MouserListTable[[#This Row],[Column1]]=FilterSpecs!$A$9,FilterSpecs!$B$9)</f>
        <v>474-</v>
      </c>
      <c r="T46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474-PRT-09916</v>
      </c>
      <c r="V462" s="151" t="str">
        <f>IF(MouserListTable[[#This Row],[Qty.]]=0, 0, "")</f>
        <v/>
      </c>
    </row>
    <row r="463" spans="1:22" s="144" customFormat="1" x14ac:dyDescent="0.3">
      <c r="A463" s="106" t="s">
        <v>897</v>
      </c>
      <c r="B463" s="106" t="s">
        <v>2434</v>
      </c>
      <c r="C463" s="106" t="s">
        <v>1898</v>
      </c>
      <c r="D463" s="103" t="str">
        <f>IF(MouserListTable[[#This Row],[Vendor]]=FilterSpecs!$A$8,MouserListTable[[#This Row],[Mouser SKU]], MouserListTable[[#This Row],[SKU2]])</f>
        <v>3064</v>
      </c>
      <c r="E463" s="104">
        <f>FilterSpecs!$C$3</f>
        <v>5</v>
      </c>
      <c r="F463" s="104" t="s">
        <v>18921</v>
      </c>
      <c r="G463" s="103"/>
      <c r="H463" s="103"/>
      <c r="I463" s="106" t="s">
        <v>2210</v>
      </c>
      <c r="J463" s="146"/>
      <c r="K463" s="104">
        <v>2.95</v>
      </c>
      <c r="L463" s="106" t="s">
        <v>1911</v>
      </c>
      <c r="M463" s="106" t="s">
        <v>2399</v>
      </c>
      <c r="N463" s="104">
        <f t="shared" si="31"/>
        <v>14.75</v>
      </c>
      <c r="O463" s="106" t="s">
        <v>2209</v>
      </c>
      <c r="P463" s="103">
        <f t="shared" si="27"/>
        <v>450</v>
      </c>
      <c r="Q463" s="103">
        <f t="shared" si="28"/>
        <v>1</v>
      </c>
      <c r="R463" s="103" t="s">
        <v>1898</v>
      </c>
      <c r="S463" s="103" t="str">
        <f>_xlfn.IFS(MouserListTable[[#This Row],[Column1]]=FilterSpecs!$A$6, FilterSpecs!$B$6,MouserListTable[[#This Row],[Column1]]=FilterSpecs!$A$7,FilterSpecs!$B$7,MouserListTable[[#This Row],[Column1]]=FilterSpecs!$A$8,FilterSpecs!$B$8,MouserListTable[[#This Row],[Column1]]=FilterSpecs!$A$9,FilterSpecs!$B$9)</f>
        <v>485-</v>
      </c>
      <c r="T46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485-3064</v>
      </c>
      <c r="V463" s="151" t="str">
        <f>IF(MouserListTable[[#This Row],[Qty.]]=0, 0, "")</f>
        <v/>
      </c>
    </row>
    <row r="464" spans="1:22" s="144" customFormat="1" x14ac:dyDescent="0.3">
      <c r="A464" s="106" t="s">
        <v>897</v>
      </c>
      <c r="B464" s="106" t="s">
        <v>2434</v>
      </c>
      <c r="C464" s="106" t="s">
        <v>1898</v>
      </c>
      <c r="D464" s="103" t="str">
        <f>IF(MouserListTable[[#This Row],[Vendor]]=FilterSpecs!$A$8,MouserListTable[[#This Row],[Mouser SKU]], MouserListTable[[#This Row],[SKU2]])</f>
        <v>3568</v>
      </c>
      <c r="E464" s="104">
        <v>0</v>
      </c>
      <c r="F464" s="104">
        <v>0</v>
      </c>
      <c r="G464" s="103"/>
      <c r="H464" s="103"/>
      <c r="I464" s="146" t="s">
        <v>2212</v>
      </c>
      <c r="J464" s="146"/>
      <c r="K464" s="148">
        <v>0.75</v>
      </c>
      <c r="L464" s="146" t="s">
        <v>1910</v>
      </c>
      <c r="M464" s="146" t="s">
        <v>2399</v>
      </c>
      <c r="N464" s="148"/>
      <c r="O464" s="106" t="s">
        <v>2211</v>
      </c>
      <c r="P464" s="103">
        <f t="shared" ref="P464:P527" si="32">IF($P463="List #",1,$P463+1)</f>
        <v>451</v>
      </c>
      <c r="Q464" s="103">
        <f t="shared" ref="Q464:Q527" si="33">IF($D464=$O464,1,0)</f>
        <v>1</v>
      </c>
      <c r="R464" s="103" t="s">
        <v>1898</v>
      </c>
      <c r="S464" s="103" t="str">
        <f>_xlfn.IFS(MouserListTable[[#This Row],[Column1]]=FilterSpecs!$A$6, FilterSpecs!$B$6,MouserListTable[[#This Row],[Column1]]=FilterSpecs!$A$7,FilterSpecs!$B$7,MouserListTable[[#This Row],[Column1]]=FilterSpecs!$A$8,FilterSpecs!$B$8,MouserListTable[[#This Row],[Column1]]=FilterSpecs!$A$9,FilterSpecs!$B$9)</f>
        <v>485-</v>
      </c>
      <c r="T46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485-3568</v>
      </c>
      <c r="V464" s="151">
        <f>IF(MouserListTable[[#This Row],[Qty.]]=0, 0, "")</f>
        <v>0</v>
      </c>
    </row>
    <row r="465" spans="1:22" s="144" customFormat="1" x14ac:dyDescent="0.3">
      <c r="A465" s="106" t="s">
        <v>897</v>
      </c>
      <c r="B465" s="106" t="s">
        <v>2435</v>
      </c>
      <c r="C465" s="106" t="s">
        <v>8</v>
      </c>
      <c r="D465" s="103" t="str">
        <f>IF(MouserListTable[[#This Row],[Vendor]]=FilterSpecs!$A$8,MouserListTable[[#This Row],[Mouser SKU]], MouserListTable[[#This Row],[SKU2]])</f>
        <v>PRT-10359</v>
      </c>
      <c r="E465" s="104">
        <f>FilterSpecs!$C$3</f>
        <v>5</v>
      </c>
      <c r="F465" s="104" t="s">
        <v>18921</v>
      </c>
      <c r="G465" s="103" t="s">
        <v>1820</v>
      </c>
      <c r="H465" s="103" t="s">
        <v>1821</v>
      </c>
      <c r="I465" s="106" t="s">
        <v>1822</v>
      </c>
      <c r="J465" s="103"/>
      <c r="K465" s="104">
        <v>1.5</v>
      </c>
      <c r="L465" s="106" t="s">
        <v>1911</v>
      </c>
      <c r="M465" s="103" t="s">
        <v>2398</v>
      </c>
      <c r="N465" s="104">
        <f>E465*K465</f>
        <v>7.5</v>
      </c>
      <c r="O465" s="106" t="s">
        <v>1819</v>
      </c>
      <c r="P465" s="103">
        <f t="shared" si="32"/>
        <v>452</v>
      </c>
      <c r="Q465" s="103">
        <f t="shared" si="33"/>
        <v>1</v>
      </c>
      <c r="R465" s="103" t="s">
        <v>8</v>
      </c>
      <c r="S465" s="103" t="str">
        <f>_xlfn.IFS(MouserListTable[[#This Row],[Column1]]=FilterSpecs!$A$6, FilterSpecs!$B$6,MouserListTable[[#This Row],[Column1]]=FilterSpecs!$A$7,FilterSpecs!$B$7,MouserListTable[[#This Row],[Column1]]=FilterSpecs!$A$8,FilterSpecs!$B$8,MouserListTable[[#This Row],[Column1]]=FilterSpecs!$A$9,FilterSpecs!$B$9)</f>
        <v>474-</v>
      </c>
      <c r="T46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474-PRT-10359</v>
      </c>
      <c r="V465" s="151" t="str">
        <f>IF(MouserListTable[[#This Row],[Qty.]]=0, 0, "")</f>
        <v/>
      </c>
    </row>
    <row r="466" spans="1:22" s="144" customFormat="1" x14ac:dyDescent="0.3">
      <c r="A466" s="146" t="s">
        <v>897</v>
      </c>
      <c r="B466" s="146" t="s">
        <v>2435</v>
      </c>
      <c r="C466" s="146" t="s">
        <v>8</v>
      </c>
      <c r="D466" s="103" t="str">
        <f>IF(MouserListTable[[#This Row],[Vendor]]=FilterSpecs!$A$8,MouserListTable[[#This Row],[Mouser SKU]], MouserListTable[[#This Row],[SKU2]])</f>
        <v>GPS-00574</v>
      </c>
      <c r="E466" s="104">
        <v>0</v>
      </c>
      <c r="F466" s="104">
        <v>0</v>
      </c>
      <c r="G466" s="103" t="s">
        <v>1812</v>
      </c>
      <c r="H466" s="103" t="s">
        <v>1813</v>
      </c>
      <c r="I466" s="106" t="s">
        <v>1814</v>
      </c>
      <c r="J466" s="103"/>
      <c r="K466" s="104">
        <v>2.95</v>
      </c>
      <c r="L466" s="106" t="s">
        <v>1910</v>
      </c>
      <c r="M466" s="103" t="s">
        <v>2398</v>
      </c>
      <c r="N466" s="148">
        <f>E466*K466</f>
        <v>0</v>
      </c>
      <c r="O466" s="106" t="s">
        <v>1811</v>
      </c>
      <c r="P466" s="103">
        <f t="shared" si="32"/>
        <v>453</v>
      </c>
      <c r="Q466" s="103">
        <f t="shared" si="33"/>
        <v>1</v>
      </c>
      <c r="R466" s="103" t="s">
        <v>8</v>
      </c>
      <c r="S466" s="103" t="str">
        <f>_xlfn.IFS(MouserListTable[[#This Row],[Column1]]=FilterSpecs!$A$6, FilterSpecs!$B$6,MouserListTable[[#This Row],[Column1]]=FilterSpecs!$A$7,FilterSpecs!$B$7,MouserListTable[[#This Row],[Column1]]=FilterSpecs!$A$8,FilterSpecs!$B$8,MouserListTable[[#This Row],[Column1]]=FilterSpecs!$A$9,FilterSpecs!$B$9)</f>
        <v>474-</v>
      </c>
      <c r="T46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474-GPS-00574</v>
      </c>
      <c r="V466" s="151">
        <f>IF(MouserListTable[[#This Row],[Qty.]]=0, 0, "")</f>
        <v>0</v>
      </c>
    </row>
    <row r="467" spans="1:22" s="144" customFormat="1" x14ac:dyDescent="0.3">
      <c r="A467" s="146" t="s">
        <v>897</v>
      </c>
      <c r="B467" s="146" t="s">
        <v>2435</v>
      </c>
      <c r="C467" s="146" t="s">
        <v>8</v>
      </c>
      <c r="D467" s="103" t="str">
        <f>IF(MouserListTable[[#This Row],[Vendor]]=FilterSpecs!$A$8,MouserListTable[[#This Row],[Mouser SKU]], MouserListTable[[#This Row],[SKU2]])</f>
        <v>PRT-10361</v>
      </c>
      <c r="E467" s="104">
        <v>0</v>
      </c>
      <c r="F467" s="104">
        <v>0</v>
      </c>
      <c r="G467" s="103" t="s">
        <v>1804</v>
      </c>
      <c r="H467" s="103" t="s">
        <v>1805</v>
      </c>
      <c r="I467" s="106" t="s">
        <v>1806</v>
      </c>
      <c r="J467" s="103"/>
      <c r="K467" s="104">
        <v>1.5</v>
      </c>
      <c r="L467" s="106" t="s">
        <v>1910</v>
      </c>
      <c r="M467" s="103" t="s">
        <v>2398</v>
      </c>
      <c r="N467" s="148">
        <f>E467*K467</f>
        <v>0</v>
      </c>
      <c r="O467" s="106" t="s">
        <v>1803</v>
      </c>
      <c r="P467" s="103">
        <f t="shared" si="32"/>
        <v>454</v>
      </c>
      <c r="Q467" s="103">
        <f t="shared" si="33"/>
        <v>1</v>
      </c>
      <c r="R467" s="103" t="s">
        <v>8</v>
      </c>
      <c r="S467" s="103" t="str">
        <f>_xlfn.IFS(MouserListTable[[#This Row],[Column1]]=FilterSpecs!$A$6, FilterSpecs!$B$6,MouserListTable[[#This Row],[Column1]]=FilterSpecs!$A$7,FilterSpecs!$B$7,MouserListTable[[#This Row],[Column1]]=FilterSpecs!$A$8,FilterSpecs!$B$8,MouserListTable[[#This Row],[Column1]]=FilterSpecs!$A$9,FilterSpecs!$B$9)</f>
        <v>474-</v>
      </c>
      <c r="T46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474-PRT-10361</v>
      </c>
      <c r="V467" s="151">
        <f>IF(MouserListTable[[#This Row],[Qty.]]=0, 0, "")</f>
        <v>0</v>
      </c>
    </row>
    <row r="468" spans="1:22" s="144" customFormat="1" x14ac:dyDescent="0.3">
      <c r="A468" s="146" t="s">
        <v>897</v>
      </c>
      <c r="B468" s="146" t="s">
        <v>2435</v>
      </c>
      <c r="C468" s="146" t="s">
        <v>8</v>
      </c>
      <c r="D468" s="103" t="str">
        <f>IF(MouserListTable[[#This Row],[Vendor]]=FilterSpecs!$A$8,MouserListTable[[#This Row],[Mouser SKU]], MouserListTable[[#This Row],[SKU2]])</f>
        <v>GPS-09123</v>
      </c>
      <c r="E468" s="104">
        <v>0</v>
      </c>
      <c r="F468" s="104">
        <v>0</v>
      </c>
      <c r="G468" s="103" t="s">
        <v>1816</v>
      </c>
      <c r="H468" s="103" t="s">
        <v>1817</v>
      </c>
      <c r="I468" s="106" t="s">
        <v>1818</v>
      </c>
      <c r="J468" s="103">
        <v>1</v>
      </c>
      <c r="K468" s="104">
        <v>2.95</v>
      </c>
      <c r="L468" s="106" t="s">
        <v>1910</v>
      </c>
      <c r="M468" s="103" t="s">
        <v>2398</v>
      </c>
      <c r="N468" s="148">
        <f>E468*K468</f>
        <v>0</v>
      </c>
      <c r="O468" s="106" t="s">
        <v>1815</v>
      </c>
      <c r="P468" s="103">
        <f t="shared" si="32"/>
        <v>455</v>
      </c>
      <c r="Q468" s="103">
        <f t="shared" si="33"/>
        <v>1</v>
      </c>
      <c r="R468" s="103" t="s">
        <v>8</v>
      </c>
      <c r="S468" s="103" t="str">
        <f>_xlfn.IFS(MouserListTable[[#This Row],[Column1]]=FilterSpecs!$A$6, FilterSpecs!$B$6,MouserListTable[[#This Row],[Column1]]=FilterSpecs!$A$7,FilterSpecs!$B$7,MouserListTable[[#This Row],[Column1]]=FilterSpecs!$A$8,FilterSpecs!$B$8,MouserListTable[[#This Row],[Column1]]=FilterSpecs!$A$9,FilterSpecs!$B$9)</f>
        <v>474-</v>
      </c>
      <c r="T46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474-GPS-09123</v>
      </c>
      <c r="V468" s="151">
        <f>IF(MouserListTable[[#This Row],[Qty.]]=0, 0, "")</f>
        <v>0</v>
      </c>
    </row>
    <row r="469" spans="1:22" s="144" customFormat="1" x14ac:dyDescent="0.3">
      <c r="A469" s="146" t="s">
        <v>897</v>
      </c>
      <c r="B469" s="146" t="s">
        <v>2435</v>
      </c>
      <c r="C469" s="146" t="s">
        <v>8</v>
      </c>
      <c r="D469" s="103" t="str">
        <f>IF(MouserListTable[[#This Row],[Vendor]]=FilterSpecs!$A$8,MouserListTable[[#This Row],[Mouser SKU]], MouserListTable[[#This Row],[SKU2]])</f>
        <v>PRT-10853</v>
      </c>
      <c r="E469" s="104">
        <v>0</v>
      </c>
      <c r="F469" s="104">
        <v>0</v>
      </c>
      <c r="G469" s="103" t="s">
        <v>2431</v>
      </c>
      <c r="H469" s="103" t="s">
        <v>2432</v>
      </c>
      <c r="I469" s="106" t="s">
        <v>2433</v>
      </c>
      <c r="J469" s="103">
        <v>1</v>
      </c>
      <c r="K469" s="104">
        <v>0.95</v>
      </c>
      <c r="L469" s="146" t="s">
        <v>1910</v>
      </c>
      <c r="M469" s="146" t="s">
        <v>2398</v>
      </c>
      <c r="N469" s="148"/>
      <c r="O469" s="106" t="s">
        <v>2430</v>
      </c>
      <c r="P469" s="103">
        <f t="shared" si="32"/>
        <v>456</v>
      </c>
      <c r="Q469" s="103">
        <f t="shared" si="33"/>
        <v>1</v>
      </c>
      <c r="R469" s="103" t="s">
        <v>8</v>
      </c>
      <c r="S469" s="103" t="str">
        <f>_xlfn.IFS(MouserListTable[[#This Row],[Column1]]=FilterSpecs!$A$6, FilterSpecs!$B$6,MouserListTable[[#This Row],[Column1]]=FilterSpecs!$A$7,FilterSpecs!$B$7,MouserListTable[[#This Row],[Column1]]=FilterSpecs!$A$8,FilterSpecs!$B$8,MouserListTable[[#This Row],[Column1]]=FilterSpecs!$A$9,FilterSpecs!$B$9)</f>
        <v>474-</v>
      </c>
      <c r="T46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474-PRT-10853</v>
      </c>
      <c r="V469" s="151">
        <f>IF(MouserListTable[[#This Row],[Qty.]]=0, 0, "")</f>
        <v>0</v>
      </c>
    </row>
    <row r="470" spans="1:22" s="144" customFormat="1" x14ac:dyDescent="0.3">
      <c r="A470" s="106" t="s">
        <v>897</v>
      </c>
      <c r="B470" s="106" t="s">
        <v>2436</v>
      </c>
      <c r="C470" s="106" t="s">
        <v>1898</v>
      </c>
      <c r="D470" s="103" t="str">
        <f>IF(MouserListTable[[#This Row],[Vendor]]=FilterSpecs!$A$8,MouserListTable[[#This Row],[Mouser SKU]], MouserListTable[[#This Row],[SKU2]])</f>
        <v>578</v>
      </c>
      <c r="E470" s="104">
        <v>0</v>
      </c>
      <c r="F470" s="104">
        <v>0</v>
      </c>
      <c r="G470" s="103"/>
      <c r="H470" s="103"/>
      <c r="I470" s="146" t="s">
        <v>2208</v>
      </c>
      <c r="J470" s="146"/>
      <c r="K470" s="148">
        <v>1.5</v>
      </c>
      <c r="L470" s="146" t="s">
        <v>1913</v>
      </c>
      <c r="M470" s="146" t="s">
        <v>2399</v>
      </c>
      <c r="N470" s="148"/>
      <c r="O470" s="106" t="s">
        <v>2207</v>
      </c>
      <c r="P470" s="103">
        <f t="shared" si="32"/>
        <v>457</v>
      </c>
      <c r="Q470" s="103">
        <f t="shared" si="33"/>
        <v>1</v>
      </c>
      <c r="R470" s="103" t="s">
        <v>1898</v>
      </c>
      <c r="S470" s="103" t="str">
        <f>_xlfn.IFS(MouserListTable[[#This Row],[Column1]]=FilterSpecs!$A$6, FilterSpecs!$B$6,MouserListTable[[#This Row],[Column1]]=FilterSpecs!$A$7,FilterSpecs!$B$7,MouserListTable[[#This Row],[Column1]]=FilterSpecs!$A$8,FilterSpecs!$B$8,MouserListTable[[#This Row],[Column1]]=FilterSpecs!$A$9,FilterSpecs!$B$9)</f>
        <v>485-</v>
      </c>
      <c r="T47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485-578</v>
      </c>
      <c r="V470" s="151">
        <f>IF(MouserListTable[[#This Row],[Qty.]]=0, 0, "")</f>
        <v>0</v>
      </c>
    </row>
    <row r="471" spans="1:22" s="144" customFormat="1" x14ac:dyDescent="0.3">
      <c r="A471" s="106" t="s">
        <v>897</v>
      </c>
      <c r="B471" s="106" t="s">
        <v>1611</v>
      </c>
      <c r="C471" s="106" t="s">
        <v>8</v>
      </c>
      <c r="D471" s="103" t="str">
        <f>IF(MouserListTable[[#This Row],[Vendor]]=FilterSpecs!$A$8,MouserListTable[[#This Row],[Mouser SKU]], MouserListTable[[#This Row],[SKU2]])</f>
        <v>CAB-13685</v>
      </c>
      <c r="E471" s="104">
        <f>FilterSpecs!$C$3+1</f>
        <v>6</v>
      </c>
      <c r="F471" s="104" t="s">
        <v>18921</v>
      </c>
      <c r="G471" s="103" t="s">
        <v>520</v>
      </c>
      <c r="H471" s="103" t="s">
        <v>521</v>
      </c>
      <c r="I471" s="106" t="s">
        <v>522</v>
      </c>
      <c r="J471" s="103">
        <v>1</v>
      </c>
      <c r="K471" s="104">
        <v>1.5</v>
      </c>
      <c r="L471" s="106" t="s">
        <v>1911</v>
      </c>
      <c r="M471" s="103" t="s">
        <v>2399</v>
      </c>
      <c r="N471" s="104">
        <f>E471*K471</f>
        <v>9</v>
      </c>
      <c r="O471" s="106" t="s">
        <v>519</v>
      </c>
      <c r="P471" s="103">
        <f t="shared" si="32"/>
        <v>458</v>
      </c>
      <c r="Q471" s="103">
        <f t="shared" si="33"/>
        <v>1</v>
      </c>
      <c r="R471" s="103" t="s">
        <v>8</v>
      </c>
      <c r="S471" s="103" t="str">
        <f>_xlfn.IFS(MouserListTable[[#This Row],[Column1]]=FilterSpecs!$A$6, FilterSpecs!$B$6,MouserListTable[[#This Row],[Column1]]=FilterSpecs!$A$7,FilterSpecs!$B$7,MouserListTable[[#This Row],[Column1]]=FilterSpecs!$A$8,FilterSpecs!$B$8,MouserListTable[[#This Row],[Column1]]=FilterSpecs!$A$9,FilterSpecs!$B$9)</f>
        <v>474-</v>
      </c>
      <c r="T47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474-CAB-13685</v>
      </c>
      <c r="V471" s="151" t="str">
        <f>IF(MouserListTable[[#This Row],[Qty.]]=0, 0, "")</f>
        <v/>
      </c>
    </row>
    <row r="472" spans="1:22" s="144" customFormat="1" x14ac:dyDescent="0.3">
      <c r="A472" s="146" t="s">
        <v>897</v>
      </c>
      <c r="B472" s="146" t="s">
        <v>1611</v>
      </c>
      <c r="C472" s="146" t="s">
        <v>8</v>
      </c>
      <c r="D472" s="103" t="str">
        <f>IF(MouserListTable[[#This Row],[Vendor]]=FilterSpecs!$A$8,MouserListTable[[#This Row],[Mouser SKU]], MouserListTable[[#This Row],[SKU2]])</f>
        <v>PRT-08599</v>
      </c>
      <c r="E472" s="104">
        <v>0</v>
      </c>
      <c r="F472" s="104">
        <v>0</v>
      </c>
      <c r="G472" s="103" t="s">
        <v>584</v>
      </c>
      <c r="H472" s="103" t="s">
        <v>585</v>
      </c>
      <c r="I472" s="106" t="s">
        <v>586</v>
      </c>
      <c r="J472" s="103">
        <v>1</v>
      </c>
      <c r="K472" s="104">
        <v>1.5</v>
      </c>
      <c r="L472" s="106" t="s">
        <v>1910</v>
      </c>
      <c r="M472" s="103" t="s">
        <v>2399</v>
      </c>
      <c r="N472" s="148">
        <f>E472*K472</f>
        <v>0</v>
      </c>
      <c r="O472" s="106" t="s">
        <v>583</v>
      </c>
      <c r="P472" s="103">
        <f t="shared" si="32"/>
        <v>459</v>
      </c>
      <c r="Q472" s="103">
        <f t="shared" si="33"/>
        <v>1</v>
      </c>
      <c r="R472" s="103" t="s">
        <v>8</v>
      </c>
      <c r="S472" s="103" t="str">
        <f>_xlfn.IFS(MouserListTable[[#This Row],[Column1]]=FilterSpecs!$A$6, FilterSpecs!$B$6,MouserListTable[[#This Row],[Column1]]=FilterSpecs!$A$7,FilterSpecs!$B$7,MouserListTable[[#This Row],[Column1]]=FilterSpecs!$A$8,FilterSpecs!$B$8,MouserListTable[[#This Row],[Column1]]=FilterSpecs!$A$9,FilterSpecs!$B$9)</f>
        <v>474-</v>
      </c>
      <c r="T47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474-PRT-08599</v>
      </c>
      <c r="V472" s="151">
        <f>IF(MouserListTable[[#This Row],[Qty.]]=0, 0, "")</f>
        <v>0</v>
      </c>
    </row>
    <row r="473" spans="1:22" s="144" customFormat="1" x14ac:dyDescent="0.3">
      <c r="A473" s="146" t="s">
        <v>897</v>
      </c>
      <c r="B473" s="146" t="s">
        <v>1611</v>
      </c>
      <c r="C473" s="146" t="s">
        <v>8</v>
      </c>
      <c r="D473" s="103" t="str">
        <f>IF(MouserListTable[[#This Row],[Vendor]]=FilterSpecs!$A$8,MouserListTable[[#This Row],[Mouser SKU]], MouserListTable[[#This Row],[SKU2]])</f>
        <v>PRT-08598</v>
      </c>
      <c r="E473" s="104">
        <v>0</v>
      </c>
      <c r="F473" s="104">
        <v>0</v>
      </c>
      <c r="G473" s="103" t="s">
        <v>1752</v>
      </c>
      <c r="H473" s="103" t="s">
        <v>1753</v>
      </c>
      <c r="I473" s="106" t="s">
        <v>1754</v>
      </c>
      <c r="J473" s="103">
        <v>1</v>
      </c>
      <c r="K473" s="104">
        <v>1.5</v>
      </c>
      <c r="L473" s="106" t="s">
        <v>1910</v>
      </c>
      <c r="M473" s="103" t="s">
        <v>2399</v>
      </c>
      <c r="N473" s="148">
        <f>E473*K473</f>
        <v>0</v>
      </c>
      <c r="O473" s="106" t="s">
        <v>1751</v>
      </c>
      <c r="P473" s="103">
        <f t="shared" si="32"/>
        <v>460</v>
      </c>
      <c r="Q473" s="103">
        <f t="shared" si="33"/>
        <v>1</v>
      </c>
      <c r="R473" s="103" t="s">
        <v>8</v>
      </c>
      <c r="S473" s="103" t="str">
        <f>_xlfn.IFS(MouserListTable[[#This Row],[Column1]]=FilterSpecs!$A$6, FilterSpecs!$B$6,MouserListTable[[#This Row],[Column1]]=FilterSpecs!$A$7,FilterSpecs!$B$7,MouserListTable[[#This Row],[Column1]]=FilterSpecs!$A$8,FilterSpecs!$B$8,MouserListTable[[#This Row],[Column1]]=FilterSpecs!$A$9,FilterSpecs!$B$9)</f>
        <v>474-</v>
      </c>
      <c r="T47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474-PRT-08598</v>
      </c>
      <c r="V473" s="151">
        <f>IF(MouserListTable[[#This Row],[Qty.]]=0, 0, "")</f>
        <v>0</v>
      </c>
    </row>
    <row r="474" spans="1:22" s="144" customFormat="1" x14ac:dyDescent="0.3">
      <c r="A474" s="128" t="s">
        <v>897</v>
      </c>
      <c r="B474" s="128" t="s">
        <v>1611</v>
      </c>
      <c r="C474" s="128" t="s">
        <v>1898</v>
      </c>
      <c r="D474" s="103" t="str">
        <f>IF(MouserListTable[[#This Row],[Vendor]]=FilterSpecs!$A$8,MouserListTable[[#This Row],[Mouser SKU]], MouserListTable[[#This Row],[SKU2]])</f>
        <v>425</v>
      </c>
      <c r="E474" s="129">
        <v>0</v>
      </c>
      <c r="F474" s="129">
        <v>0</v>
      </c>
      <c r="G474" s="146"/>
      <c r="H474" s="146"/>
      <c r="I474" s="128" t="s">
        <v>2462</v>
      </c>
      <c r="J474" s="155">
        <v>107</v>
      </c>
      <c r="K474" s="129">
        <v>1.95</v>
      </c>
      <c r="L474" s="126" t="s">
        <v>1910</v>
      </c>
      <c r="M474" s="146"/>
      <c r="N474" s="148"/>
      <c r="O474" s="128" t="s">
        <v>2463</v>
      </c>
      <c r="P474" s="103">
        <f t="shared" si="32"/>
        <v>461</v>
      </c>
      <c r="Q474" s="103">
        <f t="shared" si="33"/>
        <v>1</v>
      </c>
      <c r="R474" s="103" t="s">
        <v>1898</v>
      </c>
      <c r="S474" s="103" t="str">
        <f>_xlfn.IFS(MouserListTable[[#This Row],[Column1]]=FilterSpecs!$A$6, FilterSpecs!$B$6,MouserListTable[[#This Row],[Column1]]=FilterSpecs!$A$7,FilterSpecs!$B$7,MouserListTable[[#This Row],[Column1]]=FilterSpecs!$A$8,FilterSpecs!$B$8,MouserListTable[[#This Row],[Column1]]=FilterSpecs!$A$9,FilterSpecs!$B$9)</f>
        <v>485-</v>
      </c>
      <c r="T47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485-425</v>
      </c>
      <c r="V474" s="151">
        <f>IF(MouserListTable[[#This Row],[Qty.]]=0, 0, "")</f>
        <v>0</v>
      </c>
    </row>
    <row r="475" spans="1:22" s="144" customFormat="1" x14ac:dyDescent="0.3">
      <c r="A475" s="128" t="s">
        <v>897</v>
      </c>
      <c r="B475" s="128" t="s">
        <v>2436</v>
      </c>
      <c r="C475" s="128" t="s">
        <v>1898</v>
      </c>
      <c r="D475" s="103" t="str">
        <f>IF(MouserListTable[[#This Row],[Vendor]]=FilterSpecs!$A$8,MouserListTable[[#This Row],[Mouser SKU]], MouserListTable[[#This Row],[SKU2]])</f>
        <v>2880</v>
      </c>
      <c r="E475" s="129">
        <v>0</v>
      </c>
      <c r="F475" s="129">
        <v>0</v>
      </c>
      <c r="G475" s="146"/>
      <c r="H475" s="146"/>
      <c r="I475" s="128" t="s">
        <v>2449</v>
      </c>
      <c r="J475" s="155">
        <v>100</v>
      </c>
      <c r="K475" s="129">
        <v>0.75</v>
      </c>
      <c r="L475" s="126" t="s">
        <v>1910</v>
      </c>
      <c r="M475" s="146"/>
      <c r="N475" s="148"/>
      <c r="O475" s="128" t="s">
        <v>2450</v>
      </c>
      <c r="P475" s="103">
        <f t="shared" si="32"/>
        <v>462</v>
      </c>
      <c r="Q475" s="103">
        <f t="shared" si="33"/>
        <v>1</v>
      </c>
      <c r="R475" s="103" t="s">
        <v>1898</v>
      </c>
      <c r="S475" s="103" t="str">
        <f>_xlfn.IFS(MouserListTable[[#This Row],[Column1]]=FilterSpecs!$A$6, FilterSpecs!$B$6,MouserListTable[[#This Row],[Column1]]=FilterSpecs!$A$7,FilterSpecs!$B$7,MouserListTable[[#This Row],[Column1]]=FilterSpecs!$A$8,FilterSpecs!$B$8,MouserListTable[[#This Row],[Column1]]=FilterSpecs!$A$9,FilterSpecs!$B$9)</f>
        <v>485-</v>
      </c>
      <c r="T47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485-2880</v>
      </c>
      <c r="V475" s="151">
        <f>IF(MouserListTable[[#This Row],[Qty.]]=0, 0, "")</f>
        <v>0</v>
      </c>
    </row>
    <row r="476" spans="1:22" s="144" customFormat="1" x14ac:dyDescent="0.3">
      <c r="A476" s="128" t="s">
        <v>897</v>
      </c>
      <c r="B476" s="128" t="s">
        <v>2434</v>
      </c>
      <c r="C476" s="128" t="s">
        <v>1898</v>
      </c>
      <c r="D476" s="103" t="str">
        <f>IF(MouserListTable[[#This Row],[Vendor]]=FilterSpecs!$A$8,MouserListTable[[#This Row],[Mouser SKU]], MouserListTable[[#This Row],[SKU2]])</f>
        <v>261</v>
      </c>
      <c r="E476" s="129">
        <v>0</v>
      </c>
      <c r="F476" s="129">
        <v>0</v>
      </c>
      <c r="G476" s="146"/>
      <c r="H476" s="146"/>
      <c r="I476" s="128" t="s">
        <v>2451</v>
      </c>
      <c r="J476" s="155">
        <v>101</v>
      </c>
      <c r="K476" s="129">
        <v>0.75</v>
      </c>
      <c r="L476" s="126" t="s">
        <v>1910</v>
      </c>
      <c r="M476" s="146"/>
      <c r="N476" s="148"/>
      <c r="O476" s="128" t="s">
        <v>2452</v>
      </c>
      <c r="P476" s="103">
        <f t="shared" si="32"/>
        <v>463</v>
      </c>
      <c r="Q476" s="103">
        <f t="shared" si="33"/>
        <v>1</v>
      </c>
      <c r="R476" s="103" t="s">
        <v>1898</v>
      </c>
      <c r="S476" s="103" t="str">
        <f>_xlfn.IFS(MouserListTable[[#This Row],[Column1]]=FilterSpecs!$A$6, FilterSpecs!$B$6,MouserListTable[[#This Row],[Column1]]=FilterSpecs!$A$7,FilterSpecs!$B$7,MouserListTable[[#This Row],[Column1]]=FilterSpecs!$A$8,FilterSpecs!$B$8,MouserListTable[[#This Row],[Column1]]=FilterSpecs!$A$9,FilterSpecs!$B$9)</f>
        <v>485-</v>
      </c>
      <c r="T47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485-261</v>
      </c>
      <c r="V476" s="151">
        <f>IF(MouserListTable[[#This Row],[Qty.]]=0, 0, "")</f>
        <v>0</v>
      </c>
    </row>
    <row r="477" spans="1:22" s="144" customFormat="1" x14ac:dyDescent="0.3">
      <c r="A477" s="128" t="s">
        <v>897</v>
      </c>
      <c r="B477" s="128" t="s">
        <v>2434</v>
      </c>
      <c r="C477" s="128" t="s">
        <v>1898</v>
      </c>
      <c r="D477" s="103" t="str">
        <f>IF(MouserListTable[[#This Row],[Vendor]]=FilterSpecs!$A$8,MouserListTable[[#This Row],[Mouser SKU]], MouserListTable[[#This Row],[SKU2]])</f>
        <v>1769</v>
      </c>
      <c r="E477" s="129">
        <v>0</v>
      </c>
      <c r="F477" s="129">
        <v>0</v>
      </c>
      <c r="G477" s="146"/>
      <c r="H477" s="146"/>
      <c r="I477" s="128" t="s">
        <v>2453</v>
      </c>
      <c r="J477" s="155">
        <v>102</v>
      </c>
      <c r="K477" s="129">
        <v>0.75</v>
      </c>
      <c r="L477" s="126" t="s">
        <v>1910</v>
      </c>
      <c r="M477" s="146"/>
      <c r="N477" s="148"/>
      <c r="O477" s="128" t="s">
        <v>2146</v>
      </c>
      <c r="P477" s="103">
        <f t="shared" si="32"/>
        <v>464</v>
      </c>
      <c r="Q477" s="103">
        <f t="shared" si="33"/>
        <v>1</v>
      </c>
      <c r="R477" s="103" t="s">
        <v>1898</v>
      </c>
      <c r="S477" s="103" t="str">
        <f>_xlfn.IFS(MouserListTable[[#This Row],[Column1]]=FilterSpecs!$A$6, FilterSpecs!$B$6,MouserListTable[[#This Row],[Column1]]=FilterSpecs!$A$7,FilterSpecs!$B$7,MouserListTable[[#This Row],[Column1]]=FilterSpecs!$A$8,FilterSpecs!$B$8,MouserListTable[[#This Row],[Column1]]=FilterSpecs!$A$9,FilterSpecs!$B$9)</f>
        <v>485-</v>
      </c>
      <c r="T47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485-1769</v>
      </c>
      <c r="V477" s="151">
        <f>IF(MouserListTable[[#This Row],[Qty.]]=0, 0, "")</f>
        <v>0</v>
      </c>
    </row>
    <row r="478" spans="1:22" s="144" customFormat="1" x14ac:dyDescent="0.3">
      <c r="A478" s="106" t="s">
        <v>897</v>
      </c>
      <c r="B478" s="106" t="s">
        <v>1883</v>
      </c>
      <c r="C478" s="106" t="s">
        <v>8</v>
      </c>
      <c r="D478" s="103" t="str">
        <f>IF(MouserListTable[[#This Row],[Vendor]]=FilterSpecs!$A$8,MouserListTable[[#This Row],[Mouser SKU]], MouserListTable[[#This Row],[SKU2]])</f>
        <v>PRT-09918</v>
      </c>
      <c r="E478" s="104">
        <f>2*FilterSpecs!$C$3</f>
        <v>10</v>
      </c>
      <c r="F478" s="104" t="s">
        <v>18921</v>
      </c>
      <c r="G478" s="103" t="s">
        <v>1756</v>
      </c>
      <c r="H478" s="103" t="s">
        <v>1757</v>
      </c>
      <c r="I478" s="106" t="s">
        <v>1758</v>
      </c>
      <c r="J478" s="103"/>
      <c r="K478" s="104">
        <v>0.95</v>
      </c>
      <c r="L478" s="106" t="s">
        <v>1911</v>
      </c>
      <c r="M478" s="103"/>
      <c r="N478" s="104">
        <f t="shared" ref="N478:N518" si="34">E478*K478</f>
        <v>9.5</v>
      </c>
      <c r="O478" s="106" t="s">
        <v>1755</v>
      </c>
      <c r="P478" s="103">
        <f t="shared" si="32"/>
        <v>465</v>
      </c>
      <c r="Q478" s="103">
        <f t="shared" si="33"/>
        <v>1</v>
      </c>
      <c r="R478" s="103" t="s">
        <v>8</v>
      </c>
      <c r="S478" s="103" t="str">
        <f>_xlfn.IFS(MouserListTable[[#This Row],[Column1]]=FilterSpecs!$A$6, FilterSpecs!$B$6,MouserListTable[[#This Row],[Column1]]=FilterSpecs!$A$7,FilterSpecs!$B$7,MouserListTable[[#This Row],[Column1]]=FilterSpecs!$A$8,FilterSpecs!$B$8,MouserListTable[[#This Row],[Column1]]=FilterSpecs!$A$9,FilterSpecs!$B$9)</f>
        <v>474-</v>
      </c>
      <c r="T47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474-PRT-09918</v>
      </c>
      <c r="V478" s="151" t="str">
        <f>IF(MouserListTable[[#This Row],[Qty.]]=0, 0, "")</f>
        <v/>
      </c>
    </row>
    <row r="479" spans="1:22" s="144" customFormat="1" x14ac:dyDescent="0.3">
      <c r="A479" s="106" t="s">
        <v>897</v>
      </c>
      <c r="B479" s="106" t="s">
        <v>1883</v>
      </c>
      <c r="C479" s="106" t="s">
        <v>8</v>
      </c>
      <c r="D479" s="103" t="str">
        <f>IF(MouserListTable[[#This Row],[Vendor]]=FilterSpecs!$A$8,MouserListTable[[#This Row],[Mouser SKU]], MouserListTable[[#This Row],[SKU2]])</f>
        <v>PRT-09922</v>
      </c>
      <c r="E479" s="104">
        <f>2*FilterSpecs!$C$3</f>
        <v>10</v>
      </c>
      <c r="F479" s="104" t="s">
        <v>18921</v>
      </c>
      <c r="G479" s="103" t="s">
        <v>1768</v>
      </c>
      <c r="H479" s="103" t="s">
        <v>1769</v>
      </c>
      <c r="I479" s="106" t="s">
        <v>1770</v>
      </c>
      <c r="J479" s="103">
        <v>1</v>
      </c>
      <c r="K479" s="104">
        <v>1.95</v>
      </c>
      <c r="L479" s="106" t="s">
        <v>1911</v>
      </c>
      <c r="M479" s="103"/>
      <c r="N479" s="104">
        <f t="shared" si="34"/>
        <v>19.5</v>
      </c>
      <c r="O479" s="106" t="s">
        <v>1767</v>
      </c>
      <c r="P479" s="103">
        <f t="shared" si="32"/>
        <v>466</v>
      </c>
      <c r="Q479" s="103">
        <f t="shared" si="33"/>
        <v>1</v>
      </c>
      <c r="R479" s="103" t="s">
        <v>8</v>
      </c>
      <c r="S479" s="103" t="str">
        <f>_xlfn.IFS(MouserListTable[[#This Row],[Column1]]=FilterSpecs!$A$6, FilterSpecs!$B$6,MouserListTable[[#This Row],[Column1]]=FilterSpecs!$A$7,FilterSpecs!$B$7,MouserListTable[[#This Row],[Column1]]=FilterSpecs!$A$8,FilterSpecs!$B$8,MouserListTable[[#This Row],[Column1]]=FilterSpecs!$A$9,FilterSpecs!$B$9)</f>
        <v>474-</v>
      </c>
      <c r="T47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474-PRT-09922</v>
      </c>
      <c r="V479" s="151" t="str">
        <f>IF(MouserListTable[[#This Row],[Qty.]]=0, 0, "")</f>
        <v/>
      </c>
    </row>
    <row r="480" spans="1:22" s="144" customFormat="1" x14ac:dyDescent="0.3">
      <c r="A480" s="146" t="s">
        <v>897</v>
      </c>
      <c r="B480" s="146" t="s">
        <v>1608</v>
      </c>
      <c r="C480" s="146" t="s">
        <v>8</v>
      </c>
      <c r="D480" s="103" t="str">
        <f>IF(MouserListTable[[#This Row],[Vendor]]=FilterSpecs!$A$8,MouserListTable[[#This Row],[Mouser SKU]], MouserListTable[[#This Row],[SKU2]])</f>
        <v>PRT-08614</v>
      </c>
      <c r="E480" s="104">
        <v>0</v>
      </c>
      <c r="F480" s="104">
        <v>0</v>
      </c>
      <c r="G480" s="103" t="s">
        <v>470</v>
      </c>
      <c r="H480" s="103" t="s">
        <v>471</v>
      </c>
      <c r="I480" s="106" t="s">
        <v>472</v>
      </c>
      <c r="J480" s="103">
        <v>1</v>
      </c>
      <c r="K480" s="104">
        <v>1.5</v>
      </c>
      <c r="L480" s="106" t="s">
        <v>1910</v>
      </c>
      <c r="M480" s="103"/>
      <c r="N480" s="148">
        <f t="shared" si="34"/>
        <v>0</v>
      </c>
      <c r="O480" s="106" t="s">
        <v>469</v>
      </c>
      <c r="P480" s="103">
        <f t="shared" si="32"/>
        <v>467</v>
      </c>
      <c r="Q480" s="103">
        <f t="shared" si="33"/>
        <v>1</v>
      </c>
      <c r="R480" s="103" t="s">
        <v>8</v>
      </c>
      <c r="S480" s="103" t="str">
        <f>_xlfn.IFS(MouserListTable[[#This Row],[Column1]]=FilterSpecs!$A$6, FilterSpecs!$B$6,MouserListTable[[#This Row],[Column1]]=FilterSpecs!$A$7,FilterSpecs!$B$7,MouserListTable[[#This Row],[Column1]]=FilterSpecs!$A$8,FilterSpecs!$B$8,MouserListTable[[#This Row],[Column1]]=FilterSpecs!$A$9,FilterSpecs!$B$9)</f>
        <v>474-</v>
      </c>
      <c r="T48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474-PRT-08614</v>
      </c>
      <c r="V480" s="151">
        <f>IF(MouserListTable[[#This Row],[Qty.]]=0, 0, "")</f>
        <v>0</v>
      </c>
    </row>
    <row r="481" spans="1:22" s="144" customFormat="1" x14ac:dyDescent="0.3">
      <c r="A481" s="146" t="s">
        <v>897</v>
      </c>
      <c r="B481" s="146" t="s">
        <v>1608</v>
      </c>
      <c r="C481" s="146" t="s">
        <v>8</v>
      </c>
      <c r="D481" s="103" t="str">
        <f>IF(MouserListTable[[#This Row],[Vendor]]=FilterSpecs!$A$8,MouserListTable[[#This Row],[Mouser SKU]], MouserListTable[[#This Row],[SKU2]])</f>
        <v>PRT-08672</v>
      </c>
      <c r="E481" s="104">
        <v>0</v>
      </c>
      <c r="F481" s="104">
        <v>0</v>
      </c>
      <c r="G481" s="103" t="s">
        <v>466</v>
      </c>
      <c r="H481" s="103" t="s">
        <v>467</v>
      </c>
      <c r="I481" s="106" t="s">
        <v>468</v>
      </c>
      <c r="J481" s="103">
        <v>1</v>
      </c>
      <c r="K481" s="104">
        <v>0.95</v>
      </c>
      <c r="L481" s="106" t="s">
        <v>1910</v>
      </c>
      <c r="M481" s="103"/>
      <c r="N481" s="148">
        <f t="shared" si="34"/>
        <v>0</v>
      </c>
      <c r="O481" s="106" t="s">
        <v>465</v>
      </c>
      <c r="P481" s="103">
        <f t="shared" si="32"/>
        <v>468</v>
      </c>
      <c r="Q481" s="103">
        <f t="shared" si="33"/>
        <v>1</v>
      </c>
      <c r="R481" s="103" t="s">
        <v>8</v>
      </c>
      <c r="S481" s="103" t="str">
        <f>_xlfn.IFS(MouserListTable[[#This Row],[Column1]]=FilterSpecs!$A$6, FilterSpecs!$B$6,MouserListTable[[#This Row],[Column1]]=FilterSpecs!$A$7,FilterSpecs!$B$7,MouserListTable[[#This Row],[Column1]]=FilterSpecs!$A$8,FilterSpecs!$B$8,MouserListTable[[#This Row],[Column1]]=FilterSpecs!$A$9,FilterSpecs!$B$9)</f>
        <v>474-</v>
      </c>
      <c r="T48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474-PRT-08672</v>
      </c>
      <c r="V481" s="151">
        <f>IF(MouserListTable[[#This Row],[Qty.]]=0, 0, "")</f>
        <v>0</v>
      </c>
    </row>
    <row r="482" spans="1:22" s="144" customFormat="1" x14ac:dyDescent="0.3">
      <c r="A482" s="146" t="s">
        <v>897</v>
      </c>
      <c r="B482" s="146" t="s">
        <v>1608</v>
      </c>
      <c r="C482" s="146" t="s">
        <v>8</v>
      </c>
      <c r="D482" s="103" t="str">
        <f>IF(MouserListTable[[#This Row],[Vendor]]=FilterSpecs!$A$8,MouserListTable[[#This Row],[Mouser SKU]], MouserListTable[[#This Row],[SKU2]])</f>
        <v>PRT-10367</v>
      </c>
      <c r="E482" s="104">
        <v>0</v>
      </c>
      <c r="F482" s="104">
        <v>0</v>
      </c>
      <c r="G482" s="103" t="s">
        <v>588</v>
      </c>
      <c r="H482" s="103" t="s">
        <v>589</v>
      </c>
      <c r="I482" s="106" t="s">
        <v>590</v>
      </c>
      <c r="J482" s="103"/>
      <c r="K482" s="104">
        <v>1.5</v>
      </c>
      <c r="L482" s="106" t="s">
        <v>1910</v>
      </c>
      <c r="M482" s="103"/>
      <c r="N482" s="148">
        <f t="shared" si="34"/>
        <v>0</v>
      </c>
      <c r="O482" s="106" t="s">
        <v>587</v>
      </c>
      <c r="P482" s="103">
        <f t="shared" si="32"/>
        <v>469</v>
      </c>
      <c r="Q482" s="103">
        <f t="shared" si="33"/>
        <v>1</v>
      </c>
      <c r="R482" s="103" t="s">
        <v>8</v>
      </c>
      <c r="S482" s="103" t="str">
        <f>_xlfn.IFS(MouserListTable[[#This Row],[Column1]]=FilterSpecs!$A$6, FilterSpecs!$B$6,MouserListTable[[#This Row],[Column1]]=FilterSpecs!$A$7,FilterSpecs!$B$7,MouserListTable[[#This Row],[Column1]]=FilterSpecs!$A$8,FilterSpecs!$B$8,MouserListTable[[#This Row],[Column1]]=FilterSpecs!$A$9,FilterSpecs!$B$9)</f>
        <v>474-</v>
      </c>
      <c r="T48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474-PRT-10367</v>
      </c>
      <c r="V482" s="151">
        <f>IF(MouserListTable[[#This Row],[Qty.]]=0, 0, "")</f>
        <v>0</v>
      </c>
    </row>
    <row r="483" spans="1:22" s="144" customFormat="1" x14ac:dyDescent="0.3">
      <c r="A483" s="146" t="s">
        <v>897</v>
      </c>
      <c r="B483" s="146" t="s">
        <v>1608</v>
      </c>
      <c r="C483" s="146" t="s">
        <v>8</v>
      </c>
      <c r="D483" s="103" t="str">
        <f>IF(MouserListTable[[#This Row],[Vendor]]=FilterSpecs!$A$8,MouserListTable[[#This Row],[Mouser SKU]], MouserListTable[[#This Row],[SKU2]])</f>
        <v>PRT-10373</v>
      </c>
      <c r="E483" s="104">
        <v>0</v>
      </c>
      <c r="F483" s="104">
        <v>0</v>
      </c>
      <c r="G483" s="103" t="s">
        <v>576</v>
      </c>
      <c r="H483" s="103" t="s">
        <v>577</v>
      </c>
      <c r="I483" s="106" t="s">
        <v>578</v>
      </c>
      <c r="J483" s="103"/>
      <c r="K483" s="104">
        <v>1.95</v>
      </c>
      <c r="L483" s="106" t="s">
        <v>1910</v>
      </c>
      <c r="M483" s="103"/>
      <c r="N483" s="148">
        <f t="shared" si="34"/>
        <v>0</v>
      </c>
      <c r="O483" s="106" t="s">
        <v>575</v>
      </c>
      <c r="P483" s="103">
        <f t="shared" si="32"/>
        <v>470</v>
      </c>
      <c r="Q483" s="103">
        <f t="shared" si="33"/>
        <v>1</v>
      </c>
      <c r="R483" s="103" t="s">
        <v>8</v>
      </c>
      <c r="S483" s="103" t="str">
        <f>_xlfn.IFS(MouserListTable[[#This Row],[Column1]]=FilterSpecs!$A$6, FilterSpecs!$B$6,MouserListTable[[#This Row],[Column1]]=FilterSpecs!$A$7,FilterSpecs!$B$7,MouserListTable[[#This Row],[Column1]]=FilterSpecs!$A$8,FilterSpecs!$B$8,MouserListTable[[#This Row],[Column1]]=FilterSpecs!$A$9,FilterSpecs!$B$9)</f>
        <v>474-</v>
      </c>
      <c r="T48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474-PRT-10373</v>
      </c>
      <c r="V483" s="151">
        <f>IF(MouserListTable[[#This Row],[Qty.]]=0, 0, "")</f>
        <v>0</v>
      </c>
    </row>
    <row r="484" spans="1:22" s="144" customFormat="1" x14ac:dyDescent="0.3">
      <c r="A484" s="146" t="s">
        <v>897</v>
      </c>
      <c r="B484" s="146" t="s">
        <v>1608</v>
      </c>
      <c r="C484" s="146" t="s">
        <v>8</v>
      </c>
      <c r="D484" s="103" t="str">
        <f>IF(MouserListTable[[#This Row],[Vendor]]=FilterSpecs!$A$8,MouserListTable[[#This Row],[Mouser SKU]], MouserListTable[[#This Row],[SKU2]])</f>
        <v>PRT-13164</v>
      </c>
      <c r="E484" s="104">
        <v>0</v>
      </c>
      <c r="F484" s="104">
        <v>0</v>
      </c>
      <c r="G484" s="103" t="s">
        <v>540</v>
      </c>
      <c r="H484" s="103" t="s">
        <v>541</v>
      </c>
      <c r="I484" s="106" t="s">
        <v>542</v>
      </c>
      <c r="J484" s="103">
        <v>1</v>
      </c>
      <c r="K484" s="104">
        <v>1.5</v>
      </c>
      <c r="L484" s="106" t="s">
        <v>1910</v>
      </c>
      <c r="M484" s="103"/>
      <c r="N484" s="148">
        <f t="shared" si="34"/>
        <v>0</v>
      </c>
      <c r="O484" s="106" t="s">
        <v>539</v>
      </c>
      <c r="P484" s="103">
        <f t="shared" si="32"/>
        <v>471</v>
      </c>
      <c r="Q484" s="103">
        <f t="shared" si="33"/>
        <v>1</v>
      </c>
      <c r="R484" s="103" t="s">
        <v>8</v>
      </c>
      <c r="S484" s="103" t="str">
        <f>_xlfn.IFS(MouserListTable[[#This Row],[Column1]]=FilterSpecs!$A$6, FilterSpecs!$B$6,MouserListTable[[#This Row],[Column1]]=FilterSpecs!$A$7,FilterSpecs!$B$7,MouserListTable[[#This Row],[Column1]]=FilterSpecs!$A$8,FilterSpecs!$B$8,MouserListTable[[#This Row],[Column1]]=FilterSpecs!$A$9,FilterSpecs!$B$9)</f>
        <v>474-</v>
      </c>
      <c r="T48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474-PRT-13164</v>
      </c>
      <c r="V484" s="151">
        <f>IF(MouserListTable[[#This Row],[Qty.]]=0, 0, "")</f>
        <v>0</v>
      </c>
    </row>
    <row r="485" spans="1:22" s="144" customFormat="1" x14ac:dyDescent="0.3">
      <c r="A485" s="146" t="s">
        <v>897</v>
      </c>
      <c r="B485" s="146" t="s">
        <v>1608</v>
      </c>
      <c r="C485" s="146" t="s">
        <v>8</v>
      </c>
      <c r="D485" s="103" t="str">
        <f>IF(MouserListTable[[#This Row],[Vendor]]=FilterSpecs!$A$8,MouserListTable[[#This Row],[Mouser SKU]], MouserListTable[[#This Row],[SKU2]])</f>
        <v>PRT-10369</v>
      </c>
      <c r="E485" s="104">
        <v>0</v>
      </c>
      <c r="F485" s="104">
        <v>0</v>
      </c>
      <c r="G485" s="103" t="s">
        <v>500</v>
      </c>
      <c r="H485" s="103" t="s">
        <v>501</v>
      </c>
      <c r="I485" s="106" t="s">
        <v>502</v>
      </c>
      <c r="J485" s="103"/>
      <c r="K485" s="104">
        <v>1.5</v>
      </c>
      <c r="L485" s="106" t="s">
        <v>1910</v>
      </c>
      <c r="M485" s="103"/>
      <c r="N485" s="148">
        <f t="shared" si="34"/>
        <v>0</v>
      </c>
      <c r="O485" s="106" t="s">
        <v>499</v>
      </c>
      <c r="P485" s="103">
        <f t="shared" si="32"/>
        <v>472</v>
      </c>
      <c r="Q485" s="103">
        <f t="shared" si="33"/>
        <v>1</v>
      </c>
      <c r="R485" s="103" t="s">
        <v>8</v>
      </c>
      <c r="S485" s="103" t="str">
        <f>_xlfn.IFS(MouserListTable[[#This Row],[Column1]]=FilterSpecs!$A$6, FilterSpecs!$B$6,MouserListTable[[#This Row],[Column1]]=FilterSpecs!$A$7,FilterSpecs!$B$7,MouserListTable[[#This Row],[Column1]]=FilterSpecs!$A$8,FilterSpecs!$B$8,MouserListTable[[#This Row],[Column1]]=FilterSpecs!$A$9,FilterSpecs!$B$9)</f>
        <v>474-</v>
      </c>
      <c r="T48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474-PRT-10369</v>
      </c>
      <c r="V485" s="151">
        <f>IF(MouserListTable[[#This Row],[Qty.]]=0, 0, "")</f>
        <v>0</v>
      </c>
    </row>
    <row r="486" spans="1:22" s="144" customFormat="1" x14ac:dyDescent="0.3">
      <c r="A486" s="146" t="s">
        <v>897</v>
      </c>
      <c r="B486" s="146" t="s">
        <v>1608</v>
      </c>
      <c r="C486" s="146" t="s">
        <v>8</v>
      </c>
      <c r="D486" s="103" t="str">
        <f>IF(MouserListTable[[#This Row],[Vendor]]=FilterSpecs!$A$8,MouserListTable[[#This Row],[Mouser SKU]], MouserListTable[[#This Row],[SKU2]])</f>
        <v>PRT-10370</v>
      </c>
      <c r="E486" s="104">
        <v>0</v>
      </c>
      <c r="F486" s="104">
        <v>0</v>
      </c>
      <c r="G486" s="103" t="s">
        <v>536</v>
      </c>
      <c r="H486" s="103" t="s">
        <v>537</v>
      </c>
      <c r="I486" s="106" t="s">
        <v>538</v>
      </c>
      <c r="J486" s="103"/>
      <c r="K486" s="104">
        <v>1.5</v>
      </c>
      <c r="L486" s="106" t="s">
        <v>1910</v>
      </c>
      <c r="M486" s="103"/>
      <c r="N486" s="148">
        <f t="shared" si="34"/>
        <v>0</v>
      </c>
      <c r="O486" s="106" t="s">
        <v>535</v>
      </c>
      <c r="P486" s="103">
        <f t="shared" si="32"/>
        <v>473</v>
      </c>
      <c r="Q486" s="103">
        <f t="shared" si="33"/>
        <v>1</v>
      </c>
      <c r="R486" s="103" t="s">
        <v>8</v>
      </c>
      <c r="S486" s="103" t="str">
        <f>_xlfn.IFS(MouserListTable[[#This Row],[Column1]]=FilterSpecs!$A$6, FilterSpecs!$B$6,MouserListTable[[#This Row],[Column1]]=FilterSpecs!$A$7,FilterSpecs!$B$7,MouserListTable[[#This Row],[Column1]]=FilterSpecs!$A$8,FilterSpecs!$B$8,MouserListTable[[#This Row],[Column1]]=FilterSpecs!$A$9,FilterSpecs!$B$9)</f>
        <v>474-</v>
      </c>
      <c r="T48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474-PRT-10370</v>
      </c>
      <c r="V486" s="151">
        <f>IF(MouserListTable[[#This Row],[Qty.]]=0, 0, "")</f>
        <v>0</v>
      </c>
    </row>
    <row r="487" spans="1:22" s="144" customFormat="1" x14ac:dyDescent="0.3">
      <c r="A487" s="146" t="s">
        <v>897</v>
      </c>
      <c r="B487" s="146" t="s">
        <v>1608</v>
      </c>
      <c r="C487" s="146" t="s">
        <v>8</v>
      </c>
      <c r="D487" s="103" t="str">
        <f>IF(MouserListTable[[#This Row],[Vendor]]=FilterSpecs!$A$8,MouserListTable[[#This Row],[Mouser SKU]], MouserListTable[[#This Row],[SKU2]])</f>
        <v>PRT-10376</v>
      </c>
      <c r="E487" s="104">
        <v>0</v>
      </c>
      <c r="F487" s="104">
        <v>0</v>
      </c>
      <c r="G487" s="103" t="s">
        <v>504</v>
      </c>
      <c r="H487" s="103" t="s">
        <v>505</v>
      </c>
      <c r="I487" s="106" t="s">
        <v>506</v>
      </c>
      <c r="J487" s="103"/>
      <c r="K487" s="104">
        <v>1.95</v>
      </c>
      <c r="L487" s="106" t="s">
        <v>1910</v>
      </c>
      <c r="M487" s="103"/>
      <c r="N487" s="148">
        <f t="shared" si="34"/>
        <v>0</v>
      </c>
      <c r="O487" s="106" t="s">
        <v>503</v>
      </c>
      <c r="P487" s="103">
        <f t="shared" si="32"/>
        <v>474</v>
      </c>
      <c r="Q487" s="103">
        <f t="shared" si="33"/>
        <v>1</v>
      </c>
      <c r="R487" s="103" t="s">
        <v>8</v>
      </c>
      <c r="S487" s="103" t="str">
        <f>_xlfn.IFS(MouserListTable[[#This Row],[Column1]]=FilterSpecs!$A$6, FilterSpecs!$B$6,MouserListTable[[#This Row],[Column1]]=FilterSpecs!$A$7,FilterSpecs!$B$7,MouserListTable[[#This Row],[Column1]]=FilterSpecs!$A$8,FilterSpecs!$B$8,MouserListTable[[#This Row],[Column1]]=FilterSpecs!$A$9,FilterSpecs!$B$9)</f>
        <v>474-</v>
      </c>
      <c r="T48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474-PRT-10376</v>
      </c>
      <c r="V487" s="151">
        <f>IF(MouserListTable[[#This Row],[Qty.]]=0, 0, "")</f>
        <v>0</v>
      </c>
    </row>
    <row r="488" spans="1:22" s="144" customFormat="1" x14ac:dyDescent="0.3">
      <c r="A488" s="146" t="s">
        <v>897</v>
      </c>
      <c r="B488" s="146" t="s">
        <v>1608</v>
      </c>
      <c r="C488" s="146" t="s">
        <v>8</v>
      </c>
      <c r="D488" s="103" t="str">
        <f>IF(MouserListTable[[#This Row],[Vendor]]=FilterSpecs!$A$8,MouserListTable[[#This Row],[Mouser SKU]], MouserListTable[[#This Row],[SKU2]])</f>
        <v>PRT-10371</v>
      </c>
      <c r="E488" s="104">
        <v>0</v>
      </c>
      <c r="F488" s="104">
        <v>0</v>
      </c>
      <c r="G488" s="103" t="s">
        <v>508</v>
      </c>
      <c r="H488" s="103" t="s">
        <v>509</v>
      </c>
      <c r="I488" s="106" t="s">
        <v>510</v>
      </c>
      <c r="J488" s="103"/>
      <c r="K488" s="104">
        <v>1.5</v>
      </c>
      <c r="L488" s="106" t="s">
        <v>1910</v>
      </c>
      <c r="M488" s="103"/>
      <c r="N488" s="148">
        <f t="shared" si="34"/>
        <v>0</v>
      </c>
      <c r="O488" s="106" t="s">
        <v>507</v>
      </c>
      <c r="P488" s="103">
        <f t="shared" si="32"/>
        <v>475</v>
      </c>
      <c r="Q488" s="103">
        <f t="shared" si="33"/>
        <v>1</v>
      </c>
      <c r="R488" s="103" t="s">
        <v>8</v>
      </c>
      <c r="S488" s="103" t="str">
        <f>_xlfn.IFS(MouserListTable[[#This Row],[Column1]]=FilterSpecs!$A$6, FilterSpecs!$B$6,MouserListTable[[#This Row],[Column1]]=FilterSpecs!$A$7,FilterSpecs!$B$7,MouserListTable[[#This Row],[Column1]]=FilterSpecs!$A$8,FilterSpecs!$B$8,MouserListTable[[#This Row],[Column1]]=FilterSpecs!$A$9,FilterSpecs!$B$9)</f>
        <v>474-</v>
      </c>
      <c r="T48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474-PRT-10371</v>
      </c>
      <c r="V488" s="151">
        <f>IF(MouserListTable[[#This Row],[Qty.]]=0, 0, "")</f>
        <v>0</v>
      </c>
    </row>
    <row r="489" spans="1:22" s="144" customFormat="1" x14ac:dyDescent="0.3">
      <c r="A489" s="146" t="s">
        <v>897</v>
      </c>
      <c r="B489" s="146" t="s">
        <v>1608</v>
      </c>
      <c r="C489" s="146" t="s">
        <v>8</v>
      </c>
      <c r="D489" s="103" t="str">
        <f>IF(MouserListTable[[#This Row],[Vendor]]=FilterSpecs!$A$8,MouserListTable[[#This Row],[Mouser SKU]], MouserListTable[[#This Row],[SKU2]])</f>
        <v>PRT-12796</v>
      </c>
      <c r="E489" s="104">
        <v>0</v>
      </c>
      <c r="F489" s="104">
        <v>0</v>
      </c>
      <c r="G489" s="103" t="s">
        <v>548</v>
      </c>
      <c r="H489" s="103" t="s">
        <v>549</v>
      </c>
      <c r="I489" s="106" t="s">
        <v>550</v>
      </c>
      <c r="J489" s="103">
        <v>1</v>
      </c>
      <c r="K489" s="104">
        <v>1.95</v>
      </c>
      <c r="L489" s="106" t="s">
        <v>1910</v>
      </c>
      <c r="M489" s="103"/>
      <c r="N489" s="148">
        <f t="shared" si="34"/>
        <v>0</v>
      </c>
      <c r="O489" s="106" t="s">
        <v>547</v>
      </c>
      <c r="P489" s="103">
        <f t="shared" si="32"/>
        <v>476</v>
      </c>
      <c r="Q489" s="103">
        <f t="shared" si="33"/>
        <v>1</v>
      </c>
      <c r="R489" s="103" t="s">
        <v>8</v>
      </c>
      <c r="S489" s="103" t="str">
        <f>_xlfn.IFS(MouserListTable[[#This Row],[Column1]]=FilterSpecs!$A$6, FilterSpecs!$B$6,MouserListTable[[#This Row],[Column1]]=FilterSpecs!$A$7,FilterSpecs!$B$7,MouserListTable[[#This Row],[Column1]]=FilterSpecs!$A$8,FilterSpecs!$B$8,MouserListTable[[#This Row],[Column1]]=FilterSpecs!$A$9,FilterSpecs!$B$9)</f>
        <v>474-</v>
      </c>
      <c r="T48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474-PRT-12796</v>
      </c>
      <c r="V489" s="151">
        <f>IF(MouserListTable[[#This Row],[Qty.]]=0, 0, "")</f>
        <v>0</v>
      </c>
    </row>
    <row r="490" spans="1:22" s="144" customFormat="1" x14ac:dyDescent="0.3">
      <c r="A490" s="146" t="s">
        <v>897</v>
      </c>
      <c r="B490" s="146" t="s">
        <v>1608</v>
      </c>
      <c r="C490" s="146" t="s">
        <v>8</v>
      </c>
      <c r="D490" s="103" t="str">
        <f>IF(MouserListTable[[#This Row],[Vendor]]=FilterSpecs!$A$8,MouserListTable[[#This Row],[Mouser SKU]], MouserListTable[[#This Row],[SKU2]])</f>
        <v>PRT-11710</v>
      </c>
      <c r="E490" s="104">
        <v>0</v>
      </c>
      <c r="F490" s="104">
        <v>0</v>
      </c>
      <c r="G490" s="103" t="s">
        <v>552</v>
      </c>
      <c r="H490" s="103" t="s">
        <v>553</v>
      </c>
      <c r="I490" s="106" t="s">
        <v>554</v>
      </c>
      <c r="J490" s="103">
        <v>1</v>
      </c>
      <c r="K490" s="104">
        <v>4.95</v>
      </c>
      <c r="L490" s="106" t="s">
        <v>1910</v>
      </c>
      <c r="M490" s="103"/>
      <c r="N490" s="148">
        <f t="shared" si="34"/>
        <v>0</v>
      </c>
      <c r="O490" s="106" t="s">
        <v>551</v>
      </c>
      <c r="P490" s="103">
        <f t="shared" si="32"/>
        <v>477</v>
      </c>
      <c r="Q490" s="103">
        <f t="shared" si="33"/>
        <v>1</v>
      </c>
      <c r="R490" s="103" t="s">
        <v>8</v>
      </c>
      <c r="S490" s="103" t="str">
        <f>_xlfn.IFS(MouserListTable[[#This Row],[Column1]]=FilterSpecs!$A$6, FilterSpecs!$B$6,MouserListTable[[#This Row],[Column1]]=FilterSpecs!$A$7,FilterSpecs!$B$7,MouserListTable[[#This Row],[Column1]]=FilterSpecs!$A$8,FilterSpecs!$B$8,MouserListTable[[#This Row],[Column1]]=FilterSpecs!$A$9,FilterSpecs!$B$9)</f>
        <v>474-</v>
      </c>
      <c r="T49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474-PRT-11710</v>
      </c>
      <c r="V490" s="151">
        <f>IF(MouserListTable[[#This Row],[Qty.]]=0, 0, "")</f>
        <v>0</v>
      </c>
    </row>
    <row r="491" spans="1:22" s="144" customFormat="1" x14ac:dyDescent="0.3">
      <c r="A491" s="146" t="s">
        <v>897</v>
      </c>
      <c r="B491" s="146" t="s">
        <v>1608</v>
      </c>
      <c r="C491" s="146" t="s">
        <v>8</v>
      </c>
      <c r="D491" s="103" t="str">
        <f>IF(MouserListTable[[#This Row],[Vendor]]=FilterSpecs!$A$8,MouserListTable[[#This Row],[Mouser SKU]], MouserListTable[[#This Row],[SKU2]])</f>
        <v>PRT-09389</v>
      </c>
      <c r="E491" s="104">
        <v>0</v>
      </c>
      <c r="F491" s="104">
        <v>0</v>
      </c>
      <c r="G491" s="103" t="s">
        <v>600</v>
      </c>
      <c r="H491" s="103" t="s">
        <v>601</v>
      </c>
      <c r="I491" s="106" t="s">
        <v>602</v>
      </c>
      <c r="J491" s="103">
        <v>1</v>
      </c>
      <c r="K491" s="104">
        <v>4.5</v>
      </c>
      <c r="L491" s="106" t="s">
        <v>1910</v>
      </c>
      <c r="M491" s="103"/>
      <c r="N491" s="148">
        <f t="shared" si="34"/>
        <v>0</v>
      </c>
      <c r="O491" s="106" t="s">
        <v>599</v>
      </c>
      <c r="P491" s="103">
        <f t="shared" si="32"/>
        <v>478</v>
      </c>
      <c r="Q491" s="103">
        <f t="shared" si="33"/>
        <v>1</v>
      </c>
      <c r="R491" s="103" t="s">
        <v>8</v>
      </c>
      <c r="S491" s="103" t="str">
        <f>_xlfn.IFS(MouserListTable[[#This Row],[Column1]]=FilterSpecs!$A$6, FilterSpecs!$B$6,MouserListTable[[#This Row],[Column1]]=FilterSpecs!$A$7,FilterSpecs!$B$7,MouserListTable[[#This Row],[Column1]]=FilterSpecs!$A$8,FilterSpecs!$B$8,MouserListTable[[#This Row],[Column1]]=FilterSpecs!$A$9,FilterSpecs!$B$9)</f>
        <v>474-</v>
      </c>
      <c r="T49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474-PRT-09389</v>
      </c>
      <c r="V491" s="151">
        <f>IF(MouserListTable[[#This Row],[Qty.]]=0, 0, "")</f>
        <v>0</v>
      </c>
    </row>
    <row r="492" spans="1:22" s="144" customFormat="1" x14ac:dyDescent="0.3">
      <c r="A492" s="146" t="s">
        <v>897</v>
      </c>
      <c r="B492" s="146" t="s">
        <v>1608</v>
      </c>
      <c r="C492" s="146" t="s">
        <v>8</v>
      </c>
      <c r="D492" s="103" t="str">
        <f>IF(MouserListTable[[#This Row],[Vendor]]=FilterSpecs!$A$8,MouserListTable[[#This Row],[Mouser SKU]], MouserListTable[[#This Row],[SKU2]])</f>
        <v>PRT-09140</v>
      </c>
      <c r="E492" s="104">
        <v>0</v>
      </c>
      <c r="F492" s="104">
        <v>0</v>
      </c>
      <c r="G492" s="103" t="s">
        <v>560</v>
      </c>
      <c r="H492" s="103" t="s">
        <v>561</v>
      </c>
      <c r="I492" s="106" t="s">
        <v>562</v>
      </c>
      <c r="J492" s="103">
        <v>1</v>
      </c>
      <c r="K492" s="104">
        <v>3.95</v>
      </c>
      <c r="L492" s="106" t="s">
        <v>1910</v>
      </c>
      <c r="M492" s="103"/>
      <c r="N492" s="148">
        <f t="shared" si="34"/>
        <v>0</v>
      </c>
      <c r="O492" s="106" t="s">
        <v>559</v>
      </c>
      <c r="P492" s="103">
        <f t="shared" si="32"/>
        <v>479</v>
      </c>
      <c r="Q492" s="103">
        <f t="shared" si="33"/>
        <v>1</v>
      </c>
      <c r="R492" s="103" t="s">
        <v>8</v>
      </c>
      <c r="S492" s="103" t="str">
        <f>_xlfn.IFS(MouserListTable[[#This Row],[Column1]]=FilterSpecs!$A$6, FilterSpecs!$B$6,MouserListTable[[#This Row],[Column1]]=FilterSpecs!$A$7,FilterSpecs!$B$7,MouserListTable[[#This Row],[Column1]]=FilterSpecs!$A$8,FilterSpecs!$B$8,MouserListTable[[#This Row],[Column1]]=FilterSpecs!$A$9,FilterSpecs!$B$9)</f>
        <v>474-</v>
      </c>
      <c r="T49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474-PRT-09140</v>
      </c>
      <c r="V492" s="151">
        <f>IF(MouserListTable[[#This Row],[Qty.]]=0, 0, "")</f>
        <v>0</v>
      </c>
    </row>
    <row r="493" spans="1:22" s="144" customFormat="1" x14ac:dyDescent="0.3">
      <c r="A493" s="146" t="s">
        <v>897</v>
      </c>
      <c r="B493" s="146" t="s">
        <v>1608</v>
      </c>
      <c r="C493" s="146" t="s">
        <v>8</v>
      </c>
      <c r="D493" s="103" t="str">
        <f>IF(MouserListTable[[#This Row],[Vendor]]=FilterSpecs!$A$8,MouserListTable[[#This Row],[Mouser SKU]], MouserListTable[[#This Row],[SKU2]])</f>
        <v>PRT-09385</v>
      </c>
      <c r="E493" s="104">
        <v>0</v>
      </c>
      <c r="F493" s="104">
        <v>0</v>
      </c>
      <c r="G493" s="103" t="s">
        <v>568</v>
      </c>
      <c r="H493" s="103" t="s">
        <v>569</v>
      </c>
      <c r="I493" s="106" t="s">
        <v>570</v>
      </c>
      <c r="J493" s="103">
        <v>1</v>
      </c>
      <c r="K493" s="104">
        <v>4.5</v>
      </c>
      <c r="L493" s="106" t="s">
        <v>1910</v>
      </c>
      <c r="M493" s="103"/>
      <c r="N493" s="148">
        <f t="shared" si="34"/>
        <v>0</v>
      </c>
      <c r="O493" s="106" t="s">
        <v>567</v>
      </c>
      <c r="P493" s="103">
        <f t="shared" si="32"/>
        <v>480</v>
      </c>
      <c r="Q493" s="103">
        <f t="shared" si="33"/>
        <v>1</v>
      </c>
      <c r="R493" s="103" t="s">
        <v>8</v>
      </c>
      <c r="S493" s="103" t="str">
        <f>_xlfn.IFS(MouserListTable[[#This Row],[Column1]]=FilterSpecs!$A$6, FilterSpecs!$B$6,MouserListTable[[#This Row],[Column1]]=FilterSpecs!$A$7,FilterSpecs!$B$7,MouserListTable[[#This Row],[Column1]]=FilterSpecs!$A$8,FilterSpecs!$B$8,MouserListTable[[#This Row],[Column1]]=FilterSpecs!$A$9,FilterSpecs!$B$9)</f>
        <v>474-</v>
      </c>
      <c r="T49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474-PRT-09385</v>
      </c>
      <c r="V493" s="151">
        <f>IF(MouserListTable[[#This Row],[Qty.]]=0, 0, "")</f>
        <v>0</v>
      </c>
    </row>
    <row r="494" spans="1:22" s="144" customFormat="1" x14ac:dyDescent="0.3">
      <c r="A494" s="146" t="s">
        <v>897</v>
      </c>
      <c r="B494" s="146" t="s">
        <v>1608</v>
      </c>
      <c r="C494" s="146" t="s">
        <v>8</v>
      </c>
      <c r="D494" s="103" t="str">
        <f>IF(MouserListTable[[#This Row],[Vendor]]=FilterSpecs!$A$8,MouserListTable[[#This Row],[Mouser SKU]], MouserListTable[[#This Row],[SKU2]])</f>
        <v>PRT-14284</v>
      </c>
      <c r="E494" s="104">
        <v>0</v>
      </c>
      <c r="F494" s="104">
        <v>0</v>
      </c>
      <c r="G494" s="103" t="s">
        <v>544</v>
      </c>
      <c r="H494" s="103" t="s">
        <v>545</v>
      </c>
      <c r="I494" s="106" t="s">
        <v>546</v>
      </c>
      <c r="J494" s="103">
        <v>1</v>
      </c>
      <c r="K494" s="104">
        <v>1.95</v>
      </c>
      <c r="L494" s="106" t="s">
        <v>1910</v>
      </c>
      <c r="M494" s="103"/>
      <c r="N494" s="148">
        <f t="shared" si="34"/>
        <v>0</v>
      </c>
      <c r="O494" s="106" t="s">
        <v>543</v>
      </c>
      <c r="P494" s="103">
        <f t="shared" si="32"/>
        <v>481</v>
      </c>
      <c r="Q494" s="103">
        <f t="shared" si="33"/>
        <v>1</v>
      </c>
      <c r="R494" s="103" t="s">
        <v>8</v>
      </c>
      <c r="S494" s="103" t="str">
        <f>_xlfn.IFS(MouserListTable[[#This Row],[Column1]]=FilterSpecs!$A$6, FilterSpecs!$B$6,MouserListTable[[#This Row],[Column1]]=FilterSpecs!$A$7,FilterSpecs!$B$7,MouserListTable[[#This Row],[Column1]]=FilterSpecs!$A$8,FilterSpecs!$B$8,MouserListTable[[#This Row],[Column1]]=FilterSpecs!$A$9,FilterSpecs!$B$9)</f>
        <v>474-</v>
      </c>
      <c r="T49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474-PRT-14284</v>
      </c>
      <c r="V494" s="151">
        <f>IF(MouserListTable[[#This Row],[Qty.]]=0, 0, "")</f>
        <v>0</v>
      </c>
    </row>
    <row r="495" spans="1:22" s="144" customFormat="1" x14ac:dyDescent="0.3">
      <c r="A495" s="146" t="s">
        <v>897</v>
      </c>
      <c r="B495" s="146" t="s">
        <v>1608</v>
      </c>
      <c r="C495" s="146" t="s">
        <v>8</v>
      </c>
      <c r="D495" s="103" t="str">
        <f>IF(MouserListTable[[#This Row],[Vendor]]=FilterSpecs!$A$8,MouserListTable[[#This Row],[Mouser SKU]], MouserListTable[[#This Row],[SKU2]])</f>
        <v>PRT-11709</v>
      </c>
      <c r="E495" s="104">
        <v>0</v>
      </c>
      <c r="F495" s="104">
        <v>0</v>
      </c>
      <c r="G495" s="103" t="s">
        <v>552</v>
      </c>
      <c r="H495" s="103" t="s">
        <v>553</v>
      </c>
      <c r="I495" s="106" t="s">
        <v>1351</v>
      </c>
      <c r="J495" s="103">
        <v>1</v>
      </c>
      <c r="K495" s="104">
        <v>4.95</v>
      </c>
      <c r="L495" s="106" t="s">
        <v>1910</v>
      </c>
      <c r="M495" s="103"/>
      <c r="N495" s="148">
        <f t="shared" si="34"/>
        <v>0</v>
      </c>
      <c r="O495" s="106" t="s">
        <v>1352</v>
      </c>
      <c r="P495" s="103">
        <f t="shared" si="32"/>
        <v>482</v>
      </c>
      <c r="Q495" s="103">
        <f t="shared" si="33"/>
        <v>1</v>
      </c>
      <c r="R495" s="103" t="s">
        <v>8</v>
      </c>
      <c r="S495" s="103" t="str">
        <f>_xlfn.IFS(MouserListTable[[#This Row],[Column1]]=FilterSpecs!$A$6, FilterSpecs!$B$6,MouserListTable[[#This Row],[Column1]]=FilterSpecs!$A$7,FilterSpecs!$B$7,MouserListTable[[#This Row],[Column1]]=FilterSpecs!$A$8,FilterSpecs!$B$8,MouserListTable[[#This Row],[Column1]]=FilterSpecs!$A$9,FilterSpecs!$B$9)</f>
        <v>474-</v>
      </c>
      <c r="T49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474-PRT-11709</v>
      </c>
      <c r="V495" s="151">
        <f>IF(MouserListTable[[#This Row],[Qty.]]=0, 0, "")</f>
        <v>0</v>
      </c>
    </row>
    <row r="496" spans="1:22" s="144" customFormat="1" x14ac:dyDescent="0.3">
      <c r="A496" s="146" t="s">
        <v>897</v>
      </c>
      <c r="B496" s="146" t="s">
        <v>1608</v>
      </c>
      <c r="C496" s="146" t="s">
        <v>8</v>
      </c>
      <c r="D496" s="103" t="str">
        <f>IF(MouserListTable[[#This Row],[Vendor]]=FilterSpecs!$A$8,MouserListTable[[#This Row],[Mouser SKU]], MouserListTable[[#This Row],[SKU2]])</f>
        <v>PRT-08431</v>
      </c>
      <c r="E496" s="104">
        <v>0</v>
      </c>
      <c r="F496" s="104">
        <v>0</v>
      </c>
      <c r="G496" s="103" t="s">
        <v>564</v>
      </c>
      <c r="H496" s="103" t="s">
        <v>565</v>
      </c>
      <c r="I496" s="106" t="s">
        <v>566</v>
      </c>
      <c r="J496" s="103">
        <v>1</v>
      </c>
      <c r="K496" s="104">
        <v>3.95</v>
      </c>
      <c r="L496" s="106" t="s">
        <v>1910</v>
      </c>
      <c r="M496" s="103"/>
      <c r="N496" s="148">
        <f t="shared" si="34"/>
        <v>0</v>
      </c>
      <c r="O496" s="106" t="s">
        <v>563</v>
      </c>
      <c r="P496" s="103">
        <f t="shared" si="32"/>
        <v>483</v>
      </c>
      <c r="Q496" s="103">
        <f t="shared" si="33"/>
        <v>1</v>
      </c>
      <c r="R496" s="103" t="s">
        <v>8</v>
      </c>
      <c r="S496" s="103" t="str">
        <f>_xlfn.IFS(MouserListTable[[#This Row],[Column1]]=FilterSpecs!$A$6, FilterSpecs!$B$6,MouserListTable[[#This Row],[Column1]]=FilterSpecs!$A$7,FilterSpecs!$B$7,MouserListTable[[#This Row],[Column1]]=FilterSpecs!$A$8,FilterSpecs!$B$8,MouserListTable[[#This Row],[Column1]]=FilterSpecs!$A$9,FilterSpecs!$B$9)</f>
        <v>474-</v>
      </c>
      <c r="T49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474-PRT-08431</v>
      </c>
      <c r="V496" s="151">
        <f>IF(MouserListTable[[#This Row],[Qty.]]=0, 0, "")</f>
        <v>0</v>
      </c>
    </row>
    <row r="497" spans="1:22" s="144" customFormat="1" x14ac:dyDescent="0.3">
      <c r="A497" s="146" t="s">
        <v>897</v>
      </c>
      <c r="B497" s="146" t="s">
        <v>1608</v>
      </c>
      <c r="C497" s="146" t="s">
        <v>8</v>
      </c>
      <c r="D497" s="103" t="str">
        <f>IF(MouserListTable[[#This Row],[Vendor]]=FilterSpecs!$A$8,MouserListTable[[#This Row],[Mouser SKU]], MouserListTable[[#This Row],[SKU2]])</f>
        <v>PRT-11026</v>
      </c>
      <c r="E497" s="104">
        <v>0</v>
      </c>
      <c r="F497" s="104">
        <v>0</v>
      </c>
      <c r="G497" s="103" t="s">
        <v>556</v>
      </c>
      <c r="H497" s="103" t="s">
        <v>557</v>
      </c>
      <c r="I497" s="106" t="s">
        <v>558</v>
      </c>
      <c r="J497" s="103">
        <v>1</v>
      </c>
      <c r="K497" s="104">
        <v>1.95</v>
      </c>
      <c r="L497" s="106" t="s">
        <v>1910</v>
      </c>
      <c r="M497" s="103"/>
      <c r="N497" s="148">
        <f t="shared" si="34"/>
        <v>0</v>
      </c>
      <c r="O497" s="106" t="s">
        <v>555</v>
      </c>
      <c r="P497" s="103">
        <f t="shared" si="32"/>
        <v>484</v>
      </c>
      <c r="Q497" s="103">
        <f t="shared" si="33"/>
        <v>1</v>
      </c>
      <c r="R497" s="103" t="s">
        <v>8</v>
      </c>
      <c r="S497" s="103" t="str">
        <f>_xlfn.IFS(MouserListTable[[#This Row],[Column1]]=FilterSpecs!$A$6, FilterSpecs!$B$6,MouserListTable[[#This Row],[Column1]]=FilterSpecs!$A$7,FilterSpecs!$B$7,MouserListTable[[#This Row],[Column1]]=FilterSpecs!$A$8,FilterSpecs!$B$8,MouserListTable[[#This Row],[Column1]]=FilterSpecs!$A$9,FilterSpecs!$B$9)</f>
        <v>474-</v>
      </c>
      <c r="T49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474-PRT-11026</v>
      </c>
      <c r="V497" s="151">
        <f>IF(MouserListTable[[#This Row],[Qty.]]=0, 0, "")</f>
        <v>0</v>
      </c>
    </row>
    <row r="498" spans="1:22" s="146" customFormat="1" x14ac:dyDescent="0.3">
      <c r="A498" s="103" t="s">
        <v>897</v>
      </c>
      <c r="B498" s="103" t="s">
        <v>1012</v>
      </c>
      <c r="C498" s="103" t="s">
        <v>8</v>
      </c>
      <c r="D498" s="103" t="str">
        <f>IF(MouserListTable[[#This Row],[Vendor]]=FilterSpecs!$A$8,MouserListTable[[#This Row],[Mouser SKU]], MouserListTable[[#This Row],[SKU2]])</f>
        <v>COM-10969</v>
      </c>
      <c r="E498" s="104">
        <v>1</v>
      </c>
      <c r="F498" s="104" t="s">
        <v>18921</v>
      </c>
      <c r="G498" s="103" t="s">
        <v>372</v>
      </c>
      <c r="H498" s="103" t="s">
        <v>373</v>
      </c>
      <c r="I498" s="103" t="s">
        <v>374</v>
      </c>
      <c r="J498" s="103">
        <v>1</v>
      </c>
      <c r="K498" s="104">
        <v>7.95</v>
      </c>
      <c r="L498" s="103" t="s">
        <v>1910</v>
      </c>
      <c r="M498" s="103"/>
      <c r="N498" s="104">
        <f t="shared" si="34"/>
        <v>7.95</v>
      </c>
      <c r="O498" s="103" t="s">
        <v>371</v>
      </c>
      <c r="P498" s="103">
        <f t="shared" si="32"/>
        <v>485</v>
      </c>
      <c r="Q498" s="103">
        <f t="shared" si="33"/>
        <v>1</v>
      </c>
      <c r="R498" s="103" t="s">
        <v>8</v>
      </c>
      <c r="S498" s="103" t="str">
        <f>_xlfn.IFS(MouserListTable[[#This Row],[Column1]]=FilterSpecs!$A$6, FilterSpecs!$B$6,MouserListTable[[#This Row],[Column1]]=FilterSpecs!$A$7,FilterSpecs!$B$7,MouserListTable[[#This Row],[Column1]]=FilterSpecs!$A$8,FilterSpecs!$B$8,MouserListTable[[#This Row],[Column1]]=FilterSpecs!$A$9,FilterSpecs!$B$9)</f>
        <v>474-</v>
      </c>
      <c r="T49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474-COM-10969</v>
      </c>
      <c r="V498" s="151" t="str">
        <f>IF(MouserListTable[[#This Row],[Qty.]]=0, 0, "")</f>
        <v/>
      </c>
    </row>
    <row r="499" spans="1:22" s="146" customFormat="1" x14ac:dyDescent="0.3">
      <c r="A499" s="103" t="s">
        <v>897</v>
      </c>
      <c r="B499" s="103" t="s">
        <v>1012</v>
      </c>
      <c r="C499" s="103" t="s">
        <v>8</v>
      </c>
      <c r="D499" s="103" t="str">
        <f>IF(MouserListTable[[#This Row],[Vendor]]=FilterSpecs!$A$8,MouserListTable[[#This Row],[Mouser SKU]], MouserListTable[[#This Row],[SKU2]])</f>
        <v>COM-10856</v>
      </c>
      <c r="E499" s="104">
        <f>FilterSpecs!$C$3</f>
        <v>5</v>
      </c>
      <c r="F499" s="104" t="s">
        <v>18921</v>
      </c>
      <c r="G499" s="103" t="s">
        <v>438</v>
      </c>
      <c r="H499" s="103" t="s">
        <v>439</v>
      </c>
      <c r="I499" s="103" t="s">
        <v>440</v>
      </c>
      <c r="J499" s="103">
        <v>1</v>
      </c>
      <c r="K499" s="104">
        <v>0.5</v>
      </c>
      <c r="L499" s="103" t="s">
        <v>1911</v>
      </c>
      <c r="M499" s="103"/>
      <c r="N499" s="104">
        <f t="shared" si="34"/>
        <v>2.5</v>
      </c>
      <c r="O499" s="103" t="s">
        <v>437</v>
      </c>
      <c r="P499" s="103">
        <f t="shared" si="32"/>
        <v>486</v>
      </c>
      <c r="Q499" s="103">
        <f t="shared" si="33"/>
        <v>1</v>
      </c>
      <c r="R499" s="103" t="s">
        <v>8</v>
      </c>
      <c r="S499" s="103" t="str">
        <f>_xlfn.IFS(MouserListTable[[#This Row],[Column1]]=FilterSpecs!$A$6, FilterSpecs!$B$6,MouserListTable[[#This Row],[Column1]]=FilterSpecs!$A$7,FilterSpecs!$B$7,MouserListTable[[#This Row],[Column1]]=FilterSpecs!$A$8,FilterSpecs!$B$8,MouserListTable[[#This Row],[Column1]]=FilterSpecs!$A$9,FilterSpecs!$B$9)</f>
        <v>474-</v>
      </c>
      <c r="T49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474-COM-10856</v>
      </c>
      <c r="V499" s="151" t="str">
        <f>IF(MouserListTable[[#This Row],[Qty.]]=0, 0, "")</f>
        <v/>
      </c>
    </row>
    <row r="500" spans="1:22" s="146" customFormat="1" x14ac:dyDescent="0.3">
      <c r="A500" s="103" t="s">
        <v>897</v>
      </c>
      <c r="B500" s="103" t="s">
        <v>1012</v>
      </c>
      <c r="C500" s="103" t="s">
        <v>8</v>
      </c>
      <c r="D500" s="103" t="str">
        <f>IF(MouserListTable[[#This Row],[Vendor]]=FilterSpecs!$A$8,MouserListTable[[#This Row],[Mouser SKU]], MouserListTable[[#This Row],[SKU2]])</f>
        <v>COM-10855</v>
      </c>
      <c r="E500" s="104">
        <f>FilterSpecs!$C$3</f>
        <v>5</v>
      </c>
      <c r="F500" s="104" t="s">
        <v>18921</v>
      </c>
      <c r="G500" s="103" t="s">
        <v>442</v>
      </c>
      <c r="H500" s="103" t="s">
        <v>443</v>
      </c>
      <c r="I500" s="103" t="s">
        <v>444</v>
      </c>
      <c r="J500" s="103">
        <v>1</v>
      </c>
      <c r="K500" s="104">
        <v>0.5</v>
      </c>
      <c r="L500" s="103" t="s">
        <v>1911</v>
      </c>
      <c r="M500" s="103"/>
      <c r="N500" s="104">
        <f t="shared" si="34"/>
        <v>2.5</v>
      </c>
      <c r="O500" s="103" t="s">
        <v>441</v>
      </c>
      <c r="P500" s="103">
        <f t="shared" si="32"/>
        <v>487</v>
      </c>
      <c r="Q500" s="103">
        <f t="shared" si="33"/>
        <v>1</v>
      </c>
      <c r="R500" s="103" t="s">
        <v>8</v>
      </c>
      <c r="S500" s="103" t="str">
        <f>_xlfn.IFS(MouserListTable[[#This Row],[Column1]]=FilterSpecs!$A$6, FilterSpecs!$B$6,MouserListTable[[#This Row],[Column1]]=FilterSpecs!$A$7,FilterSpecs!$B$7,MouserListTable[[#This Row],[Column1]]=FilterSpecs!$A$8,FilterSpecs!$B$8,MouserListTable[[#This Row],[Column1]]=FilterSpecs!$A$9,FilterSpecs!$B$9)</f>
        <v>474-</v>
      </c>
      <c r="T50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474-COM-10855</v>
      </c>
      <c r="V500" s="151" t="str">
        <f>IF(MouserListTable[[#This Row],[Qty.]]=0, 0, "")</f>
        <v/>
      </c>
    </row>
    <row r="501" spans="1:22" s="146" customFormat="1" x14ac:dyDescent="0.3">
      <c r="A501" s="103" t="s">
        <v>897</v>
      </c>
      <c r="B501" s="103" t="s">
        <v>1012</v>
      </c>
      <c r="C501" s="103" t="s">
        <v>8</v>
      </c>
      <c r="D501" s="103" t="str">
        <f>IF(MouserListTable[[#This Row],[Vendor]]=FilterSpecs!$A$8,MouserListTable[[#This Row],[Mouser SKU]], MouserListTable[[#This Row],[SKU2]])</f>
        <v>COM-09120</v>
      </c>
      <c r="E501" s="104">
        <v>1</v>
      </c>
      <c r="F501" s="104" t="s">
        <v>18921</v>
      </c>
      <c r="G501" s="103" t="s">
        <v>1698</v>
      </c>
      <c r="H501" s="103" t="s">
        <v>1699</v>
      </c>
      <c r="I501" s="103" t="s">
        <v>1700</v>
      </c>
      <c r="J501" s="103">
        <v>1</v>
      </c>
      <c r="K501" s="104">
        <v>0.95</v>
      </c>
      <c r="L501" s="106" t="s">
        <v>1910</v>
      </c>
      <c r="M501" s="103"/>
      <c r="N501" s="104">
        <f t="shared" si="34"/>
        <v>0.95</v>
      </c>
      <c r="O501" s="103" t="s">
        <v>1697</v>
      </c>
      <c r="P501" s="103">
        <f t="shared" si="32"/>
        <v>488</v>
      </c>
      <c r="Q501" s="103">
        <f t="shared" si="33"/>
        <v>1</v>
      </c>
      <c r="R501" s="103" t="s">
        <v>8</v>
      </c>
      <c r="S501" s="103" t="str">
        <f>_xlfn.IFS(MouserListTable[[#This Row],[Column1]]=FilterSpecs!$A$6, FilterSpecs!$B$6,MouserListTable[[#This Row],[Column1]]=FilterSpecs!$A$7,FilterSpecs!$B$7,MouserListTable[[#This Row],[Column1]]=FilterSpecs!$A$8,FilterSpecs!$B$8,MouserListTable[[#This Row],[Column1]]=FilterSpecs!$A$9,FilterSpecs!$B$9)</f>
        <v>474-</v>
      </c>
      <c r="T50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474-COM-09120</v>
      </c>
      <c r="V501" s="151" t="str">
        <f>IF(MouserListTable[[#This Row],[Qty.]]=0, 0, "")</f>
        <v/>
      </c>
    </row>
    <row r="502" spans="1:22" s="146" customFormat="1" x14ac:dyDescent="0.3">
      <c r="A502" s="103" t="s">
        <v>897</v>
      </c>
      <c r="B502" s="103" t="s">
        <v>1012</v>
      </c>
      <c r="C502" s="103" t="s">
        <v>8</v>
      </c>
      <c r="D502" s="103" t="str">
        <f>IF(MouserListTable[[#This Row],[Vendor]]=FilterSpecs!$A$8,MouserListTable[[#This Row],[Mouser SKU]], MouserListTable[[#This Row],[SKU2]])</f>
        <v>COM-11620</v>
      </c>
      <c r="E502" s="104">
        <v>1</v>
      </c>
      <c r="F502" s="104" t="s">
        <v>18921</v>
      </c>
      <c r="G502" s="103" t="s">
        <v>1702</v>
      </c>
      <c r="H502" s="103" t="s">
        <v>1703</v>
      </c>
      <c r="I502" s="103" t="s">
        <v>1704</v>
      </c>
      <c r="J502" s="103">
        <v>1</v>
      </c>
      <c r="K502" s="104">
        <v>1.95</v>
      </c>
      <c r="L502" s="103" t="s">
        <v>1910</v>
      </c>
      <c r="M502" s="103"/>
      <c r="N502" s="104">
        <f t="shared" si="34"/>
        <v>1.95</v>
      </c>
      <c r="O502" s="103" t="s">
        <v>1701</v>
      </c>
      <c r="P502" s="103">
        <f t="shared" si="32"/>
        <v>489</v>
      </c>
      <c r="Q502" s="103">
        <f t="shared" si="33"/>
        <v>1</v>
      </c>
      <c r="R502" s="103" t="s">
        <v>8</v>
      </c>
      <c r="S502" s="103" t="str">
        <f>_xlfn.IFS(MouserListTable[[#This Row],[Column1]]=FilterSpecs!$A$6, FilterSpecs!$B$6,MouserListTable[[#This Row],[Column1]]=FilterSpecs!$A$7,FilterSpecs!$B$7,MouserListTable[[#This Row],[Column1]]=FilterSpecs!$A$8,FilterSpecs!$B$8,MouserListTable[[#This Row],[Column1]]=FilterSpecs!$A$9,FilterSpecs!$B$9)</f>
        <v>474-</v>
      </c>
      <c r="T50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474-COM-11620</v>
      </c>
      <c r="V502" s="151" t="str">
        <f>IF(MouserListTable[[#This Row],[Qty.]]=0, 0, "")</f>
        <v/>
      </c>
    </row>
    <row r="503" spans="1:22" s="146" customFormat="1" x14ac:dyDescent="0.3">
      <c r="A503" s="103" t="s">
        <v>897</v>
      </c>
      <c r="B503" s="103" t="s">
        <v>1012</v>
      </c>
      <c r="C503" s="103" t="s">
        <v>8</v>
      </c>
      <c r="D503" s="103" t="str">
        <f>IF(MouserListTable[[#This Row],[Vendor]]=FilterSpecs!$A$8,MouserListTable[[#This Row],[Mouser SKU]], MouserListTable[[#This Row],[SKU2]])</f>
        <v>COM-11621</v>
      </c>
      <c r="E503" s="104">
        <v>1</v>
      </c>
      <c r="F503" s="104" t="s">
        <v>18921</v>
      </c>
      <c r="G503" s="103" t="s">
        <v>1682</v>
      </c>
      <c r="H503" s="103" t="s">
        <v>1683</v>
      </c>
      <c r="I503" s="103" t="s">
        <v>1684</v>
      </c>
      <c r="J503" s="103">
        <v>1</v>
      </c>
      <c r="K503" s="104">
        <v>2.5</v>
      </c>
      <c r="L503" s="103" t="s">
        <v>1910</v>
      </c>
      <c r="M503" s="103"/>
      <c r="N503" s="104">
        <f t="shared" si="34"/>
        <v>2.5</v>
      </c>
      <c r="O503" s="103" t="s">
        <v>1681</v>
      </c>
      <c r="P503" s="103">
        <f t="shared" si="32"/>
        <v>490</v>
      </c>
      <c r="Q503" s="103">
        <f t="shared" si="33"/>
        <v>1</v>
      </c>
      <c r="R503" s="103" t="s">
        <v>8</v>
      </c>
      <c r="S503" s="103" t="str">
        <f>_xlfn.IFS(MouserListTable[[#This Row],[Column1]]=FilterSpecs!$A$6, FilterSpecs!$B$6,MouserListTable[[#This Row],[Column1]]=FilterSpecs!$A$7,FilterSpecs!$B$7,MouserListTable[[#This Row],[Column1]]=FilterSpecs!$A$8,FilterSpecs!$B$8,MouserListTable[[#This Row],[Column1]]=FilterSpecs!$A$9,FilterSpecs!$B$9)</f>
        <v>474-</v>
      </c>
      <c r="T50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474-COM-11621</v>
      </c>
      <c r="V503" s="151" t="str">
        <f>IF(MouserListTable[[#This Row],[Qty.]]=0, 0, "")</f>
        <v/>
      </c>
    </row>
    <row r="504" spans="1:22" s="146" customFormat="1" x14ac:dyDescent="0.3">
      <c r="A504" s="103" t="s">
        <v>897</v>
      </c>
      <c r="B504" s="103" t="s">
        <v>1012</v>
      </c>
      <c r="C504" s="103" t="s">
        <v>8</v>
      </c>
      <c r="D504" s="103" t="str">
        <f>IF(MouserListTable[[#This Row],[Vendor]]=FilterSpecs!$A$8,MouserListTable[[#This Row],[Mouser SKU]], MouserListTable[[#This Row],[SKU2]])</f>
        <v>COM-09119</v>
      </c>
      <c r="E504" s="104">
        <v>1</v>
      </c>
      <c r="F504" s="104" t="s">
        <v>18921</v>
      </c>
      <c r="G504" s="103" t="s">
        <v>1836</v>
      </c>
      <c r="H504" s="103" t="s">
        <v>1837</v>
      </c>
      <c r="I504" s="103" t="s">
        <v>1838</v>
      </c>
      <c r="J504" s="103">
        <v>1</v>
      </c>
      <c r="K504" s="104">
        <v>2.95</v>
      </c>
      <c r="L504" s="103" t="s">
        <v>1910</v>
      </c>
      <c r="M504" s="103"/>
      <c r="N504" s="104">
        <f t="shared" si="34"/>
        <v>2.95</v>
      </c>
      <c r="O504" s="103" t="s">
        <v>1835</v>
      </c>
      <c r="P504" s="103">
        <f t="shared" si="32"/>
        <v>491</v>
      </c>
      <c r="Q504" s="103">
        <f t="shared" si="33"/>
        <v>1</v>
      </c>
      <c r="R504" s="103" t="s">
        <v>8</v>
      </c>
      <c r="S504" s="103" t="str">
        <f>_xlfn.IFS(MouserListTable[[#This Row],[Column1]]=FilterSpecs!$A$6, FilterSpecs!$B$6,MouserListTable[[#This Row],[Column1]]=FilterSpecs!$A$7,FilterSpecs!$B$7,MouserListTable[[#This Row],[Column1]]=FilterSpecs!$A$8,FilterSpecs!$B$8,MouserListTable[[#This Row],[Column1]]=FilterSpecs!$A$9,FilterSpecs!$B$9)</f>
        <v>474-</v>
      </c>
      <c r="T50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474-COM-09119</v>
      </c>
      <c r="V504" s="151" t="str">
        <f>IF(MouserListTable[[#This Row],[Qty.]]=0, 0, "")</f>
        <v/>
      </c>
    </row>
    <row r="505" spans="1:22" s="146" customFormat="1" x14ac:dyDescent="0.3">
      <c r="A505" s="103" t="s">
        <v>897</v>
      </c>
      <c r="B505" s="103" t="s">
        <v>1012</v>
      </c>
      <c r="C505" s="103" t="s">
        <v>8</v>
      </c>
      <c r="D505" s="103" t="str">
        <f>IF(MouserListTable[[#This Row],[Vendor]]=FilterSpecs!$A$8,MouserListTable[[#This Row],[Mouser SKU]], MouserListTable[[#This Row],[SKU2]])</f>
        <v>COM-09806</v>
      </c>
      <c r="E505" s="104">
        <v>4</v>
      </c>
      <c r="F505" s="104" t="s">
        <v>18921</v>
      </c>
      <c r="G505" s="103" t="s">
        <v>612</v>
      </c>
      <c r="H505" s="103" t="s">
        <v>613</v>
      </c>
      <c r="I505" s="103" t="s">
        <v>614</v>
      </c>
      <c r="J505" s="103">
        <v>1</v>
      </c>
      <c r="K505" s="104">
        <v>0.95</v>
      </c>
      <c r="L505" s="103" t="s">
        <v>1910</v>
      </c>
      <c r="M505" s="103"/>
      <c r="N505" s="104">
        <f t="shared" si="34"/>
        <v>3.8</v>
      </c>
      <c r="O505" s="103" t="s">
        <v>611</v>
      </c>
      <c r="P505" s="103">
        <f t="shared" si="32"/>
        <v>492</v>
      </c>
      <c r="Q505" s="103">
        <f t="shared" si="33"/>
        <v>1</v>
      </c>
      <c r="R505" s="103" t="s">
        <v>8</v>
      </c>
      <c r="S505" s="103" t="str">
        <f>_xlfn.IFS(MouserListTable[[#This Row],[Column1]]=FilterSpecs!$A$6, FilterSpecs!$B$6,MouserListTable[[#This Row],[Column1]]=FilterSpecs!$A$7,FilterSpecs!$B$7,MouserListTable[[#This Row],[Column1]]=FilterSpecs!$A$8,FilterSpecs!$B$8,MouserListTable[[#This Row],[Column1]]=FilterSpecs!$A$9,FilterSpecs!$B$9)</f>
        <v>474-</v>
      </c>
      <c r="T50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474-COM-09806</v>
      </c>
      <c r="V505" s="151" t="str">
        <f>IF(MouserListTable[[#This Row],[Qty.]]=0, 0, "")</f>
        <v/>
      </c>
    </row>
    <row r="506" spans="1:22" s="146" customFormat="1" x14ac:dyDescent="0.3">
      <c r="A506" s="103" t="s">
        <v>897</v>
      </c>
      <c r="B506" s="103" t="s">
        <v>1012</v>
      </c>
      <c r="C506" s="103" t="s">
        <v>8</v>
      </c>
      <c r="D506" s="103" t="str">
        <f>IF(MouserListTable[[#This Row],[Vendor]]=FilterSpecs!$A$8,MouserListTable[[#This Row],[Mouser SKU]], MouserListTable[[#This Row],[SKU2]])</f>
        <v>KIT-13698</v>
      </c>
      <c r="E506" s="104">
        <v>1</v>
      </c>
      <c r="F506" s="104" t="s">
        <v>18921</v>
      </c>
      <c r="G506" s="103" t="s">
        <v>376</v>
      </c>
      <c r="H506" s="103" t="s">
        <v>377</v>
      </c>
      <c r="I506" s="103" t="s">
        <v>378</v>
      </c>
      <c r="J506" s="103"/>
      <c r="K506" s="104">
        <v>6.95</v>
      </c>
      <c r="L506" s="103" t="s">
        <v>1910</v>
      </c>
      <c r="M506" s="103"/>
      <c r="N506" s="104">
        <f t="shared" si="34"/>
        <v>6.95</v>
      </c>
      <c r="O506" s="103" t="s">
        <v>375</v>
      </c>
      <c r="P506" s="103">
        <f t="shared" si="32"/>
        <v>493</v>
      </c>
      <c r="Q506" s="103">
        <f t="shared" si="33"/>
        <v>1</v>
      </c>
      <c r="R506" s="103" t="s">
        <v>8</v>
      </c>
      <c r="S506" s="103" t="str">
        <f>_xlfn.IFS(MouserListTable[[#This Row],[Column1]]=FilterSpecs!$A$6, FilterSpecs!$B$6,MouserListTable[[#This Row],[Column1]]=FilterSpecs!$A$7,FilterSpecs!$B$7,MouserListTable[[#This Row],[Column1]]=FilterSpecs!$A$8,FilterSpecs!$B$8,MouserListTable[[#This Row],[Column1]]=FilterSpecs!$A$9,FilterSpecs!$B$9)</f>
        <v>474-</v>
      </c>
      <c r="T50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474-KIT-13698</v>
      </c>
      <c r="V506" s="151" t="str">
        <f>IF(MouserListTable[[#This Row],[Qty.]]=0, 0, "")</f>
        <v/>
      </c>
    </row>
    <row r="507" spans="1:22" s="146" customFormat="1" x14ac:dyDescent="0.3">
      <c r="A507" s="103" t="s">
        <v>897</v>
      </c>
      <c r="B507" s="103" t="s">
        <v>1012</v>
      </c>
      <c r="C507" s="103" t="s">
        <v>8</v>
      </c>
      <c r="D507" s="103" t="str">
        <f>IF(MouserListTable[[#This Row],[Vendor]]=FilterSpecs!$A$8,MouserListTable[[#This Row],[Mouser SKU]], MouserListTable[[#This Row],[SKU2]])</f>
        <v>COM-00096</v>
      </c>
      <c r="E507" s="104">
        <v>3</v>
      </c>
      <c r="F507" s="104" t="s">
        <v>18921</v>
      </c>
      <c r="G507" s="103" t="s">
        <v>728</v>
      </c>
      <c r="H507" s="103" t="s">
        <v>729</v>
      </c>
      <c r="I507" s="103" t="s">
        <v>730</v>
      </c>
      <c r="J507" s="103">
        <v>1</v>
      </c>
      <c r="K507" s="104">
        <v>0.35</v>
      </c>
      <c r="L507" s="103" t="s">
        <v>1910</v>
      </c>
      <c r="M507" s="103"/>
      <c r="N507" s="104">
        <f t="shared" si="34"/>
        <v>1.0499999999999998</v>
      </c>
      <c r="O507" s="103" t="s">
        <v>727</v>
      </c>
      <c r="P507" s="103">
        <f t="shared" si="32"/>
        <v>494</v>
      </c>
      <c r="Q507" s="103">
        <f t="shared" si="33"/>
        <v>1</v>
      </c>
      <c r="R507" s="103" t="s">
        <v>8</v>
      </c>
      <c r="S507" s="103" t="str">
        <f>_xlfn.IFS(MouserListTable[[#This Row],[Column1]]=FilterSpecs!$A$6, FilterSpecs!$B$6,MouserListTable[[#This Row],[Column1]]=FilterSpecs!$A$7,FilterSpecs!$B$7,MouserListTable[[#This Row],[Column1]]=FilterSpecs!$A$8,FilterSpecs!$B$8,MouserListTable[[#This Row],[Column1]]=FilterSpecs!$A$9,FilterSpecs!$B$9)</f>
        <v>474-</v>
      </c>
      <c r="T50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474-COM-00096</v>
      </c>
      <c r="V507" s="151" t="str">
        <f>IF(MouserListTable[[#This Row],[Qty.]]=0, 0, "")</f>
        <v/>
      </c>
    </row>
    <row r="508" spans="1:22" s="146" customFormat="1" x14ac:dyDescent="0.3">
      <c r="A508" s="103" t="s">
        <v>897</v>
      </c>
      <c r="B508" s="103" t="s">
        <v>1012</v>
      </c>
      <c r="C508" s="103" t="s">
        <v>8</v>
      </c>
      <c r="D508" s="103" t="str">
        <f>IF(MouserListTable[[#This Row],[Vendor]]=FilterSpecs!$A$8,MouserListTable[[#This Row],[Mouser SKU]], MouserListTable[[#This Row],[SKU2]])</f>
        <v>COM-00523</v>
      </c>
      <c r="E508" s="104">
        <v>3</v>
      </c>
      <c r="F508" s="104" t="s">
        <v>18921</v>
      </c>
      <c r="G508" s="103" t="s">
        <v>724</v>
      </c>
      <c r="H508" s="103" t="s">
        <v>725</v>
      </c>
      <c r="I508" s="103" t="s">
        <v>726</v>
      </c>
      <c r="J508" s="103">
        <v>1</v>
      </c>
      <c r="K508" s="104">
        <v>0.45</v>
      </c>
      <c r="L508" s="103" t="s">
        <v>1910</v>
      </c>
      <c r="M508" s="103"/>
      <c r="N508" s="104">
        <f t="shared" si="34"/>
        <v>1.35</v>
      </c>
      <c r="O508" s="103" t="s">
        <v>723</v>
      </c>
      <c r="P508" s="103">
        <f t="shared" si="32"/>
        <v>495</v>
      </c>
      <c r="Q508" s="103">
        <f t="shared" si="33"/>
        <v>1</v>
      </c>
      <c r="R508" s="103" t="s">
        <v>8</v>
      </c>
      <c r="S508" s="103" t="str">
        <f>_xlfn.IFS(MouserListTable[[#This Row],[Column1]]=FilterSpecs!$A$6, FilterSpecs!$B$6,MouserListTable[[#This Row],[Column1]]=FilterSpecs!$A$7,FilterSpecs!$B$7,MouserListTable[[#This Row],[Column1]]=FilterSpecs!$A$8,FilterSpecs!$B$8,MouserListTable[[#This Row],[Column1]]=FilterSpecs!$A$9,FilterSpecs!$B$9)</f>
        <v>474-</v>
      </c>
      <c r="T50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474-COM-00523</v>
      </c>
      <c r="V508" s="151" t="str">
        <f>IF(MouserListTable[[#This Row],[Qty.]]=0, 0, "")</f>
        <v/>
      </c>
    </row>
    <row r="509" spans="1:22" s="146" customFormat="1" x14ac:dyDescent="0.3">
      <c r="A509" s="103" t="s">
        <v>897</v>
      </c>
      <c r="B509" s="103" t="s">
        <v>1012</v>
      </c>
      <c r="C509" s="103" t="s">
        <v>8</v>
      </c>
      <c r="D509" s="103" t="str">
        <f>IF(MouserListTable[[#This Row],[Vendor]]=FilterSpecs!$A$8,MouserListTable[[#This Row],[Mouser SKU]], MouserListTable[[#This Row],[SKU2]])</f>
        <v>COM-00746</v>
      </c>
      <c r="E509" s="104">
        <v>3</v>
      </c>
      <c r="F509" s="104" t="s">
        <v>18921</v>
      </c>
      <c r="G509" s="103" t="s">
        <v>716</v>
      </c>
      <c r="H509" s="103" t="s">
        <v>717</v>
      </c>
      <c r="I509" s="103" t="s">
        <v>718</v>
      </c>
      <c r="J509" s="103">
        <v>1</v>
      </c>
      <c r="K509" s="104">
        <v>4.95</v>
      </c>
      <c r="L509" s="103" t="s">
        <v>1910</v>
      </c>
      <c r="M509" s="103"/>
      <c r="N509" s="104">
        <f t="shared" si="34"/>
        <v>14.850000000000001</v>
      </c>
      <c r="O509" s="103" t="s">
        <v>715</v>
      </c>
      <c r="P509" s="103">
        <f t="shared" si="32"/>
        <v>496</v>
      </c>
      <c r="Q509" s="103">
        <f t="shared" si="33"/>
        <v>1</v>
      </c>
      <c r="R509" s="103" t="s">
        <v>8</v>
      </c>
      <c r="S509" s="103" t="str">
        <f>_xlfn.IFS(MouserListTable[[#This Row],[Column1]]=FilterSpecs!$A$6, FilterSpecs!$B$6,MouserListTable[[#This Row],[Column1]]=FilterSpecs!$A$7,FilterSpecs!$B$7,MouserListTable[[#This Row],[Column1]]=FilterSpecs!$A$8,FilterSpecs!$B$8,MouserListTable[[#This Row],[Column1]]=FilterSpecs!$A$9,FilterSpecs!$B$9)</f>
        <v>474-</v>
      </c>
      <c r="T50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474-COM-00746</v>
      </c>
      <c r="V509" s="151" t="str">
        <f>IF(MouserListTable[[#This Row],[Qty.]]=0, 0, "")</f>
        <v/>
      </c>
    </row>
    <row r="510" spans="1:22" s="146" customFormat="1" x14ac:dyDescent="0.3">
      <c r="A510" s="103" t="s">
        <v>897</v>
      </c>
      <c r="B510" s="103" t="s">
        <v>1012</v>
      </c>
      <c r="C510" s="103" t="s">
        <v>8</v>
      </c>
      <c r="D510" s="103" t="str">
        <f>IF(MouserListTable[[#This Row],[Vendor]]=FilterSpecs!$A$8,MouserListTable[[#This Row],[Mouser SKU]], MouserListTable[[#This Row],[SKU2]])</f>
        <v>SEN-00250</v>
      </c>
      <c r="E510" s="104">
        <f>2*FilterSpecs!$C$3</f>
        <v>10</v>
      </c>
      <c r="F510" s="104" t="s">
        <v>18921</v>
      </c>
      <c r="G510" s="103" t="s">
        <v>712</v>
      </c>
      <c r="H510" s="103" t="s">
        <v>713</v>
      </c>
      <c r="I510" s="103" t="s">
        <v>714</v>
      </c>
      <c r="J510" s="103">
        <v>1</v>
      </c>
      <c r="K510" s="104">
        <v>0.75</v>
      </c>
      <c r="L510" s="103" t="s">
        <v>1911</v>
      </c>
      <c r="M510" s="103"/>
      <c r="N510" s="104">
        <f t="shared" si="34"/>
        <v>7.5</v>
      </c>
      <c r="O510" s="103" t="s">
        <v>711</v>
      </c>
      <c r="P510" s="103">
        <f t="shared" si="32"/>
        <v>497</v>
      </c>
      <c r="Q510" s="103">
        <f t="shared" si="33"/>
        <v>1</v>
      </c>
      <c r="R510" s="103" t="s">
        <v>8</v>
      </c>
      <c r="S510" s="103" t="str">
        <f>_xlfn.IFS(MouserListTable[[#This Row],[Column1]]=FilterSpecs!$A$6, FilterSpecs!$B$6,MouserListTable[[#This Row],[Column1]]=FilterSpecs!$A$7,FilterSpecs!$B$7,MouserListTable[[#This Row],[Column1]]=FilterSpecs!$A$8,FilterSpecs!$B$8,MouserListTable[[#This Row],[Column1]]=FilterSpecs!$A$9,FilterSpecs!$B$9)</f>
        <v>474-</v>
      </c>
      <c r="T51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474-SEN-00250</v>
      </c>
      <c r="V510" s="151" t="str">
        <f>IF(MouserListTable[[#This Row],[Qty.]]=0, 0, "")</f>
        <v/>
      </c>
    </row>
    <row r="511" spans="1:22" s="146" customFormat="1" x14ac:dyDescent="0.3">
      <c r="A511" s="103" t="s">
        <v>897</v>
      </c>
      <c r="B511" s="103" t="s">
        <v>1012</v>
      </c>
      <c r="C511" s="103" t="s">
        <v>8</v>
      </c>
      <c r="D511" s="103" t="str">
        <f>IF(MouserListTable[[#This Row],[Vendor]]=FilterSpecs!$A$8,MouserListTable[[#This Row],[Mouser SKU]], MouserListTable[[#This Row],[SKU2]])</f>
        <v>COM-08589</v>
      </c>
      <c r="E511" s="104">
        <f>2*FilterSpecs!$C$3</f>
        <v>10</v>
      </c>
      <c r="F511" s="104" t="s">
        <v>18921</v>
      </c>
      <c r="G511" s="103" t="s">
        <v>426</v>
      </c>
      <c r="H511" s="103" t="s">
        <v>427</v>
      </c>
      <c r="I511" s="103" t="s">
        <v>428</v>
      </c>
      <c r="J511" s="103">
        <v>1</v>
      </c>
      <c r="K511" s="104">
        <v>0.15</v>
      </c>
      <c r="L511" s="103" t="s">
        <v>1911</v>
      </c>
      <c r="M511" s="103"/>
      <c r="N511" s="104">
        <f t="shared" si="34"/>
        <v>1.5</v>
      </c>
      <c r="O511" s="103" t="s">
        <v>425</v>
      </c>
      <c r="P511" s="103">
        <f t="shared" si="32"/>
        <v>498</v>
      </c>
      <c r="Q511" s="103">
        <f t="shared" si="33"/>
        <v>1</v>
      </c>
      <c r="R511" s="103" t="s">
        <v>8</v>
      </c>
      <c r="S511" s="103" t="str">
        <f>_xlfn.IFS(MouserListTable[[#This Row],[Column1]]=FilterSpecs!$A$6, FilterSpecs!$B$6,MouserListTable[[#This Row],[Column1]]=FilterSpecs!$A$7,FilterSpecs!$B$7,MouserListTable[[#This Row],[Column1]]=FilterSpecs!$A$8,FilterSpecs!$B$8,MouserListTable[[#This Row],[Column1]]=FilterSpecs!$A$9,FilterSpecs!$B$9)</f>
        <v>474-</v>
      </c>
      <c r="T51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474-COM-08589</v>
      </c>
      <c r="V511" s="151" t="str">
        <f>IF(MouserListTable[[#This Row],[Qty.]]=0, 0, "")</f>
        <v/>
      </c>
    </row>
    <row r="512" spans="1:22" s="146" customFormat="1" x14ac:dyDescent="0.3">
      <c r="A512" s="103" t="s">
        <v>897</v>
      </c>
      <c r="B512" s="103" t="s">
        <v>1012</v>
      </c>
      <c r="C512" s="103" t="s">
        <v>8</v>
      </c>
      <c r="D512" s="103" t="str">
        <f>IF(MouserListTable[[#This Row],[Vendor]]=FilterSpecs!$A$8,MouserListTable[[#This Row],[Mouser SKU]], MouserListTable[[#This Row],[SKU2]])</f>
        <v>COM-08588</v>
      </c>
      <c r="E512" s="104">
        <f>2*FilterSpecs!$C$3</f>
        <v>10</v>
      </c>
      <c r="F512" s="104" t="s">
        <v>18921</v>
      </c>
      <c r="G512" s="103" t="s">
        <v>430</v>
      </c>
      <c r="H512" s="103" t="s">
        <v>431</v>
      </c>
      <c r="I512" s="103" t="s">
        <v>432</v>
      </c>
      <c r="J512" s="103">
        <v>1</v>
      </c>
      <c r="K512" s="104">
        <v>0.15</v>
      </c>
      <c r="L512" s="103" t="s">
        <v>1911</v>
      </c>
      <c r="M512" s="103"/>
      <c r="N512" s="104">
        <f t="shared" si="34"/>
        <v>1.5</v>
      </c>
      <c r="O512" s="103" t="s">
        <v>429</v>
      </c>
      <c r="P512" s="103">
        <f t="shared" si="32"/>
        <v>499</v>
      </c>
      <c r="Q512" s="103">
        <f t="shared" si="33"/>
        <v>1</v>
      </c>
      <c r="R512" s="103" t="s">
        <v>8</v>
      </c>
      <c r="S512" s="103" t="str">
        <f>_xlfn.IFS(MouserListTable[[#This Row],[Column1]]=FilterSpecs!$A$6, FilterSpecs!$B$6,MouserListTable[[#This Row],[Column1]]=FilterSpecs!$A$7,FilterSpecs!$B$7,MouserListTable[[#This Row],[Column1]]=FilterSpecs!$A$8,FilterSpecs!$B$8,MouserListTable[[#This Row],[Column1]]=FilterSpecs!$A$9,FilterSpecs!$B$9)</f>
        <v>474-</v>
      </c>
      <c r="T51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474-COM-08588</v>
      </c>
      <c r="V512" s="151" t="str">
        <f>IF(MouserListTable[[#This Row],[Qty.]]=0, 0, "")</f>
        <v/>
      </c>
    </row>
    <row r="513" spans="1:22" s="146" customFormat="1" x14ac:dyDescent="0.3">
      <c r="A513" s="103" t="s">
        <v>897</v>
      </c>
      <c r="B513" s="103" t="s">
        <v>1012</v>
      </c>
      <c r="C513" s="103" t="s">
        <v>8</v>
      </c>
      <c r="D513" s="103" t="str">
        <f>IF(MouserListTable[[#This Row],[Vendor]]=FilterSpecs!$A$8,MouserListTable[[#This Row],[Mouser SKU]], MouserListTable[[#This Row],[SKU2]])</f>
        <v>COM-10926</v>
      </c>
      <c r="E513" s="104">
        <f>2*FilterSpecs!$C$3</f>
        <v>10</v>
      </c>
      <c r="F513" s="104" t="s">
        <v>18921</v>
      </c>
      <c r="G513" s="103" t="s">
        <v>672</v>
      </c>
      <c r="H513" s="103" t="s">
        <v>673</v>
      </c>
      <c r="I513" s="103" t="s">
        <v>674</v>
      </c>
      <c r="J513" s="103">
        <v>1</v>
      </c>
      <c r="K513" s="104">
        <v>0.15</v>
      </c>
      <c r="L513" s="103" t="s">
        <v>1911</v>
      </c>
      <c r="M513" s="103"/>
      <c r="N513" s="104">
        <f t="shared" si="34"/>
        <v>1.5</v>
      </c>
      <c r="O513" s="103" t="s">
        <v>671</v>
      </c>
      <c r="P513" s="103">
        <f t="shared" si="32"/>
        <v>500</v>
      </c>
      <c r="Q513" s="103">
        <f t="shared" si="33"/>
        <v>1</v>
      </c>
      <c r="R513" s="103" t="s">
        <v>8</v>
      </c>
      <c r="S513" s="103" t="str">
        <f>_xlfn.IFS(MouserListTable[[#This Row],[Column1]]=FilterSpecs!$A$6, FilterSpecs!$B$6,MouserListTable[[#This Row],[Column1]]=FilterSpecs!$A$7,FilterSpecs!$B$7,MouserListTable[[#This Row],[Column1]]=FilterSpecs!$A$8,FilterSpecs!$B$8,MouserListTable[[#This Row],[Column1]]=FilterSpecs!$A$9,FilterSpecs!$B$9)</f>
        <v>474-</v>
      </c>
      <c r="T51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474-COM-10926</v>
      </c>
      <c r="V513" s="151" t="str">
        <f>IF(MouserListTable[[#This Row],[Qty.]]=0, 0, "")</f>
        <v/>
      </c>
    </row>
    <row r="514" spans="1:22" s="146" customFormat="1" x14ac:dyDescent="0.3">
      <c r="A514" s="103" t="s">
        <v>897</v>
      </c>
      <c r="B514" s="103" t="s">
        <v>1012</v>
      </c>
      <c r="C514" s="103" t="s">
        <v>8</v>
      </c>
      <c r="D514" s="103" t="str">
        <f>IF(MouserListTable[[#This Row],[Vendor]]=FilterSpecs!$A$8,MouserListTable[[#This Row],[Mouser SKU]], MouserListTable[[#This Row],[SKU2]])</f>
        <v>COM-10301</v>
      </c>
      <c r="E514" s="104">
        <f>2*FilterSpecs!$C$3</f>
        <v>10</v>
      </c>
      <c r="F514" s="104" t="s">
        <v>18921</v>
      </c>
      <c r="G514" s="103" t="s">
        <v>422</v>
      </c>
      <c r="H514" s="103" t="s">
        <v>423</v>
      </c>
      <c r="I514" s="103" t="s">
        <v>424</v>
      </c>
      <c r="J514" s="103">
        <v>1</v>
      </c>
      <c r="K514" s="104">
        <v>0.25</v>
      </c>
      <c r="L514" s="103" t="s">
        <v>1911</v>
      </c>
      <c r="M514" s="103"/>
      <c r="N514" s="104">
        <f t="shared" si="34"/>
        <v>2.5</v>
      </c>
      <c r="O514" s="103" t="s">
        <v>421</v>
      </c>
      <c r="P514" s="103">
        <f t="shared" si="32"/>
        <v>501</v>
      </c>
      <c r="Q514" s="103">
        <f t="shared" si="33"/>
        <v>1</v>
      </c>
      <c r="R514" s="103" t="s">
        <v>8</v>
      </c>
      <c r="S514" s="103" t="str">
        <f>_xlfn.IFS(MouserListTable[[#This Row],[Column1]]=FilterSpecs!$A$6, FilterSpecs!$B$6,MouserListTable[[#This Row],[Column1]]=FilterSpecs!$A$7,FilterSpecs!$B$7,MouserListTable[[#This Row],[Column1]]=FilterSpecs!$A$8,FilterSpecs!$B$8,MouserListTable[[#This Row],[Column1]]=FilterSpecs!$A$9,FilterSpecs!$B$9)</f>
        <v>474-</v>
      </c>
      <c r="T51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474-COM-10301</v>
      </c>
      <c r="V514" s="151" t="str">
        <f>IF(MouserListTable[[#This Row],[Qty.]]=0, 0, "")</f>
        <v/>
      </c>
    </row>
    <row r="515" spans="1:22" s="146" customFormat="1" x14ac:dyDescent="0.3">
      <c r="A515" s="103" t="s">
        <v>897</v>
      </c>
      <c r="B515" s="103" t="s">
        <v>1894</v>
      </c>
      <c r="C515" s="103" t="s">
        <v>8</v>
      </c>
      <c r="D515" s="103" t="str">
        <f>IF(MouserListTable[[#This Row],[Vendor]]=FilterSpecs!$A$8,MouserListTable[[#This Row],[Mouser SKU]], MouserListTable[[#This Row],[SKU2]])</f>
        <v>COM-11154</v>
      </c>
      <c r="E515" s="104">
        <v>2</v>
      </c>
      <c r="F515" s="104" t="s">
        <v>18921</v>
      </c>
      <c r="G515" s="103" t="s">
        <v>748</v>
      </c>
      <c r="H515" s="103" t="s">
        <v>749</v>
      </c>
      <c r="I515" s="103" t="s">
        <v>750</v>
      </c>
      <c r="J515" s="103"/>
      <c r="K515" s="104">
        <v>0.5</v>
      </c>
      <c r="L515" s="103" t="s">
        <v>1910</v>
      </c>
      <c r="M515" s="103"/>
      <c r="N515" s="104">
        <f t="shared" si="34"/>
        <v>1</v>
      </c>
      <c r="O515" s="103" t="s">
        <v>747</v>
      </c>
      <c r="P515" s="103">
        <f t="shared" si="32"/>
        <v>502</v>
      </c>
      <c r="Q515" s="103">
        <f t="shared" si="33"/>
        <v>1</v>
      </c>
      <c r="R515" s="103" t="s">
        <v>8</v>
      </c>
      <c r="S515" s="103" t="str">
        <f>_xlfn.IFS(MouserListTable[[#This Row],[Column1]]=FilterSpecs!$A$6, FilterSpecs!$B$6,MouserListTable[[#This Row],[Column1]]=FilterSpecs!$A$7,FilterSpecs!$B$7,MouserListTable[[#This Row],[Column1]]=FilterSpecs!$A$8,FilterSpecs!$B$8,MouserListTable[[#This Row],[Column1]]=FilterSpecs!$A$9,FilterSpecs!$B$9)</f>
        <v>474-</v>
      </c>
      <c r="T51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474-COM-11154</v>
      </c>
      <c r="V515" s="151" t="str">
        <f>IF(MouserListTable[[#This Row],[Qty.]]=0, 0, "")</f>
        <v/>
      </c>
    </row>
    <row r="516" spans="1:22" s="146" customFormat="1" x14ac:dyDescent="0.3">
      <c r="A516" s="103" t="s">
        <v>897</v>
      </c>
      <c r="B516" s="103" t="s">
        <v>1894</v>
      </c>
      <c r="C516" s="103" t="s">
        <v>8</v>
      </c>
      <c r="D516" s="103" t="str">
        <f>IF(MouserListTable[[#This Row],[Vendor]]=FilterSpecs!$A$8,MouserListTable[[#This Row],[Mouser SKU]], MouserListTable[[#This Row],[SKU2]])</f>
        <v>PRT-08032</v>
      </c>
      <c r="E516" s="104">
        <v>4</v>
      </c>
      <c r="F516" s="104" t="s">
        <v>18921</v>
      </c>
      <c r="G516" s="103" t="s">
        <v>744</v>
      </c>
      <c r="H516" s="103" t="s">
        <v>745</v>
      </c>
      <c r="I516" s="103" t="s">
        <v>746</v>
      </c>
      <c r="J516" s="103">
        <v>1</v>
      </c>
      <c r="K516" s="104">
        <v>1.5</v>
      </c>
      <c r="L516" s="103" t="s">
        <v>1910</v>
      </c>
      <c r="M516" s="103"/>
      <c r="N516" s="104">
        <f t="shared" si="34"/>
        <v>6</v>
      </c>
      <c r="O516" s="103" t="s">
        <v>743</v>
      </c>
      <c r="P516" s="103">
        <f t="shared" si="32"/>
        <v>503</v>
      </c>
      <c r="Q516" s="103">
        <f t="shared" si="33"/>
        <v>1</v>
      </c>
      <c r="R516" s="103" t="s">
        <v>8</v>
      </c>
      <c r="S516" s="103" t="str">
        <f>_xlfn.IFS(MouserListTable[[#This Row],[Column1]]=FilterSpecs!$A$6, FilterSpecs!$B$6,MouserListTable[[#This Row],[Column1]]=FilterSpecs!$A$7,FilterSpecs!$B$7,MouserListTable[[#This Row],[Column1]]=FilterSpecs!$A$8,FilterSpecs!$B$8,MouserListTable[[#This Row],[Column1]]=FilterSpecs!$A$9,FilterSpecs!$B$9)</f>
        <v>474-</v>
      </c>
      <c r="T51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474-PRT-08032</v>
      </c>
      <c r="V516" s="151" t="str">
        <f>IF(MouserListTable[[#This Row],[Qty.]]=0, 0, "")</f>
        <v/>
      </c>
    </row>
    <row r="517" spans="1:22" s="146" customFormat="1" x14ac:dyDescent="0.3">
      <c r="A517" s="103" t="s">
        <v>897</v>
      </c>
      <c r="B517" s="103" t="s">
        <v>1894</v>
      </c>
      <c r="C517" s="103" t="s">
        <v>8</v>
      </c>
      <c r="D517" s="103" t="str">
        <f>IF(MouserListTable[[#This Row],[Vendor]]=FilterSpecs!$A$8,MouserListTable[[#This Row],[Mouser SKU]], MouserListTable[[#This Row],[SKU2]])</f>
        <v>COM-11143</v>
      </c>
      <c r="E517" s="104">
        <v>8</v>
      </c>
      <c r="F517" s="104" t="s">
        <v>18921</v>
      </c>
      <c r="G517" s="103" t="s">
        <v>740</v>
      </c>
      <c r="H517" s="103" t="s">
        <v>741</v>
      </c>
      <c r="I517" s="103" t="s">
        <v>742</v>
      </c>
      <c r="J517" s="103"/>
      <c r="K517" s="104">
        <v>0.5</v>
      </c>
      <c r="L517" s="103" t="s">
        <v>1910</v>
      </c>
      <c r="M517" s="103"/>
      <c r="N517" s="104">
        <f t="shared" si="34"/>
        <v>4</v>
      </c>
      <c r="O517" s="103" t="s">
        <v>739</v>
      </c>
      <c r="P517" s="103">
        <f t="shared" si="32"/>
        <v>504</v>
      </c>
      <c r="Q517" s="103">
        <f t="shared" si="33"/>
        <v>1</v>
      </c>
      <c r="R517" s="103" t="s">
        <v>8</v>
      </c>
      <c r="S517" s="103" t="str">
        <f>_xlfn.IFS(MouserListTable[[#This Row],[Column1]]=FilterSpecs!$A$6, FilterSpecs!$B$6,MouserListTable[[#This Row],[Column1]]=FilterSpecs!$A$7,FilterSpecs!$B$7,MouserListTable[[#This Row],[Column1]]=FilterSpecs!$A$8,FilterSpecs!$B$8,MouserListTable[[#This Row],[Column1]]=FilterSpecs!$A$9,FilterSpecs!$B$9)</f>
        <v>474-</v>
      </c>
      <c r="T51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474-COM-11143</v>
      </c>
      <c r="V517" s="151" t="str">
        <f>IF(MouserListTable[[#This Row],[Qty.]]=0, 0, "")</f>
        <v/>
      </c>
    </row>
    <row r="518" spans="1:22" s="146" customFormat="1" x14ac:dyDescent="0.3">
      <c r="A518" s="103" t="s">
        <v>897</v>
      </c>
      <c r="B518" s="103" t="s">
        <v>1894</v>
      </c>
      <c r="C518" s="103" t="s">
        <v>8</v>
      </c>
      <c r="D518" s="103" t="str">
        <f>IF(MouserListTable[[#This Row],[Vendor]]=FilterSpecs!$A$8,MouserListTable[[#This Row],[Mouser SKU]], MouserListTable[[#This Row],[SKU2]])</f>
        <v>PRT-10588</v>
      </c>
      <c r="E518" s="104">
        <f>FilterSpecs!$C$3</f>
        <v>5</v>
      </c>
      <c r="F518" s="104" t="s">
        <v>18921</v>
      </c>
      <c r="G518" s="103" t="s">
        <v>906</v>
      </c>
      <c r="H518" s="103" t="s">
        <v>907</v>
      </c>
      <c r="I518" s="103" t="s">
        <v>908</v>
      </c>
      <c r="J518" s="103">
        <v>1</v>
      </c>
      <c r="K518" s="104">
        <v>0.95</v>
      </c>
      <c r="L518" s="106" t="s">
        <v>1911</v>
      </c>
      <c r="M518" s="103"/>
      <c r="N518" s="104">
        <f t="shared" si="34"/>
        <v>4.75</v>
      </c>
      <c r="O518" s="103" t="s">
        <v>905</v>
      </c>
      <c r="P518" s="103">
        <f t="shared" si="32"/>
        <v>505</v>
      </c>
      <c r="Q518" s="103">
        <f t="shared" si="33"/>
        <v>1</v>
      </c>
      <c r="R518" s="103" t="s">
        <v>8</v>
      </c>
      <c r="S518" s="103" t="str">
        <f>_xlfn.IFS(MouserListTable[[#This Row],[Column1]]=FilterSpecs!$A$6, FilterSpecs!$B$6,MouserListTable[[#This Row],[Column1]]=FilterSpecs!$A$7,FilterSpecs!$B$7,MouserListTable[[#This Row],[Column1]]=FilterSpecs!$A$8,FilterSpecs!$B$8,MouserListTable[[#This Row],[Column1]]=FilterSpecs!$A$9,FilterSpecs!$B$9)</f>
        <v>474-</v>
      </c>
      <c r="T51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474-PRT-10588</v>
      </c>
      <c r="V518" s="151" t="str">
        <f>IF(MouserListTable[[#This Row],[Qty.]]=0, 0, "")</f>
        <v/>
      </c>
    </row>
    <row r="519" spans="1:22" s="146" customFormat="1" x14ac:dyDescent="0.3">
      <c r="A519" s="103" t="s">
        <v>897</v>
      </c>
      <c r="B519" s="103" t="s">
        <v>1894</v>
      </c>
      <c r="C519" s="103" t="s">
        <v>1898</v>
      </c>
      <c r="D519" s="103" t="str">
        <f>IF(MouserListTable[[#This Row],[Vendor]]=FilterSpecs!$A$8,MouserListTable[[#This Row],[Mouser SKU]], MouserListTable[[#This Row],[SKU2]])</f>
        <v>2911</v>
      </c>
      <c r="E519" s="104">
        <v>0</v>
      </c>
      <c r="F519" s="104">
        <v>0</v>
      </c>
      <c r="G519" s="103"/>
      <c r="H519" s="103"/>
      <c r="I519" s="126" t="s">
        <v>2214</v>
      </c>
      <c r="K519" s="148">
        <v>1.95</v>
      </c>
      <c r="L519" s="126" t="s">
        <v>1910</v>
      </c>
      <c r="N519" s="148"/>
      <c r="O519" s="103" t="s">
        <v>2213</v>
      </c>
      <c r="P519" s="103">
        <f t="shared" si="32"/>
        <v>506</v>
      </c>
      <c r="Q519" s="103">
        <f t="shared" si="33"/>
        <v>1</v>
      </c>
      <c r="R519" s="103" t="s">
        <v>1898</v>
      </c>
      <c r="S519" s="103" t="str">
        <f>_xlfn.IFS(MouserListTable[[#This Row],[Column1]]=FilterSpecs!$A$6, FilterSpecs!$B$6,MouserListTable[[#This Row],[Column1]]=FilterSpecs!$A$7,FilterSpecs!$B$7,MouserListTable[[#This Row],[Column1]]=FilterSpecs!$A$8,FilterSpecs!$B$8,MouserListTable[[#This Row],[Column1]]=FilterSpecs!$A$9,FilterSpecs!$B$9)</f>
        <v>485-</v>
      </c>
      <c r="T51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485-2911</v>
      </c>
      <c r="V519" s="151">
        <f>IF(MouserListTable[[#This Row],[Qty.]]=0, 0, "")</f>
        <v>0</v>
      </c>
    </row>
    <row r="520" spans="1:22" s="146" customFormat="1" x14ac:dyDescent="0.3">
      <c r="A520" s="103" t="s">
        <v>897</v>
      </c>
      <c r="B520" s="103" t="s">
        <v>1894</v>
      </c>
      <c r="C520" s="103" t="s">
        <v>1898</v>
      </c>
      <c r="D520" s="103" t="str">
        <f>IF(MouserListTable[[#This Row],[Vendor]]=FilterSpecs!$A$8,MouserListTable[[#This Row],[Mouser SKU]], MouserListTable[[#This Row],[SKU2]])</f>
        <v>2791</v>
      </c>
      <c r="E520" s="104">
        <v>0</v>
      </c>
      <c r="F520" s="104">
        <v>0</v>
      </c>
      <c r="G520" s="103"/>
      <c r="H520" s="103"/>
      <c r="I520" s="126" t="s">
        <v>2216</v>
      </c>
      <c r="K520" s="148">
        <v>2.5</v>
      </c>
      <c r="L520" s="126" t="s">
        <v>1910</v>
      </c>
      <c r="N520" s="148"/>
      <c r="O520" s="103" t="s">
        <v>2215</v>
      </c>
      <c r="P520" s="103">
        <f t="shared" si="32"/>
        <v>507</v>
      </c>
      <c r="Q520" s="103">
        <f t="shared" si="33"/>
        <v>1</v>
      </c>
      <c r="R520" s="103" t="s">
        <v>1898</v>
      </c>
      <c r="S520" s="103" t="str">
        <f>_xlfn.IFS(MouserListTable[[#This Row],[Column1]]=FilterSpecs!$A$6, FilterSpecs!$B$6,MouserListTable[[#This Row],[Column1]]=FilterSpecs!$A$7,FilterSpecs!$B$7,MouserListTable[[#This Row],[Column1]]=FilterSpecs!$A$8,FilterSpecs!$B$8,MouserListTable[[#This Row],[Column1]]=FilterSpecs!$A$9,FilterSpecs!$B$9)</f>
        <v>485-</v>
      </c>
      <c r="T52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485-2791</v>
      </c>
      <c r="V520" s="151">
        <f>IF(MouserListTable[[#This Row],[Qty.]]=0, 0, "")</f>
        <v>0</v>
      </c>
    </row>
    <row r="521" spans="1:22" s="146" customFormat="1" x14ac:dyDescent="0.3">
      <c r="A521" s="103" t="s">
        <v>897</v>
      </c>
      <c r="B521" s="103" t="s">
        <v>1894</v>
      </c>
      <c r="C521" s="103" t="s">
        <v>1898</v>
      </c>
      <c r="D521" s="103" t="str">
        <f>IF(MouserListTable[[#This Row],[Vendor]]=FilterSpecs!$A$8,MouserListTable[[#This Row],[Mouser SKU]], MouserListTable[[#This Row],[SKU2]])</f>
        <v>2790</v>
      </c>
      <c r="E521" s="104">
        <v>0</v>
      </c>
      <c r="F521" s="104">
        <v>0</v>
      </c>
      <c r="G521" s="103"/>
      <c r="H521" s="103"/>
      <c r="I521" s="126" t="s">
        <v>2218</v>
      </c>
      <c r="K521" s="148">
        <v>2.5</v>
      </c>
      <c r="L521" s="126" t="s">
        <v>1910</v>
      </c>
      <c r="N521" s="148"/>
      <c r="O521" s="103" t="s">
        <v>2217</v>
      </c>
      <c r="P521" s="103">
        <f t="shared" si="32"/>
        <v>508</v>
      </c>
      <c r="Q521" s="103">
        <f t="shared" si="33"/>
        <v>1</v>
      </c>
      <c r="R521" s="103" t="s">
        <v>1898</v>
      </c>
      <c r="S521" s="103" t="str">
        <f>_xlfn.IFS(MouserListTable[[#This Row],[Column1]]=FilterSpecs!$A$6, FilterSpecs!$B$6,MouserListTable[[#This Row],[Column1]]=FilterSpecs!$A$7,FilterSpecs!$B$7,MouserListTable[[#This Row],[Column1]]=FilterSpecs!$A$8,FilterSpecs!$B$8,MouserListTable[[#This Row],[Column1]]=FilterSpecs!$A$9,FilterSpecs!$B$9)</f>
        <v>485-</v>
      </c>
      <c r="T52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485-2790</v>
      </c>
      <c r="V521" s="151">
        <f>IF(MouserListTable[[#This Row],[Qty.]]=0, 0, "")</f>
        <v>0</v>
      </c>
    </row>
    <row r="522" spans="1:22" s="146" customFormat="1" x14ac:dyDescent="0.3">
      <c r="A522" s="103" t="s">
        <v>897</v>
      </c>
      <c r="B522" s="103" t="s">
        <v>1894</v>
      </c>
      <c r="C522" s="103" t="s">
        <v>1898</v>
      </c>
      <c r="D522" s="103" t="str">
        <f>IF(MouserListTable[[#This Row],[Vendor]]=FilterSpecs!$A$8,MouserListTable[[#This Row],[Mouser SKU]], MouserListTable[[#This Row],[SKU2]])</f>
        <v>1699</v>
      </c>
      <c r="E522" s="104">
        <v>0</v>
      </c>
      <c r="F522" s="104">
        <v>0</v>
      </c>
      <c r="G522" s="103"/>
      <c r="H522" s="103"/>
      <c r="I522" s="126" t="s">
        <v>2220</v>
      </c>
      <c r="K522" s="148">
        <v>0.95</v>
      </c>
      <c r="L522" s="126" t="s">
        <v>1910</v>
      </c>
      <c r="N522" s="148"/>
      <c r="O522" s="103" t="s">
        <v>2219</v>
      </c>
      <c r="P522" s="103">
        <f t="shared" si="32"/>
        <v>509</v>
      </c>
      <c r="Q522" s="103">
        <f t="shared" si="33"/>
        <v>1</v>
      </c>
      <c r="R522" s="103" t="s">
        <v>1898</v>
      </c>
      <c r="S522" s="103" t="str">
        <f>_xlfn.IFS(MouserListTable[[#This Row],[Column1]]=FilterSpecs!$A$6, FilterSpecs!$B$6,MouserListTable[[#This Row],[Column1]]=FilterSpecs!$A$7,FilterSpecs!$B$7,MouserListTable[[#This Row],[Column1]]=FilterSpecs!$A$8,FilterSpecs!$B$8,MouserListTable[[#This Row],[Column1]]=FilterSpecs!$A$9,FilterSpecs!$B$9)</f>
        <v>485-</v>
      </c>
      <c r="T52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485-1699</v>
      </c>
      <c r="V522" s="151">
        <f>IF(MouserListTable[[#This Row],[Qty.]]=0, 0, "")</f>
        <v>0</v>
      </c>
    </row>
    <row r="523" spans="1:22" s="146" customFormat="1" x14ac:dyDescent="0.3">
      <c r="A523" s="103" t="s">
        <v>897</v>
      </c>
      <c r="B523" s="103" t="s">
        <v>2022</v>
      </c>
      <c r="C523" s="103" t="s">
        <v>1898</v>
      </c>
      <c r="D523" s="103" t="str">
        <f>IF(MouserListTable[[#This Row],[Vendor]]=FilterSpecs!$A$8,MouserListTable[[#This Row],[Mouser SKU]], MouserListTable[[#This Row],[SKU2]])</f>
        <v>2429</v>
      </c>
      <c r="E523" s="104">
        <v>1</v>
      </c>
      <c r="F523" s="104" t="s">
        <v>18921</v>
      </c>
      <c r="G523" s="103"/>
      <c r="H523" s="103"/>
      <c r="I523" s="103" t="s">
        <v>2228</v>
      </c>
      <c r="K523" s="104">
        <v>4.95</v>
      </c>
      <c r="L523" s="103" t="s">
        <v>1910</v>
      </c>
      <c r="M523" s="106"/>
      <c r="N523" s="104">
        <f>E523*K523</f>
        <v>4.95</v>
      </c>
      <c r="O523" s="103" t="s">
        <v>2227</v>
      </c>
      <c r="P523" s="103">
        <f t="shared" si="32"/>
        <v>510</v>
      </c>
      <c r="Q523" s="103">
        <f t="shared" si="33"/>
        <v>1</v>
      </c>
      <c r="R523" s="103" t="s">
        <v>1898</v>
      </c>
      <c r="S523" s="103" t="str">
        <f>_xlfn.IFS(MouserListTable[[#This Row],[Column1]]=FilterSpecs!$A$6, FilterSpecs!$B$6,MouserListTable[[#This Row],[Column1]]=FilterSpecs!$A$7,FilterSpecs!$B$7,MouserListTable[[#This Row],[Column1]]=FilterSpecs!$A$8,FilterSpecs!$B$8,MouserListTable[[#This Row],[Column1]]=FilterSpecs!$A$9,FilterSpecs!$B$9)</f>
        <v>485-</v>
      </c>
      <c r="T52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485-2429</v>
      </c>
      <c r="V523" s="151" t="str">
        <f>IF(MouserListTable[[#This Row],[Qty.]]=0, 0, "")</f>
        <v/>
      </c>
    </row>
    <row r="524" spans="1:22" s="146" customFormat="1" x14ac:dyDescent="0.3">
      <c r="A524" s="103" t="s">
        <v>897</v>
      </c>
      <c r="B524" s="103" t="s">
        <v>2022</v>
      </c>
      <c r="C524" s="103" t="s">
        <v>1898</v>
      </c>
      <c r="D524" s="103" t="str">
        <f>IF(MouserListTable[[#This Row],[Vendor]]=FilterSpecs!$A$8,MouserListTable[[#This Row],[Mouser SKU]], MouserListTable[[#This Row],[SKU2]])</f>
        <v>2428</v>
      </c>
      <c r="E524" s="104">
        <v>1</v>
      </c>
      <c r="F524" s="104" t="s">
        <v>18921</v>
      </c>
      <c r="G524" s="103"/>
      <c r="H524" s="103"/>
      <c r="I524" s="103" t="s">
        <v>2230</v>
      </c>
      <c r="K524" s="104">
        <v>4.95</v>
      </c>
      <c r="L524" s="103" t="s">
        <v>1910</v>
      </c>
      <c r="M524" s="106"/>
      <c r="N524" s="104">
        <f>E524*K524</f>
        <v>4.95</v>
      </c>
      <c r="O524" s="103" t="s">
        <v>2229</v>
      </c>
      <c r="P524" s="103">
        <f t="shared" si="32"/>
        <v>511</v>
      </c>
      <c r="Q524" s="103">
        <f t="shared" si="33"/>
        <v>1</v>
      </c>
      <c r="R524" s="103" t="s">
        <v>1898</v>
      </c>
      <c r="S524" s="103" t="str">
        <f>_xlfn.IFS(MouserListTable[[#This Row],[Column1]]=FilterSpecs!$A$6, FilterSpecs!$B$6,MouserListTable[[#This Row],[Column1]]=FilterSpecs!$A$7,FilterSpecs!$B$7,MouserListTable[[#This Row],[Column1]]=FilterSpecs!$A$8,FilterSpecs!$B$8,MouserListTable[[#This Row],[Column1]]=FilterSpecs!$A$9,FilterSpecs!$B$9)</f>
        <v>485-</v>
      </c>
      <c r="T52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485-2428</v>
      </c>
      <c r="V524" s="151" t="str">
        <f>IF(MouserListTable[[#This Row],[Qty.]]=0, 0, "")</f>
        <v/>
      </c>
    </row>
    <row r="525" spans="1:22" s="146" customFormat="1" x14ac:dyDescent="0.3">
      <c r="A525" s="103" t="s">
        <v>897</v>
      </c>
      <c r="B525" s="103" t="s">
        <v>2022</v>
      </c>
      <c r="C525" s="103" t="s">
        <v>1898</v>
      </c>
      <c r="D525" s="103" t="str">
        <f>IF(MouserListTable[[#This Row],[Vendor]]=FilterSpecs!$A$8,MouserListTable[[#This Row],[Mouser SKU]], MouserListTable[[#This Row],[SKU2]])</f>
        <v>2430</v>
      </c>
      <c r="E525" s="104">
        <v>1</v>
      </c>
      <c r="F525" s="104" t="s">
        <v>18921</v>
      </c>
      <c r="G525" s="103"/>
      <c r="H525" s="103"/>
      <c r="I525" s="103" t="s">
        <v>2232</v>
      </c>
      <c r="K525" s="104">
        <v>4.95</v>
      </c>
      <c r="L525" s="103" t="s">
        <v>1910</v>
      </c>
      <c r="M525" s="106"/>
      <c r="N525" s="104">
        <f>E525*K525</f>
        <v>4.95</v>
      </c>
      <c r="O525" s="103" t="s">
        <v>2231</v>
      </c>
      <c r="P525" s="103">
        <f t="shared" si="32"/>
        <v>512</v>
      </c>
      <c r="Q525" s="103">
        <f t="shared" si="33"/>
        <v>1</v>
      </c>
      <c r="R525" s="103" t="s">
        <v>1898</v>
      </c>
      <c r="S525" s="103" t="str">
        <f>_xlfn.IFS(MouserListTable[[#This Row],[Column1]]=FilterSpecs!$A$6, FilterSpecs!$B$6,MouserListTable[[#This Row],[Column1]]=FilterSpecs!$A$7,FilterSpecs!$B$7,MouserListTable[[#This Row],[Column1]]=FilterSpecs!$A$8,FilterSpecs!$B$8,MouserListTable[[#This Row],[Column1]]=FilterSpecs!$A$9,FilterSpecs!$B$9)</f>
        <v>485-</v>
      </c>
      <c r="T52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485-2430</v>
      </c>
      <c r="V525" s="151" t="str">
        <f>IF(MouserListTable[[#This Row],[Qty.]]=0, 0, "")</f>
        <v/>
      </c>
    </row>
    <row r="526" spans="1:22" s="146" customFormat="1" x14ac:dyDescent="0.3">
      <c r="A526" s="103" t="s">
        <v>897</v>
      </c>
      <c r="B526" s="103" t="s">
        <v>2022</v>
      </c>
      <c r="C526" s="103" t="s">
        <v>1898</v>
      </c>
      <c r="D526" s="103" t="str">
        <f>IF(MouserListTable[[#This Row],[Vendor]]=FilterSpecs!$A$8,MouserListTable[[#This Row],[Mouser SKU]], MouserListTable[[#This Row],[SKU2]])</f>
        <v>394</v>
      </c>
      <c r="E526" s="104">
        <v>1</v>
      </c>
      <c r="F526" s="104" t="s">
        <v>18921</v>
      </c>
      <c r="G526" s="103"/>
      <c r="H526" s="103"/>
      <c r="I526" s="103" t="s">
        <v>2234</v>
      </c>
      <c r="K526" s="104">
        <v>7.5</v>
      </c>
      <c r="L526" s="103" t="s">
        <v>1910</v>
      </c>
      <c r="M526" s="106"/>
      <c r="N526" s="104">
        <f>E526*K526</f>
        <v>7.5</v>
      </c>
      <c r="O526" s="103" t="s">
        <v>2233</v>
      </c>
      <c r="P526" s="103">
        <f t="shared" si="32"/>
        <v>513</v>
      </c>
      <c r="Q526" s="103">
        <f t="shared" si="33"/>
        <v>1</v>
      </c>
      <c r="R526" s="103" t="s">
        <v>1898</v>
      </c>
      <c r="S526" s="103" t="str">
        <f>_xlfn.IFS(MouserListTable[[#This Row],[Column1]]=FilterSpecs!$A$6, FilterSpecs!$B$6,MouserListTable[[#This Row],[Column1]]=FilterSpecs!$A$7,FilterSpecs!$B$7,MouserListTable[[#This Row],[Column1]]=FilterSpecs!$A$8,FilterSpecs!$B$8,MouserListTable[[#This Row],[Column1]]=FilterSpecs!$A$9,FilterSpecs!$B$9)</f>
        <v>485-</v>
      </c>
      <c r="T52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485-394</v>
      </c>
      <c r="V526" s="151" t="str">
        <f>IF(MouserListTable[[#This Row],[Qty.]]=0, 0, "")</f>
        <v/>
      </c>
    </row>
    <row r="527" spans="1:22" s="146" customFormat="1" x14ac:dyDescent="0.3">
      <c r="A527" s="106" t="s">
        <v>897</v>
      </c>
      <c r="B527" s="106" t="s">
        <v>2024</v>
      </c>
      <c r="C527" s="106" t="s">
        <v>8</v>
      </c>
      <c r="D527" s="103" t="str">
        <f>IF(MouserListTable[[#This Row],[Vendor]]=FilterSpecs!$A$8,MouserListTable[[#This Row],[Mouser SKU]], MouserListTable[[#This Row],[SKU2]])</f>
        <v>CAB-10646</v>
      </c>
      <c r="E527" s="104">
        <v>2</v>
      </c>
      <c r="F527" s="104" t="s">
        <v>18921</v>
      </c>
      <c r="G527" s="103" t="s">
        <v>1596</v>
      </c>
      <c r="H527" s="103" t="s">
        <v>1597</v>
      </c>
      <c r="I527" s="106" t="s">
        <v>1598</v>
      </c>
      <c r="J527" s="103">
        <v>1</v>
      </c>
      <c r="K527" s="104">
        <v>2.95</v>
      </c>
      <c r="L527" s="106" t="s">
        <v>1910</v>
      </c>
      <c r="M527" s="103"/>
      <c r="N527" s="104">
        <f>E527*K527</f>
        <v>5.9</v>
      </c>
      <c r="O527" s="106" t="s">
        <v>1595</v>
      </c>
      <c r="P527" s="103">
        <f t="shared" si="32"/>
        <v>514</v>
      </c>
      <c r="Q527" s="103">
        <f t="shared" si="33"/>
        <v>1</v>
      </c>
      <c r="R527" s="103" t="s">
        <v>8</v>
      </c>
      <c r="S527" s="103" t="str">
        <f>_xlfn.IFS(MouserListTable[[#This Row],[Column1]]=FilterSpecs!$A$6, FilterSpecs!$B$6,MouserListTable[[#This Row],[Column1]]=FilterSpecs!$A$7,FilterSpecs!$B$7,MouserListTable[[#This Row],[Column1]]=FilterSpecs!$A$8,FilterSpecs!$B$8,MouserListTable[[#This Row],[Column1]]=FilterSpecs!$A$9,FilterSpecs!$B$9)</f>
        <v>474-</v>
      </c>
      <c r="T52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474-CAB-10646</v>
      </c>
      <c r="V527" s="151" t="str">
        <f>IF(MouserListTable[[#This Row],[Qty.]]=0, 0, "")</f>
        <v/>
      </c>
    </row>
    <row r="528" spans="1:22" s="146" customFormat="1" x14ac:dyDescent="0.3">
      <c r="A528" s="128" t="s">
        <v>897</v>
      </c>
      <c r="B528" s="128" t="s">
        <v>2024</v>
      </c>
      <c r="C528" s="128" t="s">
        <v>1898</v>
      </c>
      <c r="D528" s="103" t="str">
        <f>IF(MouserListTable[[#This Row],[Vendor]]=FilterSpecs!$A$8,MouserListTable[[#This Row],[Mouser SKU]], MouserListTable[[#This Row],[SKU2]])</f>
        <v>371</v>
      </c>
      <c r="E528" s="129">
        <v>0</v>
      </c>
      <c r="F528" s="129">
        <v>0</v>
      </c>
      <c r="I528" s="128" t="s">
        <v>2460</v>
      </c>
      <c r="J528" s="155">
        <v>106</v>
      </c>
      <c r="K528" s="129">
        <v>2</v>
      </c>
      <c r="L528" s="126" t="s">
        <v>1910</v>
      </c>
      <c r="N528" s="148"/>
      <c r="O528" s="128" t="s">
        <v>2461</v>
      </c>
      <c r="P528" s="103">
        <f t="shared" ref="P528:P591" si="35">IF($P527="List #",1,$P527+1)</f>
        <v>515</v>
      </c>
      <c r="Q528" s="103">
        <f t="shared" ref="Q528:Q591" si="36">IF($D528=$O528,1,0)</f>
        <v>1</v>
      </c>
      <c r="R528" s="103" t="s">
        <v>1898</v>
      </c>
      <c r="S528" s="103" t="str">
        <f>_xlfn.IFS(MouserListTable[[#This Row],[Column1]]=FilterSpecs!$A$6, FilterSpecs!$B$6,MouserListTable[[#This Row],[Column1]]=FilterSpecs!$A$7,FilterSpecs!$B$7,MouserListTable[[#This Row],[Column1]]=FilterSpecs!$A$8,FilterSpecs!$B$8,MouserListTable[[#This Row],[Column1]]=FilterSpecs!$A$9,FilterSpecs!$B$9)</f>
        <v>485-</v>
      </c>
      <c r="T52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485-371</v>
      </c>
      <c r="V528" s="151">
        <f>IF(MouserListTable[[#This Row],[Qty.]]=0, 0, "")</f>
        <v>0</v>
      </c>
    </row>
    <row r="529" spans="1:22" s="146" customFormat="1" x14ac:dyDescent="0.3">
      <c r="A529" s="146" t="s">
        <v>897</v>
      </c>
      <c r="B529" s="146" t="s">
        <v>2024</v>
      </c>
      <c r="C529" s="146" t="s">
        <v>8</v>
      </c>
      <c r="D529" s="103" t="str">
        <f>IF(MouserListTable[[#This Row],[Vendor]]=FilterSpecs!$A$8,MouserListTable[[#This Row],[Mouser SKU]], MouserListTable[[#This Row],[SKU2]])</f>
        <v>CAB-10649</v>
      </c>
      <c r="E529" s="104">
        <v>0</v>
      </c>
      <c r="F529" s="104">
        <v>0</v>
      </c>
      <c r="G529" s="103" t="s">
        <v>1592</v>
      </c>
      <c r="H529" s="103" t="s">
        <v>1593</v>
      </c>
      <c r="I529" s="106" t="s">
        <v>1594</v>
      </c>
      <c r="J529" s="103">
        <v>1</v>
      </c>
      <c r="K529" s="104">
        <v>0.95</v>
      </c>
      <c r="L529" s="106" t="s">
        <v>1910</v>
      </c>
      <c r="M529" s="103"/>
      <c r="N529" s="148">
        <f>E529*K529</f>
        <v>0</v>
      </c>
      <c r="O529" s="106" t="s">
        <v>1591</v>
      </c>
      <c r="P529" s="103">
        <f t="shared" si="35"/>
        <v>516</v>
      </c>
      <c r="Q529" s="103">
        <f t="shared" si="36"/>
        <v>1</v>
      </c>
      <c r="R529" s="103" t="s">
        <v>8</v>
      </c>
      <c r="S529" s="103" t="str">
        <f>_xlfn.IFS(MouserListTable[[#This Row],[Column1]]=FilterSpecs!$A$6, FilterSpecs!$B$6,MouserListTable[[#This Row],[Column1]]=FilterSpecs!$A$7,FilterSpecs!$B$7,MouserListTable[[#This Row],[Column1]]=FilterSpecs!$A$8,FilterSpecs!$B$8,MouserListTable[[#This Row],[Column1]]=FilterSpecs!$A$9,FilterSpecs!$B$9)</f>
        <v>474-</v>
      </c>
      <c r="T52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474-CAB-10649</v>
      </c>
      <c r="V529" s="151">
        <f>IF(MouserListTable[[#This Row],[Qty.]]=0, 0, "")</f>
        <v>0</v>
      </c>
    </row>
    <row r="530" spans="1:22" s="146" customFormat="1" x14ac:dyDescent="0.3">
      <c r="A530" s="106" t="s">
        <v>897</v>
      </c>
      <c r="B530" s="106" t="s">
        <v>2024</v>
      </c>
      <c r="C530" s="106" t="s">
        <v>8</v>
      </c>
      <c r="D530" s="103" t="str">
        <f>IF(MouserListTable[[#This Row],[Vendor]]=FilterSpecs!$A$8,MouserListTable[[#This Row],[Mouser SKU]], MouserListTable[[#This Row],[SKU2]])</f>
        <v>CAB-10647</v>
      </c>
      <c r="E530" s="104">
        <v>1</v>
      </c>
      <c r="F530" s="104" t="s">
        <v>18921</v>
      </c>
      <c r="G530" s="103" t="s">
        <v>1600</v>
      </c>
      <c r="H530" s="103" t="s">
        <v>1601</v>
      </c>
      <c r="I530" s="106" t="s">
        <v>1602</v>
      </c>
      <c r="J530" s="103">
        <v>1</v>
      </c>
      <c r="K530" s="104">
        <v>4.95</v>
      </c>
      <c r="L530" s="106" t="s">
        <v>1910</v>
      </c>
      <c r="M530" s="103"/>
      <c r="N530" s="104">
        <f>E530*K530</f>
        <v>4.95</v>
      </c>
      <c r="O530" s="106" t="s">
        <v>1599</v>
      </c>
      <c r="P530" s="103">
        <f t="shared" si="35"/>
        <v>517</v>
      </c>
      <c r="Q530" s="103">
        <f t="shared" si="36"/>
        <v>1</v>
      </c>
      <c r="R530" s="103" t="s">
        <v>8</v>
      </c>
      <c r="S530" s="103" t="str">
        <f>_xlfn.IFS(MouserListTable[[#This Row],[Column1]]=FilterSpecs!$A$6, FilterSpecs!$B$6,MouserListTable[[#This Row],[Column1]]=FilterSpecs!$A$7,FilterSpecs!$B$7,MouserListTable[[#This Row],[Column1]]=FilterSpecs!$A$8,FilterSpecs!$B$8,MouserListTable[[#This Row],[Column1]]=FilterSpecs!$A$9,FilterSpecs!$B$9)</f>
        <v>474-</v>
      </c>
      <c r="T53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474-CAB-10647</v>
      </c>
      <c r="V530" s="151" t="str">
        <f>IF(MouserListTable[[#This Row],[Qty.]]=0, 0, "")</f>
        <v/>
      </c>
    </row>
    <row r="531" spans="1:22" s="146" customFormat="1" x14ac:dyDescent="0.3">
      <c r="A531" s="128" t="s">
        <v>897</v>
      </c>
      <c r="B531" s="128" t="s">
        <v>2024</v>
      </c>
      <c r="C531" s="128" t="s">
        <v>1898</v>
      </c>
      <c r="D531" s="103" t="str">
        <f>IF(MouserListTable[[#This Row],[Vendor]]=FilterSpecs!$A$8,MouserListTable[[#This Row],[Mouser SKU]], MouserListTable[[#This Row],[SKU2]])</f>
        <v>556</v>
      </c>
      <c r="E531" s="129">
        <v>0</v>
      </c>
      <c r="F531" s="129">
        <v>0</v>
      </c>
      <c r="I531" s="128" t="s">
        <v>2458</v>
      </c>
      <c r="J531" s="155">
        <v>105</v>
      </c>
      <c r="K531" s="129">
        <v>1.5</v>
      </c>
      <c r="L531" s="126" t="s">
        <v>1910</v>
      </c>
      <c r="N531" s="148"/>
      <c r="O531" s="128" t="s">
        <v>2459</v>
      </c>
      <c r="P531" s="103">
        <f t="shared" si="35"/>
        <v>518</v>
      </c>
      <c r="Q531" s="103">
        <f t="shared" si="36"/>
        <v>1</v>
      </c>
      <c r="R531" s="103" t="s">
        <v>1898</v>
      </c>
      <c r="S531" s="103" t="str">
        <f>_xlfn.IFS(MouserListTable[[#This Row],[Column1]]=FilterSpecs!$A$6, FilterSpecs!$B$6,MouserListTable[[#This Row],[Column1]]=FilterSpecs!$A$7,FilterSpecs!$B$7,MouserListTable[[#This Row],[Column1]]=FilterSpecs!$A$8,FilterSpecs!$B$8,MouserListTable[[#This Row],[Column1]]=FilterSpecs!$A$9,FilterSpecs!$B$9)</f>
        <v>485-</v>
      </c>
      <c r="T53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485-556</v>
      </c>
      <c r="V531" s="151">
        <f>IF(MouserListTable[[#This Row],[Qty.]]=0, 0, "")</f>
        <v>0</v>
      </c>
    </row>
    <row r="532" spans="1:22" s="146" customFormat="1" x14ac:dyDescent="0.3">
      <c r="A532" s="106" t="s">
        <v>897</v>
      </c>
      <c r="B532" s="106" t="s">
        <v>2024</v>
      </c>
      <c r="C532" s="106" t="s">
        <v>1898</v>
      </c>
      <c r="D532" s="103" t="str">
        <f>IF(MouserListTable[[#This Row],[Vendor]]=FilterSpecs!$A$8,MouserListTable[[#This Row],[Mouser SKU]], MouserListTable[[#This Row],[SKU2]])</f>
        <v>370</v>
      </c>
      <c r="E532" s="104">
        <v>0</v>
      </c>
      <c r="F532" s="104">
        <v>0</v>
      </c>
      <c r="G532" s="103"/>
      <c r="H532" s="103"/>
      <c r="I532" s="146" t="s">
        <v>2236</v>
      </c>
      <c r="K532" s="148">
        <v>2</v>
      </c>
      <c r="L532" s="146" t="s">
        <v>1910</v>
      </c>
      <c r="N532" s="148"/>
      <c r="O532" s="106" t="s">
        <v>2235</v>
      </c>
      <c r="P532" s="103">
        <f t="shared" si="35"/>
        <v>519</v>
      </c>
      <c r="Q532" s="103">
        <f t="shared" si="36"/>
        <v>1</v>
      </c>
      <c r="R532" s="103" t="s">
        <v>1898</v>
      </c>
      <c r="S532" s="103" t="str">
        <f>_xlfn.IFS(MouserListTable[[#This Row],[Column1]]=FilterSpecs!$A$6, FilterSpecs!$B$6,MouserListTable[[#This Row],[Column1]]=FilterSpecs!$A$7,FilterSpecs!$B$7,MouserListTable[[#This Row],[Column1]]=FilterSpecs!$A$8,FilterSpecs!$B$8,MouserListTable[[#This Row],[Column1]]=FilterSpecs!$A$9,FilterSpecs!$B$9)</f>
        <v>485-</v>
      </c>
      <c r="T53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485-370</v>
      </c>
      <c r="V532" s="151">
        <f>IF(MouserListTable[[#This Row],[Qty.]]=0, 0, "")</f>
        <v>0</v>
      </c>
    </row>
    <row r="533" spans="1:22" s="146" customFormat="1" x14ac:dyDescent="0.3">
      <c r="A533" s="128" t="s">
        <v>897</v>
      </c>
      <c r="B533" s="146" t="s">
        <v>2024</v>
      </c>
      <c r="C533" s="128" t="s">
        <v>1898</v>
      </c>
      <c r="D533" s="103" t="str">
        <f>IF(MouserListTable[[#This Row],[Vendor]]=FilterSpecs!$A$8,MouserListTable[[#This Row],[Mouser SKU]], MouserListTable[[#This Row],[SKU2]])</f>
        <v>1199</v>
      </c>
      <c r="E533" s="129">
        <v>0</v>
      </c>
      <c r="F533" s="129">
        <v>0</v>
      </c>
      <c r="I533" s="128" t="s">
        <v>2456</v>
      </c>
      <c r="J533" s="155">
        <v>104</v>
      </c>
      <c r="K533" s="129">
        <v>3.95</v>
      </c>
      <c r="L533" s="126" t="s">
        <v>1910</v>
      </c>
      <c r="N533" s="148"/>
      <c r="O533" s="128" t="s">
        <v>2457</v>
      </c>
      <c r="P533" s="103">
        <f t="shared" si="35"/>
        <v>520</v>
      </c>
      <c r="Q533" s="103">
        <f t="shared" si="36"/>
        <v>1</v>
      </c>
      <c r="R533" s="103" t="s">
        <v>1898</v>
      </c>
      <c r="S533" s="103" t="str">
        <f>_xlfn.IFS(MouserListTable[[#This Row],[Column1]]=FilterSpecs!$A$6, FilterSpecs!$B$6,MouserListTable[[#This Row],[Column1]]=FilterSpecs!$A$7,FilterSpecs!$B$7,MouserListTable[[#This Row],[Column1]]=FilterSpecs!$A$8,FilterSpecs!$B$8,MouserListTable[[#This Row],[Column1]]=FilterSpecs!$A$9,FilterSpecs!$B$9)</f>
        <v>485-</v>
      </c>
      <c r="T53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485-1199</v>
      </c>
      <c r="V533" s="151">
        <f>IF(MouserListTable[[#This Row],[Qty.]]=0, 0, "")</f>
        <v>0</v>
      </c>
    </row>
    <row r="534" spans="1:22" s="146" customFormat="1" x14ac:dyDescent="0.3">
      <c r="A534" s="146" t="s">
        <v>897</v>
      </c>
      <c r="B534" s="146" t="s">
        <v>2024</v>
      </c>
      <c r="C534" s="146" t="s">
        <v>8</v>
      </c>
      <c r="D534" s="103" t="str">
        <f>IF(MouserListTable[[#This Row],[Vendor]]=FilterSpecs!$A$8,MouserListTable[[#This Row],[Mouser SKU]], MouserListTable[[#This Row],[SKU2]])</f>
        <v>PRT-08535</v>
      </c>
      <c r="E534" s="104">
        <v>0</v>
      </c>
      <c r="F534" s="104">
        <v>0</v>
      </c>
      <c r="G534" s="103" t="s">
        <v>1532</v>
      </c>
      <c r="H534" s="103" t="s">
        <v>1533</v>
      </c>
      <c r="I534" s="106" t="s">
        <v>1534</v>
      </c>
      <c r="J534" s="103">
        <v>1</v>
      </c>
      <c r="K534" s="104">
        <v>1.5</v>
      </c>
      <c r="L534" s="106" t="s">
        <v>1910</v>
      </c>
      <c r="M534" s="103"/>
      <c r="N534" s="148">
        <f>E534*K534</f>
        <v>0</v>
      </c>
      <c r="O534" s="106" t="s">
        <v>1531</v>
      </c>
      <c r="P534" s="103">
        <f t="shared" si="35"/>
        <v>521</v>
      </c>
      <c r="Q534" s="103">
        <f t="shared" si="36"/>
        <v>1</v>
      </c>
      <c r="R534" s="103" t="s">
        <v>8</v>
      </c>
      <c r="S534" s="103" t="str">
        <f>_xlfn.IFS(MouserListTable[[#This Row],[Column1]]=FilterSpecs!$A$6, FilterSpecs!$B$6,MouserListTable[[#This Row],[Column1]]=FilterSpecs!$A$7,FilterSpecs!$B$7,MouserListTable[[#This Row],[Column1]]=FilterSpecs!$A$8,FilterSpecs!$B$8,MouserListTable[[#This Row],[Column1]]=FilterSpecs!$A$9,FilterSpecs!$B$9)</f>
        <v>474-</v>
      </c>
      <c r="T53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474-PRT-08535</v>
      </c>
      <c r="V534" s="151">
        <f>IF(MouserListTable[[#This Row],[Qty.]]=0, 0, "")</f>
        <v>0</v>
      </c>
    </row>
    <row r="535" spans="1:22" s="146" customFormat="1" x14ac:dyDescent="0.3">
      <c r="A535" s="128" t="s">
        <v>897</v>
      </c>
      <c r="B535" s="128" t="s">
        <v>2024</v>
      </c>
      <c r="C535" s="128" t="s">
        <v>1898</v>
      </c>
      <c r="D535" s="103" t="str">
        <f>IF(MouserListTable[[#This Row],[Vendor]]=FilterSpecs!$A$8,MouserListTable[[#This Row],[Mouser SKU]], MouserListTable[[#This Row],[SKU2]])</f>
        <v>1675</v>
      </c>
      <c r="E535" s="129">
        <v>0</v>
      </c>
      <c r="F535" s="129">
        <v>0</v>
      </c>
      <c r="I535" s="128" t="s">
        <v>2454</v>
      </c>
      <c r="J535" s="155">
        <v>103</v>
      </c>
      <c r="K535" s="129">
        <v>2.95</v>
      </c>
      <c r="L535" s="126" t="s">
        <v>1910</v>
      </c>
      <c r="N535" s="148"/>
      <c r="O535" s="128" t="s">
        <v>2455</v>
      </c>
      <c r="P535" s="103">
        <f t="shared" si="35"/>
        <v>522</v>
      </c>
      <c r="Q535" s="103">
        <f t="shared" si="36"/>
        <v>1</v>
      </c>
      <c r="R535" s="103" t="s">
        <v>1898</v>
      </c>
      <c r="S535" s="103" t="str">
        <f>_xlfn.IFS(MouserListTable[[#This Row],[Column1]]=FilterSpecs!$A$6, FilterSpecs!$B$6,MouserListTable[[#This Row],[Column1]]=FilterSpecs!$A$7,FilterSpecs!$B$7,MouserListTable[[#This Row],[Column1]]=FilterSpecs!$A$8,FilterSpecs!$B$8,MouserListTable[[#This Row],[Column1]]=FilterSpecs!$A$9,FilterSpecs!$B$9)</f>
        <v>485-</v>
      </c>
      <c r="T53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485-1675</v>
      </c>
      <c r="V535" s="151">
        <f>IF(MouserListTable[[#This Row],[Qty.]]=0, 0, "")</f>
        <v>0</v>
      </c>
    </row>
    <row r="536" spans="1:22" s="146" customFormat="1" x14ac:dyDescent="0.3">
      <c r="A536" s="126" t="s">
        <v>897</v>
      </c>
      <c r="B536" s="126" t="s">
        <v>2033</v>
      </c>
      <c r="C536" s="126" t="s">
        <v>8</v>
      </c>
      <c r="D536" s="103" t="str">
        <f>IF(MouserListTable[[#This Row],[Vendor]]=FilterSpecs!$A$8,MouserListTable[[#This Row],[Mouser SKU]], MouserListTable[[#This Row],[SKU2]])</f>
        <v>COM-09939</v>
      </c>
      <c r="E536" s="104">
        <v>0</v>
      </c>
      <c r="F536" s="104">
        <v>0</v>
      </c>
      <c r="G536" s="103" t="s">
        <v>1001</v>
      </c>
      <c r="H536" s="103" t="s">
        <v>1002</v>
      </c>
      <c r="I536" s="103" t="s">
        <v>1003</v>
      </c>
      <c r="J536" s="103"/>
      <c r="K536" s="104">
        <v>0.95</v>
      </c>
      <c r="L536" s="103" t="s">
        <v>1910</v>
      </c>
      <c r="M536" s="103"/>
      <c r="N536" s="148">
        <f>E536*K536</f>
        <v>0</v>
      </c>
      <c r="O536" s="103" t="s">
        <v>1000</v>
      </c>
      <c r="P536" s="103">
        <f t="shared" si="35"/>
        <v>523</v>
      </c>
      <c r="Q536" s="103">
        <f t="shared" si="36"/>
        <v>1</v>
      </c>
      <c r="R536" s="103" t="s">
        <v>8</v>
      </c>
      <c r="S536" s="103" t="str">
        <f>_xlfn.IFS(MouserListTable[[#This Row],[Column1]]=FilterSpecs!$A$6, FilterSpecs!$B$6,MouserListTable[[#This Row],[Column1]]=FilterSpecs!$A$7,FilterSpecs!$B$7,MouserListTable[[#This Row],[Column1]]=FilterSpecs!$A$8,FilterSpecs!$B$8,MouserListTable[[#This Row],[Column1]]=FilterSpecs!$A$9,FilterSpecs!$B$9)</f>
        <v>474-</v>
      </c>
      <c r="T53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474-COM-09939</v>
      </c>
      <c r="V536" s="151">
        <f>IF(MouserListTable[[#This Row],[Qty.]]=0, 0, "")</f>
        <v>0</v>
      </c>
    </row>
    <row r="537" spans="1:22" s="146" customFormat="1" x14ac:dyDescent="0.3">
      <c r="A537" s="126" t="s">
        <v>897</v>
      </c>
      <c r="B537" s="126" t="s">
        <v>2033</v>
      </c>
      <c r="C537" s="126" t="s">
        <v>8</v>
      </c>
      <c r="D537" s="103" t="str">
        <f>IF(MouserListTable[[#This Row],[Vendor]]=FilterSpecs!$A$8,MouserListTable[[#This Row],[Mouser SKU]], MouserListTable[[#This Row],[SKU2]])</f>
        <v>COM-09940</v>
      </c>
      <c r="E537" s="104">
        <v>0</v>
      </c>
      <c r="F537" s="104">
        <v>0</v>
      </c>
      <c r="G537" s="103" t="s">
        <v>997</v>
      </c>
      <c r="H537" s="103" t="s">
        <v>998</v>
      </c>
      <c r="I537" s="103" t="s">
        <v>999</v>
      </c>
      <c r="J537" s="103">
        <v>1</v>
      </c>
      <c r="K537" s="104">
        <v>0.95</v>
      </c>
      <c r="L537" s="103" t="s">
        <v>1910</v>
      </c>
      <c r="M537" s="103"/>
      <c r="N537" s="148">
        <f>E537*K537</f>
        <v>0</v>
      </c>
      <c r="O537" s="103" t="s">
        <v>996</v>
      </c>
      <c r="P537" s="103">
        <f t="shared" si="35"/>
        <v>524</v>
      </c>
      <c r="Q537" s="103">
        <f t="shared" si="36"/>
        <v>1</v>
      </c>
      <c r="R537" s="103" t="s">
        <v>8</v>
      </c>
      <c r="S537" s="103" t="str">
        <f>_xlfn.IFS(MouserListTable[[#This Row],[Column1]]=FilterSpecs!$A$6, FilterSpecs!$B$6,MouserListTable[[#This Row],[Column1]]=FilterSpecs!$A$7,FilterSpecs!$B$7,MouserListTable[[#This Row],[Column1]]=FilterSpecs!$A$8,FilterSpecs!$B$8,MouserListTable[[#This Row],[Column1]]=FilterSpecs!$A$9,FilterSpecs!$B$9)</f>
        <v>474-</v>
      </c>
      <c r="T53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474-COM-09940</v>
      </c>
      <c r="V537" s="151">
        <f>IF(MouserListTable[[#This Row],[Qty.]]=0, 0, "")</f>
        <v>0</v>
      </c>
    </row>
    <row r="538" spans="1:22" s="146" customFormat="1" x14ac:dyDescent="0.3">
      <c r="A538" s="103" t="s">
        <v>897</v>
      </c>
      <c r="B538" s="103" t="s">
        <v>2033</v>
      </c>
      <c r="C538" s="103" t="s">
        <v>8</v>
      </c>
      <c r="D538" s="103" t="str">
        <f>IF(MouserListTable[[#This Row],[Vendor]]=FilterSpecs!$A$8,MouserListTable[[#This Row],[Mouser SKU]], MouserListTable[[#This Row],[SKU2]])</f>
        <v>COM-09288</v>
      </c>
      <c r="E538" s="104">
        <f>FilterSpecs!$C$3</f>
        <v>5</v>
      </c>
      <c r="F538" s="104" t="s">
        <v>18921</v>
      </c>
      <c r="G538" s="103" t="s">
        <v>1005</v>
      </c>
      <c r="H538" s="103" t="s">
        <v>1006</v>
      </c>
      <c r="I538" s="103" t="s">
        <v>1007</v>
      </c>
      <c r="J538" s="103">
        <v>1</v>
      </c>
      <c r="K538" s="104">
        <v>0.95</v>
      </c>
      <c r="L538" s="106" t="s">
        <v>1911</v>
      </c>
      <c r="M538" s="103"/>
      <c r="N538" s="104">
        <f>E538*K538</f>
        <v>4.75</v>
      </c>
      <c r="O538" s="103" t="s">
        <v>1004</v>
      </c>
      <c r="P538" s="103">
        <f t="shared" si="35"/>
        <v>525</v>
      </c>
      <c r="Q538" s="103">
        <f t="shared" si="36"/>
        <v>1</v>
      </c>
      <c r="R538" s="103" t="s">
        <v>8</v>
      </c>
      <c r="S538" s="103" t="str">
        <f>_xlfn.IFS(MouserListTable[[#This Row],[Column1]]=FilterSpecs!$A$6, FilterSpecs!$B$6,MouserListTable[[#This Row],[Column1]]=FilterSpecs!$A$7,FilterSpecs!$B$7,MouserListTable[[#This Row],[Column1]]=FilterSpecs!$A$8,FilterSpecs!$B$8,MouserListTable[[#This Row],[Column1]]=FilterSpecs!$A$9,FilterSpecs!$B$9)</f>
        <v>474-</v>
      </c>
      <c r="T53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474-COM-09288</v>
      </c>
      <c r="V538" s="151" t="str">
        <f>IF(MouserListTable[[#This Row],[Qty.]]=0, 0, "")</f>
        <v/>
      </c>
    </row>
    <row r="539" spans="1:22" s="146" customFormat="1" x14ac:dyDescent="0.3">
      <c r="A539" s="103" t="s">
        <v>897</v>
      </c>
      <c r="B539" s="103" t="s">
        <v>2033</v>
      </c>
      <c r="C539" s="103" t="s">
        <v>1898</v>
      </c>
      <c r="D539" s="103" t="str">
        <f>IF(MouserListTable[[#This Row],[Vendor]]=FilterSpecs!$A$8,MouserListTable[[#This Row],[Mouser SKU]], MouserListTable[[#This Row],[SKU2]])</f>
        <v>3392</v>
      </c>
      <c r="E539" s="104">
        <v>0</v>
      </c>
      <c r="F539" s="104">
        <v>0</v>
      </c>
      <c r="G539" s="103"/>
      <c r="H539" s="103"/>
      <c r="I539" s="126" t="s">
        <v>2240</v>
      </c>
      <c r="K539" s="148">
        <v>1.5</v>
      </c>
      <c r="L539" s="126" t="s">
        <v>1910</v>
      </c>
      <c r="N539" s="148"/>
      <c r="O539" s="103" t="s">
        <v>2239</v>
      </c>
      <c r="P539" s="103">
        <f t="shared" si="35"/>
        <v>526</v>
      </c>
      <c r="Q539" s="103">
        <f t="shared" si="36"/>
        <v>1</v>
      </c>
      <c r="R539" s="103" t="s">
        <v>1898</v>
      </c>
      <c r="S539" s="103" t="str">
        <f>_xlfn.IFS(MouserListTable[[#This Row],[Column1]]=FilterSpecs!$A$6, FilterSpecs!$B$6,MouserListTable[[#This Row],[Column1]]=FilterSpecs!$A$7,FilterSpecs!$B$7,MouserListTable[[#This Row],[Column1]]=FilterSpecs!$A$8,FilterSpecs!$B$8,MouserListTable[[#This Row],[Column1]]=FilterSpecs!$A$9,FilterSpecs!$B$9)</f>
        <v>485-</v>
      </c>
      <c r="T53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485-3392</v>
      </c>
      <c r="V539" s="151">
        <f>IF(MouserListTable[[#This Row],[Qty.]]=0, 0, "")</f>
        <v>0</v>
      </c>
    </row>
    <row r="540" spans="1:22" s="146" customFormat="1" x14ac:dyDescent="0.3">
      <c r="A540" s="103" t="s">
        <v>897</v>
      </c>
      <c r="B540" s="103" t="s">
        <v>2033</v>
      </c>
      <c r="C540" s="103" t="s">
        <v>1898</v>
      </c>
      <c r="D540" s="103" t="str">
        <f>IF(MouserListTable[[#This Row],[Vendor]]=FilterSpecs!$A$8,MouserListTable[[#This Row],[Mouser SKU]], MouserListTable[[#This Row],[SKU2]])</f>
        <v>3393</v>
      </c>
      <c r="E540" s="104">
        <v>0</v>
      </c>
      <c r="F540" s="104">
        <v>0</v>
      </c>
      <c r="G540" s="103"/>
      <c r="H540" s="103"/>
      <c r="I540" s="126" t="s">
        <v>2242</v>
      </c>
      <c r="K540" s="148">
        <v>1.75</v>
      </c>
      <c r="L540" s="126" t="s">
        <v>1910</v>
      </c>
      <c r="N540" s="148"/>
      <c r="O540" s="103" t="s">
        <v>2241</v>
      </c>
      <c r="P540" s="103">
        <f t="shared" si="35"/>
        <v>527</v>
      </c>
      <c r="Q540" s="103">
        <f t="shared" si="36"/>
        <v>1</v>
      </c>
      <c r="R540" s="103" t="s">
        <v>1898</v>
      </c>
      <c r="S540" s="103" t="str">
        <f>_xlfn.IFS(MouserListTable[[#This Row],[Column1]]=FilterSpecs!$A$6, FilterSpecs!$B$6,MouserListTable[[#This Row],[Column1]]=FilterSpecs!$A$7,FilterSpecs!$B$7,MouserListTable[[#This Row],[Column1]]=FilterSpecs!$A$8,FilterSpecs!$B$8,MouserListTable[[#This Row],[Column1]]=FilterSpecs!$A$9,FilterSpecs!$B$9)</f>
        <v>485-</v>
      </c>
      <c r="T54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485-3393</v>
      </c>
      <c r="V540" s="151">
        <f>IF(MouserListTable[[#This Row],[Qty.]]=0, 0, "")</f>
        <v>0</v>
      </c>
    </row>
    <row r="541" spans="1:22" s="146" customFormat="1" x14ac:dyDescent="0.3">
      <c r="A541" s="103" t="s">
        <v>897</v>
      </c>
      <c r="B541" s="103" t="s">
        <v>2033</v>
      </c>
      <c r="C541" s="103" t="s">
        <v>1898</v>
      </c>
      <c r="D541" s="103" t="str">
        <f>IF(MouserListTable[[#This Row],[Vendor]]=FilterSpecs!$A$8,MouserListTable[[#This Row],[Mouser SKU]], MouserListTable[[#This Row],[SKU2]])</f>
        <v>562</v>
      </c>
      <c r="E541" s="104">
        <v>0</v>
      </c>
      <c r="F541" s="104">
        <v>0</v>
      </c>
      <c r="G541" s="103"/>
      <c r="H541" s="103"/>
      <c r="I541" s="126" t="s">
        <v>2244</v>
      </c>
      <c r="K541" s="148">
        <v>0.95</v>
      </c>
      <c r="L541" s="126" t="s">
        <v>1910</v>
      </c>
      <c r="N541" s="148"/>
      <c r="O541" s="103" t="s">
        <v>2243</v>
      </c>
      <c r="P541" s="103">
        <f t="shared" si="35"/>
        <v>528</v>
      </c>
      <c r="Q541" s="103">
        <f t="shared" si="36"/>
        <v>1</v>
      </c>
      <c r="R541" s="103" t="s">
        <v>1898</v>
      </c>
      <c r="S541" s="103" t="str">
        <f>_xlfn.IFS(MouserListTable[[#This Row],[Column1]]=FilterSpecs!$A$6, FilterSpecs!$B$6,MouserListTable[[#This Row],[Column1]]=FilterSpecs!$A$7,FilterSpecs!$B$7,MouserListTable[[#This Row],[Column1]]=FilterSpecs!$A$8,FilterSpecs!$B$8,MouserListTable[[#This Row],[Column1]]=FilterSpecs!$A$9,FilterSpecs!$B$9)</f>
        <v>485-</v>
      </c>
      <c r="T54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485-562</v>
      </c>
      <c r="V541" s="151">
        <f>IF(MouserListTable[[#This Row],[Qty.]]=0, 0, "")</f>
        <v>0</v>
      </c>
    </row>
    <row r="542" spans="1:22" s="146" customFormat="1" x14ac:dyDescent="0.3">
      <c r="A542" s="103" t="s">
        <v>897</v>
      </c>
      <c r="B542" s="103" t="s">
        <v>2033</v>
      </c>
      <c r="C542" s="103" t="s">
        <v>1898</v>
      </c>
      <c r="D542" s="103" t="str">
        <f>IF(MouserListTable[[#This Row],[Vendor]]=FilterSpecs!$A$8,MouserListTable[[#This Row],[Mouser SKU]], MouserListTable[[#This Row],[SKU2]])</f>
        <v>1789</v>
      </c>
      <c r="E542" s="104">
        <v>0</v>
      </c>
      <c r="F542" s="104">
        <v>0</v>
      </c>
      <c r="G542" s="103"/>
      <c r="H542" s="103"/>
      <c r="I542" s="126" t="s">
        <v>2246</v>
      </c>
      <c r="K542" s="148">
        <v>0.95</v>
      </c>
      <c r="L542" s="126" t="s">
        <v>1910</v>
      </c>
      <c r="N542" s="148"/>
      <c r="O542" s="103" t="s">
        <v>2245</v>
      </c>
      <c r="P542" s="103">
        <f t="shared" si="35"/>
        <v>529</v>
      </c>
      <c r="Q542" s="103">
        <f t="shared" si="36"/>
        <v>1</v>
      </c>
      <c r="R542" s="103" t="s">
        <v>1898</v>
      </c>
      <c r="S542" s="103" t="str">
        <f>_xlfn.IFS(MouserListTable[[#This Row],[Column1]]=FilterSpecs!$A$6, FilterSpecs!$B$6,MouserListTable[[#This Row],[Column1]]=FilterSpecs!$A$7,FilterSpecs!$B$7,MouserListTable[[#This Row],[Column1]]=FilterSpecs!$A$8,FilterSpecs!$B$8,MouserListTable[[#This Row],[Column1]]=FilterSpecs!$A$9,FilterSpecs!$B$9)</f>
        <v>485-</v>
      </c>
      <c r="T54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485-1789</v>
      </c>
      <c r="V542" s="151">
        <f>IF(MouserListTable[[#This Row],[Qty.]]=0, 0, "")</f>
        <v>0</v>
      </c>
    </row>
    <row r="543" spans="1:22" s="146" customFormat="1" x14ac:dyDescent="0.3">
      <c r="A543" s="103" t="s">
        <v>897</v>
      </c>
      <c r="B543" s="103" t="s">
        <v>2033</v>
      </c>
      <c r="C543" s="103" t="s">
        <v>1898</v>
      </c>
      <c r="D543" s="103" t="str">
        <f>IF(MouserListTable[[#This Row],[Vendor]]=FilterSpecs!$A$8,MouserListTable[[#This Row],[Mouser SKU]], MouserListTable[[#This Row],[SKU2]])</f>
        <v>3395</v>
      </c>
      <c r="E543" s="104">
        <f>FilterSpecs!$C$3</f>
        <v>5</v>
      </c>
      <c r="F543" s="104" t="s">
        <v>18921</v>
      </c>
      <c r="G543" s="103"/>
      <c r="H543" s="103"/>
      <c r="I543" s="103" t="s">
        <v>2248</v>
      </c>
      <c r="K543" s="104">
        <v>1.5</v>
      </c>
      <c r="L543" s="106" t="s">
        <v>1911</v>
      </c>
      <c r="M543" s="106"/>
      <c r="N543" s="104">
        <f>E543*K543</f>
        <v>7.5</v>
      </c>
      <c r="O543" s="103" t="s">
        <v>2247</v>
      </c>
      <c r="P543" s="103">
        <f t="shared" si="35"/>
        <v>530</v>
      </c>
      <c r="Q543" s="103">
        <f t="shared" si="36"/>
        <v>1</v>
      </c>
      <c r="R543" s="103" t="s">
        <v>1898</v>
      </c>
      <c r="S543" s="103" t="str">
        <f>_xlfn.IFS(MouserListTable[[#This Row],[Column1]]=FilterSpecs!$A$6, FilterSpecs!$B$6,MouserListTable[[#This Row],[Column1]]=FilterSpecs!$A$7,FilterSpecs!$B$7,MouserListTable[[#This Row],[Column1]]=FilterSpecs!$A$8,FilterSpecs!$B$8,MouserListTable[[#This Row],[Column1]]=FilterSpecs!$A$9,FilterSpecs!$B$9)</f>
        <v>485-</v>
      </c>
      <c r="T54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485-3395</v>
      </c>
      <c r="V543" s="151" t="str">
        <f>IF(MouserListTable[[#This Row],[Qty.]]=0, 0, "")</f>
        <v/>
      </c>
    </row>
    <row r="544" spans="1:22" s="146" customFormat="1" x14ac:dyDescent="0.3">
      <c r="A544" s="126" t="s">
        <v>897</v>
      </c>
      <c r="B544" s="126" t="s">
        <v>2033</v>
      </c>
      <c r="C544" s="126" t="s">
        <v>8</v>
      </c>
      <c r="D544" s="103" t="str">
        <f>IF(MouserListTable[[#This Row],[Vendor]]=FilterSpecs!$A$8,MouserListTable[[#This Row],[Mouser SKU]], MouserListTable[[#This Row],[SKU2]])</f>
        <v>COM-09117</v>
      </c>
      <c r="E544" s="104">
        <v>0</v>
      </c>
      <c r="F544" s="104">
        <v>0</v>
      </c>
      <c r="G544" s="103" t="s">
        <v>1009</v>
      </c>
      <c r="H544" s="103" t="s">
        <v>1010</v>
      </c>
      <c r="I544" s="103" t="s">
        <v>1011</v>
      </c>
      <c r="J544" s="103">
        <v>1</v>
      </c>
      <c r="K544" s="104">
        <v>2.95</v>
      </c>
      <c r="L544" s="103" t="s">
        <v>1910</v>
      </c>
      <c r="M544" s="103"/>
      <c r="N544" s="148">
        <f>E544*K544</f>
        <v>0</v>
      </c>
      <c r="O544" s="103" t="s">
        <v>1008</v>
      </c>
      <c r="P544" s="103">
        <f t="shared" si="35"/>
        <v>531</v>
      </c>
      <c r="Q544" s="103">
        <f t="shared" si="36"/>
        <v>1</v>
      </c>
      <c r="R544" s="103" t="s">
        <v>8</v>
      </c>
      <c r="S544" s="103" t="str">
        <f>_xlfn.IFS(MouserListTable[[#This Row],[Column1]]=FilterSpecs!$A$6, FilterSpecs!$B$6,MouserListTable[[#This Row],[Column1]]=FilterSpecs!$A$7,FilterSpecs!$B$7,MouserListTable[[#This Row],[Column1]]=FilterSpecs!$A$8,FilterSpecs!$B$8,MouserListTable[[#This Row],[Column1]]=FilterSpecs!$A$9,FilterSpecs!$B$9)</f>
        <v>474-</v>
      </c>
      <c r="T54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474-COM-09117</v>
      </c>
      <c r="V544" s="151">
        <f>IF(MouserListTable[[#This Row],[Qty.]]=0, 0, "")</f>
        <v>0</v>
      </c>
    </row>
    <row r="545" spans="1:22" s="146" customFormat="1" x14ac:dyDescent="0.3">
      <c r="A545" s="126" t="s">
        <v>897</v>
      </c>
      <c r="B545" s="126" t="s">
        <v>2033</v>
      </c>
      <c r="C545" s="126" t="s">
        <v>8</v>
      </c>
      <c r="D545" s="103" t="str">
        <f>IF(MouserListTable[[#This Row],[Vendor]]=FilterSpecs!$A$8,MouserListTable[[#This Row],[Mouser SKU]], MouserListTable[[#This Row],[SKU2]])</f>
        <v>COM-10596</v>
      </c>
      <c r="E545" s="104">
        <v>0</v>
      </c>
      <c r="F545" s="104">
        <v>0</v>
      </c>
      <c r="G545" s="103" t="s">
        <v>1706</v>
      </c>
      <c r="H545" s="103" t="s">
        <v>1707</v>
      </c>
      <c r="I545" s="103" t="s">
        <v>1708</v>
      </c>
      <c r="J545" s="103">
        <v>1</v>
      </c>
      <c r="K545" s="104">
        <v>2.95</v>
      </c>
      <c r="L545" s="103" t="s">
        <v>1910</v>
      </c>
      <c r="M545" s="103"/>
      <c r="N545" s="148">
        <f>E545*K545</f>
        <v>0</v>
      </c>
      <c r="O545" s="103" t="s">
        <v>1705</v>
      </c>
      <c r="P545" s="103">
        <f t="shared" si="35"/>
        <v>532</v>
      </c>
      <c r="Q545" s="103">
        <f t="shared" si="36"/>
        <v>1</v>
      </c>
      <c r="R545" s="103" t="s">
        <v>8</v>
      </c>
      <c r="S545" s="103" t="str">
        <f>_xlfn.IFS(MouserListTable[[#This Row],[Column1]]=FilterSpecs!$A$6, FilterSpecs!$B$6,MouserListTable[[#This Row],[Column1]]=FilterSpecs!$A$7,FilterSpecs!$B$7,MouserListTable[[#This Row],[Column1]]=FilterSpecs!$A$8,FilterSpecs!$B$8,MouserListTable[[#This Row],[Column1]]=FilterSpecs!$A$9,FilterSpecs!$B$9)</f>
        <v>474-</v>
      </c>
      <c r="T54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474-COM-10596</v>
      </c>
      <c r="V545" s="151">
        <f>IF(MouserListTable[[#This Row],[Qty.]]=0, 0, "")</f>
        <v>0</v>
      </c>
    </row>
    <row r="546" spans="1:22" s="146" customFormat="1" x14ac:dyDescent="0.3">
      <c r="A546" s="126" t="s">
        <v>897</v>
      </c>
      <c r="B546" s="126" t="s">
        <v>2033</v>
      </c>
      <c r="C546" s="126" t="s">
        <v>8</v>
      </c>
      <c r="D546" s="103" t="str">
        <f>IF(MouserListTable[[#This Row],[Vendor]]=FilterSpecs!$A$8,MouserListTable[[#This Row],[Mouser SKU]], MouserListTable[[#This Row],[SKU2]])</f>
        <v>COM-10982</v>
      </c>
      <c r="E546" s="104">
        <v>0</v>
      </c>
      <c r="F546" s="104">
        <v>0</v>
      </c>
      <c r="G546" s="103" t="s">
        <v>1686</v>
      </c>
      <c r="H546" s="103" t="s">
        <v>1687</v>
      </c>
      <c r="I546" s="103" t="s">
        <v>1688</v>
      </c>
      <c r="J546" s="103">
        <v>1</v>
      </c>
      <c r="K546" s="104">
        <v>3.95</v>
      </c>
      <c r="L546" s="103" t="s">
        <v>1910</v>
      </c>
      <c r="M546" s="103"/>
      <c r="N546" s="148">
        <f>E546*K546</f>
        <v>0</v>
      </c>
      <c r="O546" s="103" t="s">
        <v>1685</v>
      </c>
      <c r="P546" s="103">
        <f t="shared" si="35"/>
        <v>533</v>
      </c>
      <c r="Q546" s="103">
        <f t="shared" si="36"/>
        <v>1</v>
      </c>
      <c r="R546" s="103" t="s">
        <v>8</v>
      </c>
      <c r="S546" s="103" t="str">
        <f>_xlfn.IFS(MouserListTable[[#This Row],[Column1]]=FilterSpecs!$A$6, FilterSpecs!$B$6,MouserListTable[[#This Row],[Column1]]=FilterSpecs!$A$7,FilterSpecs!$B$7,MouserListTable[[#This Row],[Column1]]=FilterSpecs!$A$8,FilterSpecs!$B$8,MouserListTable[[#This Row],[Column1]]=FilterSpecs!$A$9,FilterSpecs!$B$9)</f>
        <v>474-</v>
      </c>
      <c r="T54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474-COM-10982</v>
      </c>
      <c r="V546" s="151">
        <f>IF(MouserListTable[[#This Row],[Qty.]]=0, 0, "")</f>
        <v>0</v>
      </c>
    </row>
    <row r="547" spans="1:22" s="146" customFormat="1" x14ac:dyDescent="0.3">
      <c r="A547" s="126" t="s">
        <v>897</v>
      </c>
      <c r="B547" s="126" t="s">
        <v>2033</v>
      </c>
      <c r="C547" s="126" t="s">
        <v>8</v>
      </c>
      <c r="D547" s="103" t="str">
        <f>IF(MouserListTable[[#This Row],[Vendor]]=FilterSpecs!$A$8,MouserListTable[[#This Row],[Mouser SKU]], MouserListTable[[#This Row],[SKU2]])</f>
        <v>BOB-11722</v>
      </c>
      <c r="E547" s="104">
        <v>0</v>
      </c>
      <c r="F547" s="104">
        <v>0</v>
      </c>
      <c r="G547" s="103" t="s">
        <v>1734</v>
      </c>
      <c r="H547" s="103" t="s">
        <v>1735</v>
      </c>
      <c r="I547" s="103" t="s">
        <v>1736</v>
      </c>
      <c r="J547" s="103">
        <v>1</v>
      </c>
      <c r="K547" s="104">
        <v>2.95</v>
      </c>
      <c r="L547" s="103" t="s">
        <v>1912</v>
      </c>
      <c r="M547" s="103"/>
      <c r="N547" s="148">
        <f>E547*K547</f>
        <v>0</v>
      </c>
      <c r="O547" s="103" t="s">
        <v>1733</v>
      </c>
      <c r="P547" s="103">
        <f t="shared" si="35"/>
        <v>534</v>
      </c>
      <c r="Q547" s="103">
        <f t="shared" si="36"/>
        <v>1</v>
      </c>
      <c r="R547" s="103" t="s">
        <v>8</v>
      </c>
      <c r="S547" s="103" t="str">
        <f>_xlfn.IFS(MouserListTable[[#This Row],[Column1]]=FilterSpecs!$A$6, FilterSpecs!$B$6,MouserListTable[[#This Row],[Column1]]=FilterSpecs!$A$7,FilterSpecs!$B$7,MouserListTable[[#This Row],[Column1]]=FilterSpecs!$A$8,FilterSpecs!$B$8,MouserListTable[[#This Row],[Column1]]=FilterSpecs!$A$9,FilterSpecs!$B$9)</f>
        <v>474-</v>
      </c>
      <c r="T54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474-BOB-11722</v>
      </c>
      <c r="V547" s="151">
        <f>IF(MouserListTable[[#This Row],[Qty.]]=0, 0, "")</f>
        <v>0</v>
      </c>
    </row>
    <row r="548" spans="1:22" s="146" customFormat="1" x14ac:dyDescent="0.3">
      <c r="A548" s="103" t="s">
        <v>897</v>
      </c>
      <c r="B548" s="103" t="s">
        <v>2033</v>
      </c>
      <c r="C548" s="103" t="s">
        <v>1898</v>
      </c>
      <c r="D548" s="103" t="str">
        <f>IF(MouserListTable[[#This Row],[Vendor]]=FilterSpecs!$A$8,MouserListTable[[#This Row],[Mouser SKU]], MouserListTable[[#This Row],[SKU2]])</f>
        <v>377</v>
      </c>
      <c r="E548" s="104">
        <v>0</v>
      </c>
      <c r="F548" s="104">
        <v>0</v>
      </c>
      <c r="G548" s="103"/>
      <c r="H548" s="103"/>
      <c r="I548" s="126" t="s">
        <v>2250</v>
      </c>
      <c r="K548" s="148">
        <v>4.5</v>
      </c>
      <c r="L548" s="126" t="s">
        <v>1912</v>
      </c>
      <c r="N548" s="148"/>
      <c r="O548" s="103" t="s">
        <v>2249</v>
      </c>
      <c r="P548" s="103">
        <f t="shared" si="35"/>
        <v>535</v>
      </c>
      <c r="Q548" s="103">
        <f t="shared" si="36"/>
        <v>1</v>
      </c>
      <c r="R548" s="103" t="s">
        <v>1898</v>
      </c>
      <c r="S548" s="103" t="str">
        <f>_xlfn.IFS(MouserListTable[[#This Row],[Column1]]=FilterSpecs!$A$6, FilterSpecs!$B$6,MouserListTable[[#This Row],[Column1]]=FilterSpecs!$A$7,FilterSpecs!$B$7,MouserListTable[[#This Row],[Column1]]=FilterSpecs!$A$8,FilterSpecs!$B$8,MouserListTable[[#This Row],[Column1]]=FilterSpecs!$A$9,FilterSpecs!$B$9)</f>
        <v>485-</v>
      </c>
      <c r="T54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485-377</v>
      </c>
      <c r="V548" s="151">
        <f>IF(MouserListTable[[#This Row],[Qty.]]=0, 0, "")</f>
        <v>0</v>
      </c>
    </row>
    <row r="549" spans="1:22" s="146" customFormat="1" x14ac:dyDescent="0.3">
      <c r="A549" s="103" t="s">
        <v>897</v>
      </c>
      <c r="B549" s="103" t="s">
        <v>2033</v>
      </c>
      <c r="C549" s="103" t="s">
        <v>8</v>
      </c>
      <c r="D549" s="103" t="str">
        <f>IF(MouserListTable[[#This Row],[Vendor]]=FilterSpecs!$A$8,MouserListTable[[#This Row],[Mouser SKU]], MouserListTable[[#This Row],[SKU2]])</f>
        <v>COM-13253</v>
      </c>
      <c r="E549" s="104">
        <f>FilterSpecs!$C$3</f>
        <v>5</v>
      </c>
      <c r="F549" s="104" t="s">
        <v>18921</v>
      </c>
      <c r="G549" s="103" t="s">
        <v>1121</v>
      </c>
      <c r="H549" s="103" t="s">
        <v>1122</v>
      </c>
      <c r="I549" s="103" t="s">
        <v>1123</v>
      </c>
      <c r="J549" s="103">
        <v>1</v>
      </c>
      <c r="K549" s="104">
        <v>1.95</v>
      </c>
      <c r="L549" s="106" t="s">
        <v>1911</v>
      </c>
      <c r="M549" s="103"/>
      <c r="N549" s="104">
        <f>E549*K549</f>
        <v>9.75</v>
      </c>
      <c r="O549" s="103" t="s">
        <v>1120</v>
      </c>
      <c r="P549" s="103">
        <f t="shared" si="35"/>
        <v>536</v>
      </c>
      <c r="Q549" s="103">
        <f t="shared" si="36"/>
        <v>1</v>
      </c>
      <c r="R549" s="103" t="s">
        <v>8</v>
      </c>
      <c r="S549" s="103" t="str">
        <f>_xlfn.IFS(MouserListTable[[#This Row],[Column1]]=FilterSpecs!$A$6, FilterSpecs!$B$6,MouserListTable[[#This Row],[Column1]]=FilterSpecs!$A$7,FilterSpecs!$B$7,MouserListTable[[#This Row],[Column1]]=FilterSpecs!$A$8,FilterSpecs!$B$8,MouserListTable[[#This Row],[Column1]]=FilterSpecs!$A$9,FilterSpecs!$B$9)</f>
        <v>474-</v>
      </c>
      <c r="T54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474-COM-13253</v>
      </c>
      <c r="V549" s="151" t="str">
        <f>IF(MouserListTable[[#This Row],[Qty.]]=0, 0, "")</f>
        <v/>
      </c>
    </row>
    <row r="550" spans="1:22" s="146" customFormat="1" x14ac:dyDescent="0.3">
      <c r="A550" s="103" t="s">
        <v>897</v>
      </c>
      <c r="B550" s="103" t="s">
        <v>2033</v>
      </c>
      <c r="C550" s="103" t="s">
        <v>8</v>
      </c>
      <c r="D550" s="103" t="str">
        <f>IF(MouserListTable[[#This Row],[Vendor]]=FilterSpecs!$A$8,MouserListTable[[#This Row],[Mouser SKU]], MouserListTable[[#This Row],[SKU2]])</f>
        <v>BOB-13098</v>
      </c>
      <c r="E550" s="104">
        <f>FilterSpecs!$C$3</f>
        <v>5</v>
      </c>
      <c r="F550" s="104" t="s">
        <v>18921</v>
      </c>
      <c r="G550" s="103" t="s">
        <v>1117</v>
      </c>
      <c r="H550" s="103" t="s">
        <v>1118</v>
      </c>
      <c r="I550" s="103" t="s">
        <v>1119</v>
      </c>
      <c r="J550" s="103">
        <v>1</v>
      </c>
      <c r="K550" s="104">
        <v>1.95</v>
      </c>
      <c r="L550" s="106" t="s">
        <v>1911</v>
      </c>
      <c r="M550" s="103"/>
      <c r="N550" s="104">
        <f>E550*K550</f>
        <v>9.75</v>
      </c>
      <c r="O550" s="103" t="s">
        <v>1116</v>
      </c>
      <c r="P550" s="103">
        <f t="shared" si="35"/>
        <v>537</v>
      </c>
      <c r="Q550" s="103">
        <f t="shared" si="36"/>
        <v>1</v>
      </c>
      <c r="R550" s="103" t="s">
        <v>8</v>
      </c>
      <c r="S550" s="103" t="str">
        <f>_xlfn.IFS(MouserListTable[[#This Row],[Column1]]=FilterSpecs!$A$6, FilterSpecs!$B$6,MouserListTable[[#This Row],[Column1]]=FilterSpecs!$A$7,FilterSpecs!$B$7,MouserListTable[[#This Row],[Column1]]=FilterSpecs!$A$8,FilterSpecs!$B$8,MouserListTable[[#This Row],[Column1]]=FilterSpecs!$A$9,FilterSpecs!$B$9)</f>
        <v>474-</v>
      </c>
      <c r="T55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474-BOB-13098</v>
      </c>
      <c r="V550" s="151" t="str">
        <f>IF(MouserListTable[[#This Row],[Qty.]]=0, 0, "")</f>
        <v/>
      </c>
    </row>
    <row r="551" spans="1:22" s="146" customFormat="1" x14ac:dyDescent="0.3">
      <c r="A551" s="103" t="s">
        <v>897</v>
      </c>
      <c r="B551" s="103" t="s">
        <v>2033</v>
      </c>
      <c r="C551" s="103" t="s">
        <v>8</v>
      </c>
      <c r="D551" s="103" t="str">
        <f>IF(MouserListTable[[#This Row],[Vendor]]=FilterSpecs!$A$8,MouserListTable[[#This Row],[Mouser SKU]], MouserListTable[[#This Row],[SKU2]])</f>
        <v>BOB-13099</v>
      </c>
      <c r="E551" s="104">
        <f>FilterSpecs!$C$3</f>
        <v>5</v>
      </c>
      <c r="F551" s="104" t="s">
        <v>18921</v>
      </c>
      <c r="G551" s="103" t="s">
        <v>1125</v>
      </c>
      <c r="H551" s="103" t="s">
        <v>1126</v>
      </c>
      <c r="I551" s="103" t="s">
        <v>1127</v>
      </c>
      <c r="J551" s="103">
        <v>1</v>
      </c>
      <c r="K551" s="104">
        <v>1.95</v>
      </c>
      <c r="L551" s="106" t="s">
        <v>1911</v>
      </c>
      <c r="M551" s="103"/>
      <c r="N551" s="104">
        <f>E551*K551</f>
        <v>9.75</v>
      </c>
      <c r="O551" s="103" t="s">
        <v>1124</v>
      </c>
      <c r="P551" s="103">
        <f t="shared" si="35"/>
        <v>538</v>
      </c>
      <c r="Q551" s="103">
        <f t="shared" si="36"/>
        <v>1</v>
      </c>
      <c r="R551" s="103" t="s">
        <v>8</v>
      </c>
      <c r="S551" s="103" t="str">
        <f>_xlfn.IFS(MouserListTable[[#This Row],[Column1]]=FilterSpecs!$A$6, FilterSpecs!$B$6,MouserListTable[[#This Row],[Column1]]=FilterSpecs!$A$7,FilterSpecs!$B$7,MouserListTable[[#This Row],[Column1]]=FilterSpecs!$A$8,FilterSpecs!$B$8,MouserListTable[[#This Row],[Column1]]=FilterSpecs!$A$9,FilterSpecs!$B$9)</f>
        <v>474-</v>
      </c>
      <c r="T55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474-BOB-13099</v>
      </c>
      <c r="V551" s="151" t="str">
        <f>IF(MouserListTable[[#This Row],[Qty.]]=0, 0, "")</f>
        <v/>
      </c>
    </row>
    <row r="552" spans="1:22" s="146" customFormat="1" x14ac:dyDescent="0.3">
      <c r="A552" s="103" t="s">
        <v>897</v>
      </c>
      <c r="B552" s="103" t="s">
        <v>2033</v>
      </c>
      <c r="C552" s="103" t="s">
        <v>1898</v>
      </c>
      <c r="D552" s="103" t="str">
        <f>IF(MouserListTable[[#This Row],[Vendor]]=FilterSpecs!$A$8,MouserListTable[[#This Row],[Mouser SKU]], MouserListTable[[#This Row],[SKU2]])</f>
        <v>2925</v>
      </c>
      <c r="E552" s="104">
        <v>0</v>
      </c>
      <c r="F552" s="104">
        <v>0</v>
      </c>
      <c r="G552" s="103"/>
      <c r="H552" s="103"/>
      <c r="I552" s="126" t="s">
        <v>2238</v>
      </c>
      <c r="K552" s="148">
        <v>1.95</v>
      </c>
      <c r="L552" s="126" t="s">
        <v>1910</v>
      </c>
      <c r="N552" s="148"/>
      <c r="O552" s="103" t="s">
        <v>2237</v>
      </c>
      <c r="P552" s="103">
        <f t="shared" si="35"/>
        <v>539</v>
      </c>
      <c r="Q552" s="103">
        <f t="shared" si="36"/>
        <v>1</v>
      </c>
      <c r="R552" s="103" t="s">
        <v>1898</v>
      </c>
      <c r="S552" s="103" t="str">
        <f>_xlfn.IFS(MouserListTable[[#This Row],[Column1]]=FilterSpecs!$A$6, FilterSpecs!$B$6,MouserListTable[[#This Row],[Column1]]=FilterSpecs!$A$7,FilterSpecs!$B$7,MouserListTable[[#This Row],[Column1]]=FilterSpecs!$A$8,FilterSpecs!$B$8,MouserListTable[[#This Row],[Column1]]=FilterSpecs!$A$9,FilterSpecs!$B$9)</f>
        <v>485-</v>
      </c>
      <c r="T55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485-2925</v>
      </c>
      <c r="V552" s="151">
        <f>IF(MouserListTable[[#This Row],[Qty.]]=0, 0, "")</f>
        <v>0</v>
      </c>
    </row>
    <row r="553" spans="1:22" s="146" customFormat="1" x14ac:dyDescent="0.3">
      <c r="A553" s="126" t="s">
        <v>897</v>
      </c>
      <c r="B553" s="126" t="s">
        <v>1612</v>
      </c>
      <c r="C553" s="126" t="s">
        <v>8</v>
      </c>
      <c r="D553" s="103" t="str">
        <f>IF(MouserListTable[[#This Row],[Vendor]]=FilterSpecs!$A$8,MouserListTable[[#This Row],[Mouser SKU]], MouserListTable[[#This Row],[SKU2]])</f>
        <v>PRT-11367</v>
      </c>
      <c r="E553" s="104">
        <v>0</v>
      </c>
      <c r="F553" s="104">
        <v>0</v>
      </c>
      <c r="G553" s="103" t="s">
        <v>1664</v>
      </c>
      <c r="H553" s="103" t="s">
        <v>1665</v>
      </c>
      <c r="I553" s="103" t="s">
        <v>1666</v>
      </c>
      <c r="J553" s="103">
        <v>1</v>
      </c>
      <c r="K553" s="104">
        <v>16.95</v>
      </c>
      <c r="L553" s="103" t="s">
        <v>1910</v>
      </c>
      <c r="M553" s="103"/>
      <c r="N553" s="148">
        <f t="shared" ref="N553:N561" si="37">E553*K553</f>
        <v>0</v>
      </c>
      <c r="O553" s="103" t="s">
        <v>1663</v>
      </c>
      <c r="P553" s="103">
        <f t="shared" si="35"/>
        <v>540</v>
      </c>
      <c r="Q553" s="103">
        <f t="shared" si="36"/>
        <v>1</v>
      </c>
      <c r="R553" s="103" t="s">
        <v>8</v>
      </c>
      <c r="S553" s="103" t="str">
        <f>_xlfn.IFS(MouserListTable[[#This Row],[Column1]]=FilterSpecs!$A$6, FilterSpecs!$B$6,MouserListTable[[#This Row],[Column1]]=FilterSpecs!$A$7,FilterSpecs!$B$7,MouserListTable[[#This Row],[Column1]]=FilterSpecs!$A$8,FilterSpecs!$B$8,MouserListTable[[#This Row],[Column1]]=FilterSpecs!$A$9,FilterSpecs!$B$9)</f>
        <v>474-</v>
      </c>
      <c r="T55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474-PRT-11367</v>
      </c>
      <c r="V553" s="151">
        <f>IF(MouserListTable[[#This Row],[Qty.]]=0, 0, "")</f>
        <v>0</v>
      </c>
    </row>
    <row r="554" spans="1:22" s="146" customFormat="1" x14ac:dyDescent="0.3">
      <c r="A554" s="103" t="s">
        <v>897</v>
      </c>
      <c r="B554" s="103" t="s">
        <v>1612</v>
      </c>
      <c r="C554" s="103" t="s">
        <v>1898</v>
      </c>
      <c r="D554" s="103" t="str">
        <f>IF(MouserListTable[[#This Row],[Vendor]]=FilterSpecs!$A$8,MouserListTable[[#This Row],[Mouser SKU]], MouserListTable[[#This Row],[SKU2]])</f>
        <v>3174</v>
      </c>
      <c r="E554" s="104">
        <v>1</v>
      </c>
      <c r="F554" s="104" t="s">
        <v>18921</v>
      </c>
      <c r="H554" s="106"/>
      <c r="I554" s="103" t="s">
        <v>2466</v>
      </c>
      <c r="J554" s="155">
        <v>109</v>
      </c>
      <c r="K554" s="104">
        <v>27.5</v>
      </c>
      <c r="L554" s="103" t="s">
        <v>1910</v>
      </c>
      <c r="M554" s="106"/>
      <c r="N554" s="104">
        <f t="shared" si="37"/>
        <v>27.5</v>
      </c>
      <c r="O554" s="103" t="s">
        <v>2467</v>
      </c>
      <c r="P554" s="103">
        <f t="shared" si="35"/>
        <v>541</v>
      </c>
      <c r="Q554" s="103">
        <f t="shared" si="36"/>
        <v>1</v>
      </c>
      <c r="R554" s="103" t="s">
        <v>1898</v>
      </c>
      <c r="S554" s="103" t="str">
        <f>_xlfn.IFS(MouserListTable[[#This Row],[Column1]]=FilterSpecs!$A$6, FilterSpecs!$B$6,MouserListTable[[#This Row],[Column1]]=FilterSpecs!$A$7,FilterSpecs!$B$7,MouserListTable[[#This Row],[Column1]]=FilterSpecs!$A$8,FilterSpecs!$B$8,MouserListTable[[#This Row],[Column1]]=FilterSpecs!$A$9,FilterSpecs!$B$9)</f>
        <v>485-</v>
      </c>
      <c r="T55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485-3174</v>
      </c>
      <c r="V554" s="151" t="str">
        <f>IF(MouserListTable[[#This Row],[Qty.]]=0, 0, "")</f>
        <v/>
      </c>
    </row>
    <row r="555" spans="1:22" s="146" customFormat="1" x14ac:dyDescent="0.3">
      <c r="A555" s="126" t="s">
        <v>897</v>
      </c>
      <c r="B555" s="126" t="s">
        <v>1612</v>
      </c>
      <c r="C555" s="126" t="s">
        <v>8</v>
      </c>
      <c r="D555" s="103" t="str">
        <f>IF(MouserListTable[[#This Row],[Vendor]]=FilterSpecs!$A$8,MouserListTable[[#This Row],[Mouser SKU]], MouserListTable[[#This Row],[SKU2]])</f>
        <v>PRT-08023</v>
      </c>
      <c r="E555" s="104">
        <v>0</v>
      </c>
      <c r="F555" s="104">
        <v>0</v>
      </c>
      <c r="G555" s="103" t="s">
        <v>1402</v>
      </c>
      <c r="H555" s="103" t="s">
        <v>1403</v>
      </c>
      <c r="I555" s="103" t="s">
        <v>1404</v>
      </c>
      <c r="J555" s="103">
        <v>1</v>
      </c>
      <c r="K555" s="104">
        <v>2.5</v>
      </c>
      <c r="L555" s="103" t="s">
        <v>1912</v>
      </c>
      <c r="M555" s="103"/>
      <c r="N555" s="148">
        <f t="shared" si="37"/>
        <v>0</v>
      </c>
      <c r="O555" s="103" t="s">
        <v>1401</v>
      </c>
      <c r="P555" s="103">
        <f t="shared" si="35"/>
        <v>542</v>
      </c>
      <c r="Q555" s="103">
        <f t="shared" si="36"/>
        <v>1</v>
      </c>
      <c r="R555" s="103" t="s">
        <v>8</v>
      </c>
      <c r="S555" s="103" t="str">
        <f>_xlfn.IFS(MouserListTable[[#This Row],[Column1]]=FilterSpecs!$A$6, FilterSpecs!$B$6,MouserListTable[[#This Row],[Column1]]=FilterSpecs!$A$7,FilterSpecs!$B$7,MouserListTable[[#This Row],[Column1]]=FilterSpecs!$A$8,FilterSpecs!$B$8,MouserListTable[[#This Row],[Column1]]=FilterSpecs!$A$9,FilterSpecs!$B$9)</f>
        <v>474-</v>
      </c>
      <c r="T55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474-PRT-08023</v>
      </c>
      <c r="V555" s="151">
        <f>IF(MouserListTable[[#This Row],[Qty.]]=0, 0, "")</f>
        <v>0</v>
      </c>
    </row>
    <row r="556" spans="1:22" s="146" customFormat="1" x14ac:dyDescent="0.3">
      <c r="A556" s="126" t="s">
        <v>897</v>
      </c>
      <c r="B556" s="126" t="s">
        <v>1612</v>
      </c>
      <c r="C556" s="126" t="s">
        <v>8</v>
      </c>
      <c r="D556" s="103" t="str">
        <f>IF(MouserListTable[[#This Row],[Vendor]]=FilterSpecs!$A$8,MouserListTable[[#This Row],[Mouser SKU]], MouserListTable[[#This Row],[SKU2]])</f>
        <v>PRT-08024</v>
      </c>
      <c r="E556" s="104">
        <v>0</v>
      </c>
      <c r="F556" s="104">
        <v>0</v>
      </c>
      <c r="G556" s="103" t="s">
        <v>1394</v>
      </c>
      <c r="H556" s="103" t="s">
        <v>1395</v>
      </c>
      <c r="I556" s="103" t="s">
        <v>1396</v>
      </c>
      <c r="J556" s="103">
        <v>1</v>
      </c>
      <c r="K556" s="104">
        <v>2.5</v>
      </c>
      <c r="L556" s="103" t="s">
        <v>1912</v>
      </c>
      <c r="M556" s="103"/>
      <c r="N556" s="148">
        <f t="shared" si="37"/>
        <v>0</v>
      </c>
      <c r="O556" s="103" t="s">
        <v>1393</v>
      </c>
      <c r="P556" s="103">
        <f t="shared" si="35"/>
        <v>543</v>
      </c>
      <c r="Q556" s="103">
        <f t="shared" si="36"/>
        <v>1</v>
      </c>
      <c r="R556" s="103" t="s">
        <v>8</v>
      </c>
      <c r="S556" s="103" t="str">
        <f>_xlfn.IFS(MouserListTable[[#This Row],[Column1]]=FilterSpecs!$A$6, FilterSpecs!$B$6,MouserListTable[[#This Row],[Column1]]=FilterSpecs!$A$7,FilterSpecs!$B$7,MouserListTable[[#This Row],[Column1]]=FilterSpecs!$A$8,FilterSpecs!$B$8,MouserListTable[[#This Row],[Column1]]=FilterSpecs!$A$9,FilterSpecs!$B$9)</f>
        <v>474-</v>
      </c>
      <c r="T55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474-PRT-08024</v>
      </c>
      <c r="V556" s="151">
        <f>IF(MouserListTable[[#This Row],[Qty.]]=0, 0, "")</f>
        <v>0</v>
      </c>
    </row>
    <row r="557" spans="1:22" s="146" customFormat="1" x14ac:dyDescent="0.3">
      <c r="A557" s="126" t="s">
        <v>897</v>
      </c>
      <c r="B557" s="126" t="s">
        <v>1612</v>
      </c>
      <c r="C557" s="126" t="s">
        <v>8</v>
      </c>
      <c r="D557" s="103" t="str">
        <f>IF(MouserListTable[[#This Row],[Vendor]]=FilterSpecs!$A$8,MouserListTable[[#This Row],[Mouser SKU]], MouserListTable[[#This Row],[SKU2]])</f>
        <v>PRT-08022</v>
      </c>
      <c r="E557" s="104">
        <v>0</v>
      </c>
      <c r="F557" s="104">
        <v>0</v>
      </c>
      <c r="G557" s="103" t="s">
        <v>1398</v>
      </c>
      <c r="H557" s="103" t="s">
        <v>1399</v>
      </c>
      <c r="I557" s="103" t="s">
        <v>1400</v>
      </c>
      <c r="J557" s="103">
        <v>1</v>
      </c>
      <c r="K557" s="104">
        <v>2.5</v>
      </c>
      <c r="L557" s="103" t="s">
        <v>1912</v>
      </c>
      <c r="M557" s="103"/>
      <c r="N557" s="148">
        <f t="shared" si="37"/>
        <v>0</v>
      </c>
      <c r="O557" s="103" t="s">
        <v>1397</v>
      </c>
      <c r="P557" s="103">
        <f t="shared" si="35"/>
        <v>544</v>
      </c>
      <c r="Q557" s="103">
        <f t="shared" si="36"/>
        <v>1</v>
      </c>
      <c r="R557" s="103" t="s">
        <v>8</v>
      </c>
      <c r="S557" s="103" t="str">
        <f>_xlfn.IFS(MouserListTable[[#This Row],[Column1]]=FilterSpecs!$A$6, FilterSpecs!$B$6,MouserListTable[[#This Row],[Column1]]=FilterSpecs!$A$7,FilterSpecs!$B$7,MouserListTable[[#This Row],[Column1]]=FilterSpecs!$A$8,FilterSpecs!$B$8,MouserListTable[[#This Row],[Column1]]=FilterSpecs!$A$9,FilterSpecs!$B$9)</f>
        <v>474-</v>
      </c>
      <c r="T55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474-PRT-08022</v>
      </c>
      <c r="V557" s="151">
        <f>IF(MouserListTable[[#This Row],[Qty.]]=0, 0, "")</f>
        <v>0</v>
      </c>
    </row>
    <row r="558" spans="1:22" s="146" customFormat="1" x14ac:dyDescent="0.3">
      <c r="A558" s="126" t="s">
        <v>897</v>
      </c>
      <c r="B558" s="126" t="s">
        <v>1612</v>
      </c>
      <c r="C558" s="126" t="s">
        <v>8</v>
      </c>
      <c r="D558" s="103" t="str">
        <f>IF(MouserListTable[[#This Row],[Vendor]]=FilterSpecs!$A$8,MouserListTable[[#This Row],[Mouser SKU]], MouserListTable[[#This Row],[SKU2]])</f>
        <v>PRT-08025</v>
      </c>
      <c r="E558" s="104">
        <v>0</v>
      </c>
      <c r="F558" s="104">
        <v>0</v>
      </c>
      <c r="G558" s="103" t="s">
        <v>1656</v>
      </c>
      <c r="H558" s="103" t="s">
        <v>1657</v>
      </c>
      <c r="I558" s="103" t="s">
        <v>1658</v>
      </c>
      <c r="J558" s="103"/>
      <c r="K558" s="104">
        <v>2.95</v>
      </c>
      <c r="L558" s="103" t="s">
        <v>1910</v>
      </c>
      <c r="M558" s="103"/>
      <c r="N558" s="148">
        <f t="shared" si="37"/>
        <v>0</v>
      </c>
      <c r="O558" s="103" t="s">
        <v>1655</v>
      </c>
      <c r="P558" s="103">
        <f t="shared" si="35"/>
        <v>545</v>
      </c>
      <c r="Q558" s="103">
        <f t="shared" si="36"/>
        <v>1</v>
      </c>
      <c r="R558" s="103" t="s">
        <v>8</v>
      </c>
      <c r="S558" s="103" t="str">
        <f>_xlfn.IFS(MouserListTable[[#This Row],[Column1]]=FilterSpecs!$A$6, FilterSpecs!$B$6,MouserListTable[[#This Row],[Column1]]=FilterSpecs!$A$7,FilterSpecs!$B$7,MouserListTable[[#This Row],[Column1]]=FilterSpecs!$A$8,FilterSpecs!$B$8,MouserListTable[[#This Row],[Column1]]=FilterSpecs!$A$9,FilterSpecs!$B$9)</f>
        <v>474-</v>
      </c>
      <c r="T55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474-PRT-08025</v>
      </c>
      <c r="V558" s="151">
        <f>IF(MouserListTable[[#This Row],[Qty.]]=0, 0, "")</f>
        <v>0</v>
      </c>
    </row>
    <row r="559" spans="1:22" s="146" customFormat="1" x14ac:dyDescent="0.3">
      <c r="A559" s="126" t="s">
        <v>897</v>
      </c>
      <c r="B559" s="126" t="s">
        <v>1612</v>
      </c>
      <c r="C559" s="126" t="s">
        <v>8</v>
      </c>
      <c r="D559" s="103" t="str">
        <f>IF(MouserListTable[[#This Row],[Vendor]]=FilterSpecs!$A$8,MouserListTable[[#This Row],[Mouser SKU]], MouserListTable[[#This Row],[SKU2]])</f>
        <v>PRT-08026</v>
      </c>
      <c r="E559" s="104">
        <v>0</v>
      </c>
      <c r="F559" s="104">
        <v>0</v>
      </c>
      <c r="G559" s="103" t="s">
        <v>1390</v>
      </c>
      <c r="H559" s="103" t="s">
        <v>1391</v>
      </c>
      <c r="I559" s="103" t="s">
        <v>1392</v>
      </c>
      <c r="J559" s="103">
        <v>1</v>
      </c>
      <c r="K559" s="104">
        <v>2.5</v>
      </c>
      <c r="L559" s="103" t="s">
        <v>1913</v>
      </c>
      <c r="M559" s="103"/>
      <c r="N559" s="148">
        <f t="shared" si="37"/>
        <v>0</v>
      </c>
      <c r="O559" s="103" t="s">
        <v>1389</v>
      </c>
      <c r="P559" s="103">
        <f t="shared" si="35"/>
        <v>546</v>
      </c>
      <c r="Q559" s="103">
        <f t="shared" si="36"/>
        <v>1</v>
      </c>
      <c r="R559" s="103" t="s">
        <v>8</v>
      </c>
      <c r="S559" s="103" t="str">
        <f>_xlfn.IFS(MouserListTable[[#This Row],[Column1]]=FilterSpecs!$A$6, FilterSpecs!$B$6,MouserListTable[[#This Row],[Column1]]=FilterSpecs!$A$7,FilterSpecs!$B$7,MouserListTable[[#This Row],[Column1]]=FilterSpecs!$A$8,FilterSpecs!$B$8,MouserListTable[[#This Row],[Column1]]=FilterSpecs!$A$9,FilterSpecs!$B$9)</f>
        <v>474-</v>
      </c>
      <c r="T55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474-PRT-08026</v>
      </c>
      <c r="V559" s="151">
        <f>IF(MouserListTable[[#This Row],[Qty.]]=0, 0, "")</f>
        <v>0</v>
      </c>
    </row>
    <row r="560" spans="1:22" s="146" customFormat="1" x14ac:dyDescent="0.3">
      <c r="A560" s="126" t="s">
        <v>897</v>
      </c>
      <c r="B560" s="126" t="s">
        <v>1612</v>
      </c>
      <c r="C560" s="126" t="s">
        <v>8</v>
      </c>
      <c r="D560" s="103" t="str">
        <f>IF(MouserListTable[[#This Row],[Vendor]]=FilterSpecs!$A$8,MouserListTable[[#This Row],[Mouser SKU]], MouserListTable[[#This Row],[SKU2]])</f>
        <v>PRT-08027</v>
      </c>
      <c r="E560" s="104">
        <v>0</v>
      </c>
      <c r="F560" s="104">
        <v>0</v>
      </c>
      <c r="G560" s="103" t="s">
        <v>1660</v>
      </c>
      <c r="H560" s="103" t="s">
        <v>1661</v>
      </c>
      <c r="I560" s="103" t="s">
        <v>1662</v>
      </c>
      <c r="J560" s="103"/>
      <c r="K560" s="104">
        <v>2.95</v>
      </c>
      <c r="L560" s="103" t="s">
        <v>1910</v>
      </c>
      <c r="M560" s="103"/>
      <c r="N560" s="148">
        <f t="shared" si="37"/>
        <v>0</v>
      </c>
      <c r="O560" s="103" t="s">
        <v>1659</v>
      </c>
      <c r="P560" s="103">
        <f t="shared" si="35"/>
        <v>547</v>
      </c>
      <c r="Q560" s="103">
        <f t="shared" si="36"/>
        <v>1</v>
      </c>
      <c r="R560" s="103" t="s">
        <v>8</v>
      </c>
      <c r="S560" s="103" t="str">
        <f>_xlfn.IFS(MouserListTable[[#This Row],[Column1]]=FilterSpecs!$A$6, FilterSpecs!$B$6,MouserListTable[[#This Row],[Column1]]=FilterSpecs!$A$7,FilterSpecs!$B$7,MouserListTable[[#This Row],[Column1]]=FilterSpecs!$A$8,FilterSpecs!$B$8,MouserListTable[[#This Row],[Column1]]=FilterSpecs!$A$9,FilterSpecs!$B$9)</f>
        <v>474-</v>
      </c>
      <c r="T56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474-PRT-08027</v>
      </c>
      <c r="V560" s="151">
        <f>IF(MouserListTable[[#This Row],[Qty.]]=0, 0, "")</f>
        <v>0</v>
      </c>
    </row>
    <row r="561" spans="1:22" s="146" customFormat="1" x14ac:dyDescent="0.3">
      <c r="A561" s="103" t="s">
        <v>897</v>
      </c>
      <c r="B561" s="103" t="s">
        <v>1612</v>
      </c>
      <c r="C561" s="103" t="s">
        <v>8</v>
      </c>
      <c r="D561" s="103" t="str">
        <f>IF(MouserListTable[[#This Row],[Vendor]]=FilterSpecs!$A$8,MouserListTable[[#This Row],[Mouser SKU]], MouserListTable[[#This Row],[SKU2]])</f>
        <v>PRT-00124</v>
      </c>
      <c r="E561" s="104">
        <v>2</v>
      </c>
      <c r="F561" s="104" t="s">
        <v>18921</v>
      </c>
      <c r="G561" s="103" t="s">
        <v>418</v>
      </c>
      <c r="H561" s="103" t="s">
        <v>419</v>
      </c>
      <c r="I561" s="103" t="s">
        <v>420</v>
      </c>
      <c r="J561" s="103">
        <v>1</v>
      </c>
      <c r="K561" s="104">
        <v>6.95</v>
      </c>
      <c r="L561" s="103" t="s">
        <v>1910</v>
      </c>
      <c r="M561" s="103"/>
      <c r="N561" s="104">
        <f t="shared" si="37"/>
        <v>13.9</v>
      </c>
      <c r="O561" s="103" t="s">
        <v>417</v>
      </c>
      <c r="P561" s="103">
        <f t="shared" si="35"/>
        <v>548</v>
      </c>
      <c r="Q561" s="103">
        <f t="shared" si="36"/>
        <v>1</v>
      </c>
      <c r="R561" s="103" t="s">
        <v>8</v>
      </c>
      <c r="S561" s="103" t="str">
        <f>_xlfn.IFS(MouserListTable[[#This Row],[Column1]]=FilterSpecs!$A$6, FilterSpecs!$B$6,MouserListTable[[#This Row],[Column1]]=FilterSpecs!$A$7,FilterSpecs!$B$7,MouserListTable[[#This Row],[Column1]]=FilterSpecs!$A$8,FilterSpecs!$B$8,MouserListTable[[#This Row],[Column1]]=FilterSpecs!$A$9,FilterSpecs!$B$9)</f>
        <v>474-</v>
      </c>
      <c r="T56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474-PRT-00124</v>
      </c>
      <c r="V561" s="151" t="str">
        <f>IF(MouserListTable[[#This Row],[Qty.]]=0, 0, "")</f>
        <v/>
      </c>
    </row>
    <row r="562" spans="1:22" s="146" customFormat="1" x14ac:dyDescent="0.3">
      <c r="A562" s="128" t="s">
        <v>897</v>
      </c>
      <c r="B562" s="128" t="s">
        <v>1612</v>
      </c>
      <c r="C562" s="128" t="s">
        <v>1898</v>
      </c>
      <c r="D562" s="103" t="str">
        <f>IF(MouserListTable[[#This Row],[Vendor]]=FilterSpecs!$A$8,MouserListTable[[#This Row],[Mouser SKU]], MouserListTable[[#This Row],[SKU2]])</f>
        <v>3314</v>
      </c>
      <c r="E562" s="129">
        <v>0</v>
      </c>
      <c r="F562" s="129">
        <v>0</v>
      </c>
      <c r="I562" s="128" t="s">
        <v>2468</v>
      </c>
      <c r="J562" s="155">
        <v>110</v>
      </c>
      <c r="K562" s="129">
        <v>7.95</v>
      </c>
      <c r="L562" s="126" t="s">
        <v>1910</v>
      </c>
      <c r="N562" s="148"/>
      <c r="O562" s="128" t="s">
        <v>2469</v>
      </c>
      <c r="P562" s="103">
        <f t="shared" si="35"/>
        <v>549</v>
      </c>
      <c r="Q562" s="103">
        <f t="shared" si="36"/>
        <v>1</v>
      </c>
      <c r="R562" s="103" t="s">
        <v>1898</v>
      </c>
      <c r="S562" s="103" t="str">
        <f>_xlfn.IFS(MouserListTable[[#This Row],[Column1]]=FilterSpecs!$A$6, FilterSpecs!$B$6,MouserListTable[[#This Row],[Column1]]=FilterSpecs!$A$7,FilterSpecs!$B$7,MouserListTable[[#This Row],[Column1]]=FilterSpecs!$A$8,FilterSpecs!$B$8,MouserListTable[[#This Row],[Column1]]=FilterSpecs!$A$9,FilterSpecs!$B$9)</f>
        <v>485-</v>
      </c>
      <c r="T56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485-3314</v>
      </c>
      <c r="V562" s="151">
        <f>IF(MouserListTable[[#This Row],[Qty.]]=0, 0, "")</f>
        <v>0</v>
      </c>
    </row>
    <row r="563" spans="1:22" s="146" customFormat="1" x14ac:dyDescent="0.3">
      <c r="A563" s="103" t="s">
        <v>17</v>
      </c>
      <c r="B563" s="103" t="s">
        <v>1614</v>
      </c>
      <c r="C563" s="103" t="s">
        <v>8</v>
      </c>
      <c r="D563" s="103" t="str">
        <f>IF(MouserListTable[[#This Row],[Vendor]]=FilterSpecs!$A$8,MouserListTable[[#This Row],[Mouser SKU]], MouserListTable[[#This Row],[SKU2]])</f>
        <v>TOL-13086</v>
      </c>
      <c r="E563" s="104">
        <v>1</v>
      </c>
      <c r="F563" s="104" t="s">
        <v>18921</v>
      </c>
      <c r="G563" s="103" t="s">
        <v>1198</v>
      </c>
      <c r="H563" s="103" t="s">
        <v>1199</v>
      </c>
      <c r="I563" s="103" t="s">
        <v>1200</v>
      </c>
      <c r="J563" s="103">
        <v>1</v>
      </c>
      <c r="K563" s="104">
        <v>34.950000000000003</v>
      </c>
      <c r="L563" s="103" t="s">
        <v>1914</v>
      </c>
      <c r="M563" s="106"/>
      <c r="N563" s="104">
        <f>E563*K563</f>
        <v>34.950000000000003</v>
      </c>
      <c r="O563" s="103" t="s">
        <v>1197</v>
      </c>
      <c r="P563" s="103">
        <f t="shared" si="35"/>
        <v>550</v>
      </c>
      <c r="Q563" s="103">
        <f t="shared" si="36"/>
        <v>1</v>
      </c>
      <c r="R563" s="103" t="s">
        <v>8</v>
      </c>
      <c r="S563" s="103" t="str">
        <f>_xlfn.IFS(MouserListTable[[#This Row],[Column1]]=FilterSpecs!$A$6, FilterSpecs!$B$6,MouserListTable[[#This Row],[Column1]]=FilterSpecs!$A$7,FilterSpecs!$B$7,MouserListTable[[#This Row],[Column1]]=FilterSpecs!$A$8,FilterSpecs!$B$8,MouserListTable[[#This Row],[Column1]]=FilterSpecs!$A$9,FilterSpecs!$B$9)</f>
        <v>474-</v>
      </c>
      <c r="T56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474-TOL-13086</v>
      </c>
      <c r="V563" s="151" t="str">
        <f>IF(MouserListTable[[#This Row],[Qty.]]=0, 0, "")</f>
        <v/>
      </c>
    </row>
    <row r="564" spans="1:22" s="146" customFormat="1" x14ac:dyDescent="0.3">
      <c r="A564" s="128" t="s">
        <v>17</v>
      </c>
      <c r="B564" s="128" t="s">
        <v>1614</v>
      </c>
      <c r="C564" s="128" t="s">
        <v>1898</v>
      </c>
      <c r="D564" s="103" t="str">
        <f>IF(MouserListTable[[#This Row],[Vendor]]=FilterSpecs!$A$8,MouserListTable[[#This Row],[Mouser SKU]], MouserListTable[[#This Row],[SKU2]])</f>
        <v>136</v>
      </c>
      <c r="E564" s="129">
        <v>0</v>
      </c>
      <c r="F564" s="129">
        <v>0</v>
      </c>
      <c r="I564" s="128" t="s">
        <v>2464</v>
      </c>
      <c r="J564" s="155">
        <v>108</v>
      </c>
      <c r="K564" s="129">
        <v>100</v>
      </c>
      <c r="L564" s="126" t="s">
        <v>1910</v>
      </c>
      <c r="N564" s="148"/>
      <c r="O564" s="128" t="s">
        <v>2465</v>
      </c>
      <c r="P564" s="103">
        <f t="shared" si="35"/>
        <v>551</v>
      </c>
      <c r="Q564" s="103">
        <f t="shared" si="36"/>
        <v>1</v>
      </c>
      <c r="R564" s="103" t="s">
        <v>1898</v>
      </c>
      <c r="S564" s="103" t="str">
        <f>_xlfn.IFS(MouserListTable[[#This Row],[Column1]]=FilterSpecs!$A$6, FilterSpecs!$B$6,MouserListTable[[#This Row],[Column1]]=FilterSpecs!$A$7,FilterSpecs!$B$7,MouserListTable[[#This Row],[Column1]]=FilterSpecs!$A$8,FilterSpecs!$B$8,MouserListTable[[#This Row],[Column1]]=FilterSpecs!$A$9,FilterSpecs!$B$9)</f>
        <v>485-</v>
      </c>
      <c r="T56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485-136</v>
      </c>
      <c r="V564" s="151">
        <f>IF(MouserListTable[[#This Row],[Qty.]]=0, 0, "")</f>
        <v>0</v>
      </c>
    </row>
    <row r="565" spans="1:22" s="146" customFormat="1" x14ac:dyDescent="0.3">
      <c r="A565" s="126" t="s">
        <v>17</v>
      </c>
      <c r="B565" s="126" t="s">
        <v>1614</v>
      </c>
      <c r="C565" s="126" t="s">
        <v>8</v>
      </c>
      <c r="D565" s="103" t="str">
        <f>IF(MouserListTable[[#This Row],[Vendor]]=FilterSpecs!$A$8,MouserListTable[[#This Row],[Mouser SKU]], MouserListTable[[#This Row],[SKU2]])</f>
        <v>TOL-14226</v>
      </c>
      <c r="E565" s="104">
        <v>0</v>
      </c>
      <c r="F565" s="104">
        <v>0</v>
      </c>
      <c r="G565" s="103" t="s">
        <v>1643</v>
      </c>
      <c r="H565" s="103" t="s">
        <v>1644</v>
      </c>
      <c r="I565" s="103" t="s">
        <v>1645</v>
      </c>
      <c r="J565" s="103"/>
      <c r="K565" s="104">
        <v>59.95</v>
      </c>
      <c r="L565" s="103" t="s">
        <v>1914</v>
      </c>
      <c r="N565" s="149">
        <f>MouserListTable[[#This Row],[Qty.]]*MouserListTable[[#This Row],[Price (USD)]]</f>
        <v>0</v>
      </c>
      <c r="O565" s="103" t="s">
        <v>1642</v>
      </c>
      <c r="P565" s="103">
        <f t="shared" si="35"/>
        <v>552</v>
      </c>
      <c r="Q565" s="103">
        <f t="shared" si="36"/>
        <v>1</v>
      </c>
      <c r="R565" s="103" t="s">
        <v>8</v>
      </c>
      <c r="S565" s="103" t="str">
        <f>_xlfn.IFS(MouserListTable[[#This Row],[Column1]]=FilterSpecs!$A$6, FilterSpecs!$B$6,MouserListTable[[#This Row],[Column1]]=FilterSpecs!$A$7,FilterSpecs!$B$7,MouserListTable[[#This Row],[Column1]]=FilterSpecs!$A$8,FilterSpecs!$B$8,MouserListTable[[#This Row],[Column1]]=FilterSpecs!$A$9,FilterSpecs!$B$9)</f>
        <v>474-</v>
      </c>
      <c r="T56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474-TOL-14226</v>
      </c>
      <c r="V565" s="151">
        <f>IF(MouserListTable[[#This Row],[Qty.]]=0, 0, "")</f>
        <v>0</v>
      </c>
    </row>
    <row r="566" spans="1:22" s="146" customFormat="1" x14ac:dyDescent="0.3">
      <c r="A566" s="103" t="s">
        <v>17</v>
      </c>
      <c r="B566" s="103" t="s">
        <v>1614</v>
      </c>
      <c r="C566" s="103" t="s">
        <v>8</v>
      </c>
      <c r="D566" s="103" t="str">
        <f>IF(MouserListTable[[#This Row],[Vendor]]=FilterSpecs!$A$8,MouserListTable[[#This Row],[Mouser SKU]], MouserListTable[[#This Row],[SKU2]])</f>
        <v>TOL-13203</v>
      </c>
      <c r="E566" s="104">
        <v>1</v>
      </c>
      <c r="F566" s="104" t="s">
        <v>18921</v>
      </c>
      <c r="G566" s="103" t="s">
        <v>1651</v>
      </c>
      <c r="H566" s="103" t="s">
        <v>1652</v>
      </c>
      <c r="I566" s="103" t="s">
        <v>1653</v>
      </c>
      <c r="J566" s="103"/>
      <c r="K566" s="104">
        <v>4.95</v>
      </c>
      <c r="L566" s="103" t="s">
        <v>1914</v>
      </c>
      <c r="M566" s="106"/>
      <c r="N566" s="104">
        <f>E566*K566</f>
        <v>4.95</v>
      </c>
      <c r="O566" s="103" t="s">
        <v>1650</v>
      </c>
      <c r="P566" s="103">
        <f t="shared" si="35"/>
        <v>553</v>
      </c>
      <c r="Q566" s="103">
        <f t="shared" si="36"/>
        <v>1</v>
      </c>
      <c r="R566" s="103" t="s">
        <v>8</v>
      </c>
      <c r="S566" s="103" t="str">
        <f>_xlfn.IFS(MouserListTable[[#This Row],[Column1]]=FilterSpecs!$A$6, FilterSpecs!$B$6,MouserListTable[[#This Row],[Column1]]=FilterSpecs!$A$7,FilterSpecs!$B$7,MouserListTable[[#This Row],[Column1]]=FilterSpecs!$A$8,FilterSpecs!$B$8,MouserListTable[[#This Row],[Column1]]=FilterSpecs!$A$9,FilterSpecs!$B$9)</f>
        <v>474-</v>
      </c>
      <c r="T56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474-TOL-13203</v>
      </c>
      <c r="V566" s="151" t="str">
        <f>IF(MouserListTable[[#This Row],[Qty.]]=0, 0, "")</f>
        <v/>
      </c>
    </row>
    <row r="567" spans="1:22" s="146" customFormat="1" x14ac:dyDescent="0.3">
      <c r="A567" s="103" t="s">
        <v>17</v>
      </c>
      <c r="B567" s="103" t="s">
        <v>1614</v>
      </c>
      <c r="C567" s="103" t="s">
        <v>8</v>
      </c>
      <c r="D567" s="103" t="str">
        <f>IF(MouserListTable[[#This Row],[Vendor]]=FilterSpecs!$A$8,MouserListTable[[#This Row],[Mouser SKU]], MouserListTable[[#This Row],[SKU2]])</f>
        <v>TOL-08964</v>
      </c>
      <c r="E567" s="104">
        <v>1</v>
      </c>
      <c r="F567" s="104" t="s">
        <v>18921</v>
      </c>
      <c r="G567" s="103" t="s">
        <v>1623</v>
      </c>
      <c r="H567" s="103" t="s">
        <v>1624</v>
      </c>
      <c r="I567" s="103" t="s">
        <v>1625</v>
      </c>
      <c r="J567" s="103">
        <v>1</v>
      </c>
      <c r="K567" s="104">
        <v>2.95</v>
      </c>
      <c r="L567" s="103" t="s">
        <v>1914</v>
      </c>
      <c r="M567" s="106"/>
      <c r="N567" s="104">
        <f>E567*K567</f>
        <v>2.95</v>
      </c>
      <c r="O567" s="103" t="s">
        <v>1622</v>
      </c>
      <c r="P567" s="103">
        <f t="shared" si="35"/>
        <v>554</v>
      </c>
      <c r="Q567" s="103">
        <f t="shared" si="36"/>
        <v>1</v>
      </c>
      <c r="R567" s="103" t="s">
        <v>8</v>
      </c>
      <c r="S567" s="103" t="str">
        <f>_xlfn.IFS(MouserListTable[[#This Row],[Column1]]=FilterSpecs!$A$6, FilterSpecs!$B$6,MouserListTable[[#This Row],[Column1]]=FilterSpecs!$A$7,FilterSpecs!$B$7,MouserListTable[[#This Row],[Column1]]=FilterSpecs!$A$8,FilterSpecs!$B$8,MouserListTable[[#This Row],[Column1]]=FilterSpecs!$A$9,FilterSpecs!$B$9)</f>
        <v>474-</v>
      </c>
      <c r="T56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474-TOL-08964</v>
      </c>
      <c r="V567" s="151" t="str">
        <f>IF(MouserListTable[[#This Row],[Qty.]]=0, 0, "")</f>
        <v/>
      </c>
    </row>
    <row r="568" spans="1:22" s="146" customFormat="1" x14ac:dyDescent="0.3">
      <c r="A568" s="103" t="s">
        <v>17</v>
      </c>
      <c r="B568" s="103" t="s">
        <v>1614</v>
      </c>
      <c r="C568" s="103" t="s">
        <v>8</v>
      </c>
      <c r="D568" s="103" t="str">
        <f>IF(MouserListTable[[#This Row],[Vendor]]=FilterSpecs!$A$8,MouserListTable[[#This Row],[Mouser SKU]], MouserListTable[[#This Row],[SKU2]])</f>
        <v>TOL-12878</v>
      </c>
      <c r="E568" s="104">
        <v>1</v>
      </c>
      <c r="F568" s="104" t="s">
        <v>18921</v>
      </c>
      <c r="G568" s="103" t="s">
        <v>1442</v>
      </c>
      <c r="H568" s="103" t="s">
        <v>1443</v>
      </c>
      <c r="I568" s="103" t="s">
        <v>1444</v>
      </c>
      <c r="J568" s="103">
        <v>1</v>
      </c>
      <c r="K568" s="104">
        <v>16.95</v>
      </c>
      <c r="L568" s="103" t="s">
        <v>1914</v>
      </c>
      <c r="M568" s="106"/>
      <c r="N568" s="104">
        <f>E568*K568</f>
        <v>16.95</v>
      </c>
      <c r="O568" s="103" t="s">
        <v>1441</v>
      </c>
      <c r="P568" s="103">
        <f t="shared" si="35"/>
        <v>555</v>
      </c>
      <c r="Q568" s="103">
        <f t="shared" si="36"/>
        <v>1</v>
      </c>
      <c r="R568" s="103" t="s">
        <v>8</v>
      </c>
      <c r="S568" s="103" t="str">
        <f>_xlfn.IFS(MouserListTable[[#This Row],[Column1]]=FilterSpecs!$A$6, FilterSpecs!$B$6,MouserListTable[[#This Row],[Column1]]=FilterSpecs!$A$7,FilterSpecs!$B$7,MouserListTable[[#This Row],[Column1]]=FilterSpecs!$A$8,FilterSpecs!$B$8,MouserListTable[[#This Row],[Column1]]=FilterSpecs!$A$9,FilterSpecs!$B$9)</f>
        <v>474-</v>
      </c>
      <c r="T56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474-TOL-12878</v>
      </c>
      <c r="V568" s="151" t="str">
        <f>IF(MouserListTable[[#This Row],[Qty.]]=0, 0, "")</f>
        <v/>
      </c>
    </row>
    <row r="569" spans="1:22" s="146" customFormat="1" x14ac:dyDescent="0.3">
      <c r="A569" s="103" t="s">
        <v>17</v>
      </c>
      <c r="B569" s="103" t="s">
        <v>1614</v>
      </c>
      <c r="C569" s="103" t="s">
        <v>8</v>
      </c>
      <c r="D569" s="103" t="str">
        <f>IF(MouserListTable[[#This Row],[Vendor]]=FilterSpecs!$A$8,MouserListTable[[#This Row],[Mouser SKU]], MouserListTable[[#This Row],[SKU2]])</f>
        <v>TOL-10706</v>
      </c>
      <c r="E569" s="104">
        <v>1</v>
      </c>
      <c r="F569" s="104" t="s">
        <v>18921</v>
      </c>
      <c r="G569" s="103" t="s">
        <v>858</v>
      </c>
      <c r="H569" s="103" t="s">
        <v>859</v>
      </c>
      <c r="I569" s="103" t="s">
        <v>860</v>
      </c>
      <c r="J569" s="103"/>
      <c r="K569" s="104">
        <v>114.95</v>
      </c>
      <c r="L569" s="103" t="s">
        <v>1914</v>
      </c>
      <c r="M569" s="103"/>
      <c r="N569" s="104">
        <f>E569*K569</f>
        <v>114.95</v>
      </c>
      <c r="O569" s="103" t="s">
        <v>857</v>
      </c>
      <c r="P569" s="103">
        <f t="shared" si="35"/>
        <v>556</v>
      </c>
      <c r="Q569" s="103">
        <f t="shared" si="36"/>
        <v>1</v>
      </c>
      <c r="R569" s="103" t="s">
        <v>8</v>
      </c>
      <c r="S569" s="103" t="str">
        <f>_xlfn.IFS(MouserListTable[[#This Row],[Column1]]=FilterSpecs!$A$6, FilterSpecs!$B$6,MouserListTable[[#This Row],[Column1]]=FilterSpecs!$A$7,FilterSpecs!$B$7,MouserListTable[[#This Row],[Column1]]=FilterSpecs!$A$8,FilterSpecs!$B$8,MouserListTable[[#This Row],[Column1]]=FilterSpecs!$A$9,FilterSpecs!$B$9)</f>
        <v>474-</v>
      </c>
      <c r="T56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474-TOL-10706</v>
      </c>
      <c r="V569" s="151" t="str">
        <f>IF(MouserListTable[[#This Row],[Qty.]]=0, 0, "")</f>
        <v/>
      </c>
    </row>
    <row r="570" spans="1:22" s="146" customFormat="1" x14ac:dyDescent="0.3">
      <c r="A570" s="103" t="s">
        <v>17</v>
      </c>
      <c r="B570" s="103" t="s">
        <v>1614</v>
      </c>
      <c r="C570" s="103" t="s">
        <v>1898</v>
      </c>
      <c r="D570" s="103" t="str">
        <f>IF(MouserListTable[[#This Row],[Vendor]]=FilterSpecs!$A$8,MouserListTable[[#This Row],[Mouser SKU]], MouserListTable[[#This Row],[SKU2]])</f>
        <v>1869</v>
      </c>
      <c r="E570" s="104">
        <v>0</v>
      </c>
      <c r="F570" s="104">
        <v>0</v>
      </c>
      <c r="G570" s="103"/>
      <c r="H570" s="103"/>
      <c r="I570" s="126" t="s">
        <v>2393</v>
      </c>
      <c r="K570" s="148">
        <v>97.5</v>
      </c>
      <c r="L570" s="126" t="s">
        <v>1913</v>
      </c>
      <c r="N570" s="148"/>
      <c r="O570" s="103" t="s">
        <v>2392</v>
      </c>
      <c r="P570" s="103">
        <f t="shared" si="35"/>
        <v>557</v>
      </c>
      <c r="Q570" s="103">
        <f t="shared" si="36"/>
        <v>1</v>
      </c>
      <c r="R570" s="103" t="s">
        <v>1898</v>
      </c>
      <c r="S570" s="103" t="str">
        <f>_xlfn.IFS(MouserListTable[[#This Row],[Column1]]=FilterSpecs!$A$6, FilterSpecs!$B$6,MouserListTable[[#This Row],[Column1]]=FilterSpecs!$A$7,FilterSpecs!$B$7,MouserListTable[[#This Row],[Column1]]=FilterSpecs!$A$8,FilterSpecs!$B$8,MouserListTable[[#This Row],[Column1]]=FilterSpecs!$A$9,FilterSpecs!$B$9)</f>
        <v>485-</v>
      </c>
      <c r="T57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485-1869</v>
      </c>
      <c r="V570" s="151">
        <f>IF(MouserListTable[[#This Row],[Qty.]]=0, 0, "")</f>
        <v>0</v>
      </c>
    </row>
    <row r="571" spans="1:22" s="146" customFormat="1" x14ac:dyDescent="0.3">
      <c r="A571" s="103" t="s">
        <v>17</v>
      </c>
      <c r="B571" s="103" t="s">
        <v>1614</v>
      </c>
      <c r="C571" s="103" t="s">
        <v>8</v>
      </c>
      <c r="D571" s="103" t="str">
        <f>IF(MouserListTable[[#This Row],[Vendor]]=FilterSpecs!$A$8,MouserListTable[[#This Row],[Mouser SKU]], MouserListTable[[#This Row],[SKU2]])</f>
        <v>TOL-07925</v>
      </c>
      <c r="E571" s="104">
        <v>1</v>
      </c>
      <c r="F571" s="104" t="s">
        <v>18921</v>
      </c>
      <c r="G571" s="103" t="s">
        <v>1639</v>
      </c>
      <c r="H571" s="103" t="s">
        <v>1640</v>
      </c>
      <c r="I571" s="103" t="s">
        <v>1641</v>
      </c>
      <c r="J571" s="103"/>
      <c r="K571" s="104">
        <v>14.95</v>
      </c>
      <c r="L571" s="103" t="s">
        <v>1914</v>
      </c>
      <c r="M571" s="106"/>
      <c r="N571" s="104">
        <f>E571*K571</f>
        <v>14.95</v>
      </c>
      <c r="O571" s="103" t="s">
        <v>1638</v>
      </c>
      <c r="P571" s="103">
        <f t="shared" si="35"/>
        <v>558</v>
      </c>
      <c r="Q571" s="103">
        <f t="shared" si="36"/>
        <v>1</v>
      </c>
      <c r="R571" s="103" t="s">
        <v>8</v>
      </c>
      <c r="S571" s="103" t="str">
        <f>_xlfn.IFS(MouserListTable[[#This Row],[Column1]]=FilterSpecs!$A$6, FilterSpecs!$B$6,MouserListTable[[#This Row],[Column1]]=FilterSpecs!$A$7,FilterSpecs!$B$7,MouserListTable[[#This Row],[Column1]]=FilterSpecs!$A$8,FilterSpecs!$B$8,MouserListTable[[#This Row],[Column1]]=FilterSpecs!$A$9,FilterSpecs!$B$9)</f>
        <v>474-</v>
      </c>
      <c r="T57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474-TOL-07925</v>
      </c>
      <c r="V571" s="151" t="str">
        <f>IF(MouserListTable[[#This Row],[Qty.]]=0, 0, "")</f>
        <v/>
      </c>
    </row>
    <row r="572" spans="1:22" s="146" customFormat="1" x14ac:dyDescent="0.3">
      <c r="A572" s="126" t="s">
        <v>17</v>
      </c>
      <c r="B572" s="126" t="s">
        <v>1614</v>
      </c>
      <c r="C572" s="126" t="s">
        <v>8</v>
      </c>
      <c r="D572" s="103" t="str">
        <f>IF(MouserListTable[[#This Row],[Vendor]]=FilterSpecs!$A$8,MouserListTable[[#This Row],[Mouser SKU]], MouserListTable[[#This Row],[SKU2]])</f>
        <v>TOL-10326</v>
      </c>
      <c r="E572" s="104">
        <v>0</v>
      </c>
      <c r="F572" s="104">
        <v>0</v>
      </c>
      <c r="G572" s="103" t="s">
        <v>850</v>
      </c>
      <c r="H572" s="103" t="s">
        <v>851</v>
      </c>
      <c r="I572" s="103" t="s">
        <v>852</v>
      </c>
      <c r="J572" s="103">
        <v>1</v>
      </c>
      <c r="K572" s="104">
        <v>13.95</v>
      </c>
      <c r="L572" s="103" t="s">
        <v>1914</v>
      </c>
      <c r="M572" s="146" t="s">
        <v>1308</v>
      </c>
      <c r="N572" s="104">
        <f>MouserListTable[[#This Row],[Qty.]]*MouserListTable[[#This Row],[Price (USD)]]</f>
        <v>0</v>
      </c>
      <c r="O572" s="103" t="s">
        <v>849</v>
      </c>
      <c r="P572" s="103">
        <f t="shared" si="35"/>
        <v>559</v>
      </c>
      <c r="Q572" s="103">
        <f t="shared" si="36"/>
        <v>1</v>
      </c>
      <c r="R572" s="103" t="s">
        <v>8</v>
      </c>
      <c r="S572" s="103" t="str">
        <f>_xlfn.IFS(MouserListTable[[#This Row],[Column1]]=FilterSpecs!$A$6, FilterSpecs!$B$6,MouserListTable[[#This Row],[Column1]]=FilterSpecs!$A$7,FilterSpecs!$B$7,MouserListTable[[#This Row],[Column1]]=FilterSpecs!$A$8,FilterSpecs!$B$8,MouserListTable[[#This Row],[Column1]]=FilterSpecs!$A$9,FilterSpecs!$B$9)</f>
        <v>474-</v>
      </c>
      <c r="T57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474-TOL-10326</v>
      </c>
      <c r="V572" s="151">
        <f>IF(MouserListTable[[#This Row],[Qty.]]=0, 0, "")</f>
        <v>0</v>
      </c>
    </row>
    <row r="573" spans="1:22" s="146" customFormat="1" x14ac:dyDescent="0.3">
      <c r="A573" s="103" t="s">
        <v>17</v>
      </c>
      <c r="B573" s="103" t="s">
        <v>1614</v>
      </c>
      <c r="C573" s="103" t="s">
        <v>1898</v>
      </c>
      <c r="D573" s="103" t="str">
        <f>IF(MouserListTable[[#This Row],[Vendor]]=FilterSpecs!$A$8,MouserListTable[[#This Row],[Mouser SKU]], MouserListTable[[#This Row],[SKU2]])</f>
        <v>3536</v>
      </c>
      <c r="E573" s="104">
        <v>0</v>
      </c>
      <c r="F573" s="104">
        <v>0</v>
      </c>
      <c r="G573" s="103"/>
      <c r="H573" s="103"/>
      <c r="I573" s="126" t="s">
        <v>2397</v>
      </c>
      <c r="K573" s="148">
        <v>9.9499999999999993</v>
      </c>
      <c r="L573" s="126" t="s">
        <v>1910</v>
      </c>
      <c r="N573" s="148"/>
      <c r="O573" s="103" t="s">
        <v>2396</v>
      </c>
      <c r="P573" s="103">
        <f t="shared" si="35"/>
        <v>560</v>
      </c>
      <c r="Q573" s="103">
        <f t="shared" si="36"/>
        <v>1</v>
      </c>
      <c r="R573" s="103" t="s">
        <v>1898</v>
      </c>
      <c r="S573" s="103" t="str">
        <f>_xlfn.IFS(MouserListTable[[#This Row],[Column1]]=FilterSpecs!$A$6, FilterSpecs!$B$6,MouserListTable[[#This Row],[Column1]]=FilterSpecs!$A$7,FilterSpecs!$B$7,MouserListTable[[#This Row],[Column1]]=FilterSpecs!$A$8,FilterSpecs!$B$8,MouserListTable[[#This Row],[Column1]]=FilterSpecs!$A$9,FilterSpecs!$B$9)</f>
        <v>485-</v>
      </c>
      <c r="T57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485-3536</v>
      </c>
      <c r="V573" s="151">
        <f>IF(MouserListTable[[#This Row],[Qty.]]=0, 0, "")</f>
        <v>0</v>
      </c>
    </row>
    <row r="574" spans="1:22" s="146" customFormat="1" x14ac:dyDescent="0.3">
      <c r="A574" s="126" t="s">
        <v>17</v>
      </c>
      <c r="B574" s="126" t="s">
        <v>1615</v>
      </c>
      <c r="C574" s="126" t="s">
        <v>8</v>
      </c>
      <c r="D574" s="103" t="str">
        <f>IF(MouserListTable[[#This Row],[Vendor]]=FilterSpecs!$A$8,MouserListTable[[#This Row],[Mouser SKU]], MouserListTable[[#This Row],[SKU2]])</f>
        <v>TOL-10410</v>
      </c>
      <c r="E574" s="104">
        <v>0</v>
      </c>
      <c r="F574" s="104">
        <v>0</v>
      </c>
      <c r="G574" s="103" t="s">
        <v>882</v>
      </c>
      <c r="H574" s="103" t="s">
        <v>883</v>
      </c>
      <c r="I574" s="103" t="s">
        <v>884</v>
      </c>
      <c r="J574" s="103"/>
      <c r="K574" s="104">
        <v>32.950000000000003</v>
      </c>
      <c r="L574" s="103" t="s">
        <v>1914</v>
      </c>
      <c r="N574" s="104">
        <f>MouserListTable[[#This Row],[Qty.]]*MouserListTable[[#This Row],[Price (USD)]]</f>
        <v>0</v>
      </c>
      <c r="O574" s="103" t="s">
        <v>881</v>
      </c>
      <c r="P574" s="103">
        <f t="shared" si="35"/>
        <v>561</v>
      </c>
      <c r="Q574" s="103">
        <f t="shared" si="36"/>
        <v>1</v>
      </c>
      <c r="R574" s="103" t="s">
        <v>8</v>
      </c>
      <c r="S574" s="103" t="str">
        <f>_xlfn.IFS(MouserListTable[[#This Row],[Column1]]=FilterSpecs!$A$6, FilterSpecs!$B$6,MouserListTable[[#This Row],[Column1]]=FilterSpecs!$A$7,FilterSpecs!$B$7,MouserListTable[[#This Row],[Column1]]=FilterSpecs!$A$8,FilterSpecs!$B$8,MouserListTable[[#This Row],[Column1]]=FilterSpecs!$A$9,FilterSpecs!$B$9)</f>
        <v>474-</v>
      </c>
      <c r="T57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474-TOL-10410</v>
      </c>
      <c r="V574" s="151">
        <f>IF(MouserListTable[[#This Row],[Qty.]]=0, 0, "")</f>
        <v>0</v>
      </c>
    </row>
    <row r="575" spans="1:22" s="146" customFormat="1" x14ac:dyDescent="0.3">
      <c r="A575" s="126" t="s">
        <v>17</v>
      </c>
      <c r="B575" s="126" t="s">
        <v>1615</v>
      </c>
      <c r="C575" s="126" t="s">
        <v>8</v>
      </c>
      <c r="D575" s="103" t="str">
        <f>IF(MouserListTable[[#This Row],[Vendor]]=FilterSpecs!$A$8,MouserListTable[[#This Row],[Mouser SKU]], MouserListTable[[#This Row],[SKU2]])</f>
        <v>TOL-11784</v>
      </c>
      <c r="E575" s="104">
        <v>0</v>
      </c>
      <c r="F575" s="104">
        <v>0</v>
      </c>
      <c r="G575" s="103" t="s">
        <v>1145</v>
      </c>
      <c r="H575" s="103" t="s">
        <v>1146</v>
      </c>
      <c r="I575" s="103" t="s">
        <v>1147</v>
      </c>
      <c r="J575" s="103">
        <v>1</v>
      </c>
      <c r="K575" s="104">
        <v>29.95</v>
      </c>
      <c r="L575" s="103" t="s">
        <v>1914</v>
      </c>
      <c r="N575" s="104">
        <f>MouserListTable[[#This Row],[Qty.]]*MouserListTable[[#This Row],[Price (USD)]]</f>
        <v>0</v>
      </c>
      <c r="O575" s="103" t="s">
        <v>1144</v>
      </c>
      <c r="P575" s="103">
        <f t="shared" si="35"/>
        <v>562</v>
      </c>
      <c r="Q575" s="103">
        <f t="shared" si="36"/>
        <v>1</v>
      </c>
      <c r="R575" s="103" t="s">
        <v>8</v>
      </c>
      <c r="S575" s="103" t="str">
        <f>_xlfn.IFS(MouserListTable[[#This Row],[Column1]]=FilterSpecs!$A$6, FilterSpecs!$B$6,MouserListTable[[#This Row],[Column1]]=FilterSpecs!$A$7,FilterSpecs!$B$7,MouserListTable[[#This Row],[Column1]]=FilterSpecs!$A$8,FilterSpecs!$B$8,MouserListTable[[#This Row],[Column1]]=FilterSpecs!$A$9,FilterSpecs!$B$9)</f>
        <v>474-</v>
      </c>
      <c r="T57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474-TOL-11784</v>
      </c>
      <c r="V575" s="151">
        <f>IF(MouserListTable[[#This Row],[Qty.]]=0, 0, "")</f>
        <v>0</v>
      </c>
    </row>
    <row r="576" spans="1:22" s="146" customFormat="1" x14ac:dyDescent="0.3">
      <c r="A576" s="126" t="s">
        <v>17</v>
      </c>
      <c r="B576" s="126" t="s">
        <v>1615</v>
      </c>
      <c r="C576" s="126" t="s">
        <v>8</v>
      </c>
      <c r="D576" s="103" t="str">
        <f>IF(MouserListTable[[#This Row],[Vendor]]=FilterSpecs!$A$8,MouserListTable[[#This Row],[Mouser SKU]], MouserListTable[[#This Row],[SKU2]])</f>
        <v>TOL-09317</v>
      </c>
      <c r="E576" s="104">
        <v>0</v>
      </c>
      <c r="F576" s="104">
        <v>0</v>
      </c>
      <c r="G576" s="103" t="s">
        <v>854</v>
      </c>
      <c r="H576" s="103" t="s">
        <v>855</v>
      </c>
      <c r="I576" s="103" t="s">
        <v>856</v>
      </c>
      <c r="J576" s="103">
        <v>1</v>
      </c>
      <c r="K576" s="104">
        <v>9.9499999999999993</v>
      </c>
      <c r="L576" s="103" t="s">
        <v>1914</v>
      </c>
      <c r="N576" s="104">
        <f>MouserListTable[[#This Row],[Qty.]]*MouserListTable[[#This Row],[Price (USD)]]</f>
        <v>0</v>
      </c>
      <c r="O576" s="103" t="s">
        <v>853</v>
      </c>
      <c r="P576" s="103">
        <f t="shared" si="35"/>
        <v>563</v>
      </c>
      <c r="Q576" s="103">
        <f t="shared" si="36"/>
        <v>1</v>
      </c>
      <c r="R576" s="103" t="s">
        <v>8</v>
      </c>
      <c r="S576" s="103" t="str">
        <f>_xlfn.IFS(MouserListTable[[#This Row],[Column1]]=FilterSpecs!$A$6, FilterSpecs!$B$6,MouserListTable[[#This Row],[Column1]]=FilterSpecs!$A$7,FilterSpecs!$B$7,MouserListTable[[#This Row],[Column1]]=FilterSpecs!$A$8,FilterSpecs!$B$8,MouserListTable[[#This Row],[Column1]]=FilterSpecs!$A$9,FilterSpecs!$B$9)</f>
        <v>474-</v>
      </c>
      <c r="T57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474-TOL-09317</v>
      </c>
      <c r="V576" s="151">
        <f>IF(MouserListTable[[#This Row],[Qty.]]=0, 0, "")</f>
        <v>0</v>
      </c>
    </row>
    <row r="577" spans="1:22" s="146" customFormat="1" x14ac:dyDescent="0.3">
      <c r="A577" s="103" t="s">
        <v>17</v>
      </c>
      <c r="B577" s="103" t="s">
        <v>1615</v>
      </c>
      <c r="C577" s="103" t="s">
        <v>1898</v>
      </c>
      <c r="D577" s="103" t="str">
        <f>IF(MouserListTable[[#This Row],[Vendor]]=FilterSpecs!$A$8,MouserListTable[[#This Row],[Mouser SKU]], MouserListTable[[#This Row],[SKU2]])</f>
        <v>3019</v>
      </c>
      <c r="E577" s="104">
        <v>1</v>
      </c>
      <c r="F577" s="104" t="s">
        <v>18921</v>
      </c>
      <c r="G577" s="103"/>
      <c r="H577" s="103"/>
      <c r="I577" s="103" t="s">
        <v>2395</v>
      </c>
      <c r="K577" s="104">
        <v>54.95</v>
      </c>
      <c r="L577" s="103" t="s">
        <v>1914</v>
      </c>
      <c r="M577" s="106"/>
      <c r="N577" s="104">
        <f t="shared" ref="N577:N586" si="38">E577*K577</f>
        <v>54.95</v>
      </c>
      <c r="O577" s="103" t="s">
        <v>2394</v>
      </c>
      <c r="P577" s="103">
        <f t="shared" si="35"/>
        <v>564</v>
      </c>
      <c r="Q577" s="103">
        <f t="shared" si="36"/>
        <v>1</v>
      </c>
      <c r="R577" s="103" t="s">
        <v>1898</v>
      </c>
      <c r="S577" s="103" t="str">
        <f>_xlfn.IFS(MouserListTable[[#This Row],[Column1]]=FilterSpecs!$A$6, FilterSpecs!$B$6,MouserListTable[[#This Row],[Column1]]=FilterSpecs!$A$7,FilterSpecs!$B$7,MouserListTable[[#This Row],[Column1]]=FilterSpecs!$A$8,FilterSpecs!$B$8,MouserListTable[[#This Row],[Column1]]=FilterSpecs!$A$9,FilterSpecs!$B$9)</f>
        <v>485-</v>
      </c>
      <c r="T57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485-3019</v>
      </c>
      <c r="V577" s="151" t="str">
        <f>IF(MouserListTable[[#This Row],[Qty.]]=0, 0, "")</f>
        <v/>
      </c>
    </row>
    <row r="578" spans="1:22" s="146" customFormat="1" x14ac:dyDescent="0.3">
      <c r="A578" s="103" t="s">
        <v>17</v>
      </c>
      <c r="B578" s="103" t="s">
        <v>1615</v>
      </c>
      <c r="C578" s="103" t="s">
        <v>8</v>
      </c>
      <c r="D578" s="103" t="str">
        <f>IF(MouserListTable[[#This Row],[Vendor]]=FilterSpecs!$A$8,MouserListTable[[#This Row],[Mouser SKU]], MouserListTable[[#This Row],[SKU2]])</f>
        <v>TOL-09316</v>
      </c>
      <c r="E578" s="104">
        <v>1</v>
      </c>
      <c r="F578" s="104" t="s">
        <v>18921</v>
      </c>
      <c r="G578" s="103" t="s">
        <v>874</v>
      </c>
      <c r="H578" s="103" t="s">
        <v>875</v>
      </c>
      <c r="I578" s="103" t="s">
        <v>876</v>
      </c>
      <c r="J578" s="103">
        <v>1</v>
      </c>
      <c r="K578" s="104">
        <v>9.9499999999999993</v>
      </c>
      <c r="L578" s="103" t="s">
        <v>1914</v>
      </c>
      <c r="M578" s="106"/>
      <c r="N578" s="104">
        <f t="shared" si="38"/>
        <v>9.9499999999999993</v>
      </c>
      <c r="O578" s="103" t="s">
        <v>873</v>
      </c>
      <c r="P578" s="103">
        <f t="shared" si="35"/>
        <v>565</v>
      </c>
      <c r="Q578" s="103">
        <f t="shared" si="36"/>
        <v>1</v>
      </c>
      <c r="R578" s="103" t="s">
        <v>8</v>
      </c>
      <c r="S578" s="103" t="str">
        <f>_xlfn.IFS(MouserListTable[[#This Row],[Column1]]=FilterSpecs!$A$6, FilterSpecs!$B$6,MouserListTable[[#This Row],[Column1]]=FilterSpecs!$A$7,FilterSpecs!$B$7,MouserListTable[[#This Row],[Column1]]=FilterSpecs!$A$8,FilterSpecs!$B$8,MouserListTable[[#This Row],[Column1]]=FilterSpecs!$A$9,FilterSpecs!$B$9)</f>
        <v>474-</v>
      </c>
      <c r="T57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474-TOL-09316</v>
      </c>
      <c r="V578" s="151" t="str">
        <f>IF(MouserListTable[[#This Row],[Qty.]]=0, 0, "")</f>
        <v/>
      </c>
    </row>
    <row r="579" spans="1:22" s="146" customFormat="1" x14ac:dyDescent="0.3">
      <c r="A579" s="103" t="s">
        <v>17</v>
      </c>
      <c r="B579" s="103" t="s">
        <v>1615</v>
      </c>
      <c r="C579" s="103" t="s">
        <v>8</v>
      </c>
      <c r="D579" s="103" t="str">
        <f>IF(MouserListTable[[#This Row],[Vendor]]=FilterSpecs!$A$8,MouserListTable[[#This Row],[Mouser SKU]], MouserListTable[[#This Row],[SKU2]])</f>
        <v>COM-09906</v>
      </c>
      <c r="E579" s="104">
        <v>1</v>
      </c>
      <c r="F579" s="104" t="s">
        <v>18921</v>
      </c>
      <c r="G579" s="103" t="s">
        <v>129</v>
      </c>
      <c r="H579" s="103" t="s">
        <v>130</v>
      </c>
      <c r="I579" s="103" t="s">
        <v>131</v>
      </c>
      <c r="J579" s="103"/>
      <c r="K579" s="104">
        <v>14.95</v>
      </c>
      <c r="L579" s="103" t="s">
        <v>1913</v>
      </c>
      <c r="M579" s="106"/>
      <c r="N579" s="104">
        <f t="shared" si="38"/>
        <v>14.95</v>
      </c>
      <c r="O579" s="103" t="s">
        <v>128</v>
      </c>
      <c r="P579" s="103">
        <f t="shared" si="35"/>
        <v>566</v>
      </c>
      <c r="Q579" s="103">
        <f t="shared" si="36"/>
        <v>1</v>
      </c>
      <c r="R579" s="103" t="s">
        <v>8</v>
      </c>
      <c r="S579" s="103" t="str">
        <f>_xlfn.IFS(MouserListTable[[#This Row],[Column1]]=FilterSpecs!$A$6, FilterSpecs!$B$6,MouserListTable[[#This Row],[Column1]]=FilterSpecs!$A$7,FilterSpecs!$B$7,MouserListTable[[#This Row],[Column1]]=FilterSpecs!$A$8,FilterSpecs!$B$8,MouserListTable[[#This Row],[Column1]]=FilterSpecs!$A$9,FilterSpecs!$B$9)</f>
        <v>474-</v>
      </c>
      <c r="T57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474-COM-09906</v>
      </c>
      <c r="V579" s="151" t="str">
        <f>IF(MouserListTable[[#This Row],[Qty.]]=0, 0, "")</f>
        <v/>
      </c>
    </row>
    <row r="580" spans="1:22" s="146" customFormat="1" x14ac:dyDescent="0.3">
      <c r="A580" s="103" t="s">
        <v>17</v>
      </c>
      <c r="B580" s="103" t="s">
        <v>1615</v>
      </c>
      <c r="C580" s="103" t="s">
        <v>8</v>
      </c>
      <c r="D580" s="103" t="str">
        <f>IF(MouserListTable[[#This Row],[Vendor]]=FilterSpecs!$A$8,MouserListTable[[#This Row],[Mouser SKU]], MouserListTable[[#This Row],[SKU2]])</f>
        <v>COM-08674</v>
      </c>
      <c r="E580" s="104">
        <v>1</v>
      </c>
      <c r="F580" s="104" t="s">
        <v>18921</v>
      </c>
      <c r="G580" s="103" t="s">
        <v>133</v>
      </c>
      <c r="H580" s="103" t="s">
        <v>134</v>
      </c>
      <c r="I580" s="103" t="s">
        <v>135</v>
      </c>
      <c r="J580" s="103">
        <v>1</v>
      </c>
      <c r="K580" s="104">
        <v>0.1</v>
      </c>
      <c r="L580" s="103" t="s">
        <v>1910</v>
      </c>
      <c r="M580" s="106"/>
      <c r="N580" s="104">
        <f t="shared" si="38"/>
        <v>0.1</v>
      </c>
      <c r="O580" s="103" t="s">
        <v>132</v>
      </c>
      <c r="P580" s="103">
        <f t="shared" si="35"/>
        <v>567</v>
      </c>
      <c r="Q580" s="103">
        <f t="shared" si="36"/>
        <v>1</v>
      </c>
      <c r="R580" s="103" t="s">
        <v>8</v>
      </c>
      <c r="S580" s="103" t="str">
        <f>_xlfn.IFS(MouserListTable[[#This Row],[Column1]]=FilterSpecs!$A$6, FilterSpecs!$B$6,MouserListTable[[#This Row],[Column1]]=FilterSpecs!$A$7,FilterSpecs!$B$7,MouserListTable[[#This Row],[Column1]]=FilterSpecs!$A$8,FilterSpecs!$B$8,MouserListTable[[#This Row],[Column1]]=FilterSpecs!$A$9,FilterSpecs!$B$9)</f>
        <v>474-</v>
      </c>
      <c r="T58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474-COM-08674</v>
      </c>
      <c r="V580" s="151" t="str">
        <f>IF(MouserListTable[[#This Row],[Qty.]]=0, 0, "")</f>
        <v/>
      </c>
    </row>
    <row r="581" spans="1:22" s="146" customFormat="1" x14ac:dyDescent="0.3">
      <c r="A581" s="103" t="s">
        <v>17</v>
      </c>
      <c r="B581" s="103" t="s">
        <v>1613</v>
      </c>
      <c r="C581" s="103" t="s">
        <v>8</v>
      </c>
      <c r="D581" s="103" t="str">
        <f>IF(MouserListTable[[#This Row],[Vendor]]=FilterSpecs!$A$8,MouserListTable[[#This Row],[Mouser SKU]], MouserListTable[[#This Row],[SKU2]])</f>
        <v>TOL-12078</v>
      </c>
      <c r="E581" s="104">
        <v>1</v>
      </c>
      <c r="F581" s="104" t="s">
        <v>18921</v>
      </c>
      <c r="G581" s="103" t="s">
        <v>1627</v>
      </c>
      <c r="H581" s="103" t="s">
        <v>1628</v>
      </c>
      <c r="I581" s="103" t="s">
        <v>1629</v>
      </c>
      <c r="J581" s="103"/>
      <c r="K581" s="104">
        <v>4.95</v>
      </c>
      <c r="L581" s="103" t="s">
        <v>1914</v>
      </c>
      <c r="M581" s="106"/>
      <c r="N581" s="104">
        <f t="shared" si="38"/>
        <v>4.95</v>
      </c>
      <c r="O581" s="103" t="s">
        <v>1626</v>
      </c>
      <c r="P581" s="103">
        <f t="shared" si="35"/>
        <v>568</v>
      </c>
      <c r="Q581" s="103">
        <f t="shared" si="36"/>
        <v>1</v>
      </c>
      <c r="R581" s="103" t="s">
        <v>8</v>
      </c>
      <c r="S581" s="103" t="str">
        <f>_xlfn.IFS(MouserListTable[[#This Row],[Column1]]=FilterSpecs!$A$6, FilterSpecs!$B$6,MouserListTable[[#This Row],[Column1]]=FilterSpecs!$A$7,FilterSpecs!$B$7,MouserListTable[[#This Row],[Column1]]=FilterSpecs!$A$8,FilterSpecs!$B$8,MouserListTable[[#This Row],[Column1]]=FilterSpecs!$A$9,FilterSpecs!$B$9)</f>
        <v>474-</v>
      </c>
      <c r="T58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474-TOL-12078</v>
      </c>
      <c r="V581" s="151" t="str">
        <f>IF(MouserListTable[[#This Row],[Qty.]]=0, 0, "")</f>
        <v/>
      </c>
    </row>
    <row r="582" spans="1:22" s="146" customFormat="1" x14ac:dyDescent="0.3">
      <c r="A582" s="103" t="s">
        <v>17</v>
      </c>
      <c r="B582" s="103" t="s">
        <v>1613</v>
      </c>
      <c r="C582" s="103" t="s">
        <v>8</v>
      </c>
      <c r="D582" s="103" t="str">
        <f>IF(MouserListTable[[#This Row],[Vendor]]=FilterSpecs!$A$8,MouserListTable[[#This Row],[Mouser SKU]], MouserListTable[[#This Row],[SKU2]])</f>
        <v>TOL-11060</v>
      </c>
      <c r="E582" s="104">
        <v>1</v>
      </c>
      <c r="F582" s="104" t="s">
        <v>18921</v>
      </c>
      <c r="G582" s="103" t="s">
        <v>838</v>
      </c>
      <c r="H582" s="103" t="s">
        <v>839</v>
      </c>
      <c r="I582" s="103" t="s">
        <v>840</v>
      </c>
      <c r="J582" s="103"/>
      <c r="K582" s="104">
        <v>4.95</v>
      </c>
      <c r="L582" s="103" t="s">
        <v>1914</v>
      </c>
      <c r="M582" s="106"/>
      <c r="N582" s="104">
        <f t="shared" si="38"/>
        <v>4.95</v>
      </c>
      <c r="O582" s="103" t="s">
        <v>837</v>
      </c>
      <c r="P582" s="103">
        <f t="shared" si="35"/>
        <v>569</v>
      </c>
      <c r="Q582" s="103">
        <f t="shared" si="36"/>
        <v>1</v>
      </c>
      <c r="R582" s="103" t="s">
        <v>8</v>
      </c>
      <c r="S582" s="103" t="str">
        <f>_xlfn.IFS(MouserListTable[[#This Row],[Column1]]=FilterSpecs!$A$6, FilterSpecs!$B$6,MouserListTable[[#This Row],[Column1]]=FilterSpecs!$A$7,FilterSpecs!$B$7,MouserListTable[[#This Row],[Column1]]=FilterSpecs!$A$8,FilterSpecs!$B$8,MouserListTable[[#This Row],[Column1]]=FilterSpecs!$A$9,FilterSpecs!$B$9)</f>
        <v>474-</v>
      </c>
      <c r="T58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474-TOL-11060</v>
      </c>
      <c r="V582" s="151" t="str">
        <f>IF(MouserListTable[[#This Row],[Qty.]]=0, 0, "")</f>
        <v/>
      </c>
    </row>
    <row r="583" spans="1:22" s="146" customFormat="1" x14ac:dyDescent="0.3">
      <c r="A583" s="103" t="s">
        <v>17</v>
      </c>
      <c r="B583" s="103" t="s">
        <v>1613</v>
      </c>
      <c r="C583" s="103" t="s">
        <v>8</v>
      </c>
      <c r="D583" s="103" t="str">
        <f>IF(MouserListTable[[#This Row],[Vendor]]=FilterSpecs!$A$8,MouserListTable[[#This Row],[Mouser SKU]], MouserListTable[[#This Row],[SKU2]])</f>
        <v>TOL-12573</v>
      </c>
      <c r="E583" s="104">
        <v>1</v>
      </c>
      <c r="F583" s="104" t="s">
        <v>18921</v>
      </c>
      <c r="G583" s="103" t="s">
        <v>870</v>
      </c>
      <c r="H583" s="103" t="s">
        <v>871</v>
      </c>
      <c r="I583" s="103" t="s">
        <v>872</v>
      </c>
      <c r="J583" s="103">
        <v>1</v>
      </c>
      <c r="K583" s="104">
        <v>3.95</v>
      </c>
      <c r="L583" s="103" t="s">
        <v>1914</v>
      </c>
      <c r="M583" s="106"/>
      <c r="N583" s="104">
        <f t="shared" si="38"/>
        <v>3.95</v>
      </c>
      <c r="O583" s="103" t="s">
        <v>869</v>
      </c>
      <c r="P583" s="103">
        <f t="shared" si="35"/>
        <v>570</v>
      </c>
      <c r="Q583" s="103">
        <f t="shared" si="36"/>
        <v>1</v>
      </c>
      <c r="R583" s="103" t="s">
        <v>8</v>
      </c>
      <c r="S583" s="103" t="str">
        <f>_xlfn.IFS(MouserListTable[[#This Row],[Column1]]=FilterSpecs!$A$6, FilterSpecs!$B$6,MouserListTable[[#This Row],[Column1]]=FilterSpecs!$A$7,FilterSpecs!$B$7,MouserListTable[[#This Row],[Column1]]=FilterSpecs!$A$8,FilterSpecs!$B$8,MouserListTable[[#This Row],[Column1]]=FilterSpecs!$A$9,FilterSpecs!$B$9)</f>
        <v>474-</v>
      </c>
      <c r="T58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474-TOL-12573</v>
      </c>
      <c r="V583" s="151" t="str">
        <f>IF(MouserListTable[[#This Row],[Qty.]]=0, 0, "")</f>
        <v/>
      </c>
    </row>
    <row r="584" spans="1:22" s="146" customFormat="1" x14ac:dyDescent="0.3">
      <c r="A584" s="103" t="s">
        <v>17</v>
      </c>
      <c r="B584" s="103" t="s">
        <v>1613</v>
      </c>
      <c r="C584" s="103" t="s">
        <v>8</v>
      </c>
      <c r="D584" s="103" t="str">
        <f>IF(MouserListTable[[#This Row],[Vendor]]=FilterSpecs!$A$8,MouserListTable[[#This Row],[Mouser SKU]], MouserListTable[[#This Row],[SKU2]])</f>
        <v>TOL-10602</v>
      </c>
      <c r="E584" s="104">
        <v>1</v>
      </c>
      <c r="F584" s="104" t="s">
        <v>18921</v>
      </c>
      <c r="G584" s="103" t="s">
        <v>862</v>
      </c>
      <c r="H584" s="103" t="s">
        <v>863</v>
      </c>
      <c r="I584" s="103" t="s">
        <v>864</v>
      </c>
      <c r="J584" s="103">
        <v>1</v>
      </c>
      <c r="K584" s="104">
        <v>3.95</v>
      </c>
      <c r="L584" s="103" t="s">
        <v>1914</v>
      </c>
      <c r="M584" s="106"/>
      <c r="N584" s="104">
        <f t="shared" si="38"/>
        <v>3.95</v>
      </c>
      <c r="O584" s="103" t="s">
        <v>861</v>
      </c>
      <c r="P584" s="103">
        <f t="shared" si="35"/>
        <v>571</v>
      </c>
      <c r="Q584" s="103">
        <f t="shared" si="36"/>
        <v>1</v>
      </c>
      <c r="R584" s="103" t="s">
        <v>8</v>
      </c>
      <c r="S584" s="103" t="str">
        <f>_xlfn.IFS(MouserListTable[[#This Row],[Column1]]=FilterSpecs!$A$6, FilterSpecs!$B$6,MouserListTable[[#This Row],[Column1]]=FilterSpecs!$A$7,FilterSpecs!$B$7,MouserListTable[[#This Row],[Column1]]=FilterSpecs!$A$8,FilterSpecs!$B$8,MouserListTable[[#This Row],[Column1]]=FilterSpecs!$A$9,FilterSpecs!$B$9)</f>
        <v>474-</v>
      </c>
      <c r="T58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474-TOL-10602</v>
      </c>
      <c r="V584" s="151" t="str">
        <f>IF(MouserListTable[[#This Row],[Qty.]]=0, 0, "")</f>
        <v/>
      </c>
    </row>
    <row r="585" spans="1:22" s="146" customFormat="1" x14ac:dyDescent="0.3">
      <c r="A585" s="103" t="s">
        <v>17</v>
      </c>
      <c r="B585" s="103" t="s">
        <v>1613</v>
      </c>
      <c r="C585" s="103" t="s">
        <v>8</v>
      </c>
      <c r="D585" s="103" t="str">
        <f>IF(MouserListTable[[#This Row],[Vendor]]=FilterSpecs!$A$8,MouserListTable[[#This Row],[Mouser SKU]], MouserListTable[[#This Row],[SKU2]])</f>
        <v>TOL-12572</v>
      </c>
      <c r="E585" s="104">
        <v>1</v>
      </c>
      <c r="F585" s="104" t="s">
        <v>18921</v>
      </c>
      <c r="G585" s="103" t="s">
        <v>846</v>
      </c>
      <c r="H585" s="103" t="s">
        <v>847</v>
      </c>
      <c r="I585" s="103" t="s">
        <v>848</v>
      </c>
      <c r="J585" s="103">
        <v>1</v>
      </c>
      <c r="K585" s="104">
        <v>3.95</v>
      </c>
      <c r="L585" s="103" t="s">
        <v>1914</v>
      </c>
      <c r="M585" s="106"/>
      <c r="N585" s="104">
        <f t="shared" si="38"/>
        <v>3.95</v>
      </c>
      <c r="O585" s="103" t="s">
        <v>845</v>
      </c>
      <c r="P585" s="103">
        <f t="shared" si="35"/>
        <v>572</v>
      </c>
      <c r="Q585" s="103">
        <f t="shared" si="36"/>
        <v>1</v>
      </c>
      <c r="R585" s="103" t="s">
        <v>8</v>
      </c>
      <c r="S585" s="103" t="str">
        <f>_xlfn.IFS(MouserListTable[[#This Row],[Column1]]=FilterSpecs!$A$6, FilterSpecs!$B$6,MouserListTable[[#This Row],[Column1]]=FilterSpecs!$A$7,FilterSpecs!$B$7,MouserListTable[[#This Row],[Column1]]=FilterSpecs!$A$8,FilterSpecs!$B$8,MouserListTable[[#This Row],[Column1]]=FilterSpecs!$A$9,FilterSpecs!$B$9)</f>
        <v>474-</v>
      </c>
      <c r="T58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474-TOL-12572</v>
      </c>
      <c r="V585" s="151" t="str">
        <f>IF(MouserListTable[[#This Row],[Qty.]]=0, 0, "")</f>
        <v/>
      </c>
    </row>
    <row r="586" spans="1:22" s="146" customFormat="1" x14ac:dyDescent="0.3">
      <c r="A586" s="103" t="s">
        <v>17</v>
      </c>
      <c r="B586" s="103" t="s">
        <v>1613</v>
      </c>
      <c r="C586" s="103" t="s">
        <v>8</v>
      </c>
      <c r="D586" s="103" t="str">
        <f>IF(MouserListTable[[#This Row],[Vendor]]=FilterSpecs!$A$8,MouserListTable[[#This Row],[Mouser SKU]], MouserListTable[[#This Row],[SKU2]])</f>
        <v>TOL-08793</v>
      </c>
      <c r="E586" s="104">
        <v>1</v>
      </c>
      <c r="F586" s="104" t="s">
        <v>18921</v>
      </c>
      <c r="G586" s="103" t="s">
        <v>1647</v>
      </c>
      <c r="H586" s="103" t="s">
        <v>1648</v>
      </c>
      <c r="I586" s="103" t="s">
        <v>1649</v>
      </c>
      <c r="J586" s="103">
        <v>1</v>
      </c>
      <c r="K586" s="104">
        <v>1.95</v>
      </c>
      <c r="L586" s="103" t="s">
        <v>1914</v>
      </c>
      <c r="M586" s="106"/>
      <c r="N586" s="104">
        <f t="shared" si="38"/>
        <v>1.95</v>
      </c>
      <c r="O586" s="103" t="s">
        <v>1646</v>
      </c>
      <c r="P586" s="103">
        <f t="shared" si="35"/>
        <v>573</v>
      </c>
      <c r="Q586" s="103">
        <f t="shared" si="36"/>
        <v>1</v>
      </c>
      <c r="R586" s="103" t="s">
        <v>8</v>
      </c>
      <c r="S586" s="103" t="str">
        <f>_xlfn.IFS(MouserListTable[[#This Row],[Column1]]=FilterSpecs!$A$6, FilterSpecs!$B$6,MouserListTable[[#This Row],[Column1]]=FilterSpecs!$A$7,FilterSpecs!$B$7,MouserListTable[[#This Row],[Column1]]=FilterSpecs!$A$8,FilterSpecs!$B$8,MouserListTable[[#This Row],[Column1]]=FilterSpecs!$A$9,FilterSpecs!$B$9)</f>
        <v>474-</v>
      </c>
      <c r="T58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474-TOL-08793</v>
      </c>
      <c r="V586" s="151" t="str">
        <f>IF(MouserListTable[[#This Row],[Qty.]]=0, 0, "")</f>
        <v/>
      </c>
    </row>
    <row r="587" spans="1:22" s="146" customFormat="1" x14ac:dyDescent="0.3">
      <c r="A587" s="128" t="s">
        <v>17</v>
      </c>
      <c r="B587" s="128" t="s">
        <v>1613</v>
      </c>
      <c r="C587" s="128" t="s">
        <v>1898</v>
      </c>
      <c r="D587" s="103" t="str">
        <f>IF(MouserListTable[[#This Row],[Vendor]]=FilterSpecs!$A$8,MouserListTable[[#This Row],[Mouser SKU]], MouserListTable[[#This Row],[SKU2]])</f>
        <v>1368</v>
      </c>
      <c r="E587" s="129">
        <v>0</v>
      </c>
      <c r="F587" s="129">
        <v>0</v>
      </c>
      <c r="I587" s="128" t="s">
        <v>2474</v>
      </c>
      <c r="J587" s="155">
        <v>113</v>
      </c>
      <c r="K587" s="129">
        <v>11.95</v>
      </c>
      <c r="L587" s="126" t="s">
        <v>1910</v>
      </c>
      <c r="N587" s="148"/>
      <c r="O587" s="128" t="s">
        <v>2475</v>
      </c>
      <c r="P587" s="103">
        <f t="shared" si="35"/>
        <v>574</v>
      </c>
      <c r="Q587" s="103">
        <f t="shared" si="36"/>
        <v>1</v>
      </c>
      <c r="R587" s="103" t="s">
        <v>1898</v>
      </c>
      <c r="S587" s="103" t="str">
        <f>_xlfn.IFS(MouserListTable[[#This Row],[Column1]]=FilterSpecs!$A$6, FilterSpecs!$B$6,MouserListTable[[#This Row],[Column1]]=FilterSpecs!$A$7,FilterSpecs!$B$7,MouserListTable[[#This Row],[Column1]]=FilterSpecs!$A$8,FilterSpecs!$B$8,MouserListTable[[#This Row],[Column1]]=FilterSpecs!$A$9,FilterSpecs!$B$9)</f>
        <v>485-</v>
      </c>
      <c r="T58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485-1368</v>
      </c>
      <c r="V587" s="151">
        <f>IF(MouserListTable[[#This Row],[Qty.]]=0, 0, "")</f>
        <v>0</v>
      </c>
    </row>
    <row r="588" spans="1:22" s="146" customFormat="1" x14ac:dyDescent="0.3">
      <c r="A588" s="128" t="s">
        <v>17</v>
      </c>
      <c r="B588" s="128" t="s">
        <v>1613</v>
      </c>
      <c r="C588" s="128" t="s">
        <v>1898</v>
      </c>
      <c r="D588" s="103" t="str">
        <f>IF(MouserListTable[[#This Row],[Vendor]]=FilterSpecs!$A$8,MouserListTable[[#This Row],[Mouser SKU]], MouserListTable[[#This Row],[SKU2]])</f>
        <v>1598</v>
      </c>
      <c r="E588" s="129">
        <v>0</v>
      </c>
      <c r="F588" s="129">
        <v>0</v>
      </c>
      <c r="I588" s="128" t="s">
        <v>2472</v>
      </c>
      <c r="J588" s="155">
        <v>112</v>
      </c>
      <c r="K588" s="129">
        <v>14.95</v>
      </c>
      <c r="L588" s="126" t="s">
        <v>1910</v>
      </c>
      <c r="N588" s="148"/>
      <c r="O588" s="128" t="s">
        <v>2473</v>
      </c>
      <c r="P588" s="103">
        <f t="shared" si="35"/>
        <v>575</v>
      </c>
      <c r="Q588" s="103">
        <f t="shared" si="36"/>
        <v>1</v>
      </c>
      <c r="R588" s="103" t="s">
        <v>1898</v>
      </c>
      <c r="S588" s="103" t="str">
        <f>_xlfn.IFS(MouserListTable[[#This Row],[Column1]]=FilterSpecs!$A$6, FilterSpecs!$B$6,MouserListTable[[#This Row],[Column1]]=FilterSpecs!$A$7,FilterSpecs!$B$7,MouserListTable[[#This Row],[Column1]]=FilterSpecs!$A$8,FilterSpecs!$B$8,MouserListTable[[#This Row],[Column1]]=FilterSpecs!$A$9,FilterSpecs!$B$9)</f>
        <v>485-</v>
      </c>
      <c r="T58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485-1598</v>
      </c>
      <c r="V588" s="151">
        <f>IF(MouserListTable[[#This Row],[Qty.]]=0, 0, "")</f>
        <v>0</v>
      </c>
    </row>
    <row r="589" spans="1:22" s="146" customFormat="1" x14ac:dyDescent="0.3">
      <c r="A589" s="103" t="s">
        <v>17</v>
      </c>
      <c r="B589" s="103" t="s">
        <v>1613</v>
      </c>
      <c r="C589" s="103" t="s">
        <v>8</v>
      </c>
      <c r="D589" s="103" t="str">
        <f>IF(MouserListTable[[#This Row],[Vendor]]=FilterSpecs!$A$8,MouserListTable[[#This Row],[Mouser SKU]], MouserListTable[[#This Row],[SKU2]])</f>
        <v>TOL-12630</v>
      </c>
      <c r="E589" s="104">
        <v>1</v>
      </c>
      <c r="F589" s="104" t="s">
        <v>18921</v>
      </c>
      <c r="G589" s="103" t="s">
        <v>2446</v>
      </c>
      <c r="H589" s="103" t="s">
        <v>2447</v>
      </c>
      <c r="I589" s="103" t="s">
        <v>2448</v>
      </c>
      <c r="J589" s="103">
        <v>1</v>
      </c>
      <c r="K589" s="104">
        <v>9.9499999999999993</v>
      </c>
      <c r="L589" s="103" t="s">
        <v>1914</v>
      </c>
      <c r="M589" s="103"/>
      <c r="N589" s="104">
        <f>E589*K589</f>
        <v>9.9499999999999993</v>
      </c>
      <c r="O589" s="103" t="s">
        <v>2445</v>
      </c>
      <c r="P589" s="103">
        <f t="shared" si="35"/>
        <v>576</v>
      </c>
      <c r="Q589" s="103">
        <f t="shared" si="36"/>
        <v>1</v>
      </c>
      <c r="R589" s="103" t="s">
        <v>8</v>
      </c>
      <c r="S589" s="103" t="str">
        <f>_xlfn.IFS(MouserListTable[[#This Row],[Column1]]=FilterSpecs!$A$6, FilterSpecs!$B$6,MouserListTable[[#This Row],[Column1]]=FilterSpecs!$A$7,FilterSpecs!$B$7,MouserListTable[[#This Row],[Column1]]=FilterSpecs!$A$8,FilterSpecs!$B$8,MouserListTable[[#This Row],[Column1]]=FilterSpecs!$A$9,FilterSpecs!$B$9)</f>
        <v>474-</v>
      </c>
      <c r="T58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474-TOL-12630</v>
      </c>
      <c r="V589" s="151" t="str">
        <f>IF(MouserListTable[[#This Row],[Qty.]]=0, 0, "")</f>
        <v/>
      </c>
    </row>
    <row r="590" spans="1:22" s="146" customFormat="1" x14ac:dyDescent="0.3">
      <c r="A590" s="128" t="s">
        <v>17</v>
      </c>
      <c r="B590" s="128" t="s">
        <v>1613</v>
      </c>
      <c r="C590" s="128" t="s">
        <v>1898</v>
      </c>
      <c r="D590" s="103" t="str">
        <f>IF(MouserListTable[[#This Row],[Vendor]]=FilterSpecs!$A$8,MouserListTable[[#This Row],[Mouser SKU]], MouserListTable[[#This Row],[SKU2]])</f>
        <v>527</v>
      </c>
      <c r="E590" s="129">
        <v>0</v>
      </c>
      <c r="F590" s="129">
        <v>0</v>
      </c>
      <c r="I590" s="128" t="s">
        <v>2470</v>
      </c>
      <c r="J590" s="155">
        <v>111</v>
      </c>
      <c r="K590" s="129">
        <v>14.95</v>
      </c>
      <c r="L590" s="126" t="s">
        <v>1910</v>
      </c>
      <c r="N590" s="148"/>
      <c r="O590" s="128" t="s">
        <v>2471</v>
      </c>
      <c r="P590" s="103">
        <f t="shared" si="35"/>
        <v>577</v>
      </c>
      <c r="Q590" s="103">
        <f t="shared" si="36"/>
        <v>1</v>
      </c>
      <c r="R590" s="103" t="s">
        <v>1898</v>
      </c>
      <c r="S590" s="103" t="str">
        <f>_xlfn.IFS(MouserListTable[[#This Row],[Column1]]=FilterSpecs!$A$6, FilterSpecs!$B$6,MouserListTable[[#This Row],[Column1]]=FilterSpecs!$A$7,FilterSpecs!$B$7,MouserListTable[[#This Row],[Column1]]=FilterSpecs!$A$8,FilterSpecs!$B$8,MouserListTable[[#This Row],[Column1]]=FilterSpecs!$A$9,FilterSpecs!$B$9)</f>
        <v>485-</v>
      </c>
      <c r="T59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485-527</v>
      </c>
      <c r="V590" s="151">
        <f>IF(MouserListTable[[#This Row],[Qty.]]=0, 0, "")</f>
        <v>0</v>
      </c>
    </row>
    <row r="591" spans="1:22" s="146" customFormat="1" x14ac:dyDescent="0.3">
      <c r="A591" s="103" t="s">
        <v>17</v>
      </c>
      <c r="B591" s="103" t="s">
        <v>1613</v>
      </c>
      <c r="C591" s="103" t="s">
        <v>8</v>
      </c>
      <c r="D591" s="103" t="str">
        <f>IF(MouserListTable[[#This Row],[Vendor]]=FilterSpecs!$A$8,MouserListTable[[#This Row],[Mouser SKU]], MouserListTable[[#This Row],[SKU2]])</f>
        <v>TOL-08794</v>
      </c>
      <c r="E591" s="104">
        <v>1</v>
      </c>
      <c r="F591" s="104" t="s">
        <v>18921</v>
      </c>
      <c r="G591" s="103" t="s">
        <v>842</v>
      </c>
      <c r="H591" s="103" t="s">
        <v>843</v>
      </c>
      <c r="I591" s="103" t="s">
        <v>844</v>
      </c>
      <c r="J591" s="103">
        <v>1</v>
      </c>
      <c r="K591" s="104">
        <v>1.95</v>
      </c>
      <c r="L591" s="103" t="s">
        <v>1914</v>
      </c>
      <c r="M591" s="103"/>
      <c r="N591" s="104">
        <f>E591*K591</f>
        <v>1.95</v>
      </c>
      <c r="O591" s="103" t="s">
        <v>841</v>
      </c>
      <c r="P591" s="103">
        <f t="shared" si="35"/>
        <v>578</v>
      </c>
      <c r="Q591" s="103">
        <f t="shared" si="36"/>
        <v>1</v>
      </c>
      <c r="R591" s="103" t="s">
        <v>8</v>
      </c>
      <c r="S591" s="103" t="str">
        <f>_xlfn.IFS(MouserListTable[[#This Row],[Column1]]=FilterSpecs!$A$6, FilterSpecs!$B$6,MouserListTable[[#This Row],[Column1]]=FilterSpecs!$A$7,FilterSpecs!$B$7,MouserListTable[[#This Row],[Column1]]=FilterSpecs!$A$8,FilterSpecs!$B$8,MouserListTable[[#This Row],[Column1]]=FilterSpecs!$A$9,FilterSpecs!$B$9)</f>
        <v>474-</v>
      </c>
      <c r="T59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474-TOL-08794</v>
      </c>
      <c r="V591" s="151" t="str">
        <f>IF(MouserListTable[[#This Row],[Qty.]]=0, 0, "")</f>
        <v/>
      </c>
    </row>
    <row r="592" spans="1:22" s="146" customFormat="1" x14ac:dyDescent="0.3">
      <c r="A592" s="126" t="s">
        <v>17</v>
      </c>
      <c r="B592" s="126" t="s">
        <v>1613</v>
      </c>
      <c r="C592" s="126" t="s">
        <v>8</v>
      </c>
      <c r="D592" s="103" t="str">
        <f>IF(MouserListTable[[#This Row],[Vendor]]=FilterSpecs!$A$8,MouserListTable[[#This Row],[Mouser SKU]], MouserListTable[[#This Row],[SKU2]])</f>
        <v>TOL-11952</v>
      </c>
      <c r="E592" s="104">
        <v>0</v>
      </c>
      <c r="F592" s="104">
        <v>0</v>
      </c>
      <c r="G592" s="103" t="s">
        <v>878</v>
      </c>
      <c r="H592" s="103" t="s">
        <v>879</v>
      </c>
      <c r="I592" s="103" t="s">
        <v>880</v>
      </c>
      <c r="J592" s="103">
        <v>1</v>
      </c>
      <c r="K592" s="104">
        <v>6.95</v>
      </c>
      <c r="L592" s="103" t="s">
        <v>1914</v>
      </c>
      <c r="M592" s="103" t="s">
        <v>1209</v>
      </c>
      <c r="N592" s="149">
        <f>MouserListTable[[#This Row],[Qty.]]*MouserListTable[[#This Row],[Price (USD)]]</f>
        <v>0</v>
      </c>
      <c r="O592" s="103" t="s">
        <v>877</v>
      </c>
      <c r="P592" s="103">
        <f t="shared" ref="P592:P602" si="39">IF($P591="List #",1,$P591+1)</f>
        <v>579</v>
      </c>
      <c r="Q592" s="103">
        <f t="shared" ref="Q592:Q602" si="40">IF($D592=$O592,1,0)</f>
        <v>1</v>
      </c>
      <c r="R592" s="103" t="s">
        <v>8</v>
      </c>
      <c r="S592" s="103" t="str">
        <f>_xlfn.IFS(MouserListTable[[#This Row],[Column1]]=FilterSpecs!$A$6, FilterSpecs!$B$6,MouserListTable[[#This Row],[Column1]]=FilterSpecs!$A$7,FilterSpecs!$B$7,MouserListTable[[#This Row],[Column1]]=FilterSpecs!$A$8,FilterSpecs!$B$8,MouserListTable[[#This Row],[Column1]]=FilterSpecs!$A$9,FilterSpecs!$B$9)</f>
        <v>474-</v>
      </c>
      <c r="T59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474-TOL-11952</v>
      </c>
      <c r="V592" s="151">
        <f>IF(MouserListTable[[#This Row],[Qty.]]=0, 0, "")</f>
        <v>0</v>
      </c>
    </row>
    <row r="593" spans="1:22" s="146" customFormat="1" x14ac:dyDescent="0.3">
      <c r="A593" s="103" t="s">
        <v>17</v>
      </c>
      <c r="B593" s="103" t="s">
        <v>1613</v>
      </c>
      <c r="C593" s="103" t="s">
        <v>8</v>
      </c>
      <c r="D593" s="103" t="str">
        <f>IF(MouserListTable[[#This Row],[Vendor]]=FilterSpecs!$A$8,MouserListTable[[#This Row],[Mouser SKU]], MouserListTable[[#This Row],[SKU2]])</f>
        <v>TOL-09200</v>
      </c>
      <c r="E593" s="104">
        <v>1</v>
      </c>
      <c r="F593" s="104" t="s">
        <v>18921</v>
      </c>
      <c r="G593" s="103" t="s">
        <v>866</v>
      </c>
      <c r="H593" s="103" t="s">
        <v>867</v>
      </c>
      <c r="I593" s="103" t="s">
        <v>868</v>
      </c>
      <c r="J593" s="103">
        <v>1</v>
      </c>
      <c r="K593" s="104">
        <v>2.95</v>
      </c>
      <c r="L593" s="103" t="s">
        <v>1914</v>
      </c>
      <c r="M593" s="106"/>
      <c r="N593" s="104">
        <f>E593*K593</f>
        <v>2.95</v>
      </c>
      <c r="O593" s="103" t="s">
        <v>865</v>
      </c>
      <c r="P593" s="103">
        <f t="shared" si="39"/>
        <v>580</v>
      </c>
      <c r="Q593" s="103">
        <f t="shared" si="40"/>
        <v>1</v>
      </c>
      <c r="R593" s="103" t="s">
        <v>8</v>
      </c>
      <c r="S593" s="103" t="str">
        <f>_xlfn.IFS(MouserListTable[[#This Row],[Column1]]=FilterSpecs!$A$6, FilterSpecs!$B$6,MouserListTable[[#This Row],[Column1]]=FilterSpecs!$A$7,FilterSpecs!$B$7,MouserListTable[[#This Row],[Column1]]=FilterSpecs!$A$8,FilterSpecs!$B$8,MouserListTable[[#This Row],[Column1]]=FilterSpecs!$A$9,FilterSpecs!$B$9)</f>
        <v>474-</v>
      </c>
      <c r="T593"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474-TOL-09200</v>
      </c>
      <c r="V593" s="151" t="str">
        <f>IF(MouserListTable[[#This Row],[Qty.]]=0, 0, "")</f>
        <v/>
      </c>
    </row>
    <row r="594" spans="1:22" s="146" customFormat="1" x14ac:dyDescent="0.3">
      <c r="A594" s="103" t="s">
        <v>17</v>
      </c>
      <c r="B594" s="103" t="s">
        <v>1613</v>
      </c>
      <c r="C594" s="103" t="s">
        <v>8</v>
      </c>
      <c r="D594" s="103" t="str">
        <f>IF(MouserListTable[[#This Row],[Vendor]]=FilterSpecs!$A$8,MouserListTable[[#This Row],[Mouser SKU]], MouserListTable[[#This Row],[SKU2]])</f>
        <v>TOL-10325</v>
      </c>
      <c r="E594" s="104">
        <v>1</v>
      </c>
      <c r="F594" s="104" t="s">
        <v>18921</v>
      </c>
      <c r="G594" s="103" t="s">
        <v>1177</v>
      </c>
      <c r="H594" s="103" t="s">
        <v>1178</v>
      </c>
      <c r="I594" s="103" t="s">
        <v>1179</v>
      </c>
      <c r="J594" s="103"/>
      <c r="K594" s="104">
        <v>1.95</v>
      </c>
      <c r="L594" s="103" t="s">
        <v>1914</v>
      </c>
      <c r="M594" s="106"/>
      <c r="N594" s="104">
        <f>E594*K594</f>
        <v>1.95</v>
      </c>
      <c r="O594" s="103" t="s">
        <v>1176</v>
      </c>
      <c r="P594" s="103">
        <f t="shared" si="39"/>
        <v>581</v>
      </c>
      <c r="Q594" s="103">
        <f t="shared" si="40"/>
        <v>1</v>
      </c>
      <c r="R594" s="103" t="s">
        <v>8</v>
      </c>
      <c r="S594" s="103" t="str">
        <f>_xlfn.IFS(MouserListTable[[#This Row],[Column1]]=FilterSpecs!$A$6, FilterSpecs!$B$6,MouserListTable[[#This Row],[Column1]]=FilterSpecs!$A$7,FilterSpecs!$B$7,MouserListTable[[#This Row],[Column1]]=FilterSpecs!$A$8,FilterSpecs!$B$8,MouserListTable[[#This Row],[Column1]]=FilterSpecs!$A$9,FilterSpecs!$B$9)</f>
        <v>474-</v>
      </c>
      <c r="T594"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474-TOL-10325</v>
      </c>
      <c r="V594" s="151" t="str">
        <f>IF(MouserListTable[[#This Row],[Qty.]]=0, 0, "")</f>
        <v/>
      </c>
    </row>
    <row r="595" spans="1:22" s="146" customFormat="1" x14ac:dyDescent="0.3">
      <c r="A595" s="103" t="s">
        <v>17</v>
      </c>
      <c r="B595" s="103" t="s">
        <v>1613</v>
      </c>
      <c r="C595" s="103" t="s">
        <v>8</v>
      </c>
      <c r="D595" s="103" t="str">
        <f>IF(MouserListTable[[#This Row],[Vendor]]=FilterSpecs!$A$8,MouserListTable[[#This Row],[Mouser SKU]], MouserListTable[[#This Row],[SKU2]])</f>
        <v>TOL-13114</v>
      </c>
      <c r="E595" s="104">
        <v>1</v>
      </c>
      <c r="F595" s="104" t="s">
        <v>18921</v>
      </c>
      <c r="G595" s="103" t="s">
        <v>834</v>
      </c>
      <c r="H595" s="103" t="s">
        <v>835</v>
      </c>
      <c r="I595" s="103" t="s">
        <v>836</v>
      </c>
      <c r="J595" s="103"/>
      <c r="K595" s="104">
        <v>4.8</v>
      </c>
      <c r="L595" s="103" t="s">
        <v>1914</v>
      </c>
      <c r="M595" s="106"/>
      <c r="N595" s="104">
        <f>E595*K595</f>
        <v>4.8</v>
      </c>
      <c r="O595" s="103" t="s">
        <v>833</v>
      </c>
      <c r="P595" s="103">
        <f t="shared" si="39"/>
        <v>582</v>
      </c>
      <c r="Q595" s="103">
        <f t="shared" si="40"/>
        <v>1</v>
      </c>
      <c r="R595" s="103" t="s">
        <v>8</v>
      </c>
      <c r="S595" s="103" t="str">
        <f>_xlfn.IFS(MouserListTable[[#This Row],[Column1]]=FilterSpecs!$A$6, FilterSpecs!$B$6,MouserListTable[[#This Row],[Column1]]=FilterSpecs!$A$7,FilterSpecs!$B$7,MouserListTable[[#This Row],[Column1]]=FilterSpecs!$A$8,FilterSpecs!$B$8,MouserListTable[[#This Row],[Column1]]=FilterSpecs!$A$9,FilterSpecs!$B$9)</f>
        <v>474-</v>
      </c>
      <c r="T595"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474-TOL-13114</v>
      </c>
      <c r="V595" s="151" t="str">
        <f>IF(MouserListTable[[#This Row],[Qty.]]=0, 0, "")</f>
        <v/>
      </c>
    </row>
    <row r="596" spans="1:22" s="146" customFormat="1" x14ac:dyDescent="0.3">
      <c r="A596" s="126" t="s">
        <v>17</v>
      </c>
      <c r="B596" s="126" t="s">
        <v>1654</v>
      </c>
      <c r="C596" s="126" t="s">
        <v>8</v>
      </c>
      <c r="D596" s="103" t="str">
        <f>IF(MouserListTable[[#This Row],[Vendor]]=FilterSpecs!$A$8,MouserListTable[[#This Row],[Mouser SKU]], MouserListTable[[#This Row],[SKU2]])</f>
        <v>TOL-11528</v>
      </c>
      <c r="E596" s="104">
        <v>0</v>
      </c>
      <c r="F596" s="104">
        <v>0</v>
      </c>
      <c r="G596" s="103" t="s">
        <v>1631</v>
      </c>
      <c r="H596" s="103" t="s">
        <v>1632</v>
      </c>
      <c r="I596" s="103" t="s">
        <v>1633</v>
      </c>
      <c r="J596" s="103"/>
      <c r="K596" s="104">
        <v>3.95</v>
      </c>
      <c r="L596" s="103" t="s">
        <v>1910</v>
      </c>
      <c r="N596" s="149">
        <f>MouserListTable[[#This Row],[Qty.]]*MouserListTable[[#This Row],[Price (USD)]]</f>
        <v>0</v>
      </c>
      <c r="O596" s="103" t="s">
        <v>1630</v>
      </c>
      <c r="P596" s="103">
        <f t="shared" si="39"/>
        <v>583</v>
      </c>
      <c r="Q596" s="103">
        <f t="shared" si="40"/>
        <v>1</v>
      </c>
      <c r="R596" s="103" t="s">
        <v>8</v>
      </c>
      <c r="S596" s="103" t="str">
        <f>_xlfn.IFS(MouserListTable[[#This Row],[Column1]]=FilterSpecs!$A$6, FilterSpecs!$B$6,MouserListTable[[#This Row],[Column1]]=FilterSpecs!$A$7,FilterSpecs!$B$7,MouserListTable[[#This Row],[Column1]]=FilterSpecs!$A$8,FilterSpecs!$B$8,MouserListTable[[#This Row],[Column1]]=FilterSpecs!$A$9,FilterSpecs!$B$9)</f>
        <v>474-</v>
      </c>
      <c r="T596"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474-TOL-11528</v>
      </c>
      <c r="V596" s="151">
        <f>IF(MouserListTable[[#This Row],[Qty.]]=0, 0, "")</f>
        <v>0</v>
      </c>
    </row>
    <row r="597" spans="1:22" s="146" customFormat="1" x14ac:dyDescent="0.3">
      <c r="A597" s="126" t="s">
        <v>17</v>
      </c>
      <c r="B597" s="126" t="s">
        <v>1654</v>
      </c>
      <c r="C597" s="126" t="s">
        <v>8</v>
      </c>
      <c r="D597" s="103" t="str">
        <f>IF(MouserListTable[[#This Row],[Vendor]]=FilterSpecs!$A$8,MouserListTable[[#This Row],[Mouser SKU]], MouserListTable[[#This Row],[SKU2]])</f>
        <v>TOL-11527</v>
      </c>
      <c r="E597" s="104">
        <v>0</v>
      </c>
      <c r="F597" s="104">
        <v>0</v>
      </c>
      <c r="G597" s="103" t="s">
        <v>1635</v>
      </c>
      <c r="H597" s="103" t="s">
        <v>1636</v>
      </c>
      <c r="I597" s="103" t="s">
        <v>1637</v>
      </c>
      <c r="J597" s="103"/>
      <c r="K597" s="104">
        <v>3.95</v>
      </c>
      <c r="L597" s="103" t="s">
        <v>1910</v>
      </c>
      <c r="N597" s="149">
        <f>MouserListTable[[#This Row],[Qty.]]*MouserListTable[[#This Row],[Price (USD)]]</f>
        <v>0</v>
      </c>
      <c r="O597" s="103" t="s">
        <v>1634</v>
      </c>
      <c r="P597" s="103">
        <f t="shared" si="39"/>
        <v>584</v>
      </c>
      <c r="Q597" s="103">
        <f t="shared" si="40"/>
        <v>1</v>
      </c>
      <c r="R597" s="103" t="s">
        <v>8</v>
      </c>
      <c r="S597" s="103" t="str">
        <f>_xlfn.IFS(MouserListTable[[#This Row],[Column1]]=FilterSpecs!$A$6, FilterSpecs!$B$6,MouserListTable[[#This Row],[Column1]]=FilterSpecs!$A$7,FilterSpecs!$B$7,MouserListTable[[#This Row],[Column1]]=FilterSpecs!$A$8,FilterSpecs!$B$8,MouserListTable[[#This Row],[Column1]]=FilterSpecs!$A$9,FilterSpecs!$B$9)</f>
        <v>474-</v>
      </c>
      <c r="T597"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474-TOL-11527</v>
      </c>
      <c r="V597" s="151">
        <f>IF(MouserListTable[[#This Row],[Qty.]]=0, 0, "")</f>
        <v>0</v>
      </c>
    </row>
    <row r="598" spans="1:22" s="144" customFormat="1" x14ac:dyDescent="0.3">
      <c r="A598" s="103" t="s">
        <v>17</v>
      </c>
      <c r="B598" s="103" t="s">
        <v>1654</v>
      </c>
      <c r="C598" s="103" t="s">
        <v>1898</v>
      </c>
      <c r="D598" s="103" t="str">
        <f>IF(MouserListTable[[#This Row],[Vendor]]=FilterSpecs!$A$8,MouserListTable[[#This Row],[Mouser SKU]], MouserListTable[[#This Row],[SKU2]])</f>
        <v>2938</v>
      </c>
      <c r="E598" s="104">
        <v>0</v>
      </c>
      <c r="F598" s="104">
        <v>0</v>
      </c>
      <c r="G598" s="103"/>
      <c r="H598" s="103"/>
      <c r="I598" s="126" t="s">
        <v>2086</v>
      </c>
      <c r="J598" s="146"/>
      <c r="K598" s="148">
        <v>2.5</v>
      </c>
      <c r="L598" s="126" t="s">
        <v>1910</v>
      </c>
      <c r="M598" s="146"/>
      <c r="N598" s="148"/>
      <c r="O598" s="103" t="s">
        <v>2087</v>
      </c>
      <c r="P598" s="103">
        <f t="shared" si="39"/>
        <v>585</v>
      </c>
      <c r="Q598" s="103">
        <f t="shared" si="40"/>
        <v>1</v>
      </c>
      <c r="R598" s="103" t="s">
        <v>1898</v>
      </c>
      <c r="S598" s="103" t="str">
        <f>_xlfn.IFS(MouserListTable[[#This Row],[Column1]]=FilterSpecs!$A$6, FilterSpecs!$B$6,MouserListTable[[#This Row],[Column1]]=FilterSpecs!$A$7,FilterSpecs!$B$7,MouserListTable[[#This Row],[Column1]]=FilterSpecs!$A$8,FilterSpecs!$B$8,MouserListTable[[#This Row],[Column1]]=FilterSpecs!$A$9,FilterSpecs!$B$9)</f>
        <v>485-</v>
      </c>
      <c r="T598"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485-2938</v>
      </c>
      <c r="V598" s="151">
        <f>IF(MouserListTable[[#This Row],[Qty.]]=0, 0, "")</f>
        <v>0</v>
      </c>
    </row>
    <row r="599" spans="1:22" s="144" customFormat="1" x14ac:dyDescent="0.3">
      <c r="A599" s="103" t="s">
        <v>17</v>
      </c>
      <c r="B599" s="103" t="s">
        <v>1654</v>
      </c>
      <c r="C599" s="103" t="s">
        <v>1898</v>
      </c>
      <c r="D599" s="103" t="str">
        <f>IF(MouserListTable[[#This Row],[Vendor]]=FilterSpecs!$A$8,MouserListTable[[#This Row],[Mouser SKU]], MouserListTable[[#This Row],[SKU2]])</f>
        <v>433</v>
      </c>
      <c r="E599" s="104">
        <v>1</v>
      </c>
      <c r="F599" s="104" t="s">
        <v>18921</v>
      </c>
      <c r="G599" s="103"/>
      <c r="H599" s="103"/>
      <c r="I599" s="103" t="s">
        <v>2084</v>
      </c>
      <c r="J599" s="146"/>
      <c r="K599" s="104">
        <v>2.95</v>
      </c>
      <c r="L599" s="103" t="s">
        <v>1910</v>
      </c>
      <c r="M599" s="106"/>
      <c r="N599" s="104">
        <f>E599*K599</f>
        <v>2.95</v>
      </c>
      <c r="O599" s="103" t="s">
        <v>2085</v>
      </c>
      <c r="P599" s="103">
        <f t="shared" si="39"/>
        <v>586</v>
      </c>
      <c r="Q599" s="103">
        <f t="shared" si="40"/>
        <v>1</v>
      </c>
      <c r="R599" s="103" t="s">
        <v>1898</v>
      </c>
      <c r="S599" s="103" t="str">
        <f>_xlfn.IFS(MouserListTable[[#This Row],[Column1]]=FilterSpecs!$A$6, FilterSpecs!$B$6,MouserListTable[[#This Row],[Column1]]=FilterSpecs!$A$7,FilterSpecs!$B$7,MouserListTable[[#This Row],[Column1]]=FilterSpecs!$A$8,FilterSpecs!$B$8,MouserListTable[[#This Row],[Column1]]=FilterSpecs!$A$9,FilterSpecs!$B$9)</f>
        <v>485-</v>
      </c>
      <c r="T599"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485-433</v>
      </c>
      <c r="V599" s="151" t="str">
        <f>IF(MouserListTable[[#This Row],[Qty.]]=0, 0, "")</f>
        <v/>
      </c>
    </row>
    <row r="600" spans="1:22" s="144" customFormat="1" x14ac:dyDescent="0.3">
      <c r="A600" s="103" t="s">
        <v>17</v>
      </c>
      <c r="B600" s="103" t="s">
        <v>1654</v>
      </c>
      <c r="C600" s="103" t="s">
        <v>1898</v>
      </c>
      <c r="D600" s="103" t="str">
        <f>IF(MouserListTable[[#This Row],[Vendor]]=FilterSpecs!$A$8,MouserListTable[[#This Row],[Mouser SKU]], MouserListTable[[#This Row],[SKU2]])</f>
        <v>432</v>
      </c>
      <c r="E600" s="104">
        <v>1</v>
      </c>
      <c r="F600" s="104" t="s">
        <v>18921</v>
      </c>
      <c r="G600" s="103"/>
      <c r="H600" s="103"/>
      <c r="I600" s="103" t="s">
        <v>2080</v>
      </c>
      <c r="J600" s="146"/>
      <c r="K600" s="104">
        <v>2.95</v>
      </c>
      <c r="L600" s="103" t="s">
        <v>1910</v>
      </c>
      <c r="M600" s="106"/>
      <c r="N600" s="104">
        <f>E600*K600</f>
        <v>2.95</v>
      </c>
      <c r="O600" s="103" t="s">
        <v>2081</v>
      </c>
      <c r="P600" s="103">
        <f t="shared" si="39"/>
        <v>587</v>
      </c>
      <c r="Q600" s="103">
        <f t="shared" si="40"/>
        <v>1</v>
      </c>
      <c r="R600" s="103" t="s">
        <v>1898</v>
      </c>
      <c r="S600" s="103" t="str">
        <f>_xlfn.IFS(MouserListTable[[#This Row],[Column1]]=FilterSpecs!$A$6, FilterSpecs!$B$6,MouserListTable[[#This Row],[Column1]]=FilterSpecs!$A$7,FilterSpecs!$B$7,MouserListTable[[#This Row],[Column1]]=FilterSpecs!$A$8,FilterSpecs!$B$8,MouserListTable[[#This Row],[Column1]]=FilterSpecs!$A$9,FilterSpecs!$B$9)</f>
        <v>485-</v>
      </c>
      <c r="T600"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485-432</v>
      </c>
      <c r="V600" s="151" t="str">
        <f>IF(MouserListTable[[#This Row],[Qty.]]=0, 0, "")</f>
        <v/>
      </c>
    </row>
    <row r="601" spans="1:22" s="144" customFormat="1" x14ac:dyDescent="0.3">
      <c r="A601" s="103" t="s">
        <v>17</v>
      </c>
      <c r="B601" s="103" t="s">
        <v>1654</v>
      </c>
      <c r="C601" s="103" t="s">
        <v>1898</v>
      </c>
      <c r="D601" s="103" t="str">
        <f>IF(MouserListTable[[#This Row],[Vendor]]=FilterSpecs!$A$8,MouserListTable[[#This Row],[Mouser SKU]], MouserListTable[[#This Row],[SKU2]])</f>
        <v>427</v>
      </c>
      <c r="E601" s="104">
        <v>1</v>
      </c>
      <c r="F601" s="104" t="s">
        <v>18921</v>
      </c>
      <c r="G601" s="103"/>
      <c r="H601" s="103"/>
      <c r="I601" s="103" t="s">
        <v>2082</v>
      </c>
      <c r="J601" s="146"/>
      <c r="K601" s="104">
        <v>3.95</v>
      </c>
      <c r="L601" s="103" t="s">
        <v>1910</v>
      </c>
      <c r="M601" s="106"/>
      <c r="N601" s="104">
        <f>E601*K601</f>
        <v>3.95</v>
      </c>
      <c r="O601" s="103" t="s">
        <v>2083</v>
      </c>
      <c r="P601" s="103">
        <f t="shared" si="39"/>
        <v>588</v>
      </c>
      <c r="Q601" s="103">
        <f t="shared" si="40"/>
        <v>1</v>
      </c>
      <c r="R601" s="103" t="s">
        <v>1898</v>
      </c>
      <c r="S601" s="103" t="str">
        <f>_xlfn.IFS(MouserListTable[[#This Row],[Column1]]=FilterSpecs!$A$6, FilterSpecs!$B$6,MouserListTable[[#This Row],[Column1]]=FilterSpecs!$A$7,FilterSpecs!$B$7,MouserListTable[[#This Row],[Column1]]=FilterSpecs!$A$8,FilterSpecs!$B$8,MouserListTable[[#This Row],[Column1]]=FilterSpecs!$A$9,FilterSpecs!$B$9)</f>
        <v>485-</v>
      </c>
      <c r="T601"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485-427</v>
      </c>
      <c r="V601" s="151" t="str">
        <f>IF(MouserListTable[[#This Row],[Qty.]]=0, 0, "")</f>
        <v/>
      </c>
    </row>
    <row r="602" spans="1:22" s="144" customFormat="1" x14ac:dyDescent="0.3">
      <c r="A602" s="103" t="s">
        <v>17</v>
      </c>
      <c r="B602" s="103" t="s">
        <v>1654</v>
      </c>
      <c r="C602" s="103" t="s">
        <v>1898</v>
      </c>
      <c r="D602" s="103" t="str">
        <f>IF(MouserListTable[[#This Row],[Vendor]]=FilterSpecs!$A$8,MouserListTable[[#This Row],[Mouser SKU]], MouserListTable[[#This Row],[SKU2]])</f>
        <v>431</v>
      </c>
      <c r="E602" s="104">
        <v>1</v>
      </c>
      <c r="F602" s="104" t="s">
        <v>18921</v>
      </c>
      <c r="G602" s="103"/>
      <c r="H602" s="103"/>
      <c r="I602" s="103" t="s">
        <v>2076</v>
      </c>
      <c r="J602" s="146"/>
      <c r="K602" s="104">
        <v>3.95</v>
      </c>
      <c r="L602" s="103" t="s">
        <v>1910</v>
      </c>
      <c r="M602" s="106"/>
      <c r="N602" s="104">
        <f>E602*K602</f>
        <v>3.95</v>
      </c>
      <c r="O602" s="103" t="s">
        <v>2077</v>
      </c>
      <c r="P602" s="103">
        <f t="shared" si="39"/>
        <v>589</v>
      </c>
      <c r="Q602" s="103">
        <f t="shared" si="40"/>
        <v>1</v>
      </c>
      <c r="R602" s="103" t="s">
        <v>1898</v>
      </c>
      <c r="S602" s="103" t="str">
        <f>_xlfn.IFS(MouserListTable[[#This Row],[Column1]]=FilterSpecs!$A$6, FilterSpecs!$B$6,MouserListTable[[#This Row],[Column1]]=FilterSpecs!$A$7,FilterSpecs!$B$7,MouserListTable[[#This Row],[Column1]]=FilterSpecs!$A$8,FilterSpecs!$B$8,MouserListTable[[#This Row],[Column1]]=FilterSpecs!$A$9,FilterSpecs!$B$9)</f>
        <v>485-</v>
      </c>
      <c r="T602" s="121" t="str">
        <f>_xlfn.IFS(MouserListTable[[#This Row],[Column1]]=FilterSpecs!$A$6, FilterSpecs!$B$6 &amp; MouserListTable[[#This Row],[SKU2]],MouserListTable[[#This Row],[Column1]]=FilterSpecs!$A$7,FilterSpecs!$B$7&amp; MouserListTable[[#This Row],[SKU2]],MouserListTable[[#This Row],[Column1]]=FilterSpecs!$A$8, FilterSpecs!$B$8&amp;MouserListTable[[#This Row],[SKU2]],MouserListTable[[#This Row],[Column1]]=FilterSpecs!$A$9,FilterSpecs!$B$9&amp; MouserListTable[[#This Row],[SKU2]])</f>
        <v>485-431</v>
      </c>
      <c r="V602" s="151" t="str">
        <f>IF(MouserListTable[[#This Row],[Qty.]]=0, 0, "")</f>
        <v/>
      </c>
    </row>
    <row r="603" spans="1:22" x14ac:dyDescent="0.3">
      <c r="A603" s="51" t="s">
        <v>1411</v>
      </c>
      <c r="B603" s="51">
        <f>SUBTOTAL(103,MouserListTable[Category])</f>
        <v>589</v>
      </c>
      <c r="D603" s="12"/>
      <c r="E603" s="12">
        <f>SUBTOTAL(109,MouserListTable[Qty.])</f>
        <v>1066</v>
      </c>
      <c r="F603" s="12"/>
      <c r="G603" s="12"/>
      <c r="H603" s="12"/>
      <c r="I603" s="12"/>
      <c r="J603" s="12"/>
      <c r="K603" s="14">
        <f>SUBTOTAL(101,MouserListTable[Price (USD)])</f>
        <v>10.756893039049169</v>
      </c>
      <c r="L603" s="14"/>
      <c r="M603" s="12">
        <f>SUBTOTAL(103,MouserListTable[Description/Comments])</f>
        <v>68</v>
      </c>
      <c r="N603" s="12">
        <f>SUBTOTAL(109,MouserListTable[Total Price])</f>
        <v>7198.5199999999795</v>
      </c>
      <c r="O603" s="12">
        <f>SUBTOTAL(103,MouserListTable[SKU2])</f>
        <v>589</v>
      </c>
      <c r="P603" s="12">
        <f>SUBTOTAL(104,MouserListTable[List '#])</f>
        <v>589</v>
      </c>
      <c r="Q603" s="12">
        <f>SUBTOTAL(105,MouserListTable[Sku Copy Check])</f>
        <v>1</v>
      </c>
      <c r="R603" s="12"/>
      <c r="S603" s="12"/>
      <c r="T603" s="12"/>
    </row>
    <row r="604" spans="1:22" x14ac:dyDescent="0.3">
      <c r="A604" s="51">
        <f>Primary!A154+Secondary!A42+'Advanced&amp;Optional'!A29+'SmartHome&amp;IoT'!A43+Hardware!A47+LowLevel!A242+Tools!A42</f>
        <v>585</v>
      </c>
      <c r="D604" s="12"/>
      <c r="E604" s="12"/>
      <c r="F604" s="12"/>
      <c r="G604" s="12"/>
      <c r="H604" s="12"/>
      <c r="I604" s="12"/>
      <c r="J604" s="12"/>
      <c r="K604" s="12"/>
      <c r="L604" s="12"/>
    </row>
    <row r="605" spans="1:22" x14ac:dyDescent="0.3">
      <c r="D605" s="12"/>
      <c r="E605" s="12"/>
      <c r="F605" s="12"/>
      <c r="G605" s="12"/>
      <c r="H605" s="12"/>
      <c r="I605" s="12"/>
      <c r="J605" s="12"/>
      <c r="K605" s="12"/>
      <c r="L605" s="12"/>
    </row>
    <row r="606" spans="1:22" x14ac:dyDescent="0.3">
      <c r="D606" s="12"/>
      <c r="E606" s="12"/>
      <c r="F606" s="12"/>
      <c r="G606" s="12"/>
    </row>
    <row r="607" spans="1:22" s="144" customFormat="1" ht="33.6" x14ac:dyDescent="0.3">
      <c r="A607" s="166" t="s">
        <v>2485</v>
      </c>
      <c r="B607" s="166"/>
      <c r="C607" s="137"/>
      <c r="D607" s="12"/>
      <c r="E607" s="12"/>
      <c r="F607" s="12"/>
      <c r="G607" s="12"/>
    </row>
    <row r="608" spans="1:22" s="86" customFormat="1" x14ac:dyDescent="0.3">
      <c r="A608" s="12" t="s">
        <v>896</v>
      </c>
      <c r="B608" s="12" t="s">
        <v>994</v>
      </c>
      <c r="C608" s="12" t="s">
        <v>8</v>
      </c>
      <c r="D608" s="12" t="s">
        <v>1771</v>
      </c>
      <c r="E608" s="89">
        <v>1</v>
      </c>
      <c r="F608" s="12" t="s">
        <v>1772</v>
      </c>
      <c r="G608" s="12" t="s">
        <v>1773</v>
      </c>
      <c r="H608" s="12" t="s">
        <v>1774</v>
      </c>
      <c r="I608" s="12">
        <v>1</v>
      </c>
      <c r="J608" s="89">
        <v>9.9499999999999993</v>
      </c>
      <c r="K608" s="12" t="s">
        <v>1910</v>
      </c>
    </row>
    <row r="609" spans="1:13" s="86" customFormat="1" x14ac:dyDescent="0.3">
      <c r="A609" s="12" t="s">
        <v>896</v>
      </c>
      <c r="B609" s="12" t="s">
        <v>994</v>
      </c>
      <c r="C609" s="12" t="s">
        <v>1898</v>
      </c>
      <c r="D609" s="12" t="s">
        <v>2112</v>
      </c>
      <c r="E609" s="89">
        <v>0</v>
      </c>
      <c r="F609" s="12"/>
      <c r="G609" s="12"/>
      <c r="H609" s="12" t="s">
        <v>2113</v>
      </c>
      <c r="J609" s="89">
        <v>14.95</v>
      </c>
      <c r="K609" s="12" t="s">
        <v>1910</v>
      </c>
    </row>
    <row r="610" spans="1:13" s="86" customFormat="1" x14ac:dyDescent="0.3">
      <c r="A610" s="12" t="s">
        <v>896</v>
      </c>
      <c r="B610" s="12" t="s">
        <v>994</v>
      </c>
      <c r="C610" s="12" t="s">
        <v>1898</v>
      </c>
      <c r="D610" s="12" t="s">
        <v>2100</v>
      </c>
      <c r="E610" s="89">
        <v>0</v>
      </c>
      <c r="F610" s="12"/>
      <c r="G610" s="12"/>
      <c r="H610" s="12" t="s">
        <v>2101</v>
      </c>
      <c r="J610" s="89">
        <v>9.9499999999999993</v>
      </c>
      <c r="K610" s="12" t="s">
        <v>1910</v>
      </c>
    </row>
    <row r="611" spans="1:13" s="86" customFormat="1" x14ac:dyDescent="0.3">
      <c r="A611" s="12" t="s">
        <v>896</v>
      </c>
      <c r="B611" s="12" t="s">
        <v>994</v>
      </c>
      <c r="C611" s="12" t="s">
        <v>1898</v>
      </c>
      <c r="D611" s="12" t="s">
        <v>2104</v>
      </c>
      <c r="E611" s="89">
        <v>0</v>
      </c>
      <c r="F611" s="12"/>
      <c r="G611" s="12"/>
      <c r="H611" s="12" t="s">
        <v>2105</v>
      </c>
      <c r="J611" s="89">
        <v>14.95</v>
      </c>
      <c r="K611" s="12" t="s">
        <v>1910</v>
      </c>
    </row>
    <row r="612" spans="1:13" s="106" customFormat="1" x14ac:dyDescent="0.3">
      <c r="A612" s="103" t="s">
        <v>894</v>
      </c>
      <c r="B612" s="103" t="s">
        <v>2040</v>
      </c>
      <c r="C612" s="103" t="s">
        <v>8</v>
      </c>
      <c r="D612" s="103" t="s">
        <v>36</v>
      </c>
      <c r="E612" s="104">
        <v>5</v>
      </c>
      <c r="F612" s="103" t="s">
        <v>37</v>
      </c>
      <c r="G612" s="103" t="s">
        <v>38</v>
      </c>
      <c r="H612" s="103" t="s">
        <v>39</v>
      </c>
      <c r="I612" s="106">
        <v>1</v>
      </c>
      <c r="J612" s="104">
        <v>29.95</v>
      </c>
      <c r="K612" s="103" t="s">
        <v>1911</v>
      </c>
      <c r="M612" s="106">
        <v>149.75</v>
      </c>
    </row>
    <row r="613" spans="1:13" s="106" customFormat="1" x14ac:dyDescent="0.3">
      <c r="A613" s="103" t="s">
        <v>894</v>
      </c>
      <c r="B613" s="103" t="s">
        <v>2031</v>
      </c>
      <c r="C613" s="103" t="s">
        <v>8</v>
      </c>
      <c r="D613" s="103" t="s">
        <v>116</v>
      </c>
      <c r="E613" s="104">
        <v>5</v>
      </c>
      <c r="F613" s="103" t="s">
        <v>117</v>
      </c>
      <c r="G613" s="103" t="s">
        <v>118</v>
      </c>
      <c r="H613" s="103" t="s">
        <v>119</v>
      </c>
      <c r="I613" s="103">
        <v>1</v>
      </c>
      <c r="J613" s="104">
        <v>12.95</v>
      </c>
      <c r="K613" s="103" t="s">
        <v>1911</v>
      </c>
      <c r="M613" s="106">
        <v>64.75</v>
      </c>
    </row>
    <row r="614" spans="1:13" s="106" customFormat="1" x14ac:dyDescent="0.3">
      <c r="A614" s="103" t="s">
        <v>894</v>
      </c>
      <c r="B614" s="103" t="s">
        <v>13</v>
      </c>
      <c r="C614" s="103" t="s">
        <v>8</v>
      </c>
      <c r="D614" s="103" t="s">
        <v>260</v>
      </c>
      <c r="E614" s="104">
        <v>5</v>
      </c>
      <c r="F614" s="103" t="s">
        <v>261</v>
      </c>
      <c r="G614" s="103" t="s">
        <v>262</v>
      </c>
      <c r="H614" s="103" t="s">
        <v>263</v>
      </c>
      <c r="I614" s="103">
        <v>1</v>
      </c>
      <c r="J614" s="104">
        <v>6.95</v>
      </c>
      <c r="K614" s="103" t="s">
        <v>1911</v>
      </c>
      <c r="M614" s="106">
        <v>34.75</v>
      </c>
    </row>
    <row r="615" spans="1:13" s="106" customFormat="1" x14ac:dyDescent="0.3">
      <c r="A615" s="103" t="s">
        <v>895</v>
      </c>
      <c r="B615" s="103" t="s">
        <v>899</v>
      </c>
      <c r="C615" s="103" t="s">
        <v>8</v>
      </c>
      <c r="D615" s="103" t="s">
        <v>363</v>
      </c>
      <c r="E615" s="104">
        <v>0</v>
      </c>
      <c r="F615" s="103" t="s">
        <v>364</v>
      </c>
      <c r="G615" s="103" t="s">
        <v>365</v>
      </c>
      <c r="H615" s="103" t="s">
        <v>366</v>
      </c>
      <c r="I615" s="103">
        <v>1</v>
      </c>
      <c r="J615" s="104">
        <v>2.95</v>
      </c>
      <c r="K615" s="103" t="s">
        <v>2487</v>
      </c>
      <c r="L615" s="103"/>
      <c r="M615" s="103">
        <v>0</v>
      </c>
    </row>
    <row r="616" spans="1:13" s="106" customFormat="1" x14ac:dyDescent="0.3">
      <c r="A616" s="103" t="s">
        <v>895</v>
      </c>
      <c r="B616" s="103" t="s">
        <v>899</v>
      </c>
      <c r="C616" s="103" t="s">
        <v>8</v>
      </c>
      <c r="D616" s="103" t="s">
        <v>1185</v>
      </c>
      <c r="E616" s="104">
        <v>0</v>
      </c>
      <c r="F616" s="103" t="s">
        <v>1186</v>
      </c>
      <c r="G616" s="103" t="s">
        <v>1187</v>
      </c>
      <c r="H616" s="103" t="s">
        <v>1188</v>
      </c>
      <c r="I616" s="103">
        <v>1</v>
      </c>
      <c r="J616" s="104">
        <v>9.9499999999999993</v>
      </c>
      <c r="K616" s="103" t="s">
        <v>2487</v>
      </c>
      <c r="M616" s="103">
        <v>0</v>
      </c>
    </row>
    <row r="617" spans="1:13" s="86" customFormat="1" x14ac:dyDescent="0.3">
      <c r="A617" s="12" t="s">
        <v>895</v>
      </c>
      <c r="B617" s="12" t="s">
        <v>1607</v>
      </c>
      <c r="C617" s="12" t="s">
        <v>8</v>
      </c>
      <c r="D617" s="12" t="s">
        <v>1108</v>
      </c>
      <c r="E617" s="89">
        <v>1</v>
      </c>
      <c r="F617" s="12" t="s">
        <v>1109</v>
      </c>
      <c r="G617" s="12" t="s">
        <v>1110</v>
      </c>
      <c r="H617" s="12" t="s">
        <v>1111</v>
      </c>
      <c r="I617" s="12"/>
      <c r="J617" s="89">
        <v>24.95</v>
      </c>
      <c r="K617" s="12" t="s">
        <v>1910</v>
      </c>
      <c r="M617" s="12">
        <v>24.95</v>
      </c>
    </row>
    <row r="618" spans="1:13" s="151" customFormat="1" x14ac:dyDescent="0.3">
      <c r="A618" s="69" t="s">
        <v>1070</v>
      </c>
      <c r="B618" s="150" t="s">
        <v>1013</v>
      </c>
      <c r="C618" s="150" t="s">
        <v>8</v>
      </c>
      <c r="D618" s="69" t="s">
        <v>989</v>
      </c>
      <c r="E618" s="98">
        <v>0</v>
      </c>
      <c r="F618" s="69" t="s">
        <v>990</v>
      </c>
      <c r="G618" s="69" t="s">
        <v>991</v>
      </c>
      <c r="H618" s="69" t="s">
        <v>992</v>
      </c>
      <c r="I618" s="69">
        <v>1</v>
      </c>
      <c r="J618" s="98">
        <v>44.95</v>
      </c>
      <c r="K618" s="69" t="s">
        <v>1914</v>
      </c>
      <c r="L618" s="69" t="s">
        <v>1057</v>
      </c>
      <c r="M618" s="69">
        <v>0</v>
      </c>
    </row>
    <row r="619" spans="1:13" s="86" customFormat="1" x14ac:dyDescent="0.3">
      <c r="A619" s="12" t="s">
        <v>1070</v>
      </c>
      <c r="B619" s="12" t="s">
        <v>1013</v>
      </c>
      <c r="C619" s="12" t="s">
        <v>1898</v>
      </c>
      <c r="D619" s="12" t="s">
        <v>2094</v>
      </c>
      <c r="E619" s="89">
        <v>0</v>
      </c>
      <c r="F619" s="12"/>
      <c r="G619" s="12"/>
      <c r="H619" s="12" t="s">
        <v>2095</v>
      </c>
      <c r="I619" s="12"/>
      <c r="J619" s="89">
        <v>44.95</v>
      </c>
      <c r="K619" s="12" t="s">
        <v>1910</v>
      </c>
    </row>
    <row r="620" spans="1:13" s="86" customFormat="1" x14ac:dyDescent="0.3">
      <c r="A620" s="12" t="s">
        <v>1070</v>
      </c>
      <c r="B620" s="12" t="s">
        <v>2065</v>
      </c>
      <c r="C620" s="12" t="s">
        <v>1898</v>
      </c>
      <c r="D620" s="12" t="s">
        <v>2073</v>
      </c>
      <c r="E620" s="89">
        <v>1</v>
      </c>
      <c r="F620" s="12"/>
      <c r="G620" s="12"/>
      <c r="H620" s="12" t="s">
        <v>2072</v>
      </c>
      <c r="I620" s="12"/>
      <c r="J620" s="89">
        <v>39.950000000000003</v>
      </c>
      <c r="K620" s="12" t="s">
        <v>1910</v>
      </c>
    </row>
    <row r="621" spans="1:13" s="86" customFormat="1" x14ac:dyDescent="0.3">
      <c r="A621" s="12" t="s">
        <v>1070</v>
      </c>
      <c r="B621" s="152" t="s">
        <v>2028</v>
      </c>
      <c r="C621" s="12" t="s">
        <v>1898</v>
      </c>
      <c r="D621" s="12" t="s">
        <v>2098</v>
      </c>
      <c r="E621" s="89">
        <v>0</v>
      </c>
      <c r="F621" s="12"/>
      <c r="G621" s="12"/>
      <c r="H621" s="12" t="s">
        <v>2099</v>
      </c>
      <c r="J621" s="89">
        <v>44.95</v>
      </c>
      <c r="K621" s="12" t="s">
        <v>1910</v>
      </c>
    </row>
    <row r="622" spans="1:13" s="105" customFormat="1" x14ac:dyDescent="0.3">
      <c r="A622" s="102" t="s">
        <v>1070</v>
      </c>
      <c r="B622" s="117" t="s">
        <v>1437</v>
      </c>
      <c r="C622" s="117" t="s">
        <v>8</v>
      </c>
      <c r="D622" s="103" t="s">
        <v>977</v>
      </c>
      <c r="E622" s="104">
        <v>1</v>
      </c>
      <c r="F622" s="103" t="s">
        <v>978</v>
      </c>
      <c r="G622" s="103" t="s">
        <v>979</v>
      </c>
      <c r="H622" s="103" t="s">
        <v>980</v>
      </c>
      <c r="I622" s="103">
        <v>1</v>
      </c>
      <c r="J622" s="104">
        <v>49.95</v>
      </c>
      <c r="K622" s="103" t="s">
        <v>1910</v>
      </c>
      <c r="L622" s="103" t="s">
        <v>1061</v>
      </c>
      <c r="M622" s="103">
        <v>49.95</v>
      </c>
    </row>
  </sheetData>
  <mergeCells count="1">
    <mergeCell ref="A607:B607"/>
  </mergeCells>
  <conditionalFormatting sqref="A1:T1048576">
    <cfRule type="expression" dxfId="258" priority="1">
      <formula>AND(($E1=0),NOT(ISBLANK($E1)))</formula>
    </cfRule>
  </conditionalFormatting>
  <dataValidations count="3">
    <dataValidation allowBlank="1" showInputMessage="1" showErrorMessage="1" prompt="Title of this worksheet is in cells B1 through D1" sqref="A607" xr:uid="{42189A46-2EB6-45B4-9D61-8300816AC687}"/>
    <dataValidation allowBlank="1" showInputMessage="1" showErrorMessage="1" prompt="Title of this worksheet is in this cell" sqref="A11" xr:uid="{A732BCA0-1B2F-4775-85AD-6C61072BC7A0}"/>
    <dataValidation type="list" allowBlank="1" showInputMessage="1" showErrorMessage="1" sqref="A267" xr:uid="{817E0DA6-4CFD-4A3A-A56A-BC50C35292BA}">
      <formula1>$C$6:$C$13</formula1>
    </dataValidation>
  </dataValidations>
  <pageMargins left="0.7" right="0.7" top="0.75" bottom="0.75" header="0.3" footer="0.3"/>
  <pageSetup orientation="portrait" horizontalDpi="4294967294" verticalDpi="0"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2" id="{D72C5922-868F-42A1-BA11-2BDED46AE43A}">
            <xm:f>$L1=FilterSpecs!$F$13</xm:f>
            <x14:dxf>
              <font>
                <b/>
                <i val="0"/>
                <color theme="0"/>
              </font>
              <fill>
                <patternFill>
                  <bgColor theme="9" tint="-0.499984740745262"/>
                </patternFill>
              </fill>
            </x14:dxf>
          </x14:cfRule>
          <x14:cfRule type="expression" priority="3" id="{3D21B6C0-B80C-4407-B0B0-C7EA1910D4B5}">
            <xm:f>$L1=FilterSpecs!$F$12</xm:f>
            <x14:dxf>
              <font>
                <b/>
                <i val="0"/>
                <color theme="0"/>
              </font>
              <fill>
                <patternFill>
                  <bgColor rgb="FFEC6E6E"/>
                </patternFill>
              </fill>
            </x14:dxf>
          </x14:cfRule>
          <x14:cfRule type="expression" priority="4" id="{8AAD66F8-E4EB-4BDA-BA98-B16500928FE9}">
            <xm:f>$L1=FilterSpecs!$F$11</xm:f>
            <x14:dxf>
              <font>
                <b/>
                <i val="0"/>
                <color theme="0"/>
              </font>
              <fill>
                <patternFill>
                  <bgColor rgb="FF00B050"/>
                </patternFill>
              </fill>
            </x14:dxf>
          </x14:cfRule>
          <x14:cfRule type="expression" priority="5" id="{A9861BA3-DCC3-4498-83C3-EEB9D29EDA85}">
            <xm:f>$L1=FilterSpecs!$F$10</xm:f>
            <x14:dxf>
              <font>
                <b/>
                <i val="0"/>
                <color theme="0"/>
              </font>
              <fill>
                <patternFill>
                  <bgColor rgb="FF002060"/>
                </patternFill>
              </fill>
            </x14:dxf>
          </x14:cfRule>
          <x14:cfRule type="expression" priority="6" id="{DF5FAC89-A5A6-429D-9E0F-BC20C731E0D1}">
            <xm:f>$L1=FilterSpecs!$F$9</xm:f>
            <x14:dxf>
              <font>
                <b/>
                <i val="0"/>
                <color theme="0"/>
              </font>
              <fill>
                <patternFill>
                  <bgColor rgb="FFFF0000"/>
                </patternFill>
              </fill>
            </x14:dxf>
          </x14:cfRule>
          <x14:cfRule type="expression" priority="7" id="{0CF9B166-96E2-4E15-AF55-65C6F82509AE}">
            <xm:f>$L1=FilterSpecs!$F$8</xm:f>
            <x14:dxf>
              <font>
                <b/>
                <i val="0"/>
                <color theme="0"/>
              </font>
              <fill>
                <patternFill>
                  <bgColor rgb="FFFFC000"/>
                </patternFill>
              </fill>
            </x14:dxf>
          </x14:cfRule>
          <x14:cfRule type="expression" priority="8" id="{429A9732-6A62-4C97-85F9-4474AD03AC30}">
            <xm:f>$L1=FilterSpecs!$F$6</xm:f>
            <x14:dxf>
              <font>
                <b val="0"/>
                <i val="0"/>
              </font>
              <fill>
                <patternFill patternType="none">
                  <bgColor auto="1"/>
                </patternFill>
              </fill>
            </x14:dxf>
          </x14:cfRule>
          <x14:cfRule type="expression" priority="9" id="{E6C7E990-34C9-4015-8C60-9F4F4D45C9FE}">
            <xm:f>$L1=FilterSpecs!$F$7</xm:f>
            <x14:dxf>
              <font>
                <b/>
                <i val="0"/>
                <color theme="0"/>
              </font>
              <fill>
                <patternFill>
                  <bgColor rgb="FF00B0F0"/>
                </patternFill>
              </fill>
            </x14:dxf>
          </x14:cfRule>
          <xm:sqref>A1:T1048576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709950D-2F6C-446A-ABFE-07B36B660F45}">
          <x14:formula1>
            <xm:f>FilterSpecs!$C$6:$C$13</xm:f>
          </x14:formula1>
          <xm:sqref>A268:B268</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87330-B8AC-4002-B9F9-B5E1C46A30C6}">
  <sheetPr codeName="Sheet21">
    <tabColor rgb="FF002060"/>
  </sheetPr>
  <dimension ref="A11:Z638"/>
  <sheetViews>
    <sheetView tabSelected="1" zoomScale="85" zoomScaleNormal="85" workbookViewId="0">
      <selection activeCell="I53" sqref="I53"/>
    </sheetView>
  </sheetViews>
  <sheetFormatPr defaultRowHeight="14.4" x14ac:dyDescent="0.3"/>
  <cols>
    <col min="1" max="1" width="37.77734375" style="51" customWidth="1"/>
    <col min="2" max="2" width="46.109375" style="51" bestFit="1" customWidth="1"/>
    <col min="3" max="3" width="17.109375" style="51" customWidth="1"/>
    <col min="4" max="4" width="14" style="51" customWidth="1"/>
    <col min="5" max="5" width="7.77734375" style="51" customWidth="1"/>
    <col min="6" max="6" width="8.5546875" bestFit="1" customWidth="1"/>
    <col min="7" max="7" width="0.109375" customWidth="1"/>
    <col min="8" max="8" width="0.44140625" style="51" customWidth="1"/>
    <col min="9" max="9" width="63.109375" customWidth="1"/>
    <col min="10" max="10" width="0.109375" style="51" hidden="1" customWidth="1"/>
    <col min="11" max="11" width="9.5546875" style="51" customWidth="1"/>
    <col min="12" max="12" width="2.5546875" customWidth="1"/>
    <col min="13" max="13" width="7.21875" hidden="1" customWidth="1"/>
    <col min="14" max="14" width="8.44140625" customWidth="1"/>
    <col min="15" max="15" width="13.109375" hidden="1" customWidth="1"/>
    <col min="16" max="16" width="9" hidden="1" customWidth="1"/>
    <col min="17" max="17" width="13.88671875" hidden="1" customWidth="1"/>
    <col min="18" max="18" width="16.5546875" hidden="1" customWidth="1"/>
    <col min="19" max="19" width="8.33203125" hidden="1" customWidth="1"/>
    <col min="20" max="20" width="10.5546875" hidden="1" customWidth="1"/>
    <col min="21" max="21" width="8.6640625" customWidth="1"/>
    <col min="22" max="22" width="7.21875" customWidth="1"/>
    <col min="23" max="23" width="12.109375" customWidth="1"/>
    <col min="24" max="24" width="7.77734375" customWidth="1"/>
  </cols>
  <sheetData>
    <row r="11" spans="1:26" ht="72" customHeight="1" thickBot="1" x14ac:dyDescent="0.35">
      <c r="A11" s="59" t="s">
        <v>2486</v>
      </c>
    </row>
    <row r="12" spans="1:26" ht="6.6" customHeight="1" thickTop="1" x14ac:dyDescent="0.3">
      <c r="A12" s="108"/>
      <c r="B12" s="108"/>
      <c r="C12" s="108"/>
      <c r="D12" s="108"/>
      <c r="E12" s="108"/>
      <c r="F12" s="108"/>
      <c r="G12" s="108"/>
      <c r="H12" s="108"/>
      <c r="I12" s="108"/>
      <c r="J12" s="108"/>
      <c r="K12" s="108"/>
      <c r="L12" s="108"/>
      <c r="M12" s="108"/>
      <c r="N12" s="108"/>
      <c r="O12" s="108"/>
      <c r="P12" s="108"/>
      <c r="Q12" s="108"/>
    </row>
    <row r="13" spans="1:26" x14ac:dyDescent="0.3">
      <c r="A13" s="51" t="s">
        <v>893</v>
      </c>
      <c r="B13" s="97" t="s">
        <v>163</v>
      </c>
      <c r="C13" s="97" t="s">
        <v>7</v>
      </c>
      <c r="D13" s="12" t="s">
        <v>25</v>
      </c>
      <c r="E13" s="12" t="s">
        <v>18926</v>
      </c>
      <c r="F13" s="12" t="s">
        <v>18927</v>
      </c>
      <c r="G13" s="12" t="s">
        <v>27</v>
      </c>
      <c r="H13" s="12" t="s">
        <v>28</v>
      </c>
      <c r="I13" s="12" t="s">
        <v>29</v>
      </c>
      <c r="J13" s="12" t="s">
        <v>30</v>
      </c>
      <c r="K13" s="12" t="s">
        <v>31</v>
      </c>
      <c r="L13" s="12" t="s">
        <v>1918</v>
      </c>
      <c r="M13" s="12" t="s">
        <v>1621</v>
      </c>
      <c r="N13" s="12" t="s">
        <v>1412</v>
      </c>
      <c r="O13" s="12" t="s">
        <v>2548</v>
      </c>
      <c r="P13" s="12" t="s">
        <v>2549</v>
      </c>
      <c r="Q13" s="12" t="s">
        <v>2550</v>
      </c>
      <c r="R13" s="12" t="s">
        <v>18923</v>
      </c>
      <c r="S13" s="12" t="s">
        <v>18914</v>
      </c>
      <c r="T13" s="12" t="s">
        <v>18918</v>
      </c>
      <c r="U13" s="12" t="s">
        <v>18929</v>
      </c>
      <c r="V13" s="12" t="s">
        <v>18925</v>
      </c>
      <c r="W13" s="12" t="s">
        <v>18924</v>
      </c>
      <c r="X13" s="12" t="s">
        <v>18928</v>
      </c>
      <c r="Y13" s="12" t="s">
        <v>18942</v>
      </c>
      <c r="Z13" s="12" t="s">
        <v>18943</v>
      </c>
    </row>
    <row r="14" spans="1:26" s="151" customFormat="1" hidden="1" x14ac:dyDescent="0.3">
      <c r="A14" s="103" t="s">
        <v>894</v>
      </c>
      <c r="B14" s="103" t="s">
        <v>888</v>
      </c>
      <c r="C14" s="103" t="s">
        <v>8</v>
      </c>
      <c r="D14" s="106" t="str">
        <f>IF(MouserListTable12[[#This Row],[Vendor]]=FilterSpecs!$A$8,MouserListTable12[[#This Row],[Mouser SKU]], MouserListTable12[[#This Row],[SKU2]])</f>
        <v>WIG-13660</v>
      </c>
      <c r="E14" s="121">
        <f>MouserListTable12[[#This Row],[Tot '#]]-MouserListTable12[[#This Row],['# Initial]]</f>
        <v>1</v>
      </c>
      <c r="F14" s="121">
        <f>MouserListTable12[[#This Row],['#/Unit]]*FilterSpecs!$B$3+MouserListTable12[[#This Row],[Extra Initial]]</f>
        <v>0</v>
      </c>
      <c r="G14" s="103" t="s">
        <v>137</v>
      </c>
      <c r="H14" s="103" t="s">
        <v>138</v>
      </c>
      <c r="I14" s="103" t="s">
        <v>139</v>
      </c>
      <c r="J14" s="103">
        <v>1</v>
      </c>
      <c r="K14" s="171">
        <v>49.95</v>
      </c>
      <c r="L14" s="103" t="s">
        <v>1910</v>
      </c>
      <c r="M14" s="106" t="s">
        <v>1489</v>
      </c>
      <c r="N14" s="171">
        <f>MouserListTable12[[#This Row],['# Initial]]*MouserListTable12[[#This Row],[Price (USD)]]</f>
        <v>0</v>
      </c>
      <c r="O14" s="106" t="s">
        <v>136</v>
      </c>
      <c r="P14" s="103">
        <f t="shared" ref="P14:P77" si="0">IF($P13="List #",1,$P13+1)</f>
        <v>1</v>
      </c>
      <c r="Q14" s="103">
        <f>IF($D14=$O14,1,0)</f>
        <v>1</v>
      </c>
      <c r="R14" s="103" t="s">
        <v>8</v>
      </c>
      <c r="S14" s="103" t="str">
        <f>_xlfn.IFS(MouserListTable12[[#This Row],[Supplier]]=FilterSpecs!$A$6, FilterSpecs!$B$6,MouserListTable12[[#This Row],[Supplier]]=FilterSpecs!$A$7,FilterSpecs!$B$7,MouserListTable12[[#This Row],[Supplier]]=FilterSpecs!$A$8,FilterSpecs!$B$8,MouserListTable12[[#This Row],[Supplier]]=FilterSpecs!$A$9,FilterSpecs!$B$9)</f>
        <v>474-</v>
      </c>
      <c r="T1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474-WIG-13660</v>
      </c>
      <c r="U14" s="121">
        <v>0</v>
      </c>
      <c r="V14" s="121">
        <v>1</v>
      </c>
      <c r="W14" s="121">
        <v>0</v>
      </c>
      <c r="X14" s="121">
        <f>MouserListTable12[[#This Row],['#/Unit]]*FilterSpecs!$C$3+MouserListTable12[[#This Row],[Extra]]</f>
        <v>1</v>
      </c>
      <c r="Y14" s="121">
        <f>IF(MouserListTable12[[#This Row],[Tag]]=FilterSpecs!$F$7,MouserListTable12[[#This Row],[Price (USD)]],0)</f>
        <v>0</v>
      </c>
      <c r="Z14" s="121">
        <f>MouserListTable12[[#This Row],[Tot '#]]*MouserListTable12[[#This Row],[Price (USD)]]</f>
        <v>49.95</v>
      </c>
    </row>
    <row r="15" spans="1:26" s="146" customFormat="1" hidden="1" x14ac:dyDescent="0.3">
      <c r="A15" s="103" t="s">
        <v>894</v>
      </c>
      <c r="B15" s="103" t="s">
        <v>888</v>
      </c>
      <c r="C15" s="103" t="s">
        <v>8</v>
      </c>
      <c r="D15" s="106" t="str">
        <f>IF(MouserListTable12[[#This Row],[Vendor]]=FilterSpecs!$A$8,MouserListTable12[[#This Row],[Mouser SKU]], MouserListTable12[[#This Row],[SKU2]])</f>
        <v>COM-14023</v>
      </c>
      <c r="E15" s="121">
        <f>MouserListTable12[[#This Row],[Tot '#]]-MouserListTable12[[#This Row],['# Initial]]</f>
        <v>1</v>
      </c>
      <c r="F15" s="121">
        <f>MouserListTable12[[#This Row],['#/Unit]]*FilterSpecs!$B$3+MouserListTable12[[#This Row],[Extra Initial]]</f>
        <v>0</v>
      </c>
      <c r="G15" s="103" t="s">
        <v>149</v>
      </c>
      <c r="H15" s="103" t="s">
        <v>150</v>
      </c>
      <c r="I15" s="103" t="s">
        <v>151</v>
      </c>
      <c r="J15" s="103"/>
      <c r="K15" s="171">
        <v>4.95</v>
      </c>
      <c r="L15" s="103" t="s">
        <v>1910</v>
      </c>
      <c r="M15" s="106"/>
      <c r="N15" s="171">
        <f>MouserListTable12[[#This Row],['# Initial]]*MouserListTable12[[#This Row],[Price (USD)]]</f>
        <v>0</v>
      </c>
      <c r="O15" s="106" t="s">
        <v>148</v>
      </c>
      <c r="P15" s="103">
        <f t="shared" si="0"/>
        <v>2</v>
      </c>
      <c r="Q15" s="103">
        <f>IF($D15=$O15,1,0)</f>
        <v>1</v>
      </c>
      <c r="R15" s="103" t="s">
        <v>8</v>
      </c>
      <c r="S15" s="103" t="str">
        <f>_xlfn.IFS(MouserListTable12[[#This Row],[Supplier]]=FilterSpecs!$A$6, FilterSpecs!$B$6,MouserListTable12[[#This Row],[Supplier]]=FilterSpecs!$A$7,FilterSpecs!$B$7,MouserListTable12[[#This Row],[Supplier]]=FilterSpecs!$A$8,FilterSpecs!$B$8,MouserListTable12[[#This Row],[Supplier]]=FilterSpecs!$A$9,FilterSpecs!$B$9)</f>
        <v>474-</v>
      </c>
      <c r="T1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474-COM-14023</v>
      </c>
      <c r="U15" s="121">
        <v>0</v>
      </c>
      <c r="V15" s="121">
        <v>1</v>
      </c>
      <c r="W15" s="121">
        <v>0</v>
      </c>
      <c r="X15" s="121">
        <f>MouserListTable12[[#This Row],['#/Unit]]*FilterSpecs!$C$3+MouserListTable12[[#This Row],[Extra]]</f>
        <v>1</v>
      </c>
      <c r="Y15" s="121">
        <f>IF(MouserListTable12[[#This Row],[Tag]]=FilterSpecs!$F$7,MouserListTable12[[#This Row],[Price (USD)]],0)</f>
        <v>0</v>
      </c>
      <c r="Z15" s="121">
        <f>MouserListTable12[[#This Row],[Tot '#]]*MouserListTable12[[#This Row],[Price (USD)]]</f>
        <v>4.95</v>
      </c>
    </row>
    <row r="16" spans="1:26" s="146" customFormat="1" hidden="1" x14ac:dyDescent="0.3">
      <c r="A16" s="103" t="s">
        <v>894</v>
      </c>
      <c r="B16" s="103" t="s">
        <v>888</v>
      </c>
      <c r="C16" s="103" t="s">
        <v>8</v>
      </c>
      <c r="D16" s="106" t="str">
        <f>IF(MouserListTable12[[#This Row],[Vendor]]=FilterSpecs!$A$8,MouserListTable12[[#This Row],[Mouser SKU]], MouserListTable12[[#This Row],[SKU2]])</f>
        <v>COM-09151</v>
      </c>
      <c r="E16" s="121">
        <f>MouserListTable12[[#This Row],[Tot '#]]-MouserListTable12[[#This Row],['# Initial]]</f>
        <v>2</v>
      </c>
      <c r="F16" s="121">
        <f>MouserListTable12[[#This Row],['#/Unit]]*FilterSpecs!$B$3+MouserListTable12[[#This Row],[Extra Initial]]</f>
        <v>0</v>
      </c>
      <c r="G16" s="103" t="s">
        <v>153</v>
      </c>
      <c r="H16" s="103" t="s">
        <v>154</v>
      </c>
      <c r="I16" s="103" t="s">
        <v>155</v>
      </c>
      <c r="J16" s="103">
        <v>1</v>
      </c>
      <c r="K16" s="171">
        <v>1.95</v>
      </c>
      <c r="L16" s="103" t="s">
        <v>1910</v>
      </c>
      <c r="M16" s="106"/>
      <c r="N16" s="171">
        <f>MouserListTable12[[#This Row],['# Initial]]*MouserListTable12[[#This Row],[Price (USD)]]</f>
        <v>0</v>
      </c>
      <c r="O16" s="106" t="s">
        <v>152</v>
      </c>
      <c r="P16" s="103">
        <f t="shared" si="0"/>
        <v>3</v>
      </c>
      <c r="Q16" s="103">
        <f>IF($D16=$O16,1,0)</f>
        <v>1</v>
      </c>
      <c r="R16" s="103" t="s">
        <v>8</v>
      </c>
      <c r="S16" s="103" t="str">
        <f>_xlfn.IFS(MouserListTable12[[#This Row],[Supplier]]=FilterSpecs!$A$6, FilterSpecs!$B$6,MouserListTable12[[#This Row],[Supplier]]=FilterSpecs!$A$7,FilterSpecs!$B$7,MouserListTable12[[#This Row],[Supplier]]=FilterSpecs!$A$8,FilterSpecs!$B$8,MouserListTable12[[#This Row],[Supplier]]=FilterSpecs!$A$9,FilterSpecs!$B$9)</f>
        <v>474-</v>
      </c>
      <c r="T1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474-COM-09151</v>
      </c>
      <c r="U16" s="121">
        <v>0</v>
      </c>
      <c r="V16" s="121">
        <v>2</v>
      </c>
      <c r="W16" s="121">
        <v>0</v>
      </c>
      <c r="X16" s="121">
        <f>MouserListTable12[[#This Row],['#/Unit]]*FilterSpecs!$C$3+MouserListTable12[[#This Row],[Extra]]</f>
        <v>2</v>
      </c>
      <c r="Y16" s="121">
        <f>IF(MouserListTable12[[#This Row],[Tag]]=FilterSpecs!$F$7,MouserListTable12[[#This Row],[Price (USD)]],0)</f>
        <v>0</v>
      </c>
      <c r="Z16" s="121">
        <f>MouserListTable12[[#This Row],[Tot '#]]*MouserListTable12[[#This Row],[Price (USD)]]</f>
        <v>3.9</v>
      </c>
    </row>
    <row r="17" spans="1:26" s="146" customFormat="1" hidden="1" x14ac:dyDescent="0.3">
      <c r="A17" s="103" t="s">
        <v>894</v>
      </c>
      <c r="B17" s="103" t="s">
        <v>888</v>
      </c>
      <c r="C17" s="103" t="s">
        <v>8</v>
      </c>
      <c r="D17" s="106" t="str">
        <f>IF(MouserListTable12[[#This Row],[Vendor]]=FilterSpecs!$A$8,MouserListTable12[[#This Row],[Mouser SKU]], MouserListTable12[[#This Row],[SKU2]])</f>
        <v>COM-11145</v>
      </c>
      <c r="E17" s="121">
        <f>MouserListTable12[[#This Row],[Tot '#]]-MouserListTable12[[#This Row],['# Initial]]</f>
        <v>1</v>
      </c>
      <c r="F17" s="121">
        <f>MouserListTable12[[#This Row],['#/Unit]]*FilterSpecs!$B$3+MouserListTable12[[#This Row],[Extra Initial]]</f>
        <v>0</v>
      </c>
      <c r="G17" s="103" t="s">
        <v>157</v>
      </c>
      <c r="H17" s="103" t="s">
        <v>158</v>
      </c>
      <c r="I17" s="103" t="s">
        <v>159</v>
      </c>
      <c r="J17" s="103"/>
      <c r="K17" s="171">
        <v>0.75</v>
      </c>
      <c r="L17" s="103" t="s">
        <v>1910</v>
      </c>
      <c r="M17" s="106"/>
      <c r="N17" s="171">
        <f>MouserListTable12[[#This Row],['# Initial]]*MouserListTable12[[#This Row],[Price (USD)]]</f>
        <v>0</v>
      </c>
      <c r="O17" s="106" t="s">
        <v>156</v>
      </c>
      <c r="P17" s="103">
        <f t="shared" si="0"/>
        <v>4</v>
      </c>
      <c r="Q17" s="103">
        <f>IF($D17=$O17,1,0)</f>
        <v>1</v>
      </c>
      <c r="R17" s="103" t="s">
        <v>8</v>
      </c>
      <c r="S17" s="103" t="str">
        <f>_xlfn.IFS(MouserListTable12[[#This Row],[Supplier]]=FilterSpecs!$A$6, FilterSpecs!$B$6,MouserListTable12[[#This Row],[Supplier]]=FilterSpecs!$A$7,FilterSpecs!$B$7,MouserListTable12[[#This Row],[Supplier]]=FilterSpecs!$A$8,FilterSpecs!$B$8,MouserListTable12[[#This Row],[Supplier]]=FilterSpecs!$A$9,FilterSpecs!$B$9)</f>
        <v>474-</v>
      </c>
      <c r="T1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474-COM-11145</v>
      </c>
      <c r="U17" s="121">
        <v>0</v>
      </c>
      <c r="V17" s="121">
        <v>1</v>
      </c>
      <c r="W17" s="121">
        <v>0</v>
      </c>
      <c r="X17" s="121">
        <f>MouserListTable12[[#This Row],['#/Unit]]*FilterSpecs!$C$3+MouserListTable12[[#This Row],[Extra]]</f>
        <v>1</v>
      </c>
      <c r="Y17" s="121">
        <f>IF(MouserListTable12[[#This Row],[Tag]]=FilterSpecs!$F$7,MouserListTable12[[#This Row],[Price (USD)]],0)</f>
        <v>0</v>
      </c>
      <c r="Z17" s="121">
        <f>MouserListTable12[[#This Row],[Tot '#]]*MouserListTable12[[#This Row],[Price (USD)]]</f>
        <v>0.75</v>
      </c>
    </row>
    <row r="18" spans="1:26" s="146" customFormat="1" hidden="1" x14ac:dyDescent="0.3">
      <c r="A18" s="103" t="s">
        <v>894</v>
      </c>
      <c r="B18" s="103" t="s">
        <v>888</v>
      </c>
      <c r="C18" s="103" t="s">
        <v>8</v>
      </c>
      <c r="D18" s="106" t="str">
        <f>IF(MouserListTable12[[#This Row],[Vendor]]=FilterSpecs!$A$8,MouserListTable12[[#This Row],[Mouser SKU]], MouserListTable12[[#This Row],[SKU2]])</f>
        <v>ROB-08449</v>
      </c>
      <c r="E18" s="121">
        <f>MouserListTable12[[#This Row],[Tot '#]]-MouserListTable12[[#This Row],['# Initial]]</f>
        <v>2</v>
      </c>
      <c r="F18" s="121">
        <f>MouserListTable12[[#This Row],['#/Unit]]*FilterSpecs!$B$3+MouserListTable12[[#This Row],[Extra Initial]]</f>
        <v>0</v>
      </c>
      <c r="G18" s="103" t="s">
        <v>668</v>
      </c>
      <c r="H18" s="103" t="s">
        <v>669</v>
      </c>
      <c r="I18" s="103" t="s">
        <v>670</v>
      </c>
      <c r="J18" s="103">
        <v>1</v>
      </c>
      <c r="K18" s="171">
        <v>4.95</v>
      </c>
      <c r="L18" s="103" t="s">
        <v>1910</v>
      </c>
      <c r="M18" s="106"/>
      <c r="N18" s="171">
        <f>MouserListTable12[[#This Row],['# Initial]]*MouserListTable12[[#This Row],[Price (USD)]]</f>
        <v>0</v>
      </c>
      <c r="O18" s="106" t="s">
        <v>667</v>
      </c>
      <c r="P18" s="103">
        <f t="shared" si="0"/>
        <v>5</v>
      </c>
      <c r="Q18" s="103">
        <f>IF($D18=$O18,1,0)</f>
        <v>1</v>
      </c>
      <c r="R18" s="103" t="s">
        <v>8</v>
      </c>
      <c r="S18" s="103" t="str">
        <f>_xlfn.IFS(MouserListTable12[[#This Row],[Supplier]]=FilterSpecs!$A$6, FilterSpecs!$B$6,MouserListTable12[[#This Row],[Supplier]]=FilterSpecs!$A$7,FilterSpecs!$B$7,MouserListTable12[[#This Row],[Supplier]]=FilterSpecs!$A$8,FilterSpecs!$B$8,MouserListTable12[[#This Row],[Supplier]]=FilterSpecs!$A$9,FilterSpecs!$B$9)</f>
        <v>474-</v>
      </c>
      <c r="T1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474-ROB-08449</v>
      </c>
      <c r="U18" s="121">
        <v>0</v>
      </c>
      <c r="V18" s="121">
        <v>2</v>
      </c>
      <c r="W18" s="121">
        <v>0</v>
      </c>
      <c r="X18" s="121">
        <f>MouserListTable12[[#This Row],['#/Unit]]*FilterSpecs!$C$3+MouserListTable12[[#This Row],[Extra]]</f>
        <v>2</v>
      </c>
      <c r="Y18" s="121">
        <f>IF(MouserListTable12[[#This Row],[Tag]]=FilterSpecs!$F$7,MouserListTable12[[#This Row],[Price (USD)]],0)</f>
        <v>0</v>
      </c>
      <c r="Z18" s="121">
        <f>MouserListTable12[[#This Row],[Tot '#]]*MouserListTable12[[#This Row],[Price (USD)]]</f>
        <v>9.9</v>
      </c>
    </row>
    <row r="19" spans="1:26" s="146" customFormat="1" hidden="1" x14ac:dyDescent="0.3">
      <c r="A19" s="103" t="s">
        <v>894</v>
      </c>
      <c r="B19" s="103" t="s">
        <v>888</v>
      </c>
      <c r="C19" s="103" t="s">
        <v>8</v>
      </c>
      <c r="D19" s="106" t="str">
        <f>IF(MouserListTable12[[#This Row],[Vendor]]=FilterSpecs!$A$8,MouserListTable12[[#This Row],[Mouser SKU]], MouserListTable12[[#This Row],[SKU2]])</f>
        <v>DEV-11711</v>
      </c>
      <c r="E19" s="121">
        <f>MouserListTable12[[#This Row],[Tot '#]]-MouserListTable12[[#This Row],['# Initial]]</f>
        <v>1</v>
      </c>
      <c r="F19" s="121">
        <f>MouserListTable12[[#This Row],['#/Unit]]*FilterSpecs!$B$3+MouserListTable12[[#This Row],[Extra Initial]]</f>
        <v>0</v>
      </c>
      <c r="G19" s="103" t="s">
        <v>141</v>
      </c>
      <c r="H19" s="103" t="s">
        <v>142</v>
      </c>
      <c r="I19" s="103" t="s">
        <v>143</v>
      </c>
      <c r="J19" s="103">
        <v>1</v>
      </c>
      <c r="K19" s="171">
        <v>59.95</v>
      </c>
      <c r="L19" s="103" t="s">
        <v>1910</v>
      </c>
      <c r="M19" s="106"/>
      <c r="N19" s="171">
        <f>MouserListTable12[[#This Row],['# Initial]]*MouserListTable12[[#This Row],[Price (USD)]]</f>
        <v>0</v>
      </c>
      <c r="O19" s="106" t="s">
        <v>140</v>
      </c>
      <c r="P19" s="103">
        <f t="shared" si="0"/>
        <v>6</v>
      </c>
      <c r="Q19" s="103">
        <f>IF($D19=$O19,1,0)</f>
        <v>1</v>
      </c>
      <c r="R19" s="103" t="s">
        <v>8</v>
      </c>
      <c r="S19" s="103" t="str">
        <f>_xlfn.IFS(MouserListTable12[[#This Row],[Supplier]]=FilterSpecs!$A$6, FilterSpecs!$B$6,MouserListTable12[[#This Row],[Supplier]]=FilterSpecs!$A$7,FilterSpecs!$B$7,MouserListTable12[[#This Row],[Supplier]]=FilterSpecs!$A$8,FilterSpecs!$B$8,MouserListTable12[[#This Row],[Supplier]]=FilterSpecs!$A$9,FilterSpecs!$B$9)</f>
        <v>474-</v>
      </c>
      <c r="T1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474-DEV-11711</v>
      </c>
      <c r="U19" s="121">
        <v>0</v>
      </c>
      <c r="V19" s="121">
        <v>1</v>
      </c>
      <c r="W19" s="121">
        <v>0</v>
      </c>
      <c r="X19" s="121">
        <f>MouserListTable12[[#This Row],['#/Unit]]*FilterSpecs!$C$3+MouserListTable12[[#This Row],[Extra]]</f>
        <v>1</v>
      </c>
      <c r="Y19" s="121">
        <f>IF(MouserListTable12[[#This Row],[Tag]]=FilterSpecs!$F$7,MouserListTable12[[#This Row],[Price (USD)]],0)</f>
        <v>0</v>
      </c>
      <c r="Z19" s="121">
        <f>MouserListTable12[[#This Row],[Tot '#]]*MouserListTable12[[#This Row],[Price (USD)]]</f>
        <v>59.95</v>
      </c>
    </row>
    <row r="20" spans="1:26" s="146" customFormat="1" hidden="1" x14ac:dyDescent="0.3">
      <c r="A20" s="103" t="s">
        <v>894</v>
      </c>
      <c r="B20" s="103" t="s">
        <v>888</v>
      </c>
      <c r="C20" s="103" t="s">
        <v>8</v>
      </c>
      <c r="D20" s="106" t="str">
        <f>IF(MouserListTable12[[#This Row],[Vendor]]=FilterSpecs!$A$8,MouserListTable12[[#This Row],[Mouser SKU]], MouserListTable12[[#This Row],[SKU2]])</f>
        <v>BOB-09868</v>
      </c>
      <c r="E20" s="121">
        <f>MouserListTable12[[#This Row],[Tot '#]]-MouserListTable12[[#This Row],['# Initial]]</f>
        <v>1</v>
      </c>
      <c r="F20" s="121">
        <f>MouserListTable12[[#This Row],['#/Unit]]*FilterSpecs!$B$3+MouserListTable12[[#This Row],[Extra Initial]]</f>
        <v>0</v>
      </c>
      <c r="G20" s="103" t="s">
        <v>1499</v>
      </c>
      <c r="H20" s="103" t="s">
        <v>1500</v>
      </c>
      <c r="I20" s="103" t="s">
        <v>1501</v>
      </c>
      <c r="J20" s="103">
        <v>1</v>
      </c>
      <c r="K20" s="171">
        <v>9.9499999999999993</v>
      </c>
      <c r="L20" s="103" t="s">
        <v>1910</v>
      </c>
      <c r="M20" s="106"/>
      <c r="N20" s="171">
        <f>MouserListTable12[[#This Row],['# Initial]]*MouserListTable12[[#This Row],[Price (USD)]]</f>
        <v>0</v>
      </c>
      <c r="O20" s="106" t="s">
        <v>1498</v>
      </c>
      <c r="P20" s="103">
        <f t="shared" si="0"/>
        <v>7</v>
      </c>
      <c r="Q20" s="103">
        <f>IF($D20=$O20,1,0)</f>
        <v>1</v>
      </c>
      <c r="R20" s="103" t="s">
        <v>8</v>
      </c>
      <c r="S20" s="103" t="str">
        <f>_xlfn.IFS(MouserListTable12[[#This Row],[Supplier]]=FilterSpecs!$A$6, FilterSpecs!$B$6,MouserListTable12[[#This Row],[Supplier]]=FilterSpecs!$A$7,FilterSpecs!$B$7,MouserListTable12[[#This Row],[Supplier]]=FilterSpecs!$A$8,FilterSpecs!$B$8,MouserListTable12[[#This Row],[Supplier]]=FilterSpecs!$A$9,FilterSpecs!$B$9)</f>
        <v>474-</v>
      </c>
      <c r="T2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474-BOB-09868</v>
      </c>
      <c r="U20" s="121">
        <v>0</v>
      </c>
      <c r="V20" s="121">
        <v>1</v>
      </c>
      <c r="W20" s="121">
        <v>0</v>
      </c>
      <c r="X20" s="121">
        <f>MouserListTable12[[#This Row],['#/Unit]]*FilterSpecs!$C$3+MouserListTable12[[#This Row],[Extra]]</f>
        <v>1</v>
      </c>
      <c r="Y20" s="121">
        <f>IF(MouserListTable12[[#This Row],[Tag]]=FilterSpecs!$F$7,MouserListTable12[[#This Row],[Price (USD)]],0)</f>
        <v>0</v>
      </c>
      <c r="Z20" s="121">
        <f>MouserListTable12[[#This Row],[Tot '#]]*MouserListTable12[[#This Row],[Price (USD)]]</f>
        <v>9.9499999999999993</v>
      </c>
    </row>
    <row r="21" spans="1:26" s="146" customFormat="1" hidden="1" x14ac:dyDescent="0.3">
      <c r="A21" s="103" t="s">
        <v>894</v>
      </c>
      <c r="B21" s="103" t="s">
        <v>888</v>
      </c>
      <c r="C21" s="103" t="s">
        <v>8</v>
      </c>
      <c r="D21" s="106" t="str">
        <f>IF(MouserListTable12[[#This Row],[Vendor]]=FilterSpecs!$A$8,MouserListTable12[[#This Row],[Mouser SKU]], MouserListTable12[[#This Row],[SKU2]])</f>
        <v>COM-08635</v>
      </c>
      <c r="E21" s="121">
        <f>MouserListTable12[[#This Row],[Tot '#]]-MouserListTable12[[#This Row],['# Initial]]</f>
        <v>1</v>
      </c>
      <c r="F21" s="121">
        <f>MouserListTable12[[#This Row],['#/Unit]]*FilterSpecs!$B$3+MouserListTable12[[#This Row],[Extra Initial]]</f>
        <v>0</v>
      </c>
      <c r="G21" s="103" t="s">
        <v>1520</v>
      </c>
      <c r="H21" s="103" t="s">
        <v>1521</v>
      </c>
      <c r="I21" s="103" t="s">
        <v>1522</v>
      </c>
      <c r="J21" s="103">
        <v>1</v>
      </c>
      <c r="K21" s="171">
        <v>0.95</v>
      </c>
      <c r="L21" s="103" t="s">
        <v>1910</v>
      </c>
      <c r="M21" s="106"/>
      <c r="N21" s="171">
        <f>MouserListTable12[[#This Row],['# Initial]]*MouserListTable12[[#This Row],[Price (USD)]]</f>
        <v>0</v>
      </c>
      <c r="O21" s="106" t="s">
        <v>1519</v>
      </c>
      <c r="P21" s="103">
        <f t="shared" si="0"/>
        <v>8</v>
      </c>
      <c r="Q21" s="103">
        <f>IF($D21=$O21,1,0)</f>
        <v>1</v>
      </c>
      <c r="R21" s="103" t="s">
        <v>8</v>
      </c>
      <c r="S21" s="103" t="str">
        <f>_xlfn.IFS(MouserListTable12[[#This Row],[Supplier]]=FilterSpecs!$A$6, FilterSpecs!$B$6,MouserListTable12[[#This Row],[Supplier]]=FilterSpecs!$A$7,FilterSpecs!$B$7,MouserListTable12[[#This Row],[Supplier]]=FilterSpecs!$A$8,FilterSpecs!$B$8,MouserListTable12[[#This Row],[Supplier]]=FilterSpecs!$A$9,FilterSpecs!$B$9)</f>
        <v>474-</v>
      </c>
      <c r="T2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474-COM-08635</v>
      </c>
      <c r="U21" s="121">
        <v>0</v>
      </c>
      <c r="V21" s="121">
        <v>1</v>
      </c>
      <c r="W21" s="121">
        <v>0</v>
      </c>
      <c r="X21" s="121">
        <f>MouserListTable12[[#This Row],['#/Unit]]*FilterSpecs!$C$3+MouserListTable12[[#This Row],[Extra]]</f>
        <v>1</v>
      </c>
      <c r="Y21" s="121">
        <f>IF(MouserListTable12[[#This Row],[Tag]]=FilterSpecs!$F$7,MouserListTable12[[#This Row],[Price (USD)]],0)</f>
        <v>0</v>
      </c>
      <c r="Z21" s="121">
        <f>MouserListTable12[[#This Row],[Tot '#]]*MouserListTable12[[#This Row],[Price (USD)]]</f>
        <v>0.95</v>
      </c>
    </row>
    <row r="22" spans="1:26" s="146" customFormat="1" hidden="1" x14ac:dyDescent="0.3">
      <c r="A22" s="103" t="s">
        <v>894</v>
      </c>
      <c r="B22" s="103" t="s">
        <v>888</v>
      </c>
      <c r="C22" s="103" t="s">
        <v>8</v>
      </c>
      <c r="D22" s="106" t="str">
        <f>IF(MouserListTable12[[#This Row],[Vendor]]=FilterSpecs!$A$8,MouserListTable12[[#This Row],[Mouser SKU]], MouserListTable12[[#This Row],[SKU2]])</f>
        <v>BOB-12758</v>
      </c>
      <c r="E22" s="121">
        <f>MouserListTable12[[#This Row],[Tot '#]]-MouserListTable12[[#This Row],['# Initial]]</f>
        <v>1</v>
      </c>
      <c r="F22" s="121">
        <f>MouserListTable12[[#This Row],['#/Unit]]*FilterSpecs!$B$3+MouserListTable12[[#This Row],[Extra Initial]]</f>
        <v>0</v>
      </c>
      <c r="G22" s="103" t="s">
        <v>1852</v>
      </c>
      <c r="H22" s="103" t="s">
        <v>1853</v>
      </c>
      <c r="I22" s="103" t="s">
        <v>1854</v>
      </c>
      <c r="J22" s="103">
        <v>1</v>
      </c>
      <c r="K22" s="171">
        <v>5.95</v>
      </c>
      <c r="L22" s="103" t="s">
        <v>1910</v>
      </c>
      <c r="M22" s="106"/>
      <c r="N22" s="171">
        <f>MouserListTable12[[#This Row],['# Initial]]*MouserListTable12[[#This Row],[Price (USD)]]</f>
        <v>0</v>
      </c>
      <c r="O22" s="106" t="s">
        <v>1851</v>
      </c>
      <c r="P22" s="103">
        <f t="shared" si="0"/>
        <v>9</v>
      </c>
      <c r="Q22" s="103">
        <f>IF($D22=$O22,1,0)</f>
        <v>1</v>
      </c>
      <c r="R22" s="103" t="s">
        <v>8</v>
      </c>
      <c r="S22" s="103" t="str">
        <f>_xlfn.IFS(MouserListTable12[[#This Row],[Supplier]]=FilterSpecs!$A$6, FilterSpecs!$B$6,MouserListTable12[[#This Row],[Supplier]]=FilterSpecs!$A$7,FilterSpecs!$B$7,MouserListTable12[[#This Row],[Supplier]]=FilterSpecs!$A$8,FilterSpecs!$B$8,MouserListTable12[[#This Row],[Supplier]]=FilterSpecs!$A$9,FilterSpecs!$B$9)</f>
        <v>474-</v>
      </c>
      <c r="T2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474-BOB-12758</v>
      </c>
      <c r="U22" s="121">
        <v>0</v>
      </c>
      <c r="V22" s="121">
        <v>1</v>
      </c>
      <c r="W22" s="121">
        <v>0</v>
      </c>
      <c r="X22" s="121">
        <f>MouserListTable12[[#This Row],['#/Unit]]*FilterSpecs!$C$3+MouserListTable12[[#This Row],[Extra]]</f>
        <v>1</v>
      </c>
      <c r="Y22" s="121">
        <f>IF(MouserListTable12[[#This Row],[Tag]]=FilterSpecs!$F$7,MouserListTable12[[#This Row],[Price (USD)]],0)</f>
        <v>0</v>
      </c>
      <c r="Z22" s="121">
        <f>MouserListTable12[[#This Row],[Tot '#]]*MouserListTable12[[#This Row],[Price (USD)]]</f>
        <v>5.95</v>
      </c>
    </row>
    <row r="23" spans="1:26" s="146" customFormat="1" hidden="1" x14ac:dyDescent="0.3">
      <c r="A23" s="126" t="s">
        <v>894</v>
      </c>
      <c r="B23" s="126" t="s">
        <v>888</v>
      </c>
      <c r="C23" s="126" t="s">
        <v>8</v>
      </c>
      <c r="D23" s="106" t="str">
        <f>IF(MouserListTable12[[#This Row],[Vendor]]=FilterSpecs!$A$8,MouserListTable12[[#This Row],[Mouser SKU]], MouserListTable12[[#This Row],[SKU2]])</f>
        <v>SEN-12642</v>
      </c>
      <c r="E23" s="121">
        <f>MouserListTable12[[#This Row],[Tot '#]]-MouserListTable12[[#This Row],['# Initial]]</f>
        <v>0</v>
      </c>
      <c r="F23" s="121">
        <f>MouserListTable12[[#This Row],['#/Unit]]*FilterSpecs!$B$3+MouserListTable12[[#This Row],[Extra Initial]]</f>
        <v>0</v>
      </c>
      <c r="G23" s="103" t="s">
        <v>145</v>
      </c>
      <c r="H23" s="103" t="s">
        <v>146</v>
      </c>
      <c r="I23" s="103" t="s">
        <v>147</v>
      </c>
      <c r="J23" s="103">
        <v>1</v>
      </c>
      <c r="K23" s="171">
        <v>10.95</v>
      </c>
      <c r="L23" s="103" t="s">
        <v>1910</v>
      </c>
      <c r="N23" s="171">
        <f>MouserListTable12[[#This Row],['# Initial]]*MouserListTable12[[#This Row],[Price (USD)]]</f>
        <v>0</v>
      </c>
      <c r="O23" s="106" t="s">
        <v>144</v>
      </c>
      <c r="P23" s="103">
        <f t="shared" si="0"/>
        <v>10</v>
      </c>
      <c r="Q23" s="103">
        <f>IF($D23=$O23,1,0)</f>
        <v>1</v>
      </c>
      <c r="R23" s="103" t="s">
        <v>8</v>
      </c>
      <c r="S23" s="103" t="str">
        <f>_xlfn.IFS(MouserListTable12[[#This Row],[Supplier]]=FilterSpecs!$A$6, FilterSpecs!$B$6,MouserListTable12[[#This Row],[Supplier]]=FilterSpecs!$A$7,FilterSpecs!$B$7,MouserListTable12[[#This Row],[Supplier]]=FilterSpecs!$A$8,FilterSpecs!$B$8,MouserListTable12[[#This Row],[Supplier]]=FilterSpecs!$A$9,FilterSpecs!$B$9)</f>
        <v>474-</v>
      </c>
      <c r="T2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474-SEN-12642</v>
      </c>
      <c r="U23" s="121">
        <v>0</v>
      </c>
      <c r="V23" s="121">
        <v>0</v>
      </c>
      <c r="W23" s="121">
        <v>0</v>
      </c>
      <c r="X23" s="121">
        <f>MouserListTable12[[#This Row],['#/Unit]]*FilterSpecs!$C$3+MouserListTable12[[#This Row],[Extra]]</f>
        <v>0</v>
      </c>
      <c r="Y23" s="121">
        <f>IF(MouserListTable12[[#This Row],[Tag]]=FilterSpecs!$F$7,MouserListTable12[[#This Row],[Price (USD)]],0)</f>
        <v>0</v>
      </c>
      <c r="Z23" s="121">
        <f>MouserListTable12[[#This Row],[Tot '#]]*MouserListTable12[[#This Row],[Price (USD)]]</f>
        <v>0</v>
      </c>
    </row>
    <row r="24" spans="1:26" s="146" customFormat="1" hidden="1" x14ac:dyDescent="0.3">
      <c r="A24" s="103" t="s">
        <v>894</v>
      </c>
      <c r="B24" s="103" t="s">
        <v>888</v>
      </c>
      <c r="C24" s="103" t="s">
        <v>1898</v>
      </c>
      <c r="D24" s="106" t="str">
        <f>IF(MouserListTable12[[#This Row],[Vendor]]=FilterSpecs!$A$8,MouserListTable12[[#This Row],[Mouser SKU]], MouserListTable12[[#This Row],[SKU2]])</f>
        <v>94</v>
      </c>
      <c r="E24" s="121">
        <f>MouserListTable12[[#This Row],[Tot '#]]-MouserListTable12[[#This Row],['# Initial]]</f>
        <v>0</v>
      </c>
      <c r="F24" s="121">
        <f>MouserListTable12[[#This Row],['#/Unit]]*FilterSpecs!$B$3+MouserListTable12[[#This Row],[Extra Initial]]</f>
        <v>0</v>
      </c>
      <c r="G24" s="103"/>
      <c r="H24" s="103"/>
      <c r="I24" s="126" t="s">
        <v>2252</v>
      </c>
      <c r="K24" s="172">
        <v>22</v>
      </c>
      <c r="L24" s="126" t="s">
        <v>1910</v>
      </c>
      <c r="N24" s="171">
        <f>MouserListTable12[[#This Row],['# Initial]]*MouserListTable12[[#This Row],[Price (USD)]]</f>
        <v>0</v>
      </c>
      <c r="O24" s="106" t="s">
        <v>2251</v>
      </c>
      <c r="P24" s="103">
        <f t="shared" si="0"/>
        <v>11</v>
      </c>
      <c r="Q24" s="103">
        <f>IF($D24=$O24,1,0)</f>
        <v>1</v>
      </c>
      <c r="R24" s="103" t="s">
        <v>1898</v>
      </c>
      <c r="S24" s="103" t="str">
        <f>_xlfn.IFS(MouserListTable12[[#This Row],[Supplier]]=FilterSpecs!$A$6, FilterSpecs!$B$6,MouserListTable12[[#This Row],[Supplier]]=FilterSpecs!$A$7,FilterSpecs!$B$7,MouserListTable12[[#This Row],[Supplier]]=FilterSpecs!$A$8,FilterSpecs!$B$8,MouserListTable12[[#This Row],[Supplier]]=FilterSpecs!$A$9,FilterSpecs!$B$9)</f>
        <v>485-</v>
      </c>
      <c r="T2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485-94</v>
      </c>
      <c r="U24" s="121">
        <v>0</v>
      </c>
      <c r="V24" s="121">
        <v>0</v>
      </c>
      <c r="W24" s="121">
        <v>0</v>
      </c>
      <c r="X24" s="121">
        <f>MouserListTable12[[#This Row],['#/Unit]]*FilterSpecs!$C$3+MouserListTable12[[#This Row],[Extra]]</f>
        <v>0</v>
      </c>
      <c r="Y24" s="121">
        <f>IF(MouserListTable12[[#This Row],[Tag]]=FilterSpecs!$F$7,MouserListTable12[[#This Row],[Price (USD)]],0)</f>
        <v>0</v>
      </c>
      <c r="Z24" s="121">
        <f>MouserListTable12[[#This Row],[Tot '#]]*MouserListTable12[[#This Row],[Price (USD)]]</f>
        <v>0</v>
      </c>
    </row>
    <row r="25" spans="1:26" s="146" customFormat="1" hidden="1" x14ac:dyDescent="0.3">
      <c r="A25" s="103" t="s">
        <v>894</v>
      </c>
      <c r="B25" s="103" t="s">
        <v>888</v>
      </c>
      <c r="C25" s="103" t="s">
        <v>1898</v>
      </c>
      <c r="D25" s="106" t="str">
        <f>IF(MouserListTable12[[#This Row],[Vendor]]=FilterSpecs!$A$8,MouserListTable12[[#This Row],[Mouser SKU]], MouserListTable12[[#This Row],[SKU2]])</f>
        <v>3369</v>
      </c>
      <c r="E25" s="121">
        <f>MouserListTable12[[#This Row],[Tot '#]]-MouserListTable12[[#This Row],['# Initial]]</f>
        <v>0</v>
      </c>
      <c r="F25" s="121">
        <f>MouserListTable12[[#This Row],['#/Unit]]*FilterSpecs!$B$3+MouserListTable12[[#This Row],[Extra Initial]]</f>
        <v>0</v>
      </c>
      <c r="G25" s="103"/>
      <c r="H25" s="103"/>
      <c r="I25" s="126" t="s">
        <v>2254</v>
      </c>
      <c r="K25" s="172">
        <v>12.5</v>
      </c>
      <c r="L25" s="126" t="s">
        <v>1910</v>
      </c>
      <c r="N25" s="171">
        <f>MouserListTable12[[#This Row],['# Initial]]*MouserListTable12[[#This Row],[Price (USD)]]</f>
        <v>0</v>
      </c>
      <c r="O25" s="106" t="s">
        <v>2253</v>
      </c>
      <c r="P25" s="103">
        <f t="shared" si="0"/>
        <v>12</v>
      </c>
      <c r="Q25" s="103">
        <f>IF($D25=$O25,1,0)</f>
        <v>1</v>
      </c>
      <c r="R25" s="103" t="s">
        <v>1898</v>
      </c>
      <c r="S25" s="103" t="str">
        <f>_xlfn.IFS(MouserListTable12[[#This Row],[Supplier]]=FilterSpecs!$A$6, FilterSpecs!$B$6,MouserListTable12[[#This Row],[Supplier]]=FilterSpecs!$A$7,FilterSpecs!$B$7,MouserListTable12[[#This Row],[Supplier]]=FilterSpecs!$A$8,FilterSpecs!$B$8,MouserListTable12[[#This Row],[Supplier]]=FilterSpecs!$A$9,FilterSpecs!$B$9)</f>
        <v>485-</v>
      </c>
      <c r="T2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485-3369</v>
      </c>
      <c r="U25" s="121">
        <v>0</v>
      </c>
      <c r="V25" s="121">
        <v>0</v>
      </c>
      <c r="W25" s="121">
        <v>0</v>
      </c>
      <c r="X25" s="121">
        <f>MouserListTable12[[#This Row],['#/Unit]]*FilterSpecs!$C$3+MouserListTable12[[#This Row],[Extra]]</f>
        <v>0</v>
      </c>
      <c r="Y25" s="121">
        <f>IF(MouserListTable12[[#This Row],[Tag]]=FilterSpecs!$F$7,MouserListTable12[[#This Row],[Price (USD)]],0)</f>
        <v>0</v>
      </c>
      <c r="Z25" s="121">
        <f>MouserListTable12[[#This Row],[Tot '#]]*MouserListTable12[[#This Row],[Price (USD)]]</f>
        <v>0</v>
      </c>
    </row>
    <row r="26" spans="1:26" s="146" customFormat="1" hidden="1" x14ac:dyDescent="0.3">
      <c r="A26" s="103" t="s">
        <v>894</v>
      </c>
      <c r="B26" s="103" t="s">
        <v>888</v>
      </c>
      <c r="C26" s="103" t="s">
        <v>1898</v>
      </c>
      <c r="D26" s="106" t="str">
        <f>IF(MouserListTable12[[#This Row],[Vendor]]=FilterSpecs!$A$8,MouserListTable12[[#This Row],[Mouser SKU]], MouserListTable12[[#This Row],[SKU2]])</f>
        <v>3367</v>
      </c>
      <c r="E26" s="121">
        <f>MouserListTable12[[#This Row],[Tot '#]]-MouserListTable12[[#This Row],['# Initial]]</f>
        <v>0</v>
      </c>
      <c r="F26" s="121">
        <f>MouserListTable12[[#This Row],['#/Unit]]*FilterSpecs!$B$3+MouserListTable12[[#This Row],[Extra Initial]]</f>
        <v>0</v>
      </c>
      <c r="G26" s="103"/>
      <c r="H26" s="103"/>
      <c r="I26" s="126" t="s">
        <v>2256</v>
      </c>
      <c r="K26" s="172">
        <v>5.95</v>
      </c>
      <c r="L26" s="126" t="s">
        <v>1910</v>
      </c>
      <c r="N26" s="171">
        <f>MouserListTable12[[#This Row],['# Initial]]*MouserListTable12[[#This Row],[Price (USD)]]</f>
        <v>0</v>
      </c>
      <c r="O26" s="106" t="s">
        <v>2255</v>
      </c>
      <c r="P26" s="103">
        <f t="shared" si="0"/>
        <v>13</v>
      </c>
      <c r="Q26" s="103">
        <f>IF($D26=$O26,1,0)</f>
        <v>1</v>
      </c>
      <c r="R26" s="103" t="s">
        <v>1898</v>
      </c>
      <c r="S26" s="103" t="str">
        <f>_xlfn.IFS(MouserListTable12[[#This Row],[Supplier]]=FilterSpecs!$A$6, FilterSpecs!$B$6,MouserListTable12[[#This Row],[Supplier]]=FilterSpecs!$A$7,FilterSpecs!$B$7,MouserListTable12[[#This Row],[Supplier]]=FilterSpecs!$A$8,FilterSpecs!$B$8,MouserListTable12[[#This Row],[Supplier]]=FilterSpecs!$A$9,FilterSpecs!$B$9)</f>
        <v>485-</v>
      </c>
      <c r="T2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485-3367</v>
      </c>
      <c r="U26" s="121">
        <v>0</v>
      </c>
      <c r="V26" s="121">
        <v>0</v>
      </c>
      <c r="W26" s="121">
        <v>0</v>
      </c>
      <c r="X26" s="121">
        <f>MouserListTable12[[#This Row],['#/Unit]]*FilterSpecs!$C$3+MouserListTable12[[#This Row],[Extra]]</f>
        <v>0</v>
      </c>
      <c r="Y26" s="121">
        <f>IF(MouserListTable12[[#This Row],[Tag]]=FilterSpecs!$F$7,MouserListTable12[[#This Row],[Price (USD)]],0)</f>
        <v>0</v>
      </c>
      <c r="Z26" s="121">
        <f>MouserListTable12[[#This Row],[Tot '#]]*MouserListTable12[[#This Row],[Price (USD)]]</f>
        <v>0</v>
      </c>
    </row>
    <row r="27" spans="1:26" s="146" customFormat="1" hidden="1" x14ac:dyDescent="0.3">
      <c r="A27" s="103" t="s">
        <v>894</v>
      </c>
      <c r="B27" s="103" t="s">
        <v>888</v>
      </c>
      <c r="C27" s="103" t="s">
        <v>1898</v>
      </c>
      <c r="D27" s="106" t="str">
        <f>IF(MouserListTable12[[#This Row],[Vendor]]=FilterSpecs!$A$8,MouserListTable12[[#This Row],[Mouser SKU]], MouserListTable12[[#This Row],[SKU2]])</f>
        <v>3351</v>
      </c>
      <c r="E27" s="121">
        <f>MouserListTable12[[#This Row],[Tot '#]]-MouserListTable12[[#This Row],['# Initial]]</f>
        <v>0</v>
      </c>
      <c r="F27" s="121">
        <f>MouserListTable12[[#This Row],['#/Unit]]*FilterSpecs!$B$3+MouserListTable12[[#This Row],[Extra Initial]]</f>
        <v>0</v>
      </c>
      <c r="G27" s="103"/>
      <c r="H27" s="103"/>
      <c r="I27" s="126" t="s">
        <v>2258</v>
      </c>
      <c r="K27" s="172">
        <v>3.95</v>
      </c>
      <c r="L27" s="126" t="s">
        <v>1910</v>
      </c>
      <c r="N27" s="171">
        <f>MouserListTable12[[#This Row],['# Initial]]*MouserListTable12[[#This Row],[Price (USD)]]</f>
        <v>0</v>
      </c>
      <c r="O27" s="106" t="s">
        <v>2257</v>
      </c>
      <c r="P27" s="103">
        <f t="shared" si="0"/>
        <v>14</v>
      </c>
      <c r="Q27" s="103">
        <f>IF($D27=$O27,1,0)</f>
        <v>1</v>
      </c>
      <c r="R27" s="103" t="s">
        <v>1898</v>
      </c>
      <c r="S27" s="103" t="str">
        <f>_xlfn.IFS(MouserListTable12[[#This Row],[Supplier]]=FilterSpecs!$A$6, FilterSpecs!$B$6,MouserListTable12[[#This Row],[Supplier]]=FilterSpecs!$A$7,FilterSpecs!$B$7,MouserListTable12[[#This Row],[Supplier]]=FilterSpecs!$A$8,FilterSpecs!$B$8,MouserListTable12[[#This Row],[Supplier]]=FilterSpecs!$A$9,FilterSpecs!$B$9)</f>
        <v>485-</v>
      </c>
      <c r="T2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485-3351</v>
      </c>
      <c r="U27" s="121">
        <v>0</v>
      </c>
      <c r="V27" s="121">
        <v>0</v>
      </c>
      <c r="W27" s="121">
        <v>0</v>
      </c>
      <c r="X27" s="121">
        <f>MouserListTable12[[#This Row],['#/Unit]]*FilterSpecs!$C$3+MouserListTable12[[#This Row],[Extra]]</f>
        <v>0</v>
      </c>
      <c r="Y27" s="121">
        <f>IF(MouserListTable12[[#This Row],[Tag]]=FilterSpecs!$F$7,MouserListTable12[[#This Row],[Price (USD)]],0)</f>
        <v>0</v>
      </c>
      <c r="Z27" s="121">
        <f>MouserListTable12[[#This Row],[Tot '#]]*MouserListTable12[[#This Row],[Price (USD)]]</f>
        <v>0</v>
      </c>
    </row>
    <row r="28" spans="1:26" s="146" customFormat="1" hidden="1" x14ac:dyDescent="0.3">
      <c r="A28" s="103" t="s">
        <v>894</v>
      </c>
      <c r="B28" s="103" t="s">
        <v>888</v>
      </c>
      <c r="C28" s="103" t="s">
        <v>1898</v>
      </c>
      <c r="D28" s="106" t="str">
        <f>IF(MouserListTable12[[#This Row],[Vendor]]=FilterSpecs!$A$8,MouserListTable12[[#This Row],[Mouser SKU]], MouserListTable12[[#This Row],[SKU2]])</f>
        <v>1314</v>
      </c>
      <c r="E28" s="121">
        <f>MouserListTable12[[#This Row],[Tot '#]]-MouserListTable12[[#This Row],['# Initial]]</f>
        <v>0</v>
      </c>
      <c r="F28" s="121">
        <f>MouserListTable12[[#This Row],['#/Unit]]*FilterSpecs!$B$3+MouserListTable12[[#This Row],[Extra Initial]]</f>
        <v>0</v>
      </c>
      <c r="G28" s="103"/>
      <c r="H28" s="103"/>
      <c r="I28" s="126" t="s">
        <v>2260</v>
      </c>
      <c r="K28" s="172">
        <v>1.95</v>
      </c>
      <c r="L28" s="126" t="s">
        <v>1910</v>
      </c>
      <c r="N28" s="171">
        <f>MouserListTable12[[#This Row],['# Initial]]*MouserListTable12[[#This Row],[Price (USD)]]</f>
        <v>0</v>
      </c>
      <c r="O28" s="106" t="s">
        <v>2259</v>
      </c>
      <c r="P28" s="103">
        <f t="shared" si="0"/>
        <v>15</v>
      </c>
      <c r="Q28" s="103">
        <f>IF($D28=$O28,1,0)</f>
        <v>1</v>
      </c>
      <c r="R28" s="103" t="s">
        <v>1898</v>
      </c>
      <c r="S28" s="103" t="str">
        <f>_xlfn.IFS(MouserListTable12[[#This Row],[Supplier]]=FilterSpecs!$A$6, FilterSpecs!$B$6,MouserListTable12[[#This Row],[Supplier]]=FilterSpecs!$A$7,FilterSpecs!$B$7,MouserListTable12[[#This Row],[Supplier]]=FilterSpecs!$A$8,FilterSpecs!$B$8,MouserListTable12[[#This Row],[Supplier]]=FilterSpecs!$A$9,FilterSpecs!$B$9)</f>
        <v>485-</v>
      </c>
      <c r="T2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485-1314</v>
      </c>
      <c r="U28" s="121">
        <v>0</v>
      </c>
      <c r="V28" s="121">
        <v>0</v>
      </c>
      <c r="W28" s="121">
        <v>0</v>
      </c>
      <c r="X28" s="121">
        <f>MouserListTable12[[#This Row],['#/Unit]]*FilterSpecs!$C$3+MouserListTable12[[#This Row],[Extra]]</f>
        <v>0</v>
      </c>
      <c r="Y28" s="121">
        <f>IF(MouserListTable12[[#This Row],[Tag]]=FilterSpecs!$F$7,MouserListTable12[[#This Row],[Price (USD)]],0)</f>
        <v>0</v>
      </c>
      <c r="Z28" s="121">
        <f>MouserListTable12[[#This Row],[Tot '#]]*MouserListTable12[[#This Row],[Price (USD)]]</f>
        <v>0</v>
      </c>
    </row>
    <row r="29" spans="1:26" s="146" customFormat="1" hidden="1" x14ac:dyDescent="0.3">
      <c r="A29" s="103" t="s">
        <v>894</v>
      </c>
      <c r="B29" s="103" t="s">
        <v>888</v>
      </c>
      <c r="C29" s="103" t="s">
        <v>1898</v>
      </c>
      <c r="D29" s="106" t="str">
        <f>IF(MouserListTable12[[#This Row],[Vendor]]=FilterSpecs!$A$8,MouserListTable12[[#This Row],[Mouser SKU]], MouserListTable12[[#This Row],[SKU2]])</f>
        <v>1313</v>
      </c>
      <c r="E29" s="121">
        <f>MouserListTable12[[#This Row],[Tot '#]]-MouserListTable12[[#This Row],['# Initial]]</f>
        <v>0</v>
      </c>
      <c r="F29" s="121">
        <f>MouserListTable12[[#This Row],['#/Unit]]*FilterSpecs!$B$3+MouserListTable12[[#This Row],[Extra Initial]]</f>
        <v>0</v>
      </c>
      <c r="G29" s="103"/>
      <c r="H29" s="103"/>
      <c r="I29" s="126" t="s">
        <v>2262</v>
      </c>
      <c r="K29" s="172">
        <v>1.95</v>
      </c>
      <c r="L29" s="126" t="s">
        <v>1913</v>
      </c>
      <c r="N29" s="171">
        <f>MouserListTable12[[#This Row],['# Initial]]*MouserListTable12[[#This Row],[Price (USD)]]</f>
        <v>0</v>
      </c>
      <c r="O29" s="106" t="s">
        <v>2261</v>
      </c>
      <c r="P29" s="103">
        <f t="shared" si="0"/>
        <v>16</v>
      </c>
      <c r="Q29" s="103">
        <f>IF($D29=$O29,1,0)</f>
        <v>1</v>
      </c>
      <c r="R29" s="103" t="s">
        <v>1898</v>
      </c>
      <c r="S29" s="103" t="str">
        <f>_xlfn.IFS(MouserListTable12[[#This Row],[Supplier]]=FilterSpecs!$A$6, FilterSpecs!$B$6,MouserListTable12[[#This Row],[Supplier]]=FilterSpecs!$A$7,FilterSpecs!$B$7,MouserListTable12[[#This Row],[Supplier]]=FilterSpecs!$A$8,FilterSpecs!$B$8,MouserListTable12[[#This Row],[Supplier]]=FilterSpecs!$A$9,FilterSpecs!$B$9)</f>
        <v>485-</v>
      </c>
      <c r="T2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485-1313</v>
      </c>
      <c r="U29" s="121">
        <v>0</v>
      </c>
      <c r="V29" s="121">
        <v>0</v>
      </c>
      <c r="W29" s="121">
        <v>0</v>
      </c>
      <c r="X29" s="121">
        <f>MouserListTable12[[#This Row],['#/Unit]]*FilterSpecs!$C$3+MouserListTable12[[#This Row],[Extra]]</f>
        <v>0</v>
      </c>
      <c r="Y29" s="121">
        <f>IF(MouserListTable12[[#This Row],[Tag]]=FilterSpecs!$F$7,MouserListTable12[[#This Row],[Price (USD)]],0)</f>
        <v>0</v>
      </c>
      <c r="Z29" s="121">
        <f>MouserListTable12[[#This Row],[Tot '#]]*MouserListTable12[[#This Row],[Price (USD)]]</f>
        <v>0</v>
      </c>
    </row>
    <row r="30" spans="1:26" s="146" customFormat="1" hidden="1" x14ac:dyDescent="0.3">
      <c r="A30" s="103" t="s">
        <v>894</v>
      </c>
      <c r="B30" s="103" t="s">
        <v>888</v>
      </c>
      <c r="C30" s="103" t="s">
        <v>1898</v>
      </c>
      <c r="D30" s="106" t="str">
        <f>IF(MouserListTable12[[#This Row],[Vendor]]=FilterSpecs!$A$8,MouserListTable12[[#This Row],[Mouser SKU]], MouserListTable12[[#This Row],[SKU2]])</f>
        <v>1669</v>
      </c>
      <c r="E30" s="121">
        <f>MouserListTable12[[#This Row],[Tot '#]]-MouserListTable12[[#This Row],['# Initial]]</f>
        <v>0</v>
      </c>
      <c r="F30" s="121">
        <f>MouserListTable12[[#This Row],['#/Unit]]*FilterSpecs!$B$3+MouserListTable12[[#This Row],[Extra Initial]]</f>
        <v>0</v>
      </c>
      <c r="G30" s="103"/>
      <c r="H30" s="103"/>
      <c r="I30" s="126" t="s">
        <v>2264</v>
      </c>
      <c r="K30" s="172">
        <v>7.5</v>
      </c>
      <c r="L30" s="126" t="s">
        <v>1913</v>
      </c>
      <c r="N30" s="171">
        <f>MouserListTable12[[#This Row],['# Initial]]*MouserListTable12[[#This Row],[Price (USD)]]</f>
        <v>0</v>
      </c>
      <c r="O30" s="106" t="s">
        <v>2263</v>
      </c>
      <c r="P30" s="103">
        <f t="shared" si="0"/>
        <v>17</v>
      </c>
      <c r="Q30" s="103">
        <f>IF($D30=$O30,1,0)</f>
        <v>1</v>
      </c>
      <c r="R30" s="103" t="s">
        <v>1898</v>
      </c>
      <c r="S30" s="103" t="str">
        <f>_xlfn.IFS(MouserListTable12[[#This Row],[Supplier]]=FilterSpecs!$A$6, FilterSpecs!$B$6,MouserListTable12[[#This Row],[Supplier]]=FilterSpecs!$A$7,FilterSpecs!$B$7,MouserListTable12[[#This Row],[Supplier]]=FilterSpecs!$A$8,FilterSpecs!$B$8,MouserListTable12[[#This Row],[Supplier]]=FilterSpecs!$A$9,FilterSpecs!$B$9)</f>
        <v>485-</v>
      </c>
      <c r="T3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485-1669</v>
      </c>
      <c r="U30" s="121">
        <v>0</v>
      </c>
      <c r="V30" s="121">
        <v>0</v>
      </c>
      <c r="W30" s="121">
        <v>0</v>
      </c>
      <c r="X30" s="121">
        <f>MouserListTable12[[#This Row],['#/Unit]]*FilterSpecs!$C$3+MouserListTable12[[#This Row],[Extra]]</f>
        <v>0</v>
      </c>
      <c r="Y30" s="121">
        <f>IF(MouserListTable12[[#This Row],[Tag]]=FilterSpecs!$F$7,MouserListTable12[[#This Row],[Price (USD)]],0)</f>
        <v>0</v>
      </c>
      <c r="Z30" s="121">
        <f>MouserListTable12[[#This Row],[Tot '#]]*MouserListTable12[[#This Row],[Price (USD)]]</f>
        <v>0</v>
      </c>
    </row>
    <row r="31" spans="1:26" s="146" customFormat="1" hidden="1" x14ac:dyDescent="0.3">
      <c r="A31" s="103" t="s">
        <v>894</v>
      </c>
      <c r="B31" s="103" t="s">
        <v>888</v>
      </c>
      <c r="C31" s="103" t="s">
        <v>1898</v>
      </c>
      <c r="D31" s="106" t="str">
        <f>IF(MouserListTable12[[#This Row],[Vendor]]=FilterSpecs!$A$8,MouserListTable12[[#This Row],[Mouser SKU]], MouserListTable12[[#This Row],[SKU2]])</f>
        <v>1363</v>
      </c>
      <c r="E31" s="121">
        <f>MouserListTable12[[#This Row],[Tot '#]]-MouserListTable12[[#This Row],['# Initial]]</f>
        <v>0</v>
      </c>
      <c r="F31" s="121">
        <f>MouserListTable12[[#This Row],['#/Unit]]*FilterSpecs!$B$3+MouserListTable12[[#This Row],[Extra Initial]]</f>
        <v>0</v>
      </c>
      <c r="G31" s="103"/>
      <c r="H31" s="103"/>
      <c r="I31" s="126" t="s">
        <v>2266</v>
      </c>
      <c r="K31" s="172">
        <v>9.9499999999999993</v>
      </c>
      <c r="L31" s="126" t="s">
        <v>1910</v>
      </c>
      <c r="N31" s="171">
        <f>MouserListTable12[[#This Row],['# Initial]]*MouserListTable12[[#This Row],[Price (USD)]]</f>
        <v>0</v>
      </c>
      <c r="O31" s="106" t="s">
        <v>2265</v>
      </c>
      <c r="P31" s="103">
        <f t="shared" si="0"/>
        <v>18</v>
      </c>
      <c r="Q31" s="103">
        <f>IF($D31=$O31,1,0)</f>
        <v>1</v>
      </c>
      <c r="R31" s="103" t="s">
        <v>1898</v>
      </c>
      <c r="S31" s="103" t="str">
        <f>_xlfn.IFS(MouserListTable12[[#This Row],[Supplier]]=FilterSpecs!$A$6, FilterSpecs!$B$6,MouserListTable12[[#This Row],[Supplier]]=FilterSpecs!$A$7,FilterSpecs!$B$7,MouserListTable12[[#This Row],[Supplier]]=FilterSpecs!$A$8,FilterSpecs!$B$8,MouserListTable12[[#This Row],[Supplier]]=FilterSpecs!$A$9,FilterSpecs!$B$9)</f>
        <v>485-</v>
      </c>
      <c r="T3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485-1363</v>
      </c>
      <c r="U31" s="121">
        <v>0</v>
      </c>
      <c r="V31" s="121">
        <v>0</v>
      </c>
      <c r="W31" s="121">
        <v>0</v>
      </c>
      <c r="X31" s="121">
        <f>MouserListTable12[[#This Row],['#/Unit]]*FilterSpecs!$C$3+MouserListTable12[[#This Row],[Extra]]</f>
        <v>0</v>
      </c>
      <c r="Y31" s="121">
        <f>IF(MouserListTable12[[#This Row],[Tag]]=FilterSpecs!$F$7,MouserListTable12[[#This Row],[Price (USD)]],0)</f>
        <v>0</v>
      </c>
      <c r="Z31" s="121">
        <f>MouserListTable12[[#This Row],[Tot '#]]*MouserListTable12[[#This Row],[Price (USD)]]</f>
        <v>0</v>
      </c>
    </row>
    <row r="32" spans="1:26" s="146" customFormat="1" x14ac:dyDescent="0.3">
      <c r="A32" s="103" t="s">
        <v>894</v>
      </c>
      <c r="B32" s="103" t="s">
        <v>12</v>
      </c>
      <c r="C32" s="103" t="s">
        <v>8</v>
      </c>
      <c r="D32" s="106" t="str">
        <f>IF(MouserListTable12[[#This Row],[Vendor]]=FilterSpecs!$A$8,MouserListTable12[[#This Row],[Mouser SKU]], MouserListTable12[[#This Row],[SKU2]])</f>
        <v>WRL-11373</v>
      </c>
      <c r="E32" s="121">
        <f>MouserListTable12[[#This Row],[Tot '#]]-MouserListTable12[[#This Row],['# Initial]]</f>
        <v>0</v>
      </c>
      <c r="F32" s="121">
        <f>MouserListTable12[[#This Row],['#/Unit]]*FilterSpecs!$B$3+MouserListTable12[[#This Row],[Extra Initial]]</f>
        <v>5</v>
      </c>
      <c r="G32" s="103" t="s">
        <v>57</v>
      </c>
      <c r="H32" s="103" t="s">
        <v>58</v>
      </c>
      <c r="I32" s="103" t="s">
        <v>59</v>
      </c>
      <c r="J32" s="103">
        <v>1</v>
      </c>
      <c r="K32" s="171">
        <v>9.9499999999999993</v>
      </c>
      <c r="L32" s="103" t="s">
        <v>1911</v>
      </c>
      <c r="M32" s="106"/>
      <c r="N32" s="171">
        <f>MouserListTable12[[#This Row],['# Initial]]*MouserListTable12[[#This Row],[Price (USD)]]</f>
        <v>49.75</v>
      </c>
      <c r="O32" s="106" t="s">
        <v>56</v>
      </c>
      <c r="P32" s="103">
        <f t="shared" si="0"/>
        <v>19</v>
      </c>
      <c r="Q32" s="103">
        <f>IF($D32=$O32,1,0)</f>
        <v>1</v>
      </c>
      <c r="R32" s="103" t="s">
        <v>8</v>
      </c>
      <c r="S32" s="103" t="str">
        <f>_xlfn.IFS(MouserListTable12[[#This Row],[Supplier]]=FilterSpecs!$A$6, FilterSpecs!$B$6,MouserListTable12[[#This Row],[Supplier]]=FilterSpecs!$A$7,FilterSpecs!$B$7,MouserListTable12[[#This Row],[Supplier]]=FilterSpecs!$A$8,FilterSpecs!$B$8,MouserListTable12[[#This Row],[Supplier]]=FilterSpecs!$A$9,FilterSpecs!$B$9)</f>
        <v>474-</v>
      </c>
      <c r="T3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474-WRL-11373</v>
      </c>
      <c r="U32" s="121">
        <v>1</v>
      </c>
      <c r="V32" s="121">
        <v>0</v>
      </c>
      <c r="W32" s="121">
        <v>0</v>
      </c>
      <c r="X32" s="121">
        <f>MouserListTable12[[#This Row],['#/Unit]]*FilterSpecs!$C$3+MouserListTable12[[#This Row],[Extra]]</f>
        <v>5</v>
      </c>
      <c r="Y32" s="121">
        <f>IF(MouserListTable12[[#This Row],[Tag]]=FilterSpecs!$F$7,MouserListTable12[[#This Row],[Price (USD)]],0)</f>
        <v>9.9499999999999993</v>
      </c>
      <c r="Z32" s="121">
        <f>MouserListTable12[[#This Row],[Tot '#]]*MouserListTable12[[#This Row],[Price (USD)]]</f>
        <v>49.75</v>
      </c>
    </row>
    <row r="33" spans="1:26" s="146" customFormat="1" x14ac:dyDescent="0.3">
      <c r="A33" s="103" t="s">
        <v>894</v>
      </c>
      <c r="B33" s="103" t="s">
        <v>12</v>
      </c>
      <c r="C33" s="103" t="s">
        <v>8</v>
      </c>
      <c r="D33" s="106" t="str">
        <f>IF(MouserListTable12[[#This Row],[Vendor]]=FilterSpecs!$A$8,MouserListTable12[[#This Row],[Mouser SKU]], MouserListTable12[[#This Row],[SKU2]])</f>
        <v>WRL-11697</v>
      </c>
      <c r="E33" s="121">
        <f>MouserListTable12[[#This Row],[Tot '#]]-MouserListTable12[[#This Row],['# Initial]]</f>
        <v>0</v>
      </c>
      <c r="F33" s="121">
        <f>MouserListTable12[[#This Row],['#/Unit]]*FilterSpecs!$B$3+MouserListTable12[[#This Row],[Extra Initial]]</f>
        <v>5</v>
      </c>
      <c r="G33" s="103" t="s">
        <v>61</v>
      </c>
      <c r="H33" s="103" t="s">
        <v>62</v>
      </c>
      <c r="I33" s="103" t="s">
        <v>63</v>
      </c>
      <c r="J33" s="103">
        <v>1</v>
      </c>
      <c r="K33" s="171">
        <v>24.95</v>
      </c>
      <c r="L33" s="103" t="s">
        <v>1911</v>
      </c>
      <c r="M33" s="106"/>
      <c r="N33" s="171">
        <f>MouserListTable12[[#This Row],['# Initial]]*MouserListTable12[[#This Row],[Price (USD)]]</f>
        <v>124.75</v>
      </c>
      <c r="O33" s="106" t="s">
        <v>60</v>
      </c>
      <c r="P33" s="103">
        <f t="shared" si="0"/>
        <v>20</v>
      </c>
      <c r="Q33" s="103">
        <f>IF($D33=$O33,1,0)</f>
        <v>1</v>
      </c>
      <c r="R33" s="103" t="s">
        <v>8</v>
      </c>
      <c r="S33" s="103" t="str">
        <f>_xlfn.IFS(MouserListTable12[[#This Row],[Supplier]]=FilterSpecs!$A$6, FilterSpecs!$B$6,MouserListTable12[[#This Row],[Supplier]]=FilterSpecs!$A$7,FilterSpecs!$B$7,MouserListTable12[[#This Row],[Supplier]]=FilterSpecs!$A$8,FilterSpecs!$B$8,MouserListTable12[[#This Row],[Supplier]]=FilterSpecs!$A$9,FilterSpecs!$B$9)</f>
        <v>474-</v>
      </c>
      <c r="T3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474-WRL-11697</v>
      </c>
      <c r="U33" s="121">
        <v>1</v>
      </c>
      <c r="V33" s="121">
        <v>0</v>
      </c>
      <c r="W33" s="121">
        <v>0</v>
      </c>
      <c r="X33" s="121">
        <f>MouserListTable12[[#This Row],['#/Unit]]*FilterSpecs!$C$3+MouserListTable12[[#This Row],[Extra]]</f>
        <v>5</v>
      </c>
      <c r="Y33" s="121">
        <f>IF(MouserListTable12[[#This Row],[Tag]]=FilterSpecs!$F$7,MouserListTable12[[#This Row],[Price (USD)]],0)</f>
        <v>24.95</v>
      </c>
      <c r="Z33" s="121">
        <f>MouserListTable12[[#This Row],[Tot '#]]*MouserListTable12[[#This Row],[Price (USD)]]</f>
        <v>124.75</v>
      </c>
    </row>
    <row r="34" spans="1:26" s="146" customFormat="1" hidden="1" x14ac:dyDescent="0.3">
      <c r="A34" s="103" t="s">
        <v>894</v>
      </c>
      <c r="B34" s="103" t="s">
        <v>12</v>
      </c>
      <c r="C34" s="103" t="s">
        <v>8</v>
      </c>
      <c r="D34" s="106" t="str">
        <f>IF(MouserListTable12[[#This Row],[Vendor]]=FilterSpecs!$A$8,MouserListTable12[[#This Row],[Mouser SKU]], MouserListTable12[[#This Row],[SKU2]])</f>
        <v>WRL-09434</v>
      </c>
      <c r="E34" s="121">
        <f>MouserListTable12[[#This Row],[Tot '#]]-MouserListTable12[[#This Row],['# Initial]]</f>
        <v>0</v>
      </c>
      <c r="F34" s="121">
        <f>MouserListTable12[[#This Row],['#/Unit]]*FilterSpecs!$B$3+MouserListTable12[[#This Row],[Extra Initial]]</f>
        <v>0</v>
      </c>
      <c r="G34" s="103" t="s">
        <v>65</v>
      </c>
      <c r="H34" s="103" t="s">
        <v>66</v>
      </c>
      <c r="I34" s="103" t="s">
        <v>67</v>
      </c>
      <c r="J34" s="103"/>
      <c r="K34" s="171">
        <v>10.95</v>
      </c>
      <c r="L34" s="103" t="s">
        <v>1911</v>
      </c>
      <c r="M34" s="106"/>
      <c r="N34" s="171">
        <f>MouserListTable12[[#This Row],['# Initial]]*MouserListTable12[[#This Row],[Price (USD)]]</f>
        <v>0</v>
      </c>
      <c r="O34" s="106" t="s">
        <v>64</v>
      </c>
      <c r="P34" s="103">
        <f t="shared" si="0"/>
        <v>21</v>
      </c>
      <c r="Q34" s="103">
        <f>IF($D34=$O34,1,0)</f>
        <v>1</v>
      </c>
      <c r="R34" s="103" t="s">
        <v>8</v>
      </c>
      <c r="S34" s="103" t="str">
        <f>_xlfn.IFS(MouserListTable12[[#This Row],[Supplier]]=FilterSpecs!$A$6, FilterSpecs!$B$6,MouserListTable12[[#This Row],[Supplier]]=FilterSpecs!$A$7,FilterSpecs!$B$7,MouserListTable12[[#This Row],[Supplier]]=FilterSpecs!$A$8,FilterSpecs!$B$8,MouserListTable12[[#This Row],[Supplier]]=FilterSpecs!$A$9,FilterSpecs!$B$9)</f>
        <v>474-</v>
      </c>
      <c r="T3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474-WRL-09434</v>
      </c>
      <c r="U34" s="121">
        <v>0</v>
      </c>
      <c r="V34" s="121">
        <v>0</v>
      </c>
      <c r="W34" s="121">
        <v>0</v>
      </c>
      <c r="X34" s="121">
        <f>MouserListTable12[[#This Row],['#/Unit]]*FilterSpecs!$C$3+MouserListTable12[[#This Row],[Extra]]</f>
        <v>0</v>
      </c>
      <c r="Y34" s="121">
        <f>IF(MouserListTable12[[#This Row],[Tag]]=FilterSpecs!$F$7,MouserListTable12[[#This Row],[Price (USD)]],0)</f>
        <v>10.95</v>
      </c>
      <c r="Z34" s="121">
        <f>MouserListTable12[[#This Row],[Tot '#]]*MouserListTable12[[#This Row],[Price (USD)]]</f>
        <v>0</v>
      </c>
    </row>
    <row r="35" spans="1:26" s="146" customFormat="1" x14ac:dyDescent="0.3">
      <c r="A35" s="103" t="s">
        <v>894</v>
      </c>
      <c r="B35" s="103" t="s">
        <v>12</v>
      </c>
      <c r="C35" s="103" t="s">
        <v>8</v>
      </c>
      <c r="D35" s="106" t="str">
        <f>IF(MouserListTable12[[#This Row],[Vendor]]=FilterSpecs!$A$8,MouserListTable12[[#This Row],[Mouser SKU]], MouserListTable12[[#This Row],[SKU2]])</f>
        <v>WRL-11601</v>
      </c>
      <c r="E35" s="121">
        <f>MouserListTable12[[#This Row],[Tot '#]]-MouserListTable12[[#This Row],['# Initial]]</f>
        <v>0</v>
      </c>
      <c r="F35" s="121">
        <f>MouserListTable12[[#This Row],['#/Unit]]*FilterSpecs!$B$3+MouserListTable12[[#This Row],[Extra Initial]]</f>
        <v>10</v>
      </c>
      <c r="G35" s="103" t="s">
        <v>69</v>
      </c>
      <c r="H35" s="103" t="s">
        <v>70</v>
      </c>
      <c r="I35" s="103" t="s">
        <v>71</v>
      </c>
      <c r="J35" s="103">
        <v>1</v>
      </c>
      <c r="K35" s="171">
        <v>24.95</v>
      </c>
      <c r="L35" s="103" t="s">
        <v>1911</v>
      </c>
      <c r="M35" s="106"/>
      <c r="N35" s="171">
        <f>MouserListTable12[[#This Row],['# Initial]]*MouserListTable12[[#This Row],[Price (USD)]]</f>
        <v>249.5</v>
      </c>
      <c r="O35" s="106" t="s">
        <v>68</v>
      </c>
      <c r="P35" s="103">
        <f t="shared" si="0"/>
        <v>22</v>
      </c>
      <c r="Q35" s="103">
        <f>IF($D35=$O35,1,0)</f>
        <v>1</v>
      </c>
      <c r="R35" s="103" t="s">
        <v>8</v>
      </c>
      <c r="S35" s="103" t="str">
        <f>_xlfn.IFS(MouserListTable12[[#This Row],[Supplier]]=FilterSpecs!$A$6, FilterSpecs!$B$6,MouserListTable12[[#This Row],[Supplier]]=FilterSpecs!$A$7,FilterSpecs!$B$7,MouserListTable12[[#This Row],[Supplier]]=FilterSpecs!$A$8,FilterSpecs!$B$8,MouserListTable12[[#This Row],[Supplier]]=FilterSpecs!$A$9,FilterSpecs!$B$9)</f>
        <v>474-</v>
      </c>
      <c r="T3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474-WRL-11601</v>
      </c>
      <c r="U35" s="121">
        <v>2</v>
      </c>
      <c r="V35" s="121">
        <v>0</v>
      </c>
      <c r="W35" s="121">
        <v>0</v>
      </c>
      <c r="X35" s="121">
        <f>MouserListTable12[[#This Row],['#/Unit]]*FilterSpecs!$C$3+MouserListTable12[[#This Row],[Extra]]</f>
        <v>10</v>
      </c>
      <c r="Y35" s="121">
        <f>IF(MouserListTable12[[#This Row],[Tag]]=FilterSpecs!$F$7,MouserListTable12[[#This Row],[Price (USD)]],0)</f>
        <v>24.95</v>
      </c>
      <c r="Z35" s="121">
        <f>MouserListTable12[[#This Row],[Tot '#]]*MouserListTable12[[#This Row],[Price (USD)]]</f>
        <v>249.5</v>
      </c>
    </row>
    <row r="36" spans="1:26" s="146" customFormat="1" hidden="1" x14ac:dyDescent="0.3">
      <c r="A36" s="103" t="s">
        <v>894</v>
      </c>
      <c r="B36" s="103" t="s">
        <v>1896</v>
      </c>
      <c r="C36" s="103" t="s">
        <v>8</v>
      </c>
      <c r="D36" s="106" t="str">
        <f>IF(MouserListTable12[[#This Row],[Vendor]]=FilterSpecs!$A$8,MouserListTable12[[#This Row],[Mouser SKU]], MouserListTable12[[#This Row],[SKU2]])</f>
        <v>WIG-12772</v>
      </c>
      <c r="E36" s="121">
        <f>MouserListTable12[[#This Row],[Tot '#]]-MouserListTable12[[#This Row],['# Initial]]</f>
        <v>1</v>
      </c>
      <c r="F36" s="121">
        <f>MouserListTable12[[#This Row],['#/Unit]]*FilterSpecs!$B$3+MouserListTable12[[#This Row],[Extra Initial]]</f>
        <v>0</v>
      </c>
      <c r="G36" s="103" t="s">
        <v>231</v>
      </c>
      <c r="H36" s="103" t="s">
        <v>232</v>
      </c>
      <c r="I36" s="103" t="s">
        <v>198</v>
      </c>
      <c r="J36" s="103">
        <v>1</v>
      </c>
      <c r="K36" s="171">
        <v>54.95</v>
      </c>
      <c r="L36" s="103" t="s">
        <v>1910</v>
      </c>
      <c r="M36" s="106"/>
      <c r="N36" s="171">
        <f>MouserListTable12[[#This Row],['# Initial]]*MouserListTable12[[#This Row],[Price (USD)]]</f>
        <v>0</v>
      </c>
      <c r="O36" s="106" t="s">
        <v>230</v>
      </c>
      <c r="P36" s="103">
        <f t="shared" si="0"/>
        <v>23</v>
      </c>
      <c r="Q36" s="103">
        <f>IF($D36=$O36,1,0)</f>
        <v>1</v>
      </c>
      <c r="R36" s="103" t="s">
        <v>8</v>
      </c>
      <c r="S36" s="103" t="str">
        <f>_xlfn.IFS(MouserListTable12[[#This Row],[Supplier]]=FilterSpecs!$A$6, FilterSpecs!$B$6,MouserListTable12[[#This Row],[Supplier]]=FilterSpecs!$A$7,FilterSpecs!$B$7,MouserListTable12[[#This Row],[Supplier]]=FilterSpecs!$A$8,FilterSpecs!$B$8,MouserListTable12[[#This Row],[Supplier]]=FilterSpecs!$A$9,FilterSpecs!$B$9)</f>
        <v>474-</v>
      </c>
      <c r="T3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474-WIG-12772</v>
      </c>
      <c r="U36" s="121">
        <v>0</v>
      </c>
      <c r="V36" s="121">
        <v>1</v>
      </c>
      <c r="W36" s="121">
        <v>0</v>
      </c>
      <c r="X36" s="121">
        <f>MouserListTable12[[#This Row],['#/Unit]]*FilterSpecs!$C$3+MouserListTable12[[#This Row],[Extra]]</f>
        <v>1</v>
      </c>
      <c r="Y36" s="121">
        <f>IF(MouserListTable12[[#This Row],[Tag]]=FilterSpecs!$F$7,MouserListTable12[[#This Row],[Price (USD)]],0)</f>
        <v>0</v>
      </c>
      <c r="Z36" s="121">
        <f>MouserListTable12[[#This Row],[Tot '#]]*MouserListTable12[[#This Row],[Price (USD)]]</f>
        <v>54.95</v>
      </c>
    </row>
    <row r="37" spans="1:26" s="146" customFormat="1" hidden="1" x14ac:dyDescent="0.3">
      <c r="A37" s="103" t="s">
        <v>894</v>
      </c>
      <c r="B37" s="103" t="s">
        <v>1896</v>
      </c>
      <c r="C37" s="103" t="s">
        <v>8</v>
      </c>
      <c r="D37" s="106" t="str">
        <f>IF(MouserListTable12[[#This Row],[Vendor]]=FilterSpecs!$A$8,MouserListTable12[[#This Row],[Mouser SKU]], MouserListTable12[[#This Row],[SKU2]])</f>
        <v>DEV-13712</v>
      </c>
      <c r="E37" s="121">
        <f>MouserListTable12[[#This Row],[Tot '#]]-MouserListTable12[[#This Row],['# Initial]]</f>
        <v>1</v>
      </c>
      <c r="F37" s="121">
        <f>MouserListTable12[[#This Row],['#/Unit]]*FilterSpecs!$B$3+MouserListTable12[[#This Row],[Extra Initial]]</f>
        <v>0</v>
      </c>
      <c r="G37" s="103" t="s">
        <v>1832</v>
      </c>
      <c r="H37" s="103" t="s">
        <v>1833</v>
      </c>
      <c r="I37" s="103" t="s">
        <v>1834</v>
      </c>
      <c r="J37" s="103">
        <v>1</v>
      </c>
      <c r="K37" s="171">
        <v>14.95</v>
      </c>
      <c r="L37" s="103" t="s">
        <v>1910</v>
      </c>
      <c r="M37" s="106"/>
      <c r="N37" s="171">
        <f>MouserListTable12[[#This Row],['# Initial]]*MouserListTable12[[#This Row],[Price (USD)]]</f>
        <v>0</v>
      </c>
      <c r="O37" s="106" t="s">
        <v>1831</v>
      </c>
      <c r="P37" s="103">
        <f t="shared" si="0"/>
        <v>24</v>
      </c>
      <c r="Q37" s="103">
        <f>IF($D37=$O37,1,0)</f>
        <v>1</v>
      </c>
      <c r="R37" s="103" t="s">
        <v>8</v>
      </c>
      <c r="S37" s="103" t="str">
        <f>_xlfn.IFS(MouserListTable12[[#This Row],[Supplier]]=FilterSpecs!$A$6, FilterSpecs!$B$6,MouserListTable12[[#This Row],[Supplier]]=FilterSpecs!$A$7,FilterSpecs!$B$7,MouserListTable12[[#This Row],[Supplier]]=FilterSpecs!$A$8,FilterSpecs!$B$8,MouserListTable12[[#This Row],[Supplier]]=FilterSpecs!$A$9,FilterSpecs!$B$9)</f>
        <v>474-</v>
      </c>
      <c r="T3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474-DEV-13712</v>
      </c>
      <c r="U37" s="121">
        <v>0</v>
      </c>
      <c r="V37" s="121">
        <v>1</v>
      </c>
      <c r="W37" s="121">
        <v>0</v>
      </c>
      <c r="X37" s="121">
        <f>MouserListTable12[[#This Row],['#/Unit]]*FilterSpecs!$C$3+MouserListTable12[[#This Row],[Extra]]</f>
        <v>1</v>
      </c>
      <c r="Y37" s="121">
        <f>IF(MouserListTable12[[#This Row],[Tag]]=FilterSpecs!$F$7,MouserListTable12[[#This Row],[Price (USD)]],0)</f>
        <v>0</v>
      </c>
      <c r="Z37" s="121">
        <f>MouserListTable12[[#This Row],[Tot '#]]*MouserListTable12[[#This Row],[Price (USD)]]</f>
        <v>14.95</v>
      </c>
    </row>
    <row r="38" spans="1:26" s="144" customFormat="1" hidden="1" x14ac:dyDescent="0.3">
      <c r="A38" s="103" t="s">
        <v>894</v>
      </c>
      <c r="B38" s="103" t="s">
        <v>1896</v>
      </c>
      <c r="C38" s="103" t="s">
        <v>8</v>
      </c>
      <c r="D38" s="106" t="str">
        <f>IF(MouserListTable12[[#This Row],[Vendor]]=FilterSpecs!$A$8,MouserListTable12[[#This Row],[Mouser SKU]], MouserListTable12[[#This Row],[SKU2]])</f>
        <v>DEV-12761</v>
      </c>
      <c r="E38" s="121">
        <f>MouserListTable12[[#This Row],[Tot '#]]-MouserListTable12[[#This Row],['# Initial]]</f>
        <v>1</v>
      </c>
      <c r="F38" s="121">
        <f>MouserListTable12[[#This Row],['#/Unit]]*FilterSpecs!$B$3+MouserListTable12[[#This Row],[Extra Initial]]</f>
        <v>0</v>
      </c>
      <c r="G38" s="103" t="s">
        <v>2508</v>
      </c>
      <c r="H38" s="103" t="s">
        <v>2509</v>
      </c>
      <c r="I38" s="103" t="s">
        <v>2510</v>
      </c>
      <c r="J38" s="103">
        <v>1</v>
      </c>
      <c r="K38" s="171">
        <v>14.95</v>
      </c>
      <c r="L38" s="103" t="s">
        <v>1911</v>
      </c>
      <c r="M38" s="103"/>
      <c r="N38" s="171">
        <f>MouserListTable12[[#This Row],['# Initial]]*MouserListTable12[[#This Row],[Price (USD)]]</f>
        <v>0</v>
      </c>
      <c r="O38" s="106" t="s">
        <v>2507</v>
      </c>
      <c r="P38" s="103">
        <f t="shared" si="0"/>
        <v>25</v>
      </c>
      <c r="Q38" s="103">
        <f>IF($D38=$O38,1,0)</f>
        <v>1</v>
      </c>
      <c r="R38" s="103" t="s">
        <v>8</v>
      </c>
      <c r="S38" s="103" t="str">
        <f>_xlfn.IFS(MouserListTable12[[#This Row],[Supplier]]=FilterSpecs!$A$6, FilterSpecs!$B$6,MouserListTable12[[#This Row],[Supplier]]=FilterSpecs!$A$7,FilterSpecs!$B$7,MouserListTable12[[#This Row],[Supplier]]=FilterSpecs!$A$8,FilterSpecs!$B$8,MouserListTable12[[#This Row],[Supplier]]=FilterSpecs!$A$9,FilterSpecs!$B$9)</f>
        <v>474-</v>
      </c>
      <c r="T3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474-DEV-12761</v>
      </c>
      <c r="U38" s="121">
        <v>0</v>
      </c>
      <c r="V38" s="121">
        <v>1</v>
      </c>
      <c r="W38" s="121">
        <v>0</v>
      </c>
      <c r="X38" s="121">
        <f>MouserListTable12[[#This Row],['#/Unit]]*FilterSpecs!$C$3+MouserListTable12[[#This Row],[Extra]]</f>
        <v>1</v>
      </c>
      <c r="Y38" s="121">
        <f>IF(MouserListTable12[[#This Row],[Tag]]=FilterSpecs!$F$7,MouserListTable12[[#This Row],[Price (USD)]],0)</f>
        <v>14.95</v>
      </c>
      <c r="Z38" s="121">
        <f>MouserListTable12[[#This Row],[Tot '#]]*MouserListTable12[[#This Row],[Price (USD)]]</f>
        <v>14.95</v>
      </c>
    </row>
    <row r="39" spans="1:26" s="146" customFormat="1" x14ac:dyDescent="0.3">
      <c r="A39" s="103" t="s">
        <v>894</v>
      </c>
      <c r="B39" s="103" t="s">
        <v>1896</v>
      </c>
      <c r="C39" s="103" t="s">
        <v>8</v>
      </c>
      <c r="D39" s="106" t="str">
        <f>IF(MouserListTable12[[#This Row],[Vendor]]=FilterSpecs!$A$8,MouserListTable12[[#This Row],[Mouser SKU]], MouserListTable12[[#This Row],[SKU2]])</f>
        <v>TOL-09419</v>
      </c>
      <c r="E39" s="121">
        <f>MouserListTable12[[#This Row],[Tot '#]]-MouserListTable12[[#This Row],['# Initial]]</f>
        <v>0</v>
      </c>
      <c r="F39" s="121">
        <f>MouserListTable12[[#This Row],['#/Unit]]*FilterSpecs!$B$3+MouserListTable12[[#This Row],[Extra Initial]]</f>
        <v>1</v>
      </c>
      <c r="G39" s="103" t="s">
        <v>234</v>
      </c>
      <c r="H39" s="103" t="s">
        <v>235</v>
      </c>
      <c r="I39" s="103" t="s">
        <v>205</v>
      </c>
      <c r="J39" s="103">
        <v>1</v>
      </c>
      <c r="K39" s="171">
        <v>9.9499999999999993</v>
      </c>
      <c r="L39" s="103" t="s">
        <v>1914</v>
      </c>
      <c r="M39" s="106"/>
      <c r="N39" s="171">
        <f>MouserListTable12[[#This Row],['# Initial]]*MouserListTable12[[#This Row],[Price (USD)]]</f>
        <v>9.9499999999999993</v>
      </c>
      <c r="O39" s="106" t="s">
        <v>233</v>
      </c>
      <c r="P39" s="103">
        <f t="shared" si="0"/>
        <v>26</v>
      </c>
      <c r="Q39" s="103">
        <f>IF($D39=$O39,1,0)</f>
        <v>1</v>
      </c>
      <c r="R39" s="103" t="s">
        <v>8</v>
      </c>
      <c r="S39" s="103" t="str">
        <f>_xlfn.IFS(MouserListTable12[[#This Row],[Supplier]]=FilterSpecs!$A$6, FilterSpecs!$B$6,MouserListTable12[[#This Row],[Supplier]]=FilterSpecs!$A$7,FilterSpecs!$B$7,MouserListTable12[[#This Row],[Supplier]]=FilterSpecs!$A$8,FilterSpecs!$B$8,MouserListTable12[[#This Row],[Supplier]]=FilterSpecs!$A$9,FilterSpecs!$B$9)</f>
        <v>474-</v>
      </c>
      <c r="T3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474-TOL-09419</v>
      </c>
      <c r="U39" s="121">
        <v>0</v>
      </c>
      <c r="V39" s="121">
        <v>1</v>
      </c>
      <c r="W39" s="121">
        <v>1</v>
      </c>
      <c r="X39" s="121">
        <f>MouserListTable12[[#This Row],['#/Unit]]*FilterSpecs!$C$3+MouserListTable12[[#This Row],[Extra]]</f>
        <v>1</v>
      </c>
      <c r="Y39" s="121">
        <f>IF(MouserListTable12[[#This Row],[Tag]]=FilterSpecs!$F$7,MouserListTable12[[#This Row],[Price (USD)]],0)</f>
        <v>0</v>
      </c>
      <c r="Z39" s="121">
        <f>MouserListTable12[[#This Row],[Tot '#]]*MouserListTable12[[#This Row],[Price (USD)]]</f>
        <v>9.9499999999999993</v>
      </c>
    </row>
    <row r="40" spans="1:26" s="146" customFormat="1" hidden="1" x14ac:dyDescent="0.3">
      <c r="A40" s="126" t="s">
        <v>894</v>
      </c>
      <c r="B40" s="126" t="s">
        <v>1896</v>
      </c>
      <c r="C40" s="126" t="s">
        <v>8</v>
      </c>
      <c r="D40" s="106" t="str">
        <f>IF(MouserListTable12[[#This Row],[Vendor]]=FilterSpecs!$A$8,MouserListTable12[[#This Row],[Mouser SKU]], MouserListTable12[[#This Row],[SKU2]])</f>
        <v>BOB-12941</v>
      </c>
      <c r="E40" s="121">
        <f>MouserListTable12[[#This Row],[Tot '#]]-MouserListTable12[[#This Row],['# Initial]]</f>
        <v>0</v>
      </c>
      <c r="F40" s="121">
        <f>MouserListTable12[[#This Row],['#/Unit]]*FilterSpecs!$B$3+MouserListTable12[[#This Row],[Extra Initial]]</f>
        <v>0</v>
      </c>
      <c r="G40" s="103" t="s">
        <v>287</v>
      </c>
      <c r="H40" s="103" t="s">
        <v>288</v>
      </c>
      <c r="I40" s="103" t="s">
        <v>203</v>
      </c>
      <c r="J40" s="103">
        <v>1</v>
      </c>
      <c r="K40" s="171">
        <v>9.9499999999999993</v>
      </c>
      <c r="L40" s="103" t="s">
        <v>1911</v>
      </c>
      <c r="N40" s="171">
        <f>MouserListTable12[[#This Row],['# Initial]]*MouserListTable12[[#This Row],[Price (USD)]]</f>
        <v>0</v>
      </c>
      <c r="O40" s="106" t="s">
        <v>286</v>
      </c>
      <c r="P40" s="103">
        <f t="shared" si="0"/>
        <v>27</v>
      </c>
      <c r="Q40" s="103">
        <f>IF($D40=$O40,1,0)</f>
        <v>1</v>
      </c>
      <c r="R40" s="103" t="s">
        <v>8</v>
      </c>
      <c r="S40" s="103" t="str">
        <f>_xlfn.IFS(MouserListTable12[[#This Row],[Supplier]]=FilterSpecs!$A$6, FilterSpecs!$B$6,MouserListTable12[[#This Row],[Supplier]]=FilterSpecs!$A$7,FilterSpecs!$B$7,MouserListTable12[[#This Row],[Supplier]]=FilterSpecs!$A$8,FilterSpecs!$B$8,MouserListTable12[[#This Row],[Supplier]]=FilterSpecs!$A$9,FilterSpecs!$B$9)</f>
        <v>474-</v>
      </c>
      <c r="T4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474-BOB-12941</v>
      </c>
      <c r="U40" s="121">
        <v>0</v>
      </c>
      <c r="V40" s="121">
        <v>0</v>
      </c>
      <c r="W40" s="121">
        <v>0</v>
      </c>
      <c r="X40" s="121">
        <f>MouserListTable12[[#This Row],['#/Unit]]*FilterSpecs!$C$3+MouserListTable12[[#This Row],[Extra]]</f>
        <v>0</v>
      </c>
      <c r="Y40" s="121">
        <f>IF(MouserListTable12[[#This Row],[Tag]]=FilterSpecs!$F$7,MouserListTable12[[#This Row],[Price (USD)]],0)</f>
        <v>9.9499999999999993</v>
      </c>
      <c r="Z40" s="121">
        <f>MouserListTable12[[#This Row],[Tot '#]]*MouserListTable12[[#This Row],[Price (USD)]]</f>
        <v>0</v>
      </c>
    </row>
    <row r="41" spans="1:26" s="146" customFormat="1" x14ac:dyDescent="0.3">
      <c r="A41" s="103" t="s">
        <v>894</v>
      </c>
      <c r="B41" s="103" t="s">
        <v>1896</v>
      </c>
      <c r="C41" s="103" t="s">
        <v>8</v>
      </c>
      <c r="D41" s="106" t="str">
        <f>IF(MouserListTable12[[#This Row],[Vendor]]=FilterSpecs!$A$8,MouserListTable12[[#This Row],[Mouser SKU]], MouserListTable12[[#This Row],[SKU2]])</f>
        <v>DEV-13743</v>
      </c>
      <c r="E41" s="121">
        <f>MouserListTable12[[#This Row],[Tot '#]]-MouserListTable12[[#This Row],['# Initial]]</f>
        <v>0</v>
      </c>
      <c r="F41" s="121">
        <f>MouserListTable12[[#This Row],['#/Unit]]*FilterSpecs!$B$3+MouserListTable12[[#This Row],[Extra Initial]]</f>
        <v>5</v>
      </c>
      <c r="G41" s="103" t="s">
        <v>415</v>
      </c>
      <c r="H41" s="103" t="s">
        <v>416</v>
      </c>
      <c r="I41" s="103" t="s">
        <v>223</v>
      </c>
      <c r="J41" s="103">
        <v>1</v>
      </c>
      <c r="K41" s="171">
        <v>4.95</v>
      </c>
      <c r="L41" s="103" t="s">
        <v>1911</v>
      </c>
      <c r="M41" s="106"/>
      <c r="N41" s="171">
        <f>MouserListTable12[[#This Row],['# Initial]]*MouserListTable12[[#This Row],[Price (USD)]]</f>
        <v>24.75</v>
      </c>
      <c r="O41" s="106" t="s">
        <v>414</v>
      </c>
      <c r="P41" s="103">
        <f t="shared" si="0"/>
        <v>28</v>
      </c>
      <c r="Q41" s="103">
        <f>IF($D41=$O41,1,0)</f>
        <v>1</v>
      </c>
      <c r="R41" s="103" t="s">
        <v>8</v>
      </c>
      <c r="S41" s="103" t="str">
        <f>_xlfn.IFS(MouserListTable12[[#This Row],[Supplier]]=FilterSpecs!$A$6, FilterSpecs!$B$6,MouserListTable12[[#This Row],[Supplier]]=FilterSpecs!$A$7,FilterSpecs!$B$7,MouserListTable12[[#This Row],[Supplier]]=FilterSpecs!$A$8,FilterSpecs!$B$8,MouserListTable12[[#This Row],[Supplier]]=FilterSpecs!$A$9,FilterSpecs!$B$9)</f>
        <v>474-</v>
      </c>
      <c r="T4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474-DEV-13743</v>
      </c>
      <c r="U41" s="121">
        <v>1</v>
      </c>
      <c r="V41" s="121">
        <v>0</v>
      </c>
      <c r="W41" s="121">
        <v>0</v>
      </c>
      <c r="X41" s="121">
        <f>MouserListTable12[[#This Row],['#/Unit]]*FilterSpecs!$C$3+MouserListTable12[[#This Row],[Extra]]</f>
        <v>5</v>
      </c>
      <c r="Y41" s="121">
        <f>IF(MouserListTable12[[#This Row],[Tag]]=FilterSpecs!$F$7,MouserListTable12[[#This Row],[Price (USD)]],0)</f>
        <v>4.95</v>
      </c>
      <c r="Z41" s="121">
        <f>MouserListTable12[[#This Row],[Tot '#]]*MouserListTable12[[#This Row],[Price (USD)]]</f>
        <v>24.75</v>
      </c>
    </row>
    <row r="42" spans="1:26" s="146" customFormat="1" x14ac:dyDescent="0.3">
      <c r="A42" s="103" t="s">
        <v>894</v>
      </c>
      <c r="B42" s="103" t="s">
        <v>1896</v>
      </c>
      <c r="C42" s="103" t="s">
        <v>8</v>
      </c>
      <c r="D42" s="106" t="str">
        <f>IF(MouserListTable12[[#This Row],[Vendor]]=FilterSpecs!$A$8,MouserListTable12[[#This Row],[Mouser SKU]], MouserListTable12[[#This Row],[SKU2]])</f>
        <v>COM-13833</v>
      </c>
      <c r="E42" s="121">
        <f>MouserListTable12[[#This Row],[Tot '#]]-MouserListTable12[[#This Row],['# Initial]]</f>
        <v>1</v>
      </c>
      <c r="F42" s="121">
        <f>MouserListTable12[[#This Row],['#/Unit]]*FilterSpecs!$B$3+MouserListTable12[[#This Row],[Extra Initial]]</f>
        <v>5</v>
      </c>
      <c r="G42" s="103" t="s">
        <v>636</v>
      </c>
      <c r="H42" s="103" t="s">
        <v>637</v>
      </c>
      <c r="I42" s="103" t="s">
        <v>638</v>
      </c>
      <c r="J42" s="103">
        <v>1</v>
      </c>
      <c r="K42" s="171">
        <v>19.95</v>
      </c>
      <c r="L42" s="103" t="s">
        <v>1911</v>
      </c>
      <c r="M42" s="106"/>
      <c r="N42" s="171">
        <f>MouserListTable12[[#This Row],['# Initial]]*MouserListTable12[[#This Row],[Price (USD)]]</f>
        <v>99.75</v>
      </c>
      <c r="O42" s="106" t="s">
        <v>635</v>
      </c>
      <c r="P42" s="103">
        <f t="shared" si="0"/>
        <v>29</v>
      </c>
      <c r="Q42" s="103">
        <f>IF($D42=$O42,1,0)</f>
        <v>1</v>
      </c>
      <c r="R42" s="103" t="s">
        <v>8</v>
      </c>
      <c r="S42" s="103" t="str">
        <f>_xlfn.IFS(MouserListTable12[[#This Row],[Supplier]]=FilterSpecs!$A$6, FilterSpecs!$B$6,MouserListTable12[[#This Row],[Supplier]]=FilterSpecs!$A$7,FilterSpecs!$B$7,MouserListTable12[[#This Row],[Supplier]]=FilterSpecs!$A$8,FilterSpecs!$B$8,MouserListTable12[[#This Row],[Supplier]]=FilterSpecs!$A$9,FilterSpecs!$B$9)</f>
        <v>474-</v>
      </c>
      <c r="T4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474-COM-13833</v>
      </c>
      <c r="U42" s="121">
        <v>1</v>
      </c>
      <c r="V42" s="121">
        <v>1</v>
      </c>
      <c r="W42" s="121">
        <v>0</v>
      </c>
      <c r="X42" s="121">
        <f>MouserListTable12[[#This Row],['#/Unit]]*FilterSpecs!$C$3+MouserListTable12[[#This Row],[Extra]]</f>
        <v>6</v>
      </c>
      <c r="Y42" s="121">
        <f>IF(MouserListTable12[[#This Row],[Tag]]=FilterSpecs!$F$7,MouserListTable12[[#This Row],[Price (USD)]],0)</f>
        <v>19.95</v>
      </c>
      <c r="Z42" s="121">
        <f>MouserListTable12[[#This Row],[Tot '#]]*MouserListTable12[[#This Row],[Price (USD)]]</f>
        <v>119.69999999999999</v>
      </c>
    </row>
    <row r="43" spans="1:26" s="146" customFormat="1" hidden="1" x14ac:dyDescent="0.3">
      <c r="A43" s="103" t="s">
        <v>894</v>
      </c>
      <c r="B43" s="103" t="s">
        <v>1896</v>
      </c>
      <c r="C43" s="103" t="s">
        <v>1898</v>
      </c>
      <c r="D43" s="106" t="str">
        <f>IF(MouserListTable12[[#This Row],[Vendor]]=FilterSpecs!$A$8,MouserListTable12[[#This Row],[Mouser SKU]], MouserListTable12[[#This Row],[SKU2]])</f>
        <v>102</v>
      </c>
      <c r="E43" s="121">
        <f>MouserListTable12[[#This Row],[Tot '#]]-MouserListTable12[[#This Row],['# Initial]]</f>
        <v>2</v>
      </c>
      <c r="F43" s="121">
        <f>MouserListTable12[[#This Row],['#/Unit]]*FilterSpecs!$B$3+MouserListTable12[[#This Row],[Extra Initial]]</f>
        <v>0</v>
      </c>
      <c r="G43" s="103"/>
      <c r="H43" s="103"/>
      <c r="I43" s="103" t="s">
        <v>2268</v>
      </c>
      <c r="J43" s="103"/>
      <c r="K43" s="171">
        <v>7.95</v>
      </c>
      <c r="L43" s="103" t="s">
        <v>1910</v>
      </c>
      <c r="M43" s="106"/>
      <c r="N43" s="171">
        <f>MouserListTable12[[#This Row],['# Initial]]*MouserListTable12[[#This Row],[Price (USD)]]</f>
        <v>0</v>
      </c>
      <c r="O43" s="106" t="s">
        <v>2267</v>
      </c>
      <c r="P43" s="103">
        <f t="shared" si="0"/>
        <v>30</v>
      </c>
      <c r="Q43" s="103">
        <f>IF($D43=$O43,1,0)</f>
        <v>1</v>
      </c>
      <c r="R43" s="103" t="s">
        <v>1898</v>
      </c>
      <c r="S43" s="103" t="str">
        <f>_xlfn.IFS(MouserListTable12[[#This Row],[Supplier]]=FilterSpecs!$A$6, FilterSpecs!$B$6,MouserListTable12[[#This Row],[Supplier]]=FilterSpecs!$A$7,FilterSpecs!$B$7,MouserListTable12[[#This Row],[Supplier]]=FilterSpecs!$A$8,FilterSpecs!$B$8,MouserListTable12[[#This Row],[Supplier]]=FilterSpecs!$A$9,FilterSpecs!$B$9)</f>
        <v>485-</v>
      </c>
      <c r="T4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485-102</v>
      </c>
      <c r="U43" s="121">
        <v>0</v>
      </c>
      <c r="V43" s="121">
        <v>2</v>
      </c>
      <c r="W43" s="121">
        <v>0</v>
      </c>
      <c r="X43" s="121">
        <f>MouserListTable12[[#This Row],['#/Unit]]*FilterSpecs!$C$3+MouserListTable12[[#This Row],[Extra]]</f>
        <v>2</v>
      </c>
      <c r="Y43" s="121">
        <f>IF(MouserListTable12[[#This Row],[Tag]]=FilterSpecs!$F$7,MouserListTable12[[#This Row],[Price (USD)]],0)</f>
        <v>0</v>
      </c>
      <c r="Z43" s="121">
        <f>MouserListTable12[[#This Row],[Tot '#]]*MouserListTable12[[#This Row],[Price (USD)]]</f>
        <v>15.9</v>
      </c>
    </row>
    <row r="44" spans="1:26" s="146" customFormat="1" x14ac:dyDescent="0.3">
      <c r="A44" s="103" t="s">
        <v>894</v>
      </c>
      <c r="B44" s="103" t="s">
        <v>1896</v>
      </c>
      <c r="C44" s="103" t="s">
        <v>1898</v>
      </c>
      <c r="D44" s="106" t="str">
        <f>IF(MouserListTable12[[#This Row],[Vendor]]=FilterSpecs!$A$8,MouserListTable12[[#This Row],[Mouser SKU]], MouserListTable12[[#This Row],[SKU2]])</f>
        <v>1969</v>
      </c>
      <c r="E44" s="121">
        <f>MouserListTable12[[#This Row],[Tot '#]]-MouserListTable12[[#This Row],['# Initial]]</f>
        <v>0</v>
      </c>
      <c r="F44" s="121">
        <f>MouserListTable12[[#This Row],['#/Unit]]*FilterSpecs!$B$3+MouserListTable12[[#This Row],[Extra Initial]]</f>
        <v>1</v>
      </c>
      <c r="G44" s="103"/>
      <c r="H44" s="103"/>
      <c r="I44" s="103" t="s">
        <v>2078</v>
      </c>
      <c r="J44" s="103"/>
      <c r="K44" s="171">
        <v>2.95</v>
      </c>
      <c r="L44" s="103" t="s">
        <v>1910</v>
      </c>
      <c r="M44" s="106"/>
      <c r="N44" s="171">
        <f>MouserListTable12[[#This Row],['# Initial]]*MouserListTable12[[#This Row],[Price (USD)]]</f>
        <v>2.95</v>
      </c>
      <c r="O44" s="106" t="s">
        <v>2079</v>
      </c>
      <c r="P44" s="103">
        <f t="shared" si="0"/>
        <v>31</v>
      </c>
      <c r="Q44" s="103">
        <f>IF($D44=$O44,1,0)</f>
        <v>1</v>
      </c>
      <c r="R44" s="103" t="s">
        <v>1898</v>
      </c>
      <c r="S44" s="103" t="str">
        <f>_xlfn.IFS(MouserListTable12[[#This Row],[Supplier]]=FilterSpecs!$A$6, FilterSpecs!$B$6,MouserListTable12[[#This Row],[Supplier]]=FilterSpecs!$A$7,FilterSpecs!$B$7,MouserListTable12[[#This Row],[Supplier]]=FilterSpecs!$A$8,FilterSpecs!$B$8,MouserListTable12[[#This Row],[Supplier]]=FilterSpecs!$A$9,FilterSpecs!$B$9)</f>
        <v>485-</v>
      </c>
      <c r="T4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485-1969</v>
      </c>
      <c r="U44" s="121">
        <v>0</v>
      </c>
      <c r="V44" s="121">
        <v>1</v>
      </c>
      <c r="W44" s="121">
        <v>1</v>
      </c>
      <c r="X44" s="121">
        <f>MouserListTable12[[#This Row],['#/Unit]]*FilterSpecs!$C$3+MouserListTable12[[#This Row],[Extra]]</f>
        <v>1</v>
      </c>
      <c r="Y44" s="121">
        <f>IF(MouserListTable12[[#This Row],[Tag]]=FilterSpecs!$F$7,MouserListTable12[[#This Row],[Price (USD)]],0)</f>
        <v>0</v>
      </c>
      <c r="Z44" s="121">
        <f>MouserListTable12[[#This Row],[Tot '#]]*MouserListTable12[[#This Row],[Price (USD)]]</f>
        <v>2.95</v>
      </c>
    </row>
    <row r="45" spans="1:26" s="146" customFormat="1" hidden="1" x14ac:dyDescent="0.3">
      <c r="A45" s="126" t="s">
        <v>894</v>
      </c>
      <c r="B45" s="126" t="s">
        <v>1896</v>
      </c>
      <c r="C45" s="126" t="s">
        <v>1898</v>
      </c>
      <c r="D45" s="106" t="str">
        <f>IF(MouserListTable12[[#This Row],[Vendor]]=FilterSpecs!$A$8,MouserListTable12[[#This Row],[Mouser SKU]], MouserListTable12[[#This Row],[SKU2]])</f>
        <v>2693</v>
      </c>
      <c r="E45" s="121">
        <f>MouserListTable12[[#This Row],[Tot '#]]-MouserListTable12[[#This Row],['# Initial]]</f>
        <v>0</v>
      </c>
      <c r="F45" s="121">
        <f>MouserListTable12[[#This Row],['#/Unit]]*FilterSpecs!$B$3+MouserListTable12[[#This Row],[Extra Initial]]</f>
        <v>0</v>
      </c>
      <c r="G45" s="103"/>
      <c r="H45" s="103"/>
      <c r="I45" s="103" t="s">
        <v>2270</v>
      </c>
      <c r="J45" s="103"/>
      <c r="K45" s="171">
        <v>19.95</v>
      </c>
      <c r="L45" s="103" t="s">
        <v>1913</v>
      </c>
      <c r="N45" s="171">
        <f>MouserListTable12[[#This Row],['# Initial]]*MouserListTable12[[#This Row],[Price (USD)]]</f>
        <v>0</v>
      </c>
      <c r="O45" s="106" t="s">
        <v>2269</v>
      </c>
      <c r="P45" s="103">
        <f t="shared" si="0"/>
        <v>32</v>
      </c>
      <c r="Q45" s="103">
        <f>IF($D45=$O45,1,0)</f>
        <v>1</v>
      </c>
      <c r="R45" s="103" t="s">
        <v>1898</v>
      </c>
      <c r="S45" s="103" t="str">
        <f>_xlfn.IFS(MouserListTable12[[#This Row],[Supplier]]=FilterSpecs!$A$6, FilterSpecs!$B$6,MouserListTable12[[#This Row],[Supplier]]=FilterSpecs!$A$7,FilterSpecs!$B$7,MouserListTable12[[#This Row],[Supplier]]=FilterSpecs!$A$8,FilterSpecs!$B$8,MouserListTable12[[#This Row],[Supplier]]=FilterSpecs!$A$9,FilterSpecs!$B$9)</f>
        <v>485-</v>
      </c>
      <c r="T4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485-2693</v>
      </c>
      <c r="U45" s="121">
        <v>0</v>
      </c>
      <c r="V45" s="121">
        <v>0</v>
      </c>
      <c r="W45" s="121">
        <v>0</v>
      </c>
      <c r="X45" s="121">
        <f>MouserListTable12[[#This Row],['#/Unit]]*FilterSpecs!$C$3+MouserListTable12[[#This Row],[Extra]]</f>
        <v>0</v>
      </c>
      <c r="Y45" s="121">
        <f>IF(MouserListTable12[[#This Row],[Tag]]=FilterSpecs!$F$7,MouserListTable12[[#This Row],[Price (USD)]],0)</f>
        <v>0</v>
      </c>
      <c r="Z45" s="121">
        <f>MouserListTable12[[#This Row],[Tot '#]]*MouserListTable12[[#This Row],[Price (USD)]]</f>
        <v>0</v>
      </c>
    </row>
    <row r="46" spans="1:26" s="146" customFormat="1" hidden="1" x14ac:dyDescent="0.3">
      <c r="A46" s="103" t="s">
        <v>894</v>
      </c>
      <c r="B46" s="103" t="s">
        <v>1896</v>
      </c>
      <c r="C46" s="103" t="s">
        <v>1898</v>
      </c>
      <c r="D46" s="106" t="str">
        <f>IF(MouserListTable12[[#This Row],[Vendor]]=FilterSpecs!$A$8,MouserListTable12[[#This Row],[Mouser SKU]], MouserListTable12[[#This Row],[SKU2]])</f>
        <v>1294</v>
      </c>
      <c r="E46" s="121">
        <f>MouserListTable12[[#This Row],[Tot '#]]-MouserListTable12[[#This Row],['# Initial]]</f>
        <v>0</v>
      </c>
      <c r="F46" s="121">
        <f>MouserListTable12[[#This Row],['#/Unit]]*FilterSpecs!$B$3+MouserListTable12[[#This Row],[Extra Initial]]</f>
        <v>0</v>
      </c>
      <c r="G46" s="103"/>
      <c r="H46" s="103"/>
      <c r="I46" s="126" t="s">
        <v>2272</v>
      </c>
      <c r="K46" s="172">
        <v>9.9499999999999993</v>
      </c>
      <c r="L46" s="126" t="s">
        <v>1910</v>
      </c>
      <c r="N46" s="171">
        <f>MouserListTable12[[#This Row],['# Initial]]*MouserListTable12[[#This Row],[Price (USD)]]</f>
        <v>0</v>
      </c>
      <c r="O46" s="106" t="s">
        <v>2271</v>
      </c>
      <c r="P46" s="103">
        <f t="shared" si="0"/>
        <v>33</v>
      </c>
      <c r="Q46" s="103">
        <f>IF($D46=$O46,1,0)</f>
        <v>1</v>
      </c>
      <c r="R46" s="103" t="s">
        <v>1898</v>
      </c>
      <c r="S46" s="103" t="str">
        <f>_xlfn.IFS(MouserListTable12[[#This Row],[Supplier]]=FilterSpecs!$A$6, FilterSpecs!$B$6,MouserListTable12[[#This Row],[Supplier]]=FilterSpecs!$A$7,FilterSpecs!$B$7,MouserListTable12[[#This Row],[Supplier]]=FilterSpecs!$A$8,FilterSpecs!$B$8,MouserListTable12[[#This Row],[Supplier]]=FilterSpecs!$A$9,FilterSpecs!$B$9)</f>
        <v>485-</v>
      </c>
      <c r="T4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485-1294</v>
      </c>
      <c r="U46" s="121">
        <v>0</v>
      </c>
      <c r="V46" s="121">
        <v>0</v>
      </c>
      <c r="W46" s="121">
        <v>0</v>
      </c>
      <c r="X46" s="121">
        <f>MouserListTable12[[#This Row],['#/Unit]]*FilterSpecs!$C$3+MouserListTable12[[#This Row],[Extra]]</f>
        <v>0</v>
      </c>
      <c r="Y46" s="121">
        <f>IF(MouserListTable12[[#This Row],[Tag]]=FilterSpecs!$F$7,MouserListTable12[[#This Row],[Price (USD)]],0)</f>
        <v>0</v>
      </c>
      <c r="Z46" s="121">
        <f>MouserListTable12[[#This Row],[Tot '#]]*MouserListTable12[[#This Row],[Price (USD)]]</f>
        <v>0</v>
      </c>
    </row>
    <row r="47" spans="1:26" s="146" customFormat="1" hidden="1" x14ac:dyDescent="0.3">
      <c r="A47" s="103" t="s">
        <v>894</v>
      </c>
      <c r="B47" s="103" t="s">
        <v>1896</v>
      </c>
      <c r="C47" s="103" t="s">
        <v>8</v>
      </c>
      <c r="D47" s="106" t="str">
        <f>IF(MouserListTable12[[#This Row],[Vendor]]=FilterSpecs!$A$8,MouserListTable12[[#This Row],[Mouser SKU]], MouserListTable12[[#This Row],[SKU2]])</f>
        <v>DEV-11643</v>
      </c>
      <c r="E47" s="121">
        <f>MouserListTable12[[#This Row],[Tot '#]]-MouserListTable12[[#This Row],['# Initial]]</f>
        <v>0</v>
      </c>
      <c r="F47" s="121">
        <f>MouserListTable12[[#This Row],['#/Unit]]*FilterSpecs!$B$3+MouserListTable12[[#This Row],[Extra Initial]]</f>
        <v>0</v>
      </c>
      <c r="G47" s="103" t="s">
        <v>333</v>
      </c>
      <c r="H47" s="103" t="s">
        <v>334</v>
      </c>
      <c r="I47" s="103" t="s">
        <v>335</v>
      </c>
      <c r="J47" s="146">
        <v>1</v>
      </c>
      <c r="K47" s="171">
        <v>54.95</v>
      </c>
      <c r="L47" s="103" t="s">
        <v>2490</v>
      </c>
      <c r="M47" s="106"/>
      <c r="N47" s="171">
        <f>MouserListTable12[[#This Row],['# Initial]]*MouserListTable12[[#This Row],[Price (USD)]]</f>
        <v>0</v>
      </c>
      <c r="O47" s="106" t="s">
        <v>332</v>
      </c>
      <c r="P47" s="103">
        <f t="shared" si="0"/>
        <v>34</v>
      </c>
      <c r="Q47" s="103">
        <f>IF($D47=$O47,1,0)</f>
        <v>1</v>
      </c>
      <c r="R47" s="103" t="s">
        <v>8</v>
      </c>
      <c r="S47" s="103" t="str">
        <f>_xlfn.IFS(MouserListTable12[[#This Row],[Supplier]]=FilterSpecs!$A$6, FilterSpecs!$B$6,MouserListTable12[[#This Row],[Supplier]]=FilterSpecs!$A$7,FilterSpecs!$B$7,MouserListTable12[[#This Row],[Supplier]]=FilterSpecs!$A$8,FilterSpecs!$B$8,MouserListTable12[[#This Row],[Supplier]]=FilterSpecs!$A$9,FilterSpecs!$B$9)</f>
        <v>474-</v>
      </c>
      <c r="T4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474-DEV-11643</v>
      </c>
      <c r="U47" s="121">
        <v>0</v>
      </c>
      <c r="V47" s="121">
        <v>0</v>
      </c>
      <c r="W47" s="121">
        <v>0</v>
      </c>
      <c r="X47" s="121">
        <f>MouserListTable12[[#This Row],['#/Unit]]*FilterSpecs!$C$3+MouserListTable12[[#This Row],[Extra]]</f>
        <v>0</v>
      </c>
      <c r="Y47" s="121">
        <f>IF(MouserListTable12[[#This Row],[Tag]]=FilterSpecs!$F$7,MouserListTable12[[#This Row],[Price (USD)]],0)</f>
        <v>0</v>
      </c>
      <c r="Z47" s="121">
        <f>MouserListTable12[[#This Row],[Tot '#]]*MouserListTable12[[#This Row],[Price (USD)]]</f>
        <v>0</v>
      </c>
    </row>
    <row r="48" spans="1:26" s="146" customFormat="1" x14ac:dyDescent="0.3">
      <c r="A48" s="103" t="s">
        <v>894</v>
      </c>
      <c r="B48" s="103" t="s">
        <v>1896</v>
      </c>
      <c r="C48" s="103" t="s">
        <v>8</v>
      </c>
      <c r="D48" s="106" t="str">
        <f>IF(MouserListTable12[[#This Row],[Vendor]]=FilterSpecs!$A$8,MouserListTable12[[#This Row],[Mouser SKU]], MouserListTable12[[#This Row],[SKU2]])</f>
        <v>COM-13004</v>
      </c>
      <c r="E48" s="121">
        <f>MouserListTable12[[#This Row],[Tot '#]]-MouserListTable12[[#This Row],['# Initial]]</f>
        <v>0</v>
      </c>
      <c r="F48" s="121">
        <f>MouserListTable12[[#This Row],['#/Unit]]*FilterSpecs!$B$3+MouserListTable12[[#This Row],[Extra Initial]]</f>
        <v>5</v>
      </c>
      <c r="G48" s="103" t="s">
        <v>348</v>
      </c>
      <c r="H48" s="103" t="s">
        <v>349</v>
      </c>
      <c r="I48" s="103" t="s">
        <v>350</v>
      </c>
      <c r="K48" s="171">
        <v>4.95</v>
      </c>
      <c r="L48" s="103" t="s">
        <v>1911</v>
      </c>
      <c r="M48" s="106"/>
      <c r="N48" s="171">
        <f>MouserListTable12[[#This Row],['# Initial]]*MouserListTable12[[#This Row],[Price (USD)]]</f>
        <v>24.75</v>
      </c>
      <c r="O48" s="106" t="s">
        <v>347</v>
      </c>
      <c r="P48" s="103">
        <f t="shared" si="0"/>
        <v>35</v>
      </c>
      <c r="Q48" s="103">
        <f>IF($D48=$O48,1,0)</f>
        <v>1</v>
      </c>
      <c r="R48" s="103" t="s">
        <v>8</v>
      </c>
      <c r="S48" s="103" t="str">
        <f>_xlfn.IFS(MouserListTable12[[#This Row],[Supplier]]=FilterSpecs!$A$6, FilterSpecs!$B$6,MouserListTable12[[#This Row],[Supplier]]=FilterSpecs!$A$7,FilterSpecs!$B$7,MouserListTable12[[#This Row],[Supplier]]=FilterSpecs!$A$8,FilterSpecs!$B$8,MouserListTable12[[#This Row],[Supplier]]=FilterSpecs!$A$9,FilterSpecs!$B$9)</f>
        <v>474-</v>
      </c>
      <c r="T4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474-COM-13004</v>
      </c>
      <c r="U48" s="121">
        <v>1</v>
      </c>
      <c r="V48" s="121">
        <v>0</v>
      </c>
      <c r="W48" s="121">
        <v>0</v>
      </c>
      <c r="X48" s="121">
        <f>MouserListTable12[[#This Row],['#/Unit]]*FilterSpecs!$C$3+MouserListTable12[[#This Row],[Extra]]</f>
        <v>5</v>
      </c>
      <c r="Y48" s="121">
        <f>IF(MouserListTable12[[#This Row],[Tag]]=FilterSpecs!$F$7,MouserListTable12[[#This Row],[Price (USD)]],0)</f>
        <v>4.95</v>
      </c>
      <c r="Z48" s="121">
        <f>MouserListTable12[[#This Row],[Tot '#]]*MouserListTable12[[#This Row],[Price (USD)]]</f>
        <v>24.75</v>
      </c>
    </row>
    <row r="49" spans="1:26" s="146" customFormat="1" hidden="1" x14ac:dyDescent="0.3">
      <c r="A49" s="103" t="s">
        <v>894</v>
      </c>
      <c r="B49" s="103" t="s">
        <v>1896</v>
      </c>
      <c r="C49" s="103" t="s">
        <v>8</v>
      </c>
      <c r="D49" s="106" t="str">
        <f>IF(MouserListTable12[[#This Row],[Vendor]]=FilterSpecs!$A$8,MouserListTable12[[#This Row],[Mouser SKU]], MouserListTable12[[#This Row],[SKU2]])</f>
        <v>BOB-10160</v>
      </c>
      <c r="E49" s="121">
        <f>MouserListTable12[[#This Row],[Tot '#]]-MouserListTable12[[#This Row],['# Initial]]</f>
        <v>1</v>
      </c>
      <c r="F49" s="121">
        <f>MouserListTable12[[#This Row],['#/Unit]]*FilterSpecs!$B$3+MouserListTable12[[#This Row],[Extra Initial]]</f>
        <v>0</v>
      </c>
      <c r="G49" s="103" t="s">
        <v>926</v>
      </c>
      <c r="H49" s="103" t="s">
        <v>927</v>
      </c>
      <c r="I49" s="103" t="s">
        <v>928</v>
      </c>
      <c r="J49" s="146">
        <v>1</v>
      </c>
      <c r="K49" s="171">
        <v>19.95</v>
      </c>
      <c r="L49" s="103" t="s">
        <v>1914</v>
      </c>
      <c r="M49" s="106"/>
      <c r="N49" s="171">
        <f>MouserListTable12[[#This Row],['# Initial]]*MouserListTable12[[#This Row],[Price (USD)]]</f>
        <v>0</v>
      </c>
      <c r="O49" s="106" t="s">
        <v>925</v>
      </c>
      <c r="P49" s="103">
        <f t="shared" si="0"/>
        <v>36</v>
      </c>
      <c r="Q49" s="103">
        <f>IF($D49=$O49,1,0)</f>
        <v>1</v>
      </c>
      <c r="R49" s="103" t="s">
        <v>8</v>
      </c>
      <c r="S49" s="103" t="str">
        <f>_xlfn.IFS(MouserListTable12[[#This Row],[Supplier]]=FilterSpecs!$A$6, FilterSpecs!$B$6,MouserListTable12[[#This Row],[Supplier]]=FilterSpecs!$A$7,FilterSpecs!$B$7,MouserListTable12[[#This Row],[Supplier]]=FilterSpecs!$A$8,FilterSpecs!$B$8,MouserListTable12[[#This Row],[Supplier]]=FilterSpecs!$A$9,FilterSpecs!$B$9)</f>
        <v>474-</v>
      </c>
      <c r="T4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474-BOB-10160</v>
      </c>
      <c r="U49" s="121">
        <v>0</v>
      </c>
      <c r="V49" s="121">
        <v>1</v>
      </c>
      <c r="W49" s="121">
        <v>0</v>
      </c>
      <c r="X49" s="121">
        <f>MouserListTable12[[#This Row],['#/Unit]]*FilterSpecs!$C$3+MouserListTable12[[#This Row],[Extra]]</f>
        <v>1</v>
      </c>
      <c r="Y49" s="121">
        <f>IF(MouserListTable12[[#This Row],[Tag]]=FilterSpecs!$F$7,MouserListTable12[[#This Row],[Price (USD)]],0)</f>
        <v>0</v>
      </c>
      <c r="Z49" s="121">
        <f>MouserListTable12[[#This Row],[Tot '#]]*MouserListTable12[[#This Row],[Price (USD)]]</f>
        <v>19.95</v>
      </c>
    </row>
    <row r="50" spans="1:26" s="146" customFormat="1" hidden="1" x14ac:dyDescent="0.3">
      <c r="A50" s="103" t="s">
        <v>894</v>
      </c>
      <c r="B50" s="103" t="s">
        <v>2030</v>
      </c>
      <c r="C50" s="103" t="s">
        <v>8</v>
      </c>
      <c r="D50" s="106" t="str">
        <f>IF(MouserListTable12[[#This Row],[Vendor]]=FilterSpecs!$A$8,MouserListTable12[[#This Row],[Mouser SKU]], MouserListTable12[[#This Row],[SKU2]])</f>
        <v>COM-12014</v>
      </c>
      <c r="E50" s="121">
        <f>MouserListTable12[[#This Row],[Tot '#]]-MouserListTable12[[#This Row],['# Initial]]</f>
        <v>1</v>
      </c>
      <c r="F50" s="121">
        <f>MouserListTable12[[#This Row],['#/Unit]]*FilterSpecs!$B$3+MouserListTable12[[#This Row],[Extra Initial]]</f>
        <v>0</v>
      </c>
      <c r="G50" s="103" t="s">
        <v>1141</v>
      </c>
      <c r="H50" s="103" t="s">
        <v>1142</v>
      </c>
      <c r="I50" s="103" t="s">
        <v>1143</v>
      </c>
      <c r="J50" s="103">
        <v>1</v>
      </c>
      <c r="K50" s="171">
        <v>3.95</v>
      </c>
      <c r="L50" s="103" t="s">
        <v>1910</v>
      </c>
      <c r="M50" s="106"/>
      <c r="N50" s="171">
        <f>MouserListTable12[[#This Row],['# Initial]]*MouserListTable12[[#This Row],[Price (USD)]]</f>
        <v>0</v>
      </c>
      <c r="O50" s="106" t="s">
        <v>1140</v>
      </c>
      <c r="P50" s="103">
        <f t="shared" si="0"/>
        <v>37</v>
      </c>
      <c r="Q50" s="103">
        <f>IF($D50=$O50,1,0)</f>
        <v>1</v>
      </c>
      <c r="R50" s="103" t="s">
        <v>8</v>
      </c>
      <c r="S50" s="103" t="str">
        <f>_xlfn.IFS(MouserListTable12[[#This Row],[Supplier]]=FilterSpecs!$A$6, FilterSpecs!$B$6,MouserListTable12[[#This Row],[Supplier]]=FilterSpecs!$A$7,FilterSpecs!$B$7,MouserListTable12[[#This Row],[Supplier]]=FilterSpecs!$A$8,FilterSpecs!$B$8,MouserListTable12[[#This Row],[Supplier]]=FilterSpecs!$A$9,FilterSpecs!$B$9)</f>
        <v>474-</v>
      </c>
      <c r="T5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474-COM-12014</v>
      </c>
      <c r="U50" s="121">
        <v>0</v>
      </c>
      <c r="V50" s="121">
        <v>1</v>
      </c>
      <c r="W50" s="121">
        <v>0</v>
      </c>
      <c r="X50" s="121">
        <f>MouserListTable12[[#This Row],['#/Unit]]*FilterSpecs!$C$3+MouserListTable12[[#This Row],[Extra]]</f>
        <v>1</v>
      </c>
      <c r="Y50" s="121">
        <f>IF(MouserListTable12[[#This Row],[Tag]]=FilterSpecs!$F$7,MouserListTable12[[#This Row],[Price (USD)]],0)</f>
        <v>0</v>
      </c>
      <c r="Z50" s="121">
        <f>MouserListTable12[[#This Row],[Tot '#]]*MouserListTable12[[#This Row],[Price (USD)]]</f>
        <v>3.95</v>
      </c>
    </row>
    <row r="51" spans="1:26" s="146" customFormat="1" hidden="1" x14ac:dyDescent="0.3">
      <c r="A51" s="103" t="s">
        <v>894</v>
      </c>
      <c r="B51" s="103" t="s">
        <v>2030</v>
      </c>
      <c r="C51" s="103" t="s">
        <v>8</v>
      </c>
      <c r="D51" s="106" t="str">
        <f>IF(MouserListTable12[[#This Row],[Vendor]]=FilterSpecs!$A$8,MouserListTable12[[#This Row],[Mouser SKU]], MouserListTable12[[#This Row],[SKU2]])</f>
        <v>COM-11408</v>
      </c>
      <c r="E51" s="121">
        <f>MouserListTable12[[#This Row],[Tot '#]]-MouserListTable12[[#This Row],['# Initial]]</f>
        <v>1</v>
      </c>
      <c r="F51" s="121">
        <f>MouserListTable12[[#This Row],['#/Unit]]*FilterSpecs!$B$3+MouserListTable12[[#This Row],[Extra Initial]]</f>
        <v>0</v>
      </c>
      <c r="G51" s="103" t="s">
        <v>1730</v>
      </c>
      <c r="H51" s="103" t="s">
        <v>1731</v>
      </c>
      <c r="I51" s="103" t="s">
        <v>1732</v>
      </c>
      <c r="J51" s="103">
        <v>1</v>
      </c>
      <c r="K51" s="171">
        <v>2.95</v>
      </c>
      <c r="L51" s="103" t="s">
        <v>1910</v>
      </c>
      <c r="M51" s="106"/>
      <c r="N51" s="171">
        <f>MouserListTable12[[#This Row],['# Initial]]*MouserListTable12[[#This Row],[Price (USD)]]</f>
        <v>0</v>
      </c>
      <c r="O51" s="106" t="s">
        <v>1729</v>
      </c>
      <c r="P51" s="103">
        <f t="shared" si="0"/>
        <v>38</v>
      </c>
      <c r="Q51" s="103">
        <f>IF($D51=$O51,1,0)</f>
        <v>1</v>
      </c>
      <c r="R51" s="103" t="s">
        <v>8</v>
      </c>
      <c r="S51" s="103" t="str">
        <f>_xlfn.IFS(MouserListTable12[[#This Row],[Supplier]]=FilterSpecs!$A$6, FilterSpecs!$B$6,MouserListTable12[[#This Row],[Supplier]]=FilterSpecs!$A$7,FilterSpecs!$B$7,MouserListTable12[[#This Row],[Supplier]]=FilterSpecs!$A$8,FilterSpecs!$B$8,MouserListTable12[[#This Row],[Supplier]]=FilterSpecs!$A$9,FilterSpecs!$B$9)</f>
        <v>474-</v>
      </c>
      <c r="T5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474-COM-11408</v>
      </c>
      <c r="U51" s="121">
        <v>0</v>
      </c>
      <c r="V51" s="121">
        <v>1</v>
      </c>
      <c r="W51" s="121">
        <v>0</v>
      </c>
      <c r="X51" s="121">
        <f>MouserListTable12[[#This Row],['#/Unit]]*FilterSpecs!$C$3+MouserListTable12[[#This Row],[Extra]]</f>
        <v>1</v>
      </c>
      <c r="Y51" s="121">
        <f>IF(MouserListTable12[[#This Row],[Tag]]=FilterSpecs!$F$7,MouserListTable12[[#This Row],[Price (USD)]],0)</f>
        <v>0</v>
      </c>
      <c r="Z51" s="121">
        <f>MouserListTable12[[#This Row],[Tot '#]]*MouserListTable12[[#This Row],[Price (USD)]]</f>
        <v>2.95</v>
      </c>
    </row>
    <row r="52" spans="1:26" s="146" customFormat="1" hidden="1" x14ac:dyDescent="0.3">
      <c r="A52" s="103" t="s">
        <v>894</v>
      </c>
      <c r="B52" s="103" t="s">
        <v>2030</v>
      </c>
      <c r="C52" s="103" t="s">
        <v>8</v>
      </c>
      <c r="D52" s="106" t="str">
        <f>IF(MouserListTable12[[#This Row],[Vendor]]=FilterSpecs!$A$8,MouserListTable12[[#This Row],[Mouser SKU]], MouserListTable12[[#This Row],[SKU2]])</f>
        <v>COM-13999</v>
      </c>
      <c r="E52" s="121">
        <f>MouserListTable12[[#This Row],[Tot '#]]-MouserListTable12[[#This Row],['# Initial]]</f>
        <v>1</v>
      </c>
      <c r="F52" s="121">
        <f>MouserListTable12[[#This Row],['#/Unit]]*FilterSpecs!$B$3+MouserListTable12[[#This Row],[Extra Initial]]</f>
        <v>0</v>
      </c>
      <c r="G52" s="103" t="s">
        <v>1674</v>
      </c>
      <c r="H52" s="103" t="s">
        <v>1675</v>
      </c>
      <c r="I52" s="103" t="s">
        <v>1676</v>
      </c>
      <c r="J52" s="103"/>
      <c r="K52" s="171">
        <v>3.95</v>
      </c>
      <c r="L52" s="103" t="s">
        <v>1913</v>
      </c>
      <c r="M52" s="106"/>
      <c r="N52" s="171">
        <f>MouserListTable12[[#This Row],['# Initial]]*MouserListTable12[[#This Row],[Price (USD)]]</f>
        <v>0</v>
      </c>
      <c r="O52" s="106" t="s">
        <v>1673</v>
      </c>
      <c r="P52" s="103">
        <f t="shared" si="0"/>
        <v>39</v>
      </c>
      <c r="Q52" s="103">
        <f>IF($D52=$O52,1,0)</f>
        <v>1</v>
      </c>
      <c r="R52" s="103" t="s">
        <v>8</v>
      </c>
      <c r="S52" s="103" t="str">
        <f>_xlfn.IFS(MouserListTable12[[#This Row],[Supplier]]=FilterSpecs!$A$6, FilterSpecs!$B$6,MouserListTable12[[#This Row],[Supplier]]=FilterSpecs!$A$7,FilterSpecs!$B$7,MouserListTable12[[#This Row],[Supplier]]=FilterSpecs!$A$8,FilterSpecs!$B$8,MouserListTable12[[#This Row],[Supplier]]=FilterSpecs!$A$9,FilterSpecs!$B$9)</f>
        <v>474-</v>
      </c>
      <c r="T5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474-COM-13999</v>
      </c>
      <c r="U52" s="121">
        <v>0</v>
      </c>
      <c r="V52" s="121">
        <v>1</v>
      </c>
      <c r="W52" s="121">
        <v>0</v>
      </c>
      <c r="X52" s="121">
        <f>MouserListTable12[[#This Row],['#/Unit]]*FilterSpecs!$C$3+MouserListTable12[[#This Row],[Extra]]</f>
        <v>1</v>
      </c>
      <c r="Y52" s="121">
        <f>IF(MouserListTable12[[#This Row],[Tag]]=FilterSpecs!$F$7,MouserListTable12[[#This Row],[Price (USD)]],0)</f>
        <v>0</v>
      </c>
      <c r="Z52" s="121">
        <f>MouserListTable12[[#This Row],[Tot '#]]*MouserListTable12[[#This Row],[Price (USD)]]</f>
        <v>3.95</v>
      </c>
    </row>
    <row r="53" spans="1:26" s="146" customFormat="1" x14ac:dyDescent="0.3">
      <c r="A53" s="103" t="s">
        <v>894</v>
      </c>
      <c r="B53" s="103" t="s">
        <v>2030</v>
      </c>
      <c r="C53" s="103" t="s">
        <v>8</v>
      </c>
      <c r="D53" s="106" t="str">
        <f>IF(MouserListTable12[[#This Row],[Vendor]]=FilterSpecs!$A$8,MouserListTable12[[#This Row],[Mouser SKU]], MouserListTable12[[#This Row],[SKU2]])</f>
        <v>COM-09938</v>
      </c>
      <c r="E53" s="121">
        <f>MouserListTable12[[#This Row],[Tot '#]]-MouserListTable12[[#This Row],['# Initial]]</f>
        <v>0</v>
      </c>
      <c r="F53" s="121">
        <f>MouserListTable12[[#This Row],['#/Unit]]*FilterSpecs!$B$3+MouserListTable12[[#This Row],[Extra Initial]]</f>
        <v>10</v>
      </c>
      <c r="G53" s="103" t="s">
        <v>1446</v>
      </c>
      <c r="H53" s="103" t="s">
        <v>1447</v>
      </c>
      <c r="I53" s="103" t="s">
        <v>1448</v>
      </c>
      <c r="J53" s="103">
        <v>1</v>
      </c>
      <c r="K53" s="171">
        <v>1.95</v>
      </c>
      <c r="L53" s="103" t="s">
        <v>1911</v>
      </c>
      <c r="M53" s="106"/>
      <c r="N53" s="171">
        <f>MouserListTable12[[#This Row],['# Initial]]*MouserListTable12[[#This Row],[Price (USD)]]</f>
        <v>19.5</v>
      </c>
      <c r="O53" s="106" t="s">
        <v>1445</v>
      </c>
      <c r="P53" s="103">
        <f t="shared" si="0"/>
        <v>40</v>
      </c>
      <c r="Q53" s="103">
        <f>IF($D53=$O53,1,0)</f>
        <v>1</v>
      </c>
      <c r="R53" s="103" t="s">
        <v>8</v>
      </c>
      <c r="S53" s="103" t="str">
        <f>_xlfn.IFS(MouserListTable12[[#This Row],[Supplier]]=FilterSpecs!$A$6, FilterSpecs!$B$6,MouserListTable12[[#This Row],[Supplier]]=FilterSpecs!$A$7,FilterSpecs!$B$7,MouserListTable12[[#This Row],[Supplier]]=FilterSpecs!$A$8,FilterSpecs!$B$8,MouserListTable12[[#This Row],[Supplier]]=FilterSpecs!$A$9,FilterSpecs!$B$9)</f>
        <v>474-</v>
      </c>
      <c r="T5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474-COM-09938</v>
      </c>
      <c r="U53" s="121">
        <v>2</v>
      </c>
      <c r="V53" s="121">
        <v>0</v>
      </c>
      <c r="W53" s="121">
        <v>0</v>
      </c>
      <c r="X53" s="121">
        <f>MouserListTable12[[#This Row],['#/Unit]]*FilterSpecs!$C$3+MouserListTable12[[#This Row],[Extra]]</f>
        <v>10</v>
      </c>
      <c r="Y53" s="121">
        <f>IF(MouserListTable12[[#This Row],[Tag]]=FilterSpecs!$F$7,MouserListTable12[[#This Row],[Price (USD)]],0)</f>
        <v>1.95</v>
      </c>
      <c r="Z53" s="121">
        <f>MouserListTable12[[#This Row],[Tot '#]]*MouserListTable12[[#This Row],[Price (USD)]]</f>
        <v>19.5</v>
      </c>
    </row>
    <row r="54" spans="1:26" s="146" customFormat="1" hidden="1" x14ac:dyDescent="0.3">
      <c r="A54" s="103" t="s">
        <v>894</v>
      </c>
      <c r="B54" s="103" t="s">
        <v>2030</v>
      </c>
      <c r="C54" s="103" t="s">
        <v>8</v>
      </c>
      <c r="D54" s="106" t="str">
        <f>IF(MouserListTable12[[#This Row],[Vendor]]=FilterSpecs!$A$8,MouserListTable12[[#This Row],[Mouser SKU]], MouserListTable12[[#This Row],[SKU2]])</f>
        <v>BOB-13282</v>
      </c>
      <c r="E54" s="121">
        <f>MouserListTable12[[#This Row],[Tot '#]]-MouserListTable12[[#This Row],['# Initial]]</f>
        <v>2</v>
      </c>
      <c r="F54" s="121">
        <f>MouserListTable12[[#This Row],['#/Unit]]*FilterSpecs!$B$3+MouserListTable12[[#This Row],[Extra Initial]]</f>
        <v>0</v>
      </c>
      <c r="G54" s="103" t="s">
        <v>1137</v>
      </c>
      <c r="H54" s="103" t="s">
        <v>1138</v>
      </c>
      <c r="I54" s="103" t="s">
        <v>1139</v>
      </c>
      <c r="J54" s="103">
        <v>1</v>
      </c>
      <c r="K54" s="171">
        <v>2.95</v>
      </c>
      <c r="L54" s="103" t="s">
        <v>1910</v>
      </c>
      <c r="M54" s="106"/>
      <c r="N54" s="171">
        <f>MouserListTable12[[#This Row],['# Initial]]*MouserListTable12[[#This Row],[Price (USD)]]</f>
        <v>0</v>
      </c>
      <c r="O54" s="106" t="s">
        <v>1136</v>
      </c>
      <c r="P54" s="103">
        <f t="shared" si="0"/>
        <v>41</v>
      </c>
      <c r="Q54" s="103">
        <f>IF($D54=$O54,1,0)</f>
        <v>1</v>
      </c>
      <c r="R54" s="103" t="s">
        <v>8</v>
      </c>
      <c r="S54" s="103" t="str">
        <f>_xlfn.IFS(MouserListTable12[[#This Row],[Supplier]]=FilterSpecs!$A$6, FilterSpecs!$B$6,MouserListTable12[[#This Row],[Supplier]]=FilterSpecs!$A$7,FilterSpecs!$B$7,MouserListTable12[[#This Row],[Supplier]]=FilterSpecs!$A$8,FilterSpecs!$B$8,MouserListTable12[[#This Row],[Supplier]]=FilterSpecs!$A$9,FilterSpecs!$B$9)</f>
        <v>474-</v>
      </c>
      <c r="T5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474-BOB-13282</v>
      </c>
      <c r="U54" s="121">
        <v>0</v>
      </c>
      <c r="V54" s="121">
        <v>2</v>
      </c>
      <c r="W54" s="121">
        <v>0</v>
      </c>
      <c r="X54" s="121">
        <f>MouserListTable12[[#This Row],['#/Unit]]*FilterSpecs!$C$3+MouserListTable12[[#This Row],[Extra]]</f>
        <v>2</v>
      </c>
      <c r="Y54" s="121">
        <f>IF(MouserListTable12[[#This Row],[Tag]]=FilterSpecs!$F$7,MouserListTable12[[#This Row],[Price (USD)]],0)</f>
        <v>0</v>
      </c>
      <c r="Z54" s="121">
        <f>MouserListTable12[[#This Row],[Tot '#]]*MouserListTable12[[#This Row],[Price (USD)]]</f>
        <v>5.9</v>
      </c>
    </row>
    <row r="55" spans="1:26" s="146" customFormat="1" x14ac:dyDescent="0.3">
      <c r="A55" s="103" t="s">
        <v>894</v>
      </c>
      <c r="B55" s="103" t="s">
        <v>2030</v>
      </c>
      <c r="C55" s="103" t="s">
        <v>8</v>
      </c>
      <c r="D55" s="106" t="str">
        <f>IF(MouserListTable12[[#This Row],[Vendor]]=FilterSpecs!$A$8,MouserListTable12[[#This Row],[Mouser SKU]], MouserListTable12[[#This Row],[SKU2]])</f>
        <v>BOB-13884</v>
      </c>
      <c r="E55" s="121">
        <f>MouserListTable12[[#This Row],[Tot '#]]-MouserListTable12[[#This Row],['# Initial]]</f>
        <v>0</v>
      </c>
      <c r="F55" s="121">
        <f>MouserListTable12[[#This Row],['#/Unit]]*FilterSpecs!$B$3+MouserListTable12[[#This Row],[Extra Initial]]</f>
        <v>5</v>
      </c>
      <c r="G55" s="103" t="s">
        <v>1133</v>
      </c>
      <c r="H55" s="103" t="s">
        <v>1134</v>
      </c>
      <c r="I55" s="103" t="s">
        <v>1135</v>
      </c>
      <c r="J55" s="103">
        <v>1</v>
      </c>
      <c r="K55" s="171">
        <v>7.95</v>
      </c>
      <c r="L55" s="103" t="s">
        <v>1911</v>
      </c>
      <c r="M55" s="106"/>
      <c r="N55" s="171">
        <f>MouserListTable12[[#This Row],['# Initial]]*MouserListTable12[[#This Row],[Price (USD)]]</f>
        <v>39.75</v>
      </c>
      <c r="O55" s="106" t="s">
        <v>1132</v>
      </c>
      <c r="P55" s="103">
        <f t="shared" si="0"/>
        <v>42</v>
      </c>
      <c r="Q55" s="103">
        <f>IF($D55=$O55,1,0)</f>
        <v>1</v>
      </c>
      <c r="R55" s="103" t="s">
        <v>8</v>
      </c>
      <c r="S55" s="103" t="str">
        <f>_xlfn.IFS(MouserListTable12[[#This Row],[Supplier]]=FilterSpecs!$A$6, FilterSpecs!$B$6,MouserListTable12[[#This Row],[Supplier]]=FilterSpecs!$A$7,FilterSpecs!$B$7,MouserListTable12[[#This Row],[Supplier]]=FilterSpecs!$A$8,FilterSpecs!$B$8,MouserListTable12[[#This Row],[Supplier]]=FilterSpecs!$A$9,FilterSpecs!$B$9)</f>
        <v>474-</v>
      </c>
      <c r="T5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474-BOB-13884</v>
      </c>
      <c r="U55" s="121">
        <v>1</v>
      </c>
      <c r="V55" s="121">
        <v>0</v>
      </c>
      <c r="W55" s="121">
        <v>0</v>
      </c>
      <c r="X55" s="121">
        <f>MouserListTable12[[#This Row],['#/Unit]]*FilterSpecs!$C$3+MouserListTable12[[#This Row],[Extra]]</f>
        <v>5</v>
      </c>
      <c r="Y55" s="121">
        <f>IF(MouserListTable12[[#This Row],[Tag]]=FilterSpecs!$F$7,MouserListTable12[[#This Row],[Price (USD)]],0)</f>
        <v>7.95</v>
      </c>
      <c r="Z55" s="121">
        <f>MouserListTable12[[#This Row],[Tot '#]]*MouserListTable12[[#This Row],[Price (USD)]]</f>
        <v>39.75</v>
      </c>
    </row>
    <row r="56" spans="1:26" s="146" customFormat="1" hidden="1" x14ac:dyDescent="0.3">
      <c r="A56" s="103" t="s">
        <v>894</v>
      </c>
      <c r="B56" s="103" t="s">
        <v>2030</v>
      </c>
      <c r="C56" s="103" t="s">
        <v>8</v>
      </c>
      <c r="D56" s="106" t="str">
        <f>IF(MouserListTable12[[#This Row],[Vendor]]=FilterSpecs!$A$8,MouserListTable12[[#This Row],[Mouser SKU]], MouserListTable12[[#This Row],[SKU2]])</f>
        <v>COM-12661</v>
      </c>
      <c r="E56" s="121">
        <f>MouserListTable12[[#This Row],[Tot '#]]-MouserListTable12[[#This Row],['# Initial]]</f>
        <v>1</v>
      </c>
      <c r="F56" s="121">
        <f>MouserListTable12[[#This Row],['#/Unit]]*FilterSpecs!$B$3+MouserListTable12[[#This Row],[Extra Initial]]</f>
        <v>0</v>
      </c>
      <c r="G56" s="103" t="s">
        <v>121</v>
      </c>
      <c r="H56" s="103" t="s">
        <v>122</v>
      </c>
      <c r="I56" s="103" t="s">
        <v>123</v>
      </c>
      <c r="J56" s="103">
        <v>1</v>
      </c>
      <c r="K56" s="171">
        <v>5.95</v>
      </c>
      <c r="L56" s="103" t="s">
        <v>1910</v>
      </c>
      <c r="M56" s="106"/>
      <c r="N56" s="171">
        <f>MouserListTable12[[#This Row],['# Initial]]*MouserListTable12[[#This Row],[Price (USD)]]</f>
        <v>0</v>
      </c>
      <c r="O56" s="106" t="s">
        <v>120</v>
      </c>
      <c r="P56" s="103">
        <f t="shared" si="0"/>
        <v>43</v>
      </c>
      <c r="Q56" s="103">
        <f>IF($D56=$O56,1,0)</f>
        <v>1</v>
      </c>
      <c r="R56" s="103" t="s">
        <v>8</v>
      </c>
      <c r="S56" s="103" t="str">
        <f>_xlfn.IFS(MouserListTable12[[#This Row],[Supplier]]=FilterSpecs!$A$6, FilterSpecs!$B$6,MouserListTable12[[#This Row],[Supplier]]=FilterSpecs!$A$7,FilterSpecs!$B$7,MouserListTable12[[#This Row],[Supplier]]=FilterSpecs!$A$8,FilterSpecs!$B$8,MouserListTable12[[#This Row],[Supplier]]=FilterSpecs!$A$9,FilterSpecs!$B$9)</f>
        <v>474-</v>
      </c>
      <c r="T5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474-COM-12661</v>
      </c>
      <c r="U56" s="121">
        <v>0</v>
      </c>
      <c r="V56" s="121">
        <v>1</v>
      </c>
      <c r="W56" s="121">
        <v>0</v>
      </c>
      <c r="X56" s="121">
        <f>MouserListTable12[[#This Row],['#/Unit]]*FilterSpecs!$C$3+MouserListTable12[[#This Row],[Extra]]</f>
        <v>1</v>
      </c>
      <c r="Y56" s="121">
        <f>IF(MouserListTable12[[#This Row],[Tag]]=FilterSpecs!$F$7,MouserListTable12[[#This Row],[Price (USD)]],0)</f>
        <v>0</v>
      </c>
      <c r="Z56" s="121">
        <f>MouserListTable12[[#This Row],[Tot '#]]*MouserListTable12[[#This Row],[Price (USD)]]</f>
        <v>5.95</v>
      </c>
    </row>
    <row r="57" spans="1:26" s="146" customFormat="1" hidden="1" x14ac:dyDescent="0.3">
      <c r="A57" s="103" t="s">
        <v>894</v>
      </c>
      <c r="B57" s="103" t="s">
        <v>2030</v>
      </c>
      <c r="C57" s="103" t="s">
        <v>8</v>
      </c>
      <c r="D57" s="106" t="str">
        <f>IF(MouserListTable12[[#This Row],[Vendor]]=FilterSpecs!$A$8,MouserListTable12[[#This Row],[Mouser SKU]], MouserListTable12[[#This Row],[SKU2]])</f>
        <v>COM-09637</v>
      </c>
      <c r="E57" s="121">
        <f>MouserListTable12[[#This Row],[Tot '#]]-MouserListTable12[[#This Row],['# Initial]]</f>
        <v>3</v>
      </c>
      <c r="F57" s="121">
        <f>MouserListTable12[[#This Row],['#/Unit]]*FilterSpecs!$B$3+MouserListTable12[[#This Row],[Extra Initial]]</f>
        <v>0</v>
      </c>
      <c r="G57" s="103" t="s">
        <v>125</v>
      </c>
      <c r="H57" s="103" t="s">
        <v>126</v>
      </c>
      <c r="I57" s="103" t="s">
        <v>127</v>
      </c>
      <c r="J57" s="103">
        <v>1</v>
      </c>
      <c r="K57" s="171">
        <v>4.95</v>
      </c>
      <c r="L57" s="103" t="s">
        <v>1910</v>
      </c>
      <c r="M57" s="106"/>
      <c r="N57" s="171">
        <f>MouserListTable12[[#This Row],['# Initial]]*MouserListTable12[[#This Row],[Price (USD)]]</f>
        <v>0</v>
      </c>
      <c r="O57" s="106" t="s">
        <v>124</v>
      </c>
      <c r="P57" s="103">
        <f t="shared" si="0"/>
        <v>44</v>
      </c>
      <c r="Q57" s="103">
        <f>IF($D57=$O57,1,0)</f>
        <v>1</v>
      </c>
      <c r="R57" s="103" t="s">
        <v>8</v>
      </c>
      <c r="S57" s="103" t="str">
        <f>_xlfn.IFS(MouserListTable12[[#This Row],[Supplier]]=FilterSpecs!$A$6, FilterSpecs!$B$6,MouserListTable12[[#This Row],[Supplier]]=FilterSpecs!$A$7,FilterSpecs!$B$7,MouserListTable12[[#This Row],[Supplier]]=FilterSpecs!$A$8,FilterSpecs!$B$8,MouserListTable12[[#This Row],[Supplier]]=FilterSpecs!$A$9,FilterSpecs!$B$9)</f>
        <v>474-</v>
      </c>
      <c r="T5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474-COM-09637</v>
      </c>
      <c r="U57" s="121">
        <v>0</v>
      </c>
      <c r="V57" s="121">
        <v>3</v>
      </c>
      <c r="W57" s="121">
        <v>0</v>
      </c>
      <c r="X57" s="121">
        <f>MouserListTable12[[#This Row],['#/Unit]]*FilterSpecs!$C$3+MouserListTable12[[#This Row],[Extra]]</f>
        <v>3</v>
      </c>
      <c r="Y57" s="121">
        <f>IF(MouserListTable12[[#This Row],[Tag]]=FilterSpecs!$F$7,MouserListTable12[[#This Row],[Price (USD)]],0)</f>
        <v>0</v>
      </c>
      <c r="Z57" s="121">
        <f>MouserListTable12[[#This Row],[Tot '#]]*MouserListTable12[[#This Row],[Price (USD)]]</f>
        <v>14.850000000000001</v>
      </c>
    </row>
    <row r="58" spans="1:26" s="146" customFormat="1" hidden="1" x14ac:dyDescent="0.3">
      <c r="A58" s="103" t="s">
        <v>894</v>
      </c>
      <c r="B58" s="103" t="s">
        <v>2030</v>
      </c>
      <c r="C58" s="103" t="s">
        <v>1898</v>
      </c>
      <c r="D58" s="106" t="str">
        <f>IF(MouserListTable12[[#This Row],[Vendor]]=FilterSpecs!$A$8,MouserListTable12[[#This Row],[Mouser SKU]], MouserListTable12[[#This Row],[SKU2]])</f>
        <v>1621</v>
      </c>
      <c r="E58" s="121">
        <f>MouserListTable12[[#This Row],[Tot '#]]-MouserListTable12[[#This Row],['# Initial]]</f>
        <v>0</v>
      </c>
      <c r="F58" s="121">
        <f>MouserListTable12[[#This Row],['#/Unit]]*FilterSpecs!$B$3+MouserListTable12[[#This Row],[Extra Initial]]</f>
        <v>0</v>
      </c>
      <c r="G58" s="103"/>
      <c r="H58" s="103"/>
      <c r="I58" s="126" t="s">
        <v>2345</v>
      </c>
      <c r="K58" s="172">
        <v>2.95</v>
      </c>
      <c r="L58" s="126" t="s">
        <v>1910</v>
      </c>
      <c r="N58" s="171">
        <f>MouserListTable12[[#This Row],['# Initial]]*MouserListTable12[[#This Row],[Price (USD)]]</f>
        <v>0</v>
      </c>
      <c r="O58" s="106" t="s">
        <v>2344</v>
      </c>
      <c r="P58" s="103">
        <f t="shared" si="0"/>
        <v>45</v>
      </c>
      <c r="Q58" s="103">
        <f>IF($D58=$O58,1,0)</f>
        <v>1</v>
      </c>
      <c r="R58" s="103" t="s">
        <v>1898</v>
      </c>
      <c r="S58" s="103" t="str">
        <f>_xlfn.IFS(MouserListTable12[[#This Row],[Supplier]]=FilterSpecs!$A$6, FilterSpecs!$B$6,MouserListTable12[[#This Row],[Supplier]]=FilterSpecs!$A$7,FilterSpecs!$B$7,MouserListTable12[[#This Row],[Supplier]]=FilterSpecs!$A$8,FilterSpecs!$B$8,MouserListTable12[[#This Row],[Supplier]]=FilterSpecs!$A$9,FilterSpecs!$B$9)</f>
        <v>485-</v>
      </c>
      <c r="T5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485-1621</v>
      </c>
      <c r="U58" s="121">
        <v>0</v>
      </c>
      <c r="V58" s="121">
        <v>0</v>
      </c>
      <c r="W58" s="121">
        <v>0</v>
      </c>
      <c r="X58" s="121">
        <f>MouserListTable12[[#This Row],['#/Unit]]*FilterSpecs!$C$3+MouserListTable12[[#This Row],[Extra]]</f>
        <v>0</v>
      </c>
      <c r="Y58" s="121">
        <f>IF(MouserListTable12[[#This Row],[Tag]]=FilterSpecs!$F$7,MouserListTable12[[#This Row],[Price (USD)]],0)</f>
        <v>0</v>
      </c>
      <c r="Z58" s="121">
        <f>MouserListTable12[[#This Row],[Tot '#]]*MouserListTable12[[#This Row],[Price (USD)]]</f>
        <v>0</v>
      </c>
    </row>
    <row r="59" spans="1:26" s="146" customFormat="1" hidden="1" x14ac:dyDescent="0.3">
      <c r="A59" s="103" t="s">
        <v>894</v>
      </c>
      <c r="B59" s="103" t="s">
        <v>2030</v>
      </c>
      <c r="C59" s="103" t="s">
        <v>1898</v>
      </c>
      <c r="D59" s="106" t="str">
        <f>IF(MouserListTable12[[#This Row],[Vendor]]=FilterSpecs!$A$8,MouserListTable12[[#This Row],[Mouser SKU]], MouserListTable12[[#This Row],[SKU2]])</f>
        <v>1622</v>
      </c>
      <c r="E59" s="121">
        <f>MouserListTable12[[#This Row],[Tot '#]]-MouserListTable12[[#This Row],['# Initial]]</f>
        <v>0</v>
      </c>
      <c r="F59" s="121">
        <f>MouserListTable12[[#This Row],['#/Unit]]*FilterSpecs!$B$3+MouserListTable12[[#This Row],[Extra Initial]]</f>
        <v>0</v>
      </c>
      <c r="G59" s="103"/>
      <c r="H59" s="103"/>
      <c r="I59" s="126" t="s">
        <v>2347</v>
      </c>
      <c r="K59" s="172">
        <v>2.5</v>
      </c>
      <c r="L59" s="126" t="s">
        <v>1910</v>
      </c>
      <c r="N59" s="171">
        <f>MouserListTable12[[#This Row],['# Initial]]*MouserListTable12[[#This Row],[Price (USD)]]</f>
        <v>0</v>
      </c>
      <c r="O59" s="106" t="s">
        <v>2346</v>
      </c>
      <c r="P59" s="103">
        <f t="shared" si="0"/>
        <v>46</v>
      </c>
      <c r="Q59" s="103">
        <f>IF($D59=$O59,1,0)</f>
        <v>1</v>
      </c>
      <c r="R59" s="103" t="s">
        <v>1898</v>
      </c>
      <c r="S59" s="103" t="str">
        <f>_xlfn.IFS(MouserListTable12[[#This Row],[Supplier]]=FilterSpecs!$A$6, FilterSpecs!$B$6,MouserListTable12[[#This Row],[Supplier]]=FilterSpecs!$A$7,FilterSpecs!$B$7,MouserListTable12[[#This Row],[Supplier]]=FilterSpecs!$A$8,FilterSpecs!$B$8,MouserListTable12[[#This Row],[Supplier]]=FilterSpecs!$A$9,FilterSpecs!$B$9)</f>
        <v>485-</v>
      </c>
      <c r="T5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485-1622</v>
      </c>
      <c r="U59" s="121">
        <v>0</v>
      </c>
      <c r="V59" s="121">
        <v>0</v>
      </c>
      <c r="W59" s="121">
        <v>0</v>
      </c>
      <c r="X59" s="121">
        <f>MouserListTable12[[#This Row],['#/Unit]]*FilterSpecs!$C$3+MouserListTable12[[#This Row],[Extra]]</f>
        <v>0</v>
      </c>
      <c r="Y59" s="121">
        <f>IF(MouserListTable12[[#This Row],[Tag]]=FilterSpecs!$F$7,MouserListTable12[[#This Row],[Price (USD)]],0)</f>
        <v>0</v>
      </c>
      <c r="Z59" s="121">
        <f>MouserListTable12[[#This Row],[Tot '#]]*MouserListTable12[[#This Row],[Price (USD)]]</f>
        <v>0</v>
      </c>
    </row>
    <row r="60" spans="1:26" s="146" customFormat="1" x14ac:dyDescent="0.3">
      <c r="A60" s="103" t="s">
        <v>894</v>
      </c>
      <c r="B60" s="103" t="s">
        <v>1616</v>
      </c>
      <c r="C60" s="103" t="s">
        <v>8</v>
      </c>
      <c r="D60" s="106" t="str">
        <f>IF(MouserListTable12[[#This Row],[Vendor]]=FilterSpecs!$A$8,MouserListTable12[[#This Row],[Mouser SKU]], MouserListTable12[[#This Row],[SKU2]])</f>
        <v>DEV-11061</v>
      </c>
      <c r="E60" s="121">
        <f>MouserListTable12[[#This Row],[Tot '#]]-MouserListTable12[[#This Row],['# Initial]]</f>
        <v>0</v>
      </c>
      <c r="F60" s="121">
        <f>MouserListTable12[[#This Row],['#/Unit]]*FilterSpecs!$B$3+MouserListTable12[[#This Row],[Extra Initial]]</f>
        <v>5</v>
      </c>
      <c r="G60" s="103" t="s">
        <v>33</v>
      </c>
      <c r="H60" s="103" t="s">
        <v>34</v>
      </c>
      <c r="I60" s="103" t="s">
        <v>35</v>
      </c>
      <c r="J60" s="103">
        <v>1</v>
      </c>
      <c r="K60" s="171">
        <v>45.95</v>
      </c>
      <c r="L60" s="103" t="s">
        <v>1911</v>
      </c>
      <c r="M60" s="106"/>
      <c r="N60" s="171">
        <f>MouserListTable12[[#This Row],['# Initial]]*MouserListTable12[[#This Row],[Price (USD)]]</f>
        <v>229.75</v>
      </c>
      <c r="O60" s="106" t="s">
        <v>32</v>
      </c>
      <c r="P60" s="103">
        <f t="shared" si="0"/>
        <v>47</v>
      </c>
      <c r="Q60" s="103">
        <f>IF($D60=$O60,1,0)</f>
        <v>1</v>
      </c>
      <c r="R60" s="103" t="s">
        <v>8</v>
      </c>
      <c r="S60" s="103" t="str">
        <f>_xlfn.IFS(MouserListTable12[[#This Row],[Supplier]]=FilterSpecs!$A$6, FilterSpecs!$B$6,MouserListTable12[[#This Row],[Supplier]]=FilterSpecs!$A$7,FilterSpecs!$B$7,MouserListTable12[[#This Row],[Supplier]]=FilterSpecs!$A$8,FilterSpecs!$B$8,MouserListTable12[[#This Row],[Supplier]]=FilterSpecs!$A$9,FilterSpecs!$B$9)</f>
        <v>474-</v>
      </c>
      <c r="T6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474-DEV-11061</v>
      </c>
      <c r="U60" s="121">
        <v>1</v>
      </c>
      <c r="V60" s="121">
        <v>0</v>
      </c>
      <c r="W60" s="121">
        <v>0</v>
      </c>
      <c r="X60" s="121">
        <f>MouserListTable12[[#This Row],['#/Unit]]*FilterSpecs!$C$3+MouserListTable12[[#This Row],[Extra]]</f>
        <v>5</v>
      </c>
      <c r="Y60" s="121">
        <f>IF(MouserListTable12[[#This Row],[Tag]]=FilterSpecs!$F$7,MouserListTable12[[#This Row],[Price (USD)]],0)</f>
        <v>45.95</v>
      </c>
      <c r="Z60" s="121">
        <f>MouserListTable12[[#This Row],[Tot '#]]*MouserListTable12[[#This Row],[Price (USD)]]</f>
        <v>229.75</v>
      </c>
    </row>
    <row r="61" spans="1:26" s="146" customFormat="1" hidden="1" x14ac:dyDescent="0.3">
      <c r="A61" s="126" t="s">
        <v>894</v>
      </c>
      <c r="B61" s="126" t="s">
        <v>2039</v>
      </c>
      <c r="C61" s="126" t="s">
        <v>8</v>
      </c>
      <c r="D61" s="106" t="str">
        <f>IF(MouserListTable12[[#This Row],[Vendor]]=FilterSpecs!$A$8,MouserListTable12[[#This Row],[Mouser SKU]], MouserListTable12[[#This Row],[SKU2]])</f>
        <v>TOL-12889</v>
      </c>
      <c r="E61" s="121">
        <f>MouserListTable12[[#This Row],[Tot '#]]-MouserListTable12[[#This Row],['# Initial]]</f>
        <v>0</v>
      </c>
      <c r="F61" s="121">
        <f>MouserListTable12[[#This Row],['#/Unit]]*FilterSpecs!$B$3+MouserListTable12[[#This Row],[Extra Initial]]</f>
        <v>0</v>
      </c>
      <c r="G61" s="103" t="s">
        <v>792</v>
      </c>
      <c r="H61" s="103" t="s">
        <v>793</v>
      </c>
      <c r="I61" s="103" t="s">
        <v>794</v>
      </c>
      <c r="J61" s="103">
        <v>1</v>
      </c>
      <c r="K61" s="171">
        <v>5.95</v>
      </c>
      <c r="L61" s="103" t="s">
        <v>1911</v>
      </c>
      <c r="N61" s="171">
        <f>MouserListTable12[[#This Row],['# Initial]]*MouserListTable12[[#This Row],[Price (USD)]]</f>
        <v>0</v>
      </c>
      <c r="O61" s="106" t="s">
        <v>791</v>
      </c>
      <c r="P61" s="103">
        <f t="shared" si="0"/>
        <v>48</v>
      </c>
      <c r="Q61" s="103">
        <f>IF($D61=$O61,1,0)</f>
        <v>1</v>
      </c>
      <c r="R61" s="103" t="s">
        <v>8</v>
      </c>
      <c r="S61" s="103" t="str">
        <f>_xlfn.IFS(MouserListTable12[[#This Row],[Supplier]]=FilterSpecs!$A$6, FilterSpecs!$B$6,MouserListTable12[[#This Row],[Supplier]]=FilterSpecs!$A$7,FilterSpecs!$B$7,MouserListTable12[[#This Row],[Supplier]]=FilterSpecs!$A$8,FilterSpecs!$B$8,MouserListTable12[[#This Row],[Supplier]]=FilterSpecs!$A$9,FilterSpecs!$B$9)</f>
        <v>474-</v>
      </c>
      <c r="T6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474-TOL-12889</v>
      </c>
      <c r="U61" s="121">
        <v>0</v>
      </c>
      <c r="V61" s="121">
        <v>0</v>
      </c>
      <c r="W61" s="121">
        <v>0</v>
      </c>
      <c r="X61" s="121">
        <f>MouserListTable12[[#This Row],['#/Unit]]*FilterSpecs!$C$3+MouserListTable12[[#This Row],[Extra]]</f>
        <v>0</v>
      </c>
      <c r="Y61" s="121">
        <f>IF(MouserListTable12[[#This Row],[Tag]]=FilterSpecs!$F$7,MouserListTable12[[#This Row],[Price (USD)]],0)</f>
        <v>5.95</v>
      </c>
      <c r="Z61" s="121">
        <f>MouserListTable12[[#This Row],[Tot '#]]*MouserListTable12[[#This Row],[Price (USD)]]</f>
        <v>0</v>
      </c>
    </row>
    <row r="62" spans="1:26" s="146" customFormat="1" hidden="1" x14ac:dyDescent="0.3">
      <c r="A62" s="126" t="s">
        <v>894</v>
      </c>
      <c r="B62" s="126" t="s">
        <v>2039</v>
      </c>
      <c r="C62" s="126" t="s">
        <v>8</v>
      </c>
      <c r="D62" s="106" t="str">
        <f>IF(MouserListTable12[[#This Row],[Vendor]]=FilterSpecs!$A$8,MouserListTable12[[#This Row],[Mouser SKU]], MouserListTable12[[#This Row],[SKU2]])</f>
        <v>TOL-09442</v>
      </c>
      <c r="E62" s="121">
        <f>MouserListTable12[[#This Row],[Tot '#]]-MouserListTable12[[#This Row],['# Initial]]</f>
        <v>0</v>
      </c>
      <c r="F62" s="121">
        <f>MouserListTable12[[#This Row],['#/Unit]]*FilterSpecs!$B$3+MouserListTable12[[#This Row],[Extra Initial]]</f>
        <v>0</v>
      </c>
      <c r="G62" s="103" t="s">
        <v>1780</v>
      </c>
      <c r="H62" s="103" t="s">
        <v>1781</v>
      </c>
      <c r="I62" s="103" t="s">
        <v>1782</v>
      </c>
      <c r="J62" s="103">
        <v>1</v>
      </c>
      <c r="K62" s="171">
        <v>5.95</v>
      </c>
      <c r="L62" s="103" t="s">
        <v>1913</v>
      </c>
      <c r="N62" s="171">
        <f>MouserListTable12[[#This Row],['# Initial]]*MouserListTable12[[#This Row],[Price (USD)]]</f>
        <v>0</v>
      </c>
      <c r="O62" s="106" t="s">
        <v>1779</v>
      </c>
      <c r="P62" s="103">
        <f t="shared" si="0"/>
        <v>49</v>
      </c>
      <c r="Q62" s="103">
        <f>IF($D62=$O62,1,0)</f>
        <v>1</v>
      </c>
      <c r="R62" s="103" t="s">
        <v>8</v>
      </c>
      <c r="S62" s="103" t="str">
        <f>_xlfn.IFS(MouserListTable12[[#This Row],[Supplier]]=FilterSpecs!$A$6, FilterSpecs!$B$6,MouserListTable12[[#This Row],[Supplier]]=FilterSpecs!$A$7,FilterSpecs!$B$7,MouserListTable12[[#This Row],[Supplier]]=FilterSpecs!$A$8,FilterSpecs!$B$8,MouserListTable12[[#This Row],[Supplier]]=FilterSpecs!$A$9,FilterSpecs!$B$9)</f>
        <v>474-</v>
      </c>
      <c r="T6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474-TOL-09442</v>
      </c>
      <c r="U62" s="121">
        <v>0</v>
      </c>
      <c r="V62" s="121">
        <v>0</v>
      </c>
      <c r="W62" s="121">
        <v>0</v>
      </c>
      <c r="X62" s="121">
        <f>MouserListTable12[[#This Row],['#/Unit]]*FilterSpecs!$C$3+MouserListTable12[[#This Row],[Extra]]</f>
        <v>0</v>
      </c>
      <c r="Y62" s="121">
        <f>IF(MouserListTable12[[#This Row],[Tag]]=FilterSpecs!$F$7,MouserListTable12[[#This Row],[Price (USD)]],0)</f>
        <v>0</v>
      </c>
      <c r="Z62" s="121">
        <f>MouserListTable12[[#This Row],[Tot '#]]*MouserListTable12[[#This Row],[Price (USD)]]</f>
        <v>0</v>
      </c>
    </row>
    <row r="63" spans="1:26" s="146" customFormat="1" hidden="1" x14ac:dyDescent="0.3">
      <c r="A63" s="126" t="s">
        <v>894</v>
      </c>
      <c r="B63" s="126" t="s">
        <v>2039</v>
      </c>
      <c r="C63" s="126" t="s">
        <v>1898</v>
      </c>
      <c r="D63" s="106" t="str">
        <f>IF(MouserListTable12[[#This Row],[Vendor]]=FilterSpecs!$A$8,MouserListTable12[[#This Row],[Mouser SKU]], MouserListTable12[[#This Row],[SKU2]])</f>
        <v>276</v>
      </c>
      <c r="E63" s="121">
        <f>MouserListTable12[[#This Row],[Tot '#]]-MouserListTable12[[#This Row],['# Initial]]</f>
        <v>0</v>
      </c>
      <c r="F63" s="121">
        <f>MouserListTable12[[#This Row],['#/Unit]]*FilterSpecs!$B$3+MouserListTable12[[#This Row],[Extra Initial]]</f>
        <v>0</v>
      </c>
      <c r="G63" s="103"/>
      <c r="H63" s="103"/>
      <c r="I63" s="103" t="s">
        <v>2284</v>
      </c>
      <c r="J63" s="103"/>
      <c r="K63" s="171">
        <v>7.95</v>
      </c>
      <c r="L63" s="103" t="s">
        <v>1910</v>
      </c>
      <c r="N63" s="171">
        <f>MouserListTable12[[#This Row],['# Initial]]*MouserListTable12[[#This Row],[Price (USD)]]</f>
        <v>0</v>
      </c>
      <c r="O63" s="106" t="s">
        <v>2283</v>
      </c>
      <c r="P63" s="103">
        <f t="shared" si="0"/>
        <v>50</v>
      </c>
      <c r="Q63" s="103">
        <f>IF($D63=$O63,1,0)</f>
        <v>1</v>
      </c>
      <c r="R63" s="103" t="s">
        <v>1898</v>
      </c>
      <c r="S63" s="103" t="str">
        <f>_xlfn.IFS(MouserListTable12[[#This Row],[Supplier]]=FilterSpecs!$A$6, FilterSpecs!$B$6,MouserListTable12[[#This Row],[Supplier]]=FilterSpecs!$A$7,FilterSpecs!$B$7,MouserListTable12[[#This Row],[Supplier]]=FilterSpecs!$A$8,FilterSpecs!$B$8,MouserListTable12[[#This Row],[Supplier]]=FilterSpecs!$A$9,FilterSpecs!$B$9)</f>
        <v>485-</v>
      </c>
      <c r="T6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485-276</v>
      </c>
      <c r="U63" s="121">
        <v>0</v>
      </c>
      <c r="V63" s="121">
        <v>0</v>
      </c>
      <c r="W63" s="121">
        <v>0</v>
      </c>
      <c r="X63" s="121">
        <f>MouserListTable12[[#This Row],['#/Unit]]*FilterSpecs!$C$3+MouserListTable12[[#This Row],[Extra]]</f>
        <v>0</v>
      </c>
      <c r="Y63" s="121">
        <f>IF(MouserListTable12[[#This Row],[Tag]]=FilterSpecs!$F$7,MouserListTable12[[#This Row],[Price (USD)]],0)</f>
        <v>0</v>
      </c>
      <c r="Z63" s="121">
        <f>MouserListTable12[[#This Row],[Tot '#]]*MouserListTable12[[#This Row],[Price (USD)]]</f>
        <v>0</v>
      </c>
    </row>
    <row r="64" spans="1:26" s="146" customFormat="1" hidden="1" x14ac:dyDescent="0.3">
      <c r="A64" s="126" t="s">
        <v>894</v>
      </c>
      <c r="B64" s="126" t="s">
        <v>2039</v>
      </c>
      <c r="C64" s="126" t="s">
        <v>1898</v>
      </c>
      <c r="D64" s="106" t="str">
        <f>IF(MouserListTable12[[#This Row],[Vendor]]=FilterSpecs!$A$8,MouserListTable12[[#This Row],[Mouser SKU]], MouserListTable12[[#This Row],[SKU2]])</f>
        <v>1448</v>
      </c>
      <c r="E64" s="121">
        <f>MouserListTable12[[#This Row],[Tot '#]]-MouserListTable12[[#This Row],['# Initial]]</f>
        <v>0</v>
      </c>
      <c r="F64" s="121">
        <f>MouserListTable12[[#This Row],['#/Unit]]*FilterSpecs!$B$3+MouserListTable12[[#This Row],[Extra Initial]]</f>
        <v>0</v>
      </c>
      <c r="G64" s="103"/>
      <c r="H64" s="103"/>
      <c r="I64" s="103" t="s">
        <v>2286</v>
      </c>
      <c r="J64" s="103"/>
      <c r="K64" s="171">
        <v>14.95</v>
      </c>
      <c r="L64" s="103" t="s">
        <v>1910</v>
      </c>
      <c r="N64" s="171">
        <f>MouserListTable12[[#This Row],['# Initial]]*MouserListTable12[[#This Row],[Price (USD)]]</f>
        <v>0</v>
      </c>
      <c r="O64" s="106" t="s">
        <v>2285</v>
      </c>
      <c r="P64" s="103">
        <f t="shared" si="0"/>
        <v>51</v>
      </c>
      <c r="Q64" s="103">
        <f>IF($D64=$O64,1,0)</f>
        <v>1</v>
      </c>
      <c r="R64" s="103" t="s">
        <v>1898</v>
      </c>
      <c r="S64" s="103" t="str">
        <f>_xlfn.IFS(MouserListTable12[[#This Row],[Supplier]]=FilterSpecs!$A$6, FilterSpecs!$B$6,MouserListTable12[[#This Row],[Supplier]]=FilterSpecs!$A$7,FilterSpecs!$B$7,MouserListTable12[[#This Row],[Supplier]]=FilterSpecs!$A$8,FilterSpecs!$B$8,MouserListTable12[[#This Row],[Supplier]]=FilterSpecs!$A$9,FilterSpecs!$B$9)</f>
        <v>485-</v>
      </c>
      <c r="T6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485-1448</v>
      </c>
      <c r="U64" s="121">
        <v>0</v>
      </c>
      <c r="V64" s="121">
        <v>0</v>
      </c>
      <c r="W64" s="121">
        <v>0</v>
      </c>
      <c r="X64" s="121">
        <f>MouserListTable12[[#This Row],['#/Unit]]*FilterSpecs!$C$3+MouserListTable12[[#This Row],[Extra]]</f>
        <v>0</v>
      </c>
      <c r="Y64" s="121">
        <f>IF(MouserListTable12[[#This Row],[Tag]]=FilterSpecs!$F$7,MouserListTable12[[#This Row],[Price (USD)]],0)</f>
        <v>0</v>
      </c>
      <c r="Z64" s="121">
        <f>MouserListTable12[[#This Row],[Tot '#]]*MouserListTable12[[#This Row],[Price (USD)]]</f>
        <v>0</v>
      </c>
    </row>
    <row r="65" spans="1:26" s="146" customFormat="1" x14ac:dyDescent="0.3">
      <c r="A65" s="103" t="s">
        <v>894</v>
      </c>
      <c r="B65" s="103" t="s">
        <v>2043</v>
      </c>
      <c r="C65" s="103" t="s">
        <v>8</v>
      </c>
      <c r="D65" s="106" t="str">
        <f>IF(MouserListTable12[[#This Row],[Vendor]]=FilterSpecs!$A$8,MouserListTable12[[#This Row],[Mouser SKU]], MouserListTable12[[#This Row],[SKU2]])</f>
        <v>COM-11707</v>
      </c>
      <c r="E65" s="121">
        <f>MouserListTable12[[#This Row],[Tot '#]]-MouserListTable12[[#This Row],['# Initial]]</f>
        <v>0</v>
      </c>
      <c r="F65" s="121">
        <f>MouserListTable12[[#This Row],['#/Unit]]*FilterSpecs!$B$3+MouserListTable12[[#This Row],[Extra Initial]]</f>
        <v>5</v>
      </c>
      <c r="G65" s="103" t="s">
        <v>388</v>
      </c>
      <c r="H65" s="103" t="s">
        <v>389</v>
      </c>
      <c r="I65" s="103" t="s">
        <v>390</v>
      </c>
      <c r="J65" s="103"/>
      <c r="K65" s="171">
        <v>1.95</v>
      </c>
      <c r="L65" s="103" t="s">
        <v>1911</v>
      </c>
      <c r="M65" s="106"/>
      <c r="N65" s="171">
        <f>MouserListTable12[[#This Row],['# Initial]]*MouserListTable12[[#This Row],[Price (USD)]]</f>
        <v>9.75</v>
      </c>
      <c r="O65" s="106" t="s">
        <v>387</v>
      </c>
      <c r="P65" s="103">
        <f t="shared" si="0"/>
        <v>52</v>
      </c>
      <c r="Q65" s="103">
        <f>IF($D65=$O65,1,0)</f>
        <v>1</v>
      </c>
      <c r="R65" s="103" t="s">
        <v>8</v>
      </c>
      <c r="S65" s="103" t="str">
        <f>_xlfn.IFS(MouserListTable12[[#This Row],[Supplier]]=FilterSpecs!$A$6, FilterSpecs!$B$6,MouserListTable12[[#This Row],[Supplier]]=FilterSpecs!$A$7,FilterSpecs!$B$7,MouserListTable12[[#This Row],[Supplier]]=FilterSpecs!$A$8,FilterSpecs!$B$8,MouserListTable12[[#This Row],[Supplier]]=FilterSpecs!$A$9,FilterSpecs!$B$9)</f>
        <v>474-</v>
      </c>
      <c r="T6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474-COM-11707</v>
      </c>
      <c r="U65" s="121">
        <v>1</v>
      </c>
      <c r="V65" s="121">
        <v>0</v>
      </c>
      <c r="W65" s="121">
        <v>0</v>
      </c>
      <c r="X65" s="121">
        <f>MouserListTable12[[#This Row],['#/Unit]]*FilterSpecs!$C$3+MouserListTable12[[#This Row],[Extra]]</f>
        <v>5</v>
      </c>
      <c r="Y65" s="121">
        <f>IF(MouserListTable12[[#This Row],[Tag]]=FilterSpecs!$F$7,MouserListTable12[[#This Row],[Price (USD)]],0)</f>
        <v>1.95</v>
      </c>
      <c r="Z65" s="121">
        <f>MouserListTable12[[#This Row],[Tot '#]]*MouserListTable12[[#This Row],[Price (USD)]]</f>
        <v>9.75</v>
      </c>
    </row>
    <row r="66" spans="1:26" s="146" customFormat="1" x14ac:dyDescent="0.3">
      <c r="A66" s="103" t="s">
        <v>894</v>
      </c>
      <c r="B66" s="103" t="s">
        <v>2043</v>
      </c>
      <c r="C66" s="103" t="s">
        <v>8</v>
      </c>
      <c r="D66" s="106" t="str">
        <f>IF(MouserListTable12[[#This Row],[Vendor]]=FilterSpecs!$A$8,MouserListTable12[[#This Row],[Mouser SKU]], MouserListTable12[[#This Row],[SKU2]])</f>
        <v>TOL-08734</v>
      </c>
      <c r="E66" s="121">
        <f>MouserListTable12[[#This Row],[Tot '#]]-MouserListTable12[[#This Row],['# Initial]]</f>
        <v>0</v>
      </c>
      <c r="F66" s="121">
        <f>MouserListTable12[[#This Row],['#/Unit]]*FilterSpecs!$B$3+MouserListTable12[[#This Row],[Extra Initial]]</f>
        <v>5</v>
      </c>
      <c r="G66" s="103" t="s">
        <v>804</v>
      </c>
      <c r="H66" s="103" t="s">
        <v>805</v>
      </c>
      <c r="I66" s="103" t="s">
        <v>806</v>
      </c>
      <c r="J66" s="103">
        <v>1</v>
      </c>
      <c r="K66" s="171">
        <v>2.95</v>
      </c>
      <c r="L66" s="103" t="s">
        <v>1911</v>
      </c>
      <c r="M66" s="106"/>
      <c r="N66" s="171">
        <f>MouserListTable12[[#This Row],['# Initial]]*MouserListTable12[[#This Row],[Price (USD)]]</f>
        <v>14.75</v>
      </c>
      <c r="O66" s="106" t="s">
        <v>803</v>
      </c>
      <c r="P66" s="103">
        <f t="shared" si="0"/>
        <v>53</v>
      </c>
      <c r="Q66" s="103">
        <f>IF($D66=$O66,1,0)</f>
        <v>1</v>
      </c>
      <c r="R66" s="103" t="s">
        <v>8</v>
      </c>
      <c r="S66" s="103" t="str">
        <f>_xlfn.IFS(MouserListTable12[[#This Row],[Supplier]]=FilterSpecs!$A$6, FilterSpecs!$B$6,MouserListTable12[[#This Row],[Supplier]]=FilterSpecs!$A$7,FilterSpecs!$B$7,MouserListTable12[[#This Row],[Supplier]]=FilterSpecs!$A$8,FilterSpecs!$B$8,MouserListTable12[[#This Row],[Supplier]]=FilterSpecs!$A$9,FilterSpecs!$B$9)</f>
        <v>474-</v>
      </c>
      <c r="T6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474-TOL-08734</v>
      </c>
      <c r="U66" s="121">
        <v>1</v>
      </c>
      <c r="V66" s="121">
        <v>0</v>
      </c>
      <c r="W66" s="121">
        <v>0</v>
      </c>
      <c r="X66" s="121">
        <f>MouserListTable12[[#This Row],['#/Unit]]*FilterSpecs!$C$3+MouserListTable12[[#This Row],[Extra]]</f>
        <v>5</v>
      </c>
      <c r="Y66" s="121">
        <f>IF(MouserListTable12[[#This Row],[Tag]]=FilterSpecs!$F$7,MouserListTable12[[#This Row],[Price (USD)]],0)</f>
        <v>2.95</v>
      </c>
      <c r="Z66" s="121">
        <f>MouserListTable12[[#This Row],[Tot '#]]*MouserListTable12[[#This Row],[Price (USD)]]</f>
        <v>14.75</v>
      </c>
    </row>
    <row r="67" spans="1:26" s="146" customFormat="1" x14ac:dyDescent="0.3">
      <c r="A67" s="103" t="s">
        <v>894</v>
      </c>
      <c r="B67" s="103" t="s">
        <v>2043</v>
      </c>
      <c r="C67" s="103" t="s">
        <v>8</v>
      </c>
      <c r="D67" s="106" t="str">
        <f>IF(MouserListTable12[[#This Row],[Vendor]]=FilterSpecs!$A$8,MouserListTable12[[#This Row],[Mouser SKU]], MouserListTable12[[#This Row],[SKU2]])</f>
        <v>TOL-08639</v>
      </c>
      <c r="E67" s="121">
        <f>MouserListTable12[[#This Row],[Tot '#]]-MouserListTable12[[#This Row],['# Initial]]</f>
        <v>0</v>
      </c>
      <c r="F67" s="121">
        <f>MouserListTable12[[#This Row],['#/Unit]]*FilterSpecs!$B$3+MouserListTable12[[#This Row],[Extra Initial]]</f>
        <v>5</v>
      </c>
      <c r="G67" s="103" t="s">
        <v>462</v>
      </c>
      <c r="H67" s="103" t="s">
        <v>463</v>
      </c>
      <c r="I67" s="103" t="s">
        <v>464</v>
      </c>
      <c r="J67" s="103">
        <v>1</v>
      </c>
      <c r="K67" s="171">
        <v>2.95</v>
      </c>
      <c r="L67" s="103" t="s">
        <v>1911</v>
      </c>
      <c r="M67" s="106"/>
      <c r="N67" s="171">
        <f>MouserListTable12[[#This Row],['# Initial]]*MouserListTable12[[#This Row],[Price (USD)]]</f>
        <v>14.75</v>
      </c>
      <c r="O67" s="106" t="s">
        <v>461</v>
      </c>
      <c r="P67" s="103">
        <f t="shared" si="0"/>
        <v>54</v>
      </c>
      <c r="Q67" s="103">
        <f>IF($D67=$O67,1,0)</f>
        <v>1</v>
      </c>
      <c r="R67" s="103" t="s">
        <v>8</v>
      </c>
      <c r="S67" s="103" t="str">
        <f>_xlfn.IFS(MouserListTable12[[#This Row],[Supplier]]=FilterSpecs!$A$6, FilterSpecs!$B$6,MouserListTable12[[#This Row],[Supplier]]=FilterSpecs!$A$7,FilterSpecs!$B$7,MouserListTable12[[#This Row],[Supplier]]=FilterSpecs!$A$8,FilterSpecs!$B$8,MouserListTable12[[#This Row],[Supplier]]=FilterSpecs!$A$9,FilterSpecs!$B$9)</f>
        <v>474-</v>
      </c>
      <c r="T6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474-TOL-08639</v>
      </c>
      <c r="U67" s="121">
        <v>1</v>
      </c>
      <c r="V67" s="121">
        <v>0</v>
      </c>
      <c r="W67" s="121">
        <v>0</v>
      </c>
      <c r="X67" s="121">
        <f>MouserListTable12[[#This Row],['#/Unit]]*FilterSpecs!$C$3+MouserListTable12[[#This Row],[Extra]]</f>
        <v>5</v>
      </c>
      <c r="Y67" s="121">
        <f>IF(MouserListTable12[[#This Row],[Tag]]=FilterSpecs!$F$7,MouserListTable12[[#This Row],[Price (USD)]],0)</f>
        <v>2.95</v>
      </c>
      <c r="Z67" s="121">
        <f>MouserListTable12[[#This Row],[Tot '#]]*MouserListTable12[[#This Row],[Price (USD)]]</f>
        <v>14.75</v>
      </c>
    </row>
    <row r="68" spans="1:26" s="146" customFormat="1" x14ac:dyDescent="0.3">
      <c r="A68" s="103" t="s">
        <v>894</v>
      </c>
      <c r="B68" s="103" t="s">
        <v>2043</v>
      </c>
      <c r="C68" s="103" t="s">
        <v>8</v>
      </c>
      <c r="D68" s="106" t="str">
        <f>IF(MouserListTable12[[#This Row],[Vendor]]=FilterSpecs!$A$8,MouserListTable12[[#This Row],[Mouser SKU]], MouserListTable12[[#This Row],[SKU2]])</f>
        <v>COM-11705</v>
      </c>
      <c r="E68" s="121">
        <f>MouserListTable12[[#This Row],[Tot '#]]-MouserListTable12[[#This Row],['# Initial]]</f>
        <v>0</v>
      </c>
      <c r="F68" s="121">
        <f>MouserListTable12[[#This Row],['#/Unit]]*FilterSpecs!$B$3+MouserListTable12[[#This Row],[Extra Initial]]</f>
        <v>5</v>
      </c>
      <c r="G68" s="103" t="s">
        <v>812</v>
      </c>
      <c r="H68" s="103" t="s">
        <v>813</v>
      </c>
      <c r="I68" s="103" t="s">
        <v>814</v>
      </c>
      <c r="J68" s="103"/>
      <c r="K68" s="171">
        <v>2.5</v>
      </c>
      <c r="L68" s="106" t="s">
        <v>1911</v>
      </c>
      <c r="M68" s="106"/>
      <c r="N68" s="171">
        <f>MouserListTable12[[#This Row],['# Initial]]*MouserListTable12[[#This Row],[Price (USD)]]</f>
        <v>12.5</v>
      </c>
      <c r="O68" s="106" t="s">
        <v>811</v>
      </c>
      <c r="P68" s="103">
        <f t="shared" si="0"/>
        <v>55</v>
      </c>
      <c r="Q68" s="103">
        <f>IF($D68=$O68,1,0)</f>
        <v>1</v>
      </c>
      <c r="R68" s="103" t="s">
        <v>8</v>
      </c>
      <c r="S68" s="103" t="str">
        <f>_xlfn.IFS(MouserListTable12[[#This Row],[Supplier]]=FilterSpecs!$A$6, FilterSpecs!$B$6,MouserListTable12[[#This Row],[Supplier]]=FilterSpecs!$A$7,FilterSpecs!$B$7,MouserListTable12[[#This Row],[Supplier]]=FilterSpecs!$A$8,FilterSpecs!$B$8,MouserListTable12[[#This Row],[Supplier]]=FilterSpecs!$A$9,FilterSpecs!$B$9)</f>
        <v>474-</v>
      </c>
      <c r="T6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474-COM-11705</v>
      </c>
      <c r="U68" s="121">
        <v>1</v>
      </c>
      <c r="V68" s="121">
        <v>0</v>
      </c>
      <c r="W68" s="121">
        <v>0</v>
      </c>
      <c r="X68" s="121">
        <f>MouserListTable12[[#This Row],['#/Unit]]*FilterSpecs!$C$3+MouserListTable12[[#This Row],[Extra]]</f>
        <v>5</v>
      </c>
      <c r="Y68" s="121">
        <f>IF(MouserListTable12[[#This Row],[Tag]]=FilterSpecs!$F$7,MouserListTable12[[#This Row],[Price (USD)]],0)</f>
        <v>2.5</v>
      </c>
      <c r="Z68" s="121">
        <f>MouserListTable12[[#This Row],[Tot '#]]*MouserListTable12[[#This Row],[Price (USD)]]</f>
        <v>12.5</v>
      </c>
    </row>
    <row r="69" spans="1:26" s="146" customFormat="1" hidden="1" x14ac:dyDescent="0.3">
      <c r="A69" s="103" t="s">
        <v>894</v>
      </c>
      <c r="B69" s="103" t="s">
        <v>2043</v>
      </c>
      <c r="C69" s="103" t="s">
        <v>1898</v>
      </c>
      <c r="D69" s="106" t="str">
        <f>IF(MouserListTable12[[#This Row],[Vendor]]=FilterSpecs!$A$8,MouserListTable12[[#This Row],[Mouser SKU]], MouserListTable12[[#This Row],[SKU2]])</f>
        <v>327</v>
      </c>
      <c r="E69" s="121">
        <f>MouserListTable12[[#This Row],[Tot '#]]-MouserListTable12[[#This Row],['# Initial]]</f>
        <v>0</v>
      </c>
      <c r="F69" s="121">
        <f>MouserListTable12[[#This Row],['#/Unit]]*FilterSpecs!$B$3+MouserListTable12[[#This Row],[Extra Initial]]</f>
        <v>0</v>
      </c>
      <c r="G69" s="103"/>
      <c r="H69" s="103"/>
      <c r="I69" s="126" t="s">
        <v>2274</v>
      </c>
      <c r="K69" s="172">
        <v>2.95</v>
      </c>
      <c r="L69" s="126" t="s">
        <v>1910</v>
      </c>
      <c r="N69" s="171">
        <f>MouserListTable12[[#This Row],['# Initial]]*MouserListTable12[[#This Row],[Price (USD)]]</f>
        <v>0</v>
      </c>
      <c r="O69" s="106" t="s">
        <v>2273</v>
      </c>
      <c r="P69" s="103">
        <f t="shared" si="0"/>
        <v>56</v>
      </c>
      <c r="Q69" s="103">
        <f>IF($D69=$O69,1,0)</f>
        <v>1</v>
      </c>
      <c r="R69" s="103" t="s">
        <v>1898</v>
      </c>
      <c r="S69" s="103" t="str">
        <f>_xlfn.IFS(MouserListTable12[[#This Row],[Supplier]]=FilterSpecs!$A$6, FilterSpecs!$B$6,MouserListTable12[[#This Row],[Supplier]]=FilterSpecs!$A$7,FilterSpecs!$B$7,MouserListTable12[[#This Row],[Supplier]]=FilterSpecs!$A$8,FilterSpecs!$B$8,MouserListTable12[[#This Row],[Supplier]]=FilterSpecs!$A$9,FilterSpecs!$B$9)</f>
        <v>485-</v>
      </c>
      <c r="T6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485-327</v>
      </c>
      <c r="U69" s="121">
        <v>0</v>
      </c>
      <c r="V69" s="121">
        <v>0</v>
      </c>
      <c r="W69" s="121">
        <v>0</v>
      </c>
      <c r="X69" s="121">
        <f>MouserListTable12[[#This Row],['#/Unit]]*FilterSpecs!$C$3+MouserListTable12[[#This Row],[Extra]]</f>
        <v>0</v>
      </c>
      <c r="Y69" s="121">
        <f>IF(MouserListTable12[[#This Row],[Tag]]=FilterSpecs!$F$7,MouserListTable12[[#This Row],[Price (USD)]],0)</f>
        <v>0</v>
      </c>
      <c r="Z69" s="121">
        <f>MouserListTable12[[#This Row],[Tot '#]]*MouserListTable12[[#This Row],[Price (USD)]]</f>
        <v>0</v>
      </c>
    </row>
    <row r="70" spans="1:26" s="146" customFormat="1" hidden="1" x14ac:dyDescent="0.3">
      <c r="A70" s="103" t="s">
        <v>894</v>
      </c>
      <c r="B70" s="103" t="s">
        <v>2043</v>
      </c>
      <c r="C70" s="103" t="s">
        <v>1898</v>
      </c>
      <c r="D70" s="106" t="str">
        <f>IF(MouserListTable12[[#This Row],[Vendor]]=FilterSpecs!$A$8,MouserListTable12[[#This Row],[Mouser SKU]], MouserListTable12[[#This Row],[SKU2]])</f>
        <v>411</v>
      </c>
      <c r="E70" s="121">
        <f>MouserListTable12[[#This Row],[Tot '#]]-MouserListTable12[[#This Row],['# Initial]]</f>
        <v>1</v>
      </c>
      <c r="F70" s="121">
        <f>MouserListTable12[[#This Row],['#/Unit]]*FilterSpecs!$B$3+MouserListTable12[[#This Row],[Extra Initial]]</f>
        <v>0</v>
      </c>
      <c r="G70" s="103"/>
      <c r="H70" s="103"/>
      <c r="I70" s="103" t="s">
        <v>2276</v>
      </c>
      <c r="K70" s="171">
        <v>2.5</v>
      </c>
      <c r="L70" s="103" t="s">
        <v>1910</v>
      </c>
      <c r="M70" s="106"/>
      <c r="N70" s="171">
        <f>MouserListTable12[[#This Row],['# Initial]]*MouserListTable12[[#This Row],[Price (USD)]]</f>
        <v>0</v>
      </c>
      <c r="O70" s="106" t="s">
        <v>2275</v>
      </c>
      <c r="P70" s="103">
        <f t="shared" si="0"/>
        <v>57</v>
      </c>
      <c r="Q70" s="103">
        <f>IF($D70=$O70,1,0)</f>
        <v>1</v>
      </c>
      <c r="R70" s="103" t="s">
        <v>1898</v>
      </c>
      <c r="S70" s="103" t="str">
        <f>_xlfn.IFS(MouserListTable12[[#This Row],[Supplier]]=FilterSpecs!$A$6, FilterSpecs!$B$6,MouserListTable12[[#This Row],[Supplier]]=FilterSpecs!$A$7,FilterSpecs!$B$7,MouserListTable12[[#This Row],[Supplier]]=FilterSpecs!$A$8,FilterSpecs!$B$8,MouserListTable12[[#This Row],[Supplier]]=FilterSpecs!$A$9,FilterSpecs!$B$9)</f>
        <v>485-</v>
      </c>
      <c r="T7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485-411</v>
      </c>
      <c r="U70" s="121">
        <v>0</v>
      </c>
      <c r="V70" s="121">
        <v>1</v>
      </c>
      <c r="W70" s="121">
        <v>0</v>
      </c>
      <c r="X70" s="121">
        <f>MouserListTable12[[#This Row],['#/Unit]]*FilterSpecs!$C$3+MouserListTable12[[#This Row],[Extra]]</f>
        <v>1</v>
      </c>
      <c r="Y70" s="121">
        <f>IF(MouserListTable12[[#This Row],[Tag]]=FilterSpecs!$F$7,MouserListTable12[[#This Row],[Price (USD)]],0)</f>
        <v>0</v>
      </c>
      <c r="Z70" s="121">
        <f>MouserListTable12[[#This Row],[Tot '#]]*MouserListTable12[[#This Row],[Price (USD)]]</f>
        <v>2.5</v>
      </c>
    </row>
    <row r="71" spans="1:26" s="146" customFormat="1" hidden="1" x14ac:dyDescent="0.3">
      <c r="A71" s="103" t="s">
        <v>894</v>
      </c>
      <c r="B71" s="103" t="s">
        <v>2043</v>
      </c>
      <c r="C71" s="103" t="s">
        <v>1898</v>
      </c>
      <c r="D71" s="106" t="str">
        <f>IF(MouserListTable12[[#This Row],[Vendor]]=FilterSpecs!$A$8,MouserListTable12[[#This Row],[Mouser SKU]], MouserListTable12[[#This Row],[SKU2]])</f>
        <v>2897</v>
      </c>
      <c r="E71" s="121">
        <f>MouserListTable12[[#This Row],[Tot '#]]-MouserListTable12[[#This Row],['# Initial]]</f>
        <v>1</v>
      </c>
      <c r="F71" s="121">
        <f>MouserListTable12[[#This Row],['#/Unit]]*FilterSpecs!$B$3+MouserListTable12[[#This Row],[Extra Initial]]</f>
        <v>0</v>
      </c>
      <c r="G71" s="103"/>
      <c r="H71" s="103"/>
      <c r="I71" s="103" t="s">
        <v>2278</v>
      </c>
      <c r="K71" s="171">
        <v>0.95</v>
      </c>
      <c r="L71" s="103" t="s">
        <v>1910</v>
      </c>
      <c r="M71" s="106"/>
      <c r="N71" s="171">
        <f>MouserListTable12[[#This Row],['# Initial]]*MouserListTable12[[#This Row],[Price (USD)]]</f>
        <v>0</v>
      </c>
      <c r="O71" s="106" t="s">
        <v>2277</v>
      </c>
      <c r="P71" s="103">
        <f t="shared" si="0"/>
        <v>58</v>
      </c>
      <c r="Q71" s="103">
        <f>IF($D71=$O71,1,0)</f>
        <v>1</v>
      </c>
      <c r="R71" s="103" t="s">
        <v>1898</v>
      </c>
      <c r="S71" s="103" t="str">
        <f>_xlfn.IFS(MouserListTable12[[#This Row],[Supplier]]=FilterSpecs!$A$6, FilterSpecs!$B$6,MouserListTable12[[#This Row],[Supplier]]=FilterSpecs!$A$7,FilterSpecs!$B$7,MouserListTable12[[#This Row],[Supplier]]=FilterSpecs!$A$8,FilterSpecs!$B$8,MouserListTable12[[#This Row],[Supplier]]=FilterSpecs!$A$9,FilterSpecs!$B$9)</f>
        <v>485-</v>
      </c>
      <c r="T7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485-2897</v>
      </c>
      <c r="U71" s="121">
        <v>0</v>
      </c>
      <c r="V71" s="121">
        <v>1</v>
      </c>
      <c r="W71" s="121">
        <v>0</v>
      </c>
      <c r="X71" s="121">
        <f>MouserListTable12[[#This Row],['#/Unit]]*FilterSpecs!$C$3+MouserListTable12[[#This Row],[Extra]]</f>
        <v>1</v>
      </c>
      <c r="Y71" s="121">
        <f>IF(MouserListTable12[[#This Row],[Tag]]=FilterSpecs!$F$7,MouserListTable12[[#This Row],[Price (USD)]],0)</f>
        <v>0</v>
      </c>
      <c r="Z71" s="121">
        <f>MouserListTable12[[#This Row],[Tot '#]]*MouserListTable12[[#This Row],[Price (USD)]]</f>
        <v>0.95</v>
      </c>
    </row>
    <row r="72" spans="1:26" s="146" customFormat="1" hidden="1" x14ac:dyDescent="0.3">
      <c r="A72" s="103" t="s">
        <v>894</v>
      </c>
      <c r="B72" s="103" t="s">
        <v>2043</v>
      </c>
      <c r="C72" s="103" t="s">
        <v>1898</v>
      </c>
      <c r="D72" s="106" t="str">
        <f>IF(MouserListTable12[[#This Row],[Vendor]]=FilterSpecs!$A$8,MouserListTable12[[#This Row],[Mouser SKU]], MouserListTable12[[#This Row],[SKU2]])</f>
        <v>2788</v>
      </c>
      <c r="E72" s="121">
        <f>MouserListTable12[[#This Row],[Tot '#]]-MouserListTable12[[#This Row],['# Initial]]</f>
        <v>1</v>
      </c>
      <c r="F72" s="121">
        <f>MouserListTable12[[#This Row],['#/Unit]]*FilterSpecs!$B$3+MouserListTable12[[#This Row],[Extra Initial]]</f>
        <v>0</v>
      </c>
      <c r="G72" s="103"/>
      <c r="H72" s="103"/>
      <c r="I72" s="103" t="s">
        <v>2280</v>
      </c>
      <c r="K72" s="171">
        <v>0.95</v>
      </c>
      <c r="L72" s="103" t="s">
        <v>1910</v>
      </c>
      <c r="M72" s="106"/>
      <c r="N72" s="171">
        <f>MouserListTable12[[#This Row],['# Initial]]*MouserListTable12[[#This Row],[Price (USD)]]</f>
        <v>0</v>
      </c>
      <c r="O72" s="106" t="s">
        <v>2279</v>
      </c>
      <c r="P72" s="103">
        <f t="shared" si="0"/>
        <v>59</v>
      </c>
      <c r="Q72" s="103">
        <f>IF($D72=$O72,1,0)</f>
        <v>1</v>
      </c>
      <c r="R72" s="103" t="s">
        <v>1898</v>
      </c>
      <c r="S72" s="103" t="str">
        <f>_xlfn.IFS(MouserListTable12[[#This Row],[Supplier]]=FilterSpecs!$A$6, FilterSpecs!$B$6,MouserListTable12[[#This Row],[Supplier]]=FilterSpecs!$A$7,FilterSpecs!$B$7,MouserListTable12[[#This Row],[Supplier]]=FilterSpecs!$A$8,FilterSpecs!$B$8,MouserListTable12[[#This Row],[Supplier]]=FilterSpecs!$A$9,FilterSpecs!$B$9)</f>
        <v>485-</v>
      </c>
      <c r="T7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485-2788</v>
      </c>
      <c r="U72" s="121">
        <v>0</v>
      </c>
      <c r="V72" s="121">
        <v>1</v>
      </c>
      <c r="W72" s="121">
        <v>0</v>
      </c>
      <c r="X72" s="121">
        <f>MouserListTable12[[#This Row],['#/Unit]]*FilterSpecs!$C$3+MouserListTable12[[#This Row],[Extra]]</f>
        <v>1</v>
      </c>
      <c r="Y72" s="121">
        <f>IF(MouserListTable12[[#This Row],[Tag]]=FilterSpecs!$F$7,MouserListTable12[[#This Row],[Price (USD)]],0)</f>
        <v>0</v>
      </c>
      <c r="Z72" s="121">
        <f>MouserListTable12[[#This Row],[Tot '#]]*MouserListTable12[[#This Row],[Price (USD)]]</f>
        <v>0.95</v>
      </c>
    </row>
    <row r="73" spans="1:26" s="146" customFormat="1" hidden="1" x14ac:dyDescent="0.3">
      <c r="A73" s="103" t="s">
        <v>894</v>
      </c>
      <c r="B73" s="103" t="s">
        <v>2045</v>
      </c>
      <c r="C73" s="103" t="s">
        <v>8</v>
      </c>
      <c r="D73" s="106" t="str">
        <f>IF(MouserListTable12[[#This Row],[Vendor]]=FilterSpecs!$A$8,MouserListTable12[[#This Row],[Mouser SKU]], MouserListTable12[[#This Row],[SKU2]])</f>
        <v>TOL-12890</v>
      </c>
      <c r="E73" s="121">
        <f>MouserListTable12[[#This Row],[Tot '#]]-MouserListTable12[[#This Row],['# Initial]]</f>
        <v>0</v>
      </c>
      <c r="F73" s="121">
        <f>MouserListTable12[[#This Row],['#/Unit]]*FilterSpecs!$B$3+MouserListTable12[[#This Row],[Extra Initial]]</f>
        <v>0</v>
      </c>
      <c r="G73" s="103" t="s">
        <v>1113</v>
      </c>
      <c r="H73" s="103" t="s">
        <v>1114</v>
      </c>
      <c r="I73" s="126" t="s">
        <v>1115</v>
      </c>
      <c r="J73" s="146">
        <v>1</v>
      </c>
      <c r="K73" s="172">
        <v>5.95</v>
      </c>
      <c r="L73" s="126" t="s">
        <v>1910</v>
      </c>
      <c r="N73" s="171">
        <f>MouserListTable12[[#This Row],['# Initial]]*MouserListTable12[[#This Row],[Price (USD)]]</f>
        <v>0</v>
      </c>
      <c r="O73" s="106" t="s">
        <v>1112</v>
      </c>
      <c r="P73" s="103">
        <f t="shared" si="0"/>
        <v>60</v>
      </c>
      <c r="Q73" s="103">
        <f>IF($D73=$O73,1,0)</f>
        <v>1</v>
      </c>
      <c r="R73" s="103" t="s">
        <v>8</v>
      </c>
      <c r="S73" s="103" t="str">
        <f>_xlfn.IFS(MouserListTable12[[#This Row],[Supplier]]=FilterSpecs!$A$6, FilterSpecs!$B$6,MouserListTable12[[#This Row],[Supplier]]=FilterSpecs!$A$7,FilterSpecs!$B$7,MouserListTable12[[#This Row],[Supplier]]=FilterSpecs!$A$8,FilterSpecs!$B$8,MouserListTable12[[#This Row],[Supplier]]=FilterSpecs!$A$9,FilterSpecs!$B$9)</f>
        <v>474-</v>
      </c>
      <c r="T7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474-TOL-12890</v>
      </c>
      <c r="U73" s="121">
        <v>0</v>
      </c>
      <c r="V73" s="121">
        <v>0</v>
      </c>
      <c r="W73" s="121">
        <v>0</v>
      </c>
      <c r="X73" s="121">
        <f>MouserListTable12[[#This Row],['#/Unit]]*FilterSpecs!$C$3+MouserListTable12[[#This Row],[Extra]]</f>
        <v>0</v>
      </c>
      <c r="Y73" s="121">
        <f>IF(MouserListTable12[[#This Row],[Tag]]=FilterSpecs!$F$7,MouserListTable12[[#This Row],[Price (USD)]],0)</f>
        <v>0</v>
      </c>
      <c r="Z73" s="121">
        <f>MouserListTable12[[#This Row],[Tot '#]]*MouserListTable12[[#This Row],[Price (USD)]]</f>
        <v>0</v>
      </c>
    </row>
    <row r="74" spans="1:26" s="146" customFormat="1" hidden="1" x14ac:dyDescent="0.3">
      <c r="A74" s="103" t="s">
        <v>894</v>
      </c>
      <c r="B74" s="103" t="s">
        <v>2045</v>
      </c>
      <c r="C74" s="103" t="s">
        <v>1898</v>
      </c>
      <c r="D74" s="106" t="str">
        <f>IF(MouserListTable12[[#This Row],[Vendor]]=FilterSpecs!$A$8,MouserListTable12[[#This Row],[Mouser SKU]], MouserListTable12[[#This Row],[SKU2]])</f>
        <v>501</v>
      </c>
      <c r="E74" s="121">
        <f>MouserListTable12[[#This Row],[Tot '#]]-MouserListTable12[[#This Row],['# Initial]]</f>
        <v>0</v>
      </c>
      <c r="F74" s="121">
        <f>MouserListTable12[[#This Row],['#/Unit]]*FilterSpecs!$B$3+MouserListTable12[[#This Row],[Extra Initial]]</f>
        <v>0</v>
      </c>
      <c r="G74" s="103"/>
      <c r="H74" s="103"/>
      <c r="I74" s="126" t="s">
        <v>2315</v>
      </c>
      <c r="K74" s="172">
        <v>5.95</v>
      </c>
      <c r="L74" s="126" t="s">
        <v>1910</v>
      </c>
      <c r="N74" s="171">
        <f>MouserListTable12[[#This Row],['# Initial]]*MouserListTable12[[#This Row],[Price (USD)]]</f>
        <v>0</v>
      </c>
      <c r="O74" s="106" t="s">
        <v>2314</v>
      </c>
      <c r="P74" s="103">
        <f t="shared" si="0"/>
        <v>61</v>
      </c>
      <c r="Q74" s="103">
        <f>IF($D74=$O74,1,0)</f>
        <v>1</v>
      </c>
      <c r="R74" s="103" t="s">
        <v>1898</v>
      </c>
      <c r="S74" s="103" t="str">
        <f>_xlfn.IFS(MouserListTable12[[#This Row],[Supplier]]=FilterSpecs!$A$6, FilterSpecs!$B$6,MouserListTable12[[#This Row],[Supplier]]=FilterSpecs!$A$7,FilterSpecs!$B$7,MouserListTable12[[#This Row],[Supplier]]=FilterSpecs!$A$8,FilterSpecs!$B$8,MouserListTable12[[#This Row],[Supplier]]=FilterSpecs!$A$9,FilterSpecs!$B$9)</f>
        <v>485-</v>
      </c>
      <c r="T7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485-501</v>
      </c>
      <c r="U74" s="121">
        <v>0</v>
      </c>
      <c r="V74" s="121">
        <v>0</v>
      </c>
      <c r="W74" s="121">
        <v>0</v>
      </c>
      <c r="X74" s="121">
        <f>MouserListTable12[[#This Row],['#/Unit]]*FilterSpecs!$C$3+MouserListTable12[[#This Row],[Extra]]</f>
        <v>0</v>
      </c>
      <c r="Y74" s="121">
        <f>IF(MouserListTable12[[#This Row],[Tag]]=FilterSpecs!$F$7,MouserListTable12[[#This Row],[Price (USD)]],0)</f>
        <v>0</v>
      </c>
      <c r="Z74" s="121">
        <f>MouserListTable12[[#This Row],[Tot '#]]*MouserListTable12[[#This Row],[Price (USD)]]</f>
        <v>0</v>
      </c>
    </row>
    <row r="75" spans="1:26" s="146" customFormat="1" x14ac:dyDescent="0.3">
      <c r="A75" s="103" t="s">
        <v>894</v>
      </c>
      <c r="B75" s="103" t="s">
        <v>2045</v>
      </c>
      <c r="C75" s="103" t="s">
        <v>1898</v>
      </c>
      <c r="D75" s="106" t="str">
        <f>IF(MouserListTable12[[#This Row],[Vendor]]=FilterSpecs!$A$8,MouserListTable12[[#This Row],[Mouser SKU]], MouserListTable12[[#This Row],[SKU2]])</f>
        <v>1994</v>
      </c>
      <c r="E75" s="121">
        <f>MouserListTable12[[#This Row],[Tot '#]]-MouserListTable12[[#This Row],['# Initial]]</f>
        <v>0</v>
      </c>
      <c r="F75" s="121">
        <f>MouserListTable12[[#This Row],['#/Unit]]*FilterSpecs!$B$3+MouserListTable12[[#This Row],[Extra Initial]]</f>
        <v>5</v>
      </c>
      <c r="G75" s="103"/>
      <c r="H75" s="103"/>
      <c r="I75" s="103" t="s">
        <v>2317</v>
      </c>
      <c r="K75" s="171">
        <v>6.95</v>
      </c>
      <c r="L75" s="103" t="s">
        <v>1911</v>
      </c>
      <c r="M75" s="106"/>
      <c r="N75" s="171">
        <f>MouserListTable12[[#This Row],['# Initial]]*MouserListTable12[[#This Row],[Price (USD)]]</f>
        <v>34.75</v>
      </c>
      <c r="O75" s="106" t="s">
        <v>2316</v>
      </c>
      <c r="P75" s="103">
        <f t="shared" si="0"/>
        <v>62</v>
      </c>
      <c r="Q75" s="103">
        <f>IF($D75=$O75,1,0)</f>
        <v>1</v>
      </c>
      <c r="R75" s="103" t="s">
        <v>1898</v>
      </c>
      <c r="S75" s="103" t="str">
        <f>_xlfn.IFS(MouserListTable12[[#This Row],[Supplier]]=FilterSpecs!$A$6, FilterSpecs!$B$6,MouserListTable12[[#This Row],[Supplier]]=FilterSpecs!$A$7,FilterSpecs!$B$7,MouserListTable12[[#This Row],[Supplier]]=FilterSpecs!$A$8,FilterSpecs!$B$8,MouserListTable12[[#This Row],[Supplier]]=FilterSpecs!$A$9,FilterSpecs!$B$9)</f>
        <v>485-</v>
      </c>
      <c r="T7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485-1994</v>
      </c>
      <c r="U75" s="121">
        <v>1</v>
      </c>
      <c r="V75" s="121">
        <v>0</v>
      </c>
      <c r="W75" s="121">
        <v>0</v>
      </c>
      <c r="X75" s="121">
        <f>MouserListTable12[[#This Row],['#/Unit]]*FilterSpecs!$C$3+MouserListTable12[[#This Row],[Extra]]</f>
        <v>5</v>
      </c>
      <c r="Y75" s="121">
        <f>IF(MouserListTable12[[#This Row],[Tag]]=FilterSpecs!$F$7,MouserListTable12[[#This Row],[Price (USD)]],0)</f>
        <v>6.95</v>
      </c>
      <c r="Z75" s="121">
        <f>MouserListTable12[[#This Row],[Tot '#]]*MouserListTable12[[#This Row],[Price (USD)]]</f>
        <v>34.75</v>
      </c>
    </row>
    <row r="76" spans="1:26" s="144" customFormat="1" x14ac:dyDescent="0.3">
      <c r="A76" s="103" t="s">
        <v>894</v>
      </c>
      <c r="B76" s="103" t="s">
        <v>2036</v>
      </c>
      <c r="C76" s="103" t="s">
        <v>8</v>
      </c>
      <c r="D76" s="106" t="str">
        <f>IF(MouserListTable12[[#This Row],[Vendor]]=FilterSpecs!$A$8,MouserListTable12[[#This Row],[Mouser SKU]], MouserListTable12[[#This Row],[SKU2]])</f>
        <v>CAB-00512</v>
      </c>
      <c r="E76" s="121">
        <f>MouserListTable12[[#This Row],[Tot '#]]-MouserListTable12[[#This Row],['# Initial]]</f>
        <v>0</v>
      </c>
      <c r="F76" s="121">
        <f>MouserListTable12[[#This Row],['#/Unit]]*FilterSpecs!$B$3+MouserListTable12[[#This Row],[Extra Initial]]</f>
        <v>5</v>
      </c>
      <c r="G76" s="103" t="s">
        <v>2492</v>
      </c>
      <c r="H76" s="103" t="s">
        <v>2493</v>
      </c>
      <c r="I76" s="103" t="s">
        <v>2494</v>
      </c>
      <c r="J76" s="103">
        <v>1</v>
      </c>
      <c r="K76" s="171">
        <v>3.95</v>
      </c>
      <c r="L76" s="103" t="s">
        <v>1911</v>
      </c>
      <c r="M76" s="103"/>
      <c r="N76" s="171">
        <f>MouserListTable12[[#This Row],['# Initial]]*MouserListTable12[[#This Row],[Price (USD)]]</f>
        <v>19.75</v>
      </c>
      <c r="O76" s="106" t="s">
        <v>2491</v>
      </c>
      <c r="P76" s="103">
        <f t="shared" si="0"/>
        <v>63</v>
      </c>
      <c r="Q76" s="103">
        <f>IF($D76=$O76,1,0)</f>
        <v>1</v>
      </c>
      <c r="R76" s="103" t="s">
        <v>8</v>
      </c>
      <c r="S76" s="103" t="str">
        <f>_xlfn.IFS(MouserListTable12[[#This Row],[Supplier]]=FilterSpecs!$A$6, FilterSpecs!$B$6,MouserListTable12[[#This Row],[Supplier]]=FilterSpecs!$A$7,FilterSpecs!$B$7,MouserListTable12[[#This Row],[Supplier]]=FilterSpecs!$A$8,FilterSpecs!$B$8,MouserListTable12[[#This Row],[Supplier]]=FilterSpecs!$A$9,FilterSpecs!$B$9)</f>
        <v>474-</v>
      </c>
      <c r="T7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474-CAB-00512</v>
      </c>
      <c r="U76" s="121">
        <v>1</v>
      </c>
      <c r="V76" s="121">
        <v>0</v>
      </c>
      <c r="W76" s="121">
        <v>0</v>
      </c>
      <c r="X76" s="121">
        <f>MouserListTable12[[#This Row],['#/Unit]]*FilterSpecs!$C$3+MouserListTable12[[#This Row],[Extra]]</f>
        <v>5</v>
      </c>
      <c r="Y76" s="121">
        <f>IF(MouserListTable12[[#This Row],[Tag]]=FilterSpecs!$F$7,MouserListTable12[[#This Row],[Price (USD)]],0)</f>
        <v>3.95</v>
      </c>
      <c r="Z76" s="121">
        <f>MouserListTable12[[#This Row],[Tot '#]]*MouserListTable12[[#This Row],[Price (USD)]]</f>
        <v>19.75</v>
      </c>
    </row>
    <row r="77" spans="1:26" s="144" customFormat="1" x14ac:dyDescent="0.3">
      <c r="A77" s="103" t="s">
        <v>894</v>
      </c>
      <c r="B77" s="103" t="s">
        <v>2036</v>
      </c>
      <c r="C77" s="103" t="s">
        <v>8</v>
      </c>
      <c r="D77" s="106" t="str">
        <f>IF(MouserListTable12[[#This Row],[Vendor]]=FilterSpecs!$A$8,MouserListTable12[[#This Row],[Mouser SKU]], MouserListTable12[[#This Row],[SKU2]])</f>
        <v>CAB-11301</v>
      </c>
      <c r="E77" s="121">
        <f>MouserListTable12[[#This Row],[Tot '#]]-MouserListTable12[[#This Row],['# Initial]]</f>
        <v>0</v>
      </c>
      <c r="F77" s="121">
        <f>MouserListTable12[[#This Row],['#/Unit]]*FilterSpecs!$B$3+MouserListTable12[[#This Row],[Extra Initial]]</f>
        <v>5</v>
      </c>
      <c r="G77" s="103" t="s">
        <v>2496</v>
      </c>
      <c r="H77" s="103" t="s">
        <v>2497</v>
      </c>
      <c r="I77" s="103" t="s">
        <v>2498</v>
      </c>
      <c r="J77" s="103">
        <v>1</v>
      </c>
      <c r="K77" s="171">
        <v>3.95</v>
      </c>
      <c r="L77" s="103" t="s">
        <v>1911</v>
      </c>
      <c r="M77" s="103"/>
      <c r="N77" s="171">
        <f>MouserListTable12[[#This Row],['# Initial]]*MouserListTable12[[#This Row],[Price (USD)]]</f>
        <v>19.75</v>
      </c>
      <c r="O77" s="106" t="s">
        <v>2495</v>
      </c>
      <c r="P77" s="103">
        <f t="shared" si="0"/>
        <v>64</v>
      </c>
      <c r="Q77" s="103">
        <f>IF($D77=$O77,1,0)</f>
        <v>1</v>
      </c>
      <c r="R77" s="103" t="s">
        <v>8</v>
      </c>
      <c r="S77" s="103" t="str">
        <f>_xlfn.IFS(MouserListTable12[[#This Row],[Supplier]]=FilterSpecs!$A$6, FilterSpecs!$B$6,MouserListTable12[[#This Row],[Supplier]]=FilterSpecs!$A$7,FilterSpecs!$B$7,MouserListTable12[[#This Row],[Supplier]]=FilterSpecs!$A$8,FilterSpecs!$B$8,MouserListTable12[[#This Row],[Supplier]]=FilterSpecs!$A$9,FilterSpecs!$B$9)</f>
        <v>474-</v>
      </c>
      <c r="T7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474-CAB-11301</v>
      </c>
      <c r="U77" s="121">
        <v>1</v>
      </c>
      <c r="V77" s="121">
        <v>0</v>
      </c>
      <c r="W77" s="121">
        <v>0</v>
      </c>
      <c r="X77" s="121">
        <f>MouserListTable12[[#This Row],['#/Unit]]*FilterSpecs!$C$3+MouserListTable12[[#This Row],[Extra]]</f>
        <v>5</v>
      </c>
      <c r="Y77" s="121">
        <f>IF(MouserListTable12[[#This Row],[Tag]]=FilterSpecs!$F$7,MouserListTable12[[#This Row],[Price (USD)]],0)</f>
        <v>3.95</v>
      </c>
      <c r="Z77" s="121">
        <f>MouserListTable12[[#This Row],[Tot '#]]*MouserListTable12[[#This Row],[Price (USD)]]</f>
        <v>19.75</v>
      </c>
    </row>
    <row r="78" spans="1:26" s="144" customFormat="1" hidden="1" x14ac:dyDescent="0.3">
      <c r="A78" s="126" t="s">
        <v>894</v>
      </c>
      <c r="B78" s="126" t="s">
        <v>2036</v>
      </c>
      <c r="C78" s="126" t="s">
        <v>8</v>
      </c>
      <c r="D78" s="106" t="str">
        <f>IF(MouserListTable12[[#This Row],[Vendor]]=FilterSpecs!$A$8,MouserListTable12[[#This Row],[Mouser SKU]], MouserListTable12[[#This Row],[SKU2]])</f>
        <v>CAB-13243</v>
      </c>
      <c r="E78" s="121">
        <f>MouserListTable12[[#This Row],[Tot '#]]-MouserListTable12[[#This Row],['# Initial]]</f>
        <v>0</v>
      </c>
      <c r="F78" s="121">
        <f>MouserListTable12[[#This Row],['#/Unit]]*FilterSpecs!$B$3+MouserListTable12[[#This Row],[Extra Initial]]</f>
        <v>0</v>
      </c>
      <c r="G78" s="103" t="s">
        <v>2500</v>
      </c>
      <c r="H78" s="103" t="s">
        <v>2501</v>
      </c>
      <c r="I78" s="103" t="s">
        <v>2502</v>
      </c>
      <c r="J78" s="103">
        <v>1</v>
      </c>
      <c r="K78" s="171">
        <v>1.95</v>
      </c>
      <c r="L78" s="103" t="s">
        <v>1911</v>
      </c>
      <c r="M78" s="103"/>
      <c r="N78" s="171">
        <f>MouserListTable12[[#This Row],['# Initial]]*MouserListTable12[[#This Row],[Price (USD)]]</f>
        <v>0</v>
      </c>
      <c r="O78" s="106" t="s">
        <v>2499</v>
      </c>
      <c r="P78" s="103">
        <f t="shared" ref="P78:P141" si="1">IF($P77="List #",1,$P77+1)</f>
        <v>65</v>
      </c>
      <c r="Q78" s="103">
        <f>IF($D78=$O78,1,0)</f>
        <v>1</v>
      </c>
      <c r="R78" s="103" t="s">
        <v>8</v>
      </c>
      <c r="S78" s="103" t="str">
        <f>_xlfn.IFS(MouserListTable12[[#This Row],[Supplier]]=FilterSpecs!$A$6, FilterSpecs!$B$6,MouserListTable12[[#This Row],[Supplier]]=FilterSpecs!$A$7,FilterSpecs!$B$7,MouserListTable12[[#This Row],[Supplier]]=FilterSpecs!$A$8,FilterSpecs!$B$8,MouserListTable12[[#This Row],[Supplier]]=FilterSpecs!$A$9,FilterSpecs!$B$9)</f>
        <v>474-</v>
      </c>
      <c r="T7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474-CAB-13243</v>
      </c>
      <c r="U78" s="121">
        <v>0</v>
      </c>
      <c r="V78" s="121">
        <v>0</v>
      </c>
      <c r="W78" s="121">
        <v>0</v>
      </c>
      <c r="X78" s="121">
        <f>MouserListTable12[[#This Row],['#/Unit]]*FilterSpecs!$C$3+MouserListTable12[[#This Row],[Extra]]</f>
        <v>0</v>
      </c>
      <c r="Y78" s="121">
        <f>IF(MouserListTable12[[#This Row],[Tag]]=FilterSpecs!$F$7,MouserListTable12[[#This Row],[Price (USD)]],0)</f>
        <v>1.95</v>
      </c>
      <c r="Z78" s="121">
        <f>MouserListTable12[[#This Row],[Tot '#]]*MouserListTable12[[#This Row],[Price (USD)]]</f>
        <v>0</v>
      </c>
    </row>
    <row r="79" spans="1:26" s="144" customFormat="1" hidden="1" x14ac:dyDescent="0.3">
      <c r="A79" s="103" t="s">
        <v>894</v>
      </c>
      <c r="B79" s="103" t="s">
        <v>2036</v>
      </c>
      <c r="C79" s="103" t="s">
        <v>8</v>
      </c>
      <c r="D79" s="106" t="str">
        <f>IF(MouserListTable12[[#This Row],[Vendor]]=FilterSpecs!$A$8,MouserListTable12[[#This Row],[Mouser SKU]], MouserListTable12[[#This Row],[SKU2]])</f>
        <v>CAB-10177</v>
      </c>
      <c r="E79" s="121">
        <f>MouserListTable12[[#This Row],[Tot '#]]-MouserListTable12[[#This Row],['# Initial]]</f>
        <v>1</v>
      </c>
      <c r="F79" s="121">
        <f>MouserListTable12[[#This Row],['#/Unit]]*FilterSpecs!$B$3+MouserListTable12[[#This Row],[Extra Initial]]</f>
        <v>0</v>
      </c>
      <c r="G79" s="103" t="s">
        <v>2504</v>
      </c>
      <c r="H79" s="103" t="s">
        <v>2505</v>
      </c>
      <c r="I79" s="103" t="s">
        <v>2506</v>
      </c>
      <c r="J79" s="103">
        <v>1</v>
      </c>
      <c r="K79" s="171">
        <v>2.95</v>
      </c>
      <c r="L79" s="103" t="s">
        <v>1910</v>
      </c>
      <c r="M79" s="103"/>
      <c r="N79" s="171">
        <f>MouserListTable12[[#This Row],['# Initial]]*MouserListTable12[[#This Row],[Price (USD)]]</f>
        <v>0</v>
      </c>
      <c r="O79" s="106" t="s">
        <v>2503</v>
      </c>
      <c r="P79" s="103">
        <f t="shared" si="1"/>
        <v>66</v>
      </c>
      <c r="Q79" s="103">
        <f>IF($D79=$O79,1,0)</f>
        <v>1</v>
      </c>
      <c r="R79" s="103" t="s">
        <v>8</v>
      </c>
      <c r="S79" s="103" t="str">
        <f>_xlfn.IFS(MouserListTable12[[#This Row],[Supplier]]=FilterSpecs!$A$6, FilterSpecs!$B$6,MouserListTable12[[#This Row],[Supplier]]=FilterSpecs!$A$7,FilterSpecs!$B$7,MouserListTable12[[#This Row],[Supplier]]=FilterSpecs!$A$8,FilterSpecs!$B$8,MouserListTable12[[#This Row],[Supplier]]=FilterSpecs!$A$9,FilterSpecs!$B$9)</f>
        <v>474-</v>
      </c>
      <c r="T7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474-CAB-10177</v>
      </c>
      <c r="U79" s="121">
        <v>0</v>
      </c>
      <c r="V79" s="121">
        <v>1</v>
      </c>
      <c r="W79" s="121">
        <v>0</v>
      </c>
      <c r="X79" s="121">
        <f>MouserListTable12[[#This Row],['#/Unit]]*FilterSpecs!$C$3+MouserListTable12[[#This Row],[Extra]]</f>
        <v>1</v>
      </c>
      <c r="Y79" s="121">
        <f>IF(MouserListTable12[[#This Row],[Tag]]=FilterSpecs!$F$7,MouserListTable12[[#This Row],[Price (USD)]],0)</f>
        <v>0</v>
      </c>
      <c r="Z79" s="121">
        <f>MouserListTable12[[#This Row],[Tot '#]]*MouserListTable12[[#This Row],[Price (USD)]]</f>
        <v>2.95</v>
      </c>
    </row>
    <row r="80" spans="1:26" s="144" customFormat="1" x14ac:dyDescent="0.3">
      <c r="A80" s="103" t="s">
        <v>894</v>
      </c>
      <c r="B80" s="103" t="s">
        <v>2036</v>
      </c>
      <c r="C80" s="103" t="s">
        <v>8</v>
      </c>
      <c r="D80" s="106" t="str">
        <f>IF(MouserListTable12[[#This Row],[Vendor]]=FilterSpecs!$A$8,MouserListTable12[[#This Row],[Mouser SKU]], MouserListTable12[[#This Row],[SKU2]])</f>
        <v>CAB-10215</v>
      </c>
      <c r="E80" s="121">
        <f>MouserListTable12[[#This Row],[Tot '#]]-MouserListTable12[[#This Row],['# Initial]]</f>
        <v>0</v>
      </c>
      <c r="F80" s="121">
        <f>MouserListTable12[[#This Row],['#/Unit]]*FilterSpecs!$B$3+MouserListTable12[[#This Row],[Extra Initial]]</f>
        <v>5</v>
      </c>
      <c r="G80" s="103" t="s">
        <v>1508</v>
      </c>
      <c r="H80" s="103" t="s">
        <v>1509</v>
      </c>
      <c r="I80" s="103" t="s">
        <v>1510</v>
      </c>
      <c r="J80" s="103">
        <v>1</v>
      </c>
      <c r="K80" s="171">
        <v>4.95</v>
      </c>
      <c r="L80" s="103" t="s">
        <v>1911</v>
      </c>
      <c r="M80" s="103"/>
      <c r="N80" s="171">
        <f>MouserListTable12[[#This Row],['# Initial]]*MouserListTable12[[#This Row],[Price (USD)]]</f>
        <v>24.75</v>
      </c>
      <c r="O80" s="106" t="s">
        <v>1507</v>
      </c>
      <c r="P80" s="103">
        <f t="shared" si="1"/>
        <v>67</v>
      </c>
      <c r="Q80" s="103">
        <f>IF($D80=$O80,1,0)</f>
        <v>1</v>
      </c>
      <c r="R80" s="103" t="s">
        <v>8</v>
      </c>
      <c r="S80" s="103" t="str">
        <f>_xlfn.IFS(MouserListTable12[[#This Row],[Supplier]]=FilterSpecs!$A$6, FilterSpecs!$B$6,MouserListTable12[[#This Row],[Supplier]]=FilterSpecs!$A$7,FilterSpecs!$B$7,MouserListTable12[[#This Row],[Supplier]]=FilterSpecs!$A$8,FilterSpecs!$B$8,MouserListTable12[[#This Row],[Supplier]]=FilterSpecs!$A$9,FilterSpecs!$B$9)</f>
        <v>474-</v>
      </c>
      <c r="T8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474-CAB-10215</v>
      </c>
      <c r="U80" s="121">
        <v>1</v>
      </c>
      <c r="V80" s="121">
        <v>0</v>
      </c>
      <c r="W80" s="121">
        <v>0</v>
      </c>
      <c r="X80" s="121">
        <f>MouserListTable12[[#This Row],['#/Unit]]*FilterSpecs!$C$3+MouserListTable12[[#This Row],[Extra]]</f>
        <v>5</v>
      </c>
      <c r="Y80" s="121">
        <f>IF(MouserListTable12[[#This Row],[Tag]]=FilterSpecs!$F$7,MouserListTable12[[#This Row],[Price (USD)]],0)</f>
        <v>4.95</v>
      </c>
      <c r="Z80" s="121">
        <f>MouserListTable12[[#This Row],[Tot '#]]*MouserListTable12[[#This Row],[Price (USD)]]</f>
        <v>24.75</v>
      </c>
    </row>
    <row r="81" spans="1:26" s="144" customFormat="1" hidden="1" x14ac:dyDescent="0.3">
      <c r="A81" s="126" t="s">
        <v>894</v>
      </c>
      <c r="B81" s="126" t="s">
        <v>2036</v>
      </c>
      <c r="C81" s="126" t="s">
        <v>8</v>
      </c>
      <c r="D81" s="106" t="str">
        <f>IF(MouserListTable12[[#This Row],[Vendor]]=FilterSpecs!$A$8,MouserListTable12[[#This Row],[Mouser SKU]], MouserListTable12[[#This Row],[SKU2]])</f>
        <v>CAB-13244</v>
      </c>
      <c r="E81" s="121">
        <f>MouserListTable12[[#This Row],[Tot '#]]-MouserListTable12[[#This Row],['# Initial]]</f>
        <v>0</v>
      </c>
      <c r="F81" s="121">
        <f>MouserListTable12[[#This Row],['#/Unit]]*FilterSpecs!$B$3+MouserListTable12[[#This Row],[Extra Initial]]</f>
        <v>0</v>
      </c>
      <c r="G81" s="103" t="s">
        <v>1512</v>
      </c>
      <c r="H81" s="103" t="s">
        <v>1513</v>
      </c>
      <c r="I81" s="103" t="s">
        <v>1514</v>
      </c>
      <c r="J81" s="103">
        <v>1</v>
      </c>
      <c r="K81" s="171">
        <v>1.95</v>
      </c>
      <c r="L81" s="103" t="s">
        <v>1913</v>
      </c>
      <c r="M81" s="103"/>
      <c r="N81" s="171">
        <f>MouserListTable12[[#This Row],['# Initial]]*MouserListTable12[[#This Row],[Price (USD)]]</f>
        <v>0</v>
      </c>
      <c r="O81" s="106" t="s">
        <v>1511</v>
      </c>
      <c r="P81" s="103">
        <f t="shared" si="1"/>
        <v>68</v>
      </c>
      <c r="Q81" s="103">
        <f>IF($D81=$O81,1,0)</f>
        <v>1</v>
      </c>
      <c r="R81" s="103" t="s">
        <v>8</v>
      </c>
      <c r="S81" s="103" t="str">
        <f>_xlfn.IFS(MouserListTable12[[#This Row],[Supplier]]=FilterSpecs!$A$6, FilterSpecs!$B$6,MouserListTable12[[#This Row],[Supplier]]=FilterSpecs!$A$7,FilterSpecs!$B$7,MouserListTable12[[#This Row],[Supplier]]=FilterSpecs!$A$8,FilterSpecs!$B$8,MouserListTable12[[#This Row],[Supplier]]=FilterSpecs!$A$9,FilterSpecs!$B$9)</f>
        <v>474-</v>
      </c>
      <c r="T8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474-CAB-13244</v>
      </c>
      <c r="U81" s="121">
        <v>0</v>
      </c>
      <c r="V81" s="121">
        <v>0</v>
      </c>
      <c r="W81" s="121">
        <v>0</v>
      </c>
      <c r="X81" s="121">
        <f>MouserListTable12[[#This Row],['#/Unit]]*FilterSpecs!$C$3+MouserListTable12[[#This Row],[Extra]]</f>
        <v>0</v>
      </c>
      <c r="Y81" s="121">
        <f>IF(MouserListTable12[[#This Row],[Tag]]=FilterSpecs!$F$7,MouserListTable12[[#This Row],[Price (USD)]],0)</f>
        <v>0</v>
      </c>
      <c r="Z81" s="121">
        <f>MouserListTable12[[#This Row],[Tot '#]]*MouserListTable12[[#This Row],[Price (USD)]]</f>
        <v>0</v>
      </c>
    </row>
    <row r="82" spans="1:26" s="146" customFormat="1" hidden="1" x14ac:dyDescent="0.3">
      <c r="A82" s="103" t="s">
        <v>894</v>
      </c>
      <c r="B82" s="103" t="s">
        <v>2036</v>
      </c>
      <c r="C82" s="103" t="s">
        <v>8</v>
      </c>
      <c r="D82" s="106" t="str">
        <f>IF(MouserListTable12[[#This Row],[Vendor]]=FilterSpecs!$A$8,MouserListTable12[[#This Row],[Mouser SKU]], MouserListTable12[[#This Row],[SKU2]])</f>
        <v>CAB-11579</v>
      </c>
      <c r="E82" s="121">
        <f>MouserListTable12[[#This Row],[Tot '#]]-MouserListTable12[[#This Row],['# Initial]]</f>
        <v>1</v>
      </c>
      <c r="F82" s="121">
        <f>MouserListTable12[[#This Row],['#/Unit]]*FilterSpecs!$B$3+MouserListTable12[[#This Row],[Extra Initial]]</f>
        <v>0</v>
      </c>
      <c r="G82" s="103" t="s">
        <v>249</v>
      </c>
      <c r="H82" s="103" t="s">
        <v>250</v>
      </c>
      <c r="I82" s="103" t="s">
        <v>251</v>
      </c>
      <c r="J82" s="146">
        <v>1</v>
      </c>
      <c r="K82" s="171">
        <v>4.95</v>
      </c>
      <c r="L82" s="103" t="s">
        <v>1910</v>
      </c>
      <c r="M82" s="106"/>
      <c r="N82" s="171">
        <f>MouserListTable12[[#This Row],['# Initial]]*MouserListTable12[[#This Row],[Price (USD)]]</f>
        <v>0</v>
      </c>
      <c r="O82" s="106" t="s">
        <v>248</v>
      </c>
      <c r="P82" s="103">
        <f t="shared" si="1"/>
        <v>69</v>
      </c>
      <c r="Q82" s="103">
        <f>IF($D82=$O82,1,0)</f>
        <v>1</v>
      </c>
      <c r="R82" s="103" t="s">
        <v>8</v>
      </c>
      <c r="S82" s="103" t="str">
        <f>_xlfn.IFS(MouserListTable12[[#This Row],[Supplier]]=FilterSpecs!$A$6, FilterSpecs!$B$6,MouserListTable12[[#This Row],[Supplier]]=FilterSpecs!$A$7,FilterSpecs!$B$7,MouserListTable12[[#This Row],[Supplier]]=FilterSpecs!$A$8,FilterSpecs!$B$8,MouserListTable12[[#This Row],[Supplier]]=FilterSpecs!$A$9,FilterSpecs!$B$9)</f>
        <v>474-</v>
      </c>
      <c r="T8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474-CAB-11579</v>
      </c>
      <c r="U82" s="121">
        <v>0</v>
      </c>
      <c r="V82" s="121">
        <v>1</v>
      </c>
      <c r="W82" s="121">
        <v>0</v>
      </c>
      <c r="X82" s="121">
        <f>MouserListTable12[[#This Row],['#/Unit]]*FilterSpecs!$C$3+MouserListTable12[[#This Row],[Extra]]</f>
        <v>1</v>
      </c>
      <c r="Y82" s="121">
        <f>IF(MouserListTable12[[#This Row],[Tag]]=FilterSpecs!$F$7,MouserListTable12[[#This Row],[Price (USD)]],0)</f>
        <v>0</v>
      </c>
      <c r="Z82" s="121">
        <f>MouserListTable12[[#This Row],[Tot '#]]*MouserListTable12[[#This Row],[Price (USD)]]</f>
        <v>4.95</v>
      </c>
    </row>
    <row r="83" spans="1:26" s="146" customFormat="1" hidden="1" x14ac:dyDescent="0.3">
      <c r="A83" s="103" t="s">
        <v>894</v>
      </c>
      <c r="B83" s="103" t="s">
        <v>2064</v>
      </c>
      <c r="C83" s="103" t="s">
        <v>1898</v>
      </c>
      <c r="D83" s="106" t="str">
        <f>IF(MouserListTable12[[#This Row],[Vendor]]=FilterSpecs!$A$8,MouserListTable12[[#This Row],[Mouser SKU]], MouserListTable12[[#This Row],[SKU2]])</f>
        <v>2727</v>
      </c>
      <c r="E83" s="121">
        <f>MouserListTable12[[#This Row],[Tot '#]]-MouserListTable12[[#This Row],['# Initial]]</f>
        <v>0</v>
      </c>
      <c r="F83" s="121">
        <f>MouserListTable12[[#This Row],['#/Unit]]*FilterSpecs!$B$3+MouserListTable12[[#This Row],[Extra Initial]]</f>
        <v>0</v>
      </c>
      <c r="G83" s="103"/>
      <c r="H83" s="103"/>
      <c r="I83" s="126" t="s">
        <v>2302</v>
      </c>
      <c r="K83" s="172">
        <v>1.95</v>
      </c>
      <c r="L83" s="126" t="s">
        <v>1910</v>
      </c>
      <c r="N83" s="171">
        <f>MouserListTable12[[#This Row],['# Initial]]*MouserListTable12[[#This Row],[Price (USD)]]</f>
        <v>0</v>
      </c>
      <c r="O83" s="106" t="s">
        <v>2301</v>
      </c>
      <c r="P83" s="103">
        <f t="shared" si="1"/>
        <v>70</v>
      </c>
      <c r="Q83" s="103">
        <f>IF($D83=$O83,1,0)</f>
        <v>1</v>
      </c>
      <c r="R83" s="103" t="s">
        <v>1898</v>
      </c>
      <c r="S83" s="103" t="str">
        <f>_xlfn.IFS(MouserListTable12[[#This Row],[Supplier]]=FilterSpecs!$A$6, FilterSpecs!$B$6,MouserListTable12[[#This Row],[Supplier]]=FilterSpecs!$A$7,FilterSpecs!$B$7,MouserListTable12[[#This Row],[Supplier]]=FilterSpecs!$A$8,FilterSpecs!$B$8,MouserListTable12[[#This Row],[Supplier]]=FilterSpecs!$A$9,FilterSpecs!$B$9)</f>
        <v>485-</v>
      </c>
      <c r="T8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485-2727</v>
      </c>
      <c r="U83" s="121">
        <v>0</v>
      </c>
      <c r="V83" s="121">
        <v>0</v>
      </c>
      <c r="W83" s="121">
        <v>0</v>
      </c>
      <c r="X83" s="121">
        <f>MouserListTable12[[#This Row],['#/Unit]]*FilterSpecs!$C$3+MouserListTable12[[#This Row],[Extra]]</f>
        <v>0</v>
      </c>
      <c r="Y83" s="121">
        <f>IF(MouserListTable12[[#This Row],[Tag]]=FilterSpecs!$F$7,MouserListTable12[[#This Row],[Price (USD)]],0)</f>
        <v>0</v>
      </c>
      <c r="Z83" s="121">
        <f>MouserListTable12[[#This Row],[Tot '#]]*MouserListTable12[[#This Row],[Price (USD)]]</f>
        <v>0</v>
      </c>
    </row>
    <row r="84" spans="1:26" s="146" customFormat="1" hidden="1" x14ac:dyDescent="0.3">
      <c r="A84" s="103" t="s">
        <v>894</v>
      </c>
      <c r="B84" s="103" t="s">
        <v>2064</v>
      </c>
      <c r="C84" s="103" t="s">
        <v>1898</v>
      </c>
      <c r="D84" s="106" t="str">
        <f>IF(MouserListTable12[[#This Row],[Vendor]]=FilterSpecs!$A$8,MouserListTable12[[#This Row],[Mouser SKU]], MouserListTable12[[#This Row],[SKU2]])</f>
        <v>988</v>
      </c>
      <c r="E84" s="121">
        <f>MouserListTable12[[#This Row],[Tot '#]]-MouserListTable12[[#This Row],['# Initial]]</f>
        <v>0</v>
      </c>
      <c r="F84" s="121">
        <f>MouserListTable12[[#This Row],['#/Unit]]*FilterSpecs!$B$3+MouserListTable12[[#This Row],[Extra Initial]]</f>
        <v>0</v>
      </c>
      <c r="G84" s="103"/>
      <c r="H84" s="103"/>
      <c r="I84" s="126" t="s">
        <v>2304</v>
      </c>
      <c r="K84" s="172">
        <v>2.95</v>
      </c>
      <c r="L84" s="126" t="s">
        <v>1910</v>
      </c>
      <c r="N84" s="171">
        <f>MouserListTable12[[#This Row],['# Initial]]*MouserListTable12[[#This Row],[Price (USD)]]</f>
        <v>0</v>
      </c>
      <c r="O84" s="106" t="s">
        <v>2303</v>
      </c>
      <c r="P84" s="103">
        <f t="shared" si="1"/>
        <v>71</v>
      </c>
      <c r="Q84" s="103">
        <f>IF($D84=$O84,1,0)</f>
        <v>1</v>
      </c>
      <c r="R84" s="103" t="s">
        <v>1898</v>
      </c>
      <c r="S84" s="103" t="str">
        <f>_xlfn.IFS(MouserListTable12[[#This Row],[Supplier]]=FilterSpecs!$A$6, FilterSpecs!$B$6,MouserListTable12[[#This Row],[Supplier]]=FilterSpecs!$A$7,FilterSpecs!$B$7,MouserListTable12[[#This Row],[Supplier]]=FilterSpecs!$A$8,FilterSpecs!$B$8,MouserListTable12[[#This Row],[Supplier]]=FilterSpecs!$A$9,FilterSpecs!$B$9)</f>
        <v>485-</v>
      </c>
      <c r="T8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485-988</v>
      </c>
      <c r="U84" s="121">
        <v>0</v>
      </c>
      <c r="V84" s="121">
        <v>0</v>
      </c>
      <c r="W84" s="121">
        <v>0</v>
      </c>
      <c r="X84" s="121">
        <f>MouserListTable12[[#This Row],['#/Unit]]*FilterSpecs!$C$3+MouserListTable12[[#This Row],[Extra]]</f>
        <v>0</v>
      </c>
      <c r="Y84" s="121">
        <f>IF(MouserListTable12[[#This Row],[Tag]]=FilterSpecs!$F$7,MouserListTable12[[#This Row],[Price (USD)]],0)</f>
        <v>0</v>
      </c>
      <c r="Z84" s="121">
        <f>MouserListTable12[[#This Row],[Tot '#]]*MouserListTable12[[#This Row],[Price (USD)]]</f>
        <v>0</v>
      </c>
    </row>
    <row r="85" spans="1:26" s="146" customFormat="1" hidden="1" x14ac:dyDescent="0.3">
      <c r="A85" s="103" t="s">
        <v>894</v>
      </c>
      <c r="B85" s="103" t="s">
        <v>2064</v>
      </c>
      <c r="C85" s="103" t="s">
        <v>1898</v>
      </c>
      <c r="D85" s="106" t="str">
        <f>IF(MouserListTable12[[#This Row],[Vendor]]=FilterSpecs!$A$8,MouserListTable12[[#This Row],[Mouser SKU]], MouserListTable12[[#This Row],[SKU2]])</f>
        <v>2778</v>
      </c>
      <c r="E85" s="121">
        <f>MouserListTable12[[#This Row],[Tot '#]]-MouserListTable12[[#This Row],['# Initial]]</f>
        <v>2</v>
      </c>
      <c r="F85" s="121">
        <f>MouserListTable12[[#This Row],['#/Unit]]*FilterSpecs!$B$3+MouserListTable12[[#This Row],[Extra Initial]]</f>
        <v>0</v>
      </c>
      <c r="G85" s="103"/>
      <c r="H85" s="103"/>
      <c r="I85" s="103" t="s">
        <v>2306</v>
      </c>
      <c r="K85" s="171">
        <v>6.5</v>
      </c>
      <c r="L85" s="103" t="s">
        <v>1910</v>
      </c>
      <c r="M85" s="106"/>
      <c r="N85" s="171">
        <f>MouserListTable12[[#This Row],['# Initial]]*MouserListTable12[[#This Row],[Price (USD)]]</f>
        <v>0</v>
      </c>
      <c r="O85" s="106" t="s">
        <v>2305</v>
      </c>
      <c r="P85" s="103">
        <f t="shared" si="1"/>
        <v>72</v>
      </c>
      <c r="Q85" s="103">
        <f>IF($D85=$O85,1,0)</f>
        <v>1</v>
      </c>
      <c r="R85" s="103" t="s">
        <v>1898</v>
      </c>
      <c r="S85" s="103" t="str">
        <f>_xlfn.IFS(MouserListTable12[[#This Row],[Supplier]]=FilterSpecs!$A$6, FilterSpecs!$B$6,MouserListTable12[[#This Row],[Supplier]]=FilterSpecs!$A$7,FilterSpecs!$B$7,MouserListTable12[[#This Row],[Supplier]]=FilterSpecs!$A$8,FilterSpecs!$B$8,MouserListTable12[[#This Row],[Supplier]]=FilterSpecs!$A$9,FilterSpecs!$B$9)</f>
        <v>485-</v>
      </c>
      <c r="T8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485-2778</v>
      </c>
      <c r="U85" s="121">
        <v>0</v>
      </c>
      <c r="V85" s="121">
        <v>2</v>
      </c>
      <c r="W85" s="121">
        <v>0</v>
      </c>
      <c r="X85" s="121">
        <f>MouserListTable12[[#This Row],['#/Unit]]*FilterSpecs!$C$3+MouserListTable12[[#This Row],[Extra]]</f>
        <v>2</v>
      </c>
      <c r="Y85" s="121">
        <f>IF(MouserListTable12[[#This Row],[Tag]]=FilterSpecs!$F$7,MouserListTable12[[#This Row],[Price (USD)]],0)</f>
        <v>0</v>
      </c>
      <c r="Z85" s="121">
        <f>MouserListTable12[[#This Row],[Tot '#]]*MouserListTable12[[#This Row],[Price (USD)]]</f>
        <v>13</v>
      </c>
    </row>
    <row r="86" spans="1:26" s="146" customFormat="1" hidden="1" x14ac:dyDescent="0.3">
      <c r="A86" s="103" t="s">
        <v>894</v>
      </c>
      <c r="B86" s="103" t="s">
        <v>2064</v>
      </c>
      <c r="C86" s="103" t="s">
        <v>1898</v>
      </c>
      <c r="D86" s="106" t="str">
        <f>IF(MouserListTable12[[#This Row],[Vendor]]=FilterSpecs!$A$8,MouserListTable12[[#This Row],[Mouser SKU]], MouserListTable12[[#This Row],[SKU2]])</f>
        <v>2777</v>
      </c>
      <c r="E86" s="121">
        <f>MouserListTable12[[#This Row],[Tot '#]]-MouserListTable12[[#This Row],['# Initial]]</f>
        <v>0</v>
      </c>
      <c r="F86" s="121">
        <f>MouserListTable12[[#This Row],['#/Unit]]*FilterSpecs!$B$3+MouserListTable12[[#This Row],[Extra Initial]]</f>
        <v>0</v>
      </c>
      <c r="G86" s="103"/>
      <c r="H86" s="103"/>
      <c r="I86" s="126" t="s">
        <v>2308</v>
      </c>
      <c r="K86" s="172">
        <v>6.5</v>
      </c>
      <c r="L86" s="126" t="s">
        <v>1910</v>
      </c>
      <c r="N86" s="171">
        <f>MouserListTable12[[#This Row],['# Initial]]*MouserListTable12[[#This Row],[Price (USD)]]</f>
        <v>0</v>
      </c>
      <c r="O86" s="106" t="s">
        <v>2307</v>
      </c>
      <c r="P86" s="103">
        <f t="shared" si="1"/>
        <v>73</v>
      </c>
      <c r="Q86" s="103">
        <f>IF($D86=$O86,1,0)</f>
        <v>1</v>
      </c>
      <c r="R86" s="103" t="s">
        <v>1898</v>
      </c>
      <c r="S86" s="103" t="str">
        <f>_xlfn.IFS(MouserListTable12[[#This Row],[Supplier]]=FilterSpecs!$A$6, FilterSpecs!$B$6,MouserListTable12[[#This Row],[Supplier]]=FilterSpecs!$A$7,FilterSpecs!$B$7,MouserListTable12[[#This Row],[Supplier]]=FilterSpecs!$A$8,FilterSpecs!$B$8,MouserListTable12[[#This Row],[Supplier]]=FilterSpecs!$A$9,FilterSpecs!$B$9)</f>
        <v>485-</v>
      </c>
      <c r="T8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485-2777</v>
      </c>
      <c r="U86" s="121">
        <v>0</v>
      </c>
      <c r="V86" s="121">
        <v>0</v>
      </c>
      <c r="W86" s="121">
        <v>0</v>
      </c>
      <c r="X86" s="121">
        <f>MouserListTable12[[#This Row],['#/Unit]]*FilterSpecs!$C$3+MouserListTable12[[#This Row],[Extra]]</f>
        <v>0</v>
      </c>
      <c r="Y86" s="121">
        <f>IF(MouserListTable12[[#This Row],[Tag]]=FilterSpecs!$F$7,MouserListTable12[[#This Row],[Price (USD)]],0)</f>
        <v>0</v>
      </c>
      <c r="Z86" s="121">
        <f>MouserListTable12[[#This Row],[Tot '#]]*MouserListTable12[[#This Row],[Price (USD)]]</f>
        <v>0</v>
      </c>
    </row>
    <row r="87" spans="1:26" s="146" customFormat="1" hidden="1" x14ac:dyDescent="0.3">
      <c r="A87" s="103" t="s">
        <v>894</v>
      </c>
      <c r="B87" s="103" t="s">
        <v>2064</v>
      </c>
      <c r="C87" s="103" t="s">
        <v>1898</v>
      </c>
      <c r="D87" s="106" t="str">
        <f>IF(MouserListTable12[[#This Row],[Vendor]]=FilterSpecs!$A$8,MouserListTable12[[#This Row],[Mouser SKU]], MouserListTable12[[#This Row],[SKU2]])</f>
        <v>2697</v>
      </c>
      <c r="E87" s="121">
        <f>MouserListTable12[[#This Row],[Tot '#]]-MouserListTable12[[#This Row],['# Initial]]</f>
        <v>0</v>
      </c>
      <c r="F87" s="121">
        <f>MouserListTable12[[#This Row],['#/Unit]]*FilterSpecs!$B$3+MouserListTable12[[#This Row],[Extra Initial]]</f>
        <v>0</v>
      </c>
      <c r="G87" s="103"/>
      <c r="H87" s="103"/>
      <c r="I87" s="126" t="s">
        <v>2310</v>
      </c>
      <c r="K87" s="172">
        <v>2.75</v>
      </c>
      <c r="L87" s="126" t="s">
        <v>1910</v>
      </c>
      <c r="N87" s="171">
        <f>MouserListTable12[[#This Row],['# Initial]]*MouserListTable12[[#This Row],[Price (USD)]]</f>
        <v>0</v>
      </c>
      <c r="O87" s="106" t="s">
        <v>2309</v>
      </c>
      <c r="P87" s="103">
        <f t="shared" si="1"/>
        <v>74</v>
      </c>
      <c r="Q87" s="103">
        <f>IF($D87=$O87,1,0)</f>
        <v>1</v>
      </c>
      <c r="R87" s="103" t="s">
        <v>1898</v>
      </c>
      <c r="S87" s="103" t="str">
        <f>_xlfn.IFS(MouserListTable12[[#This Row],[Supplier]]=FilterSpecs!$A$6, FilterSpecs!$B$6,MouserListTable12[[#This Row],[Supplier]]=FilterSpecs!$A$7,FilterSpecs!$B$7,MouserListTable12[[#This Row],[Supplier]]=FilterSpecs!$A$8,FilterSpecs!$B$8,MouserListTable12[[#This Row],[Supplier]]=FilterSpecs!$A$9,FilterSpecs!$B$9)</f>
        <v>485-</v>
      </c>
      <c r="T8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485-2697</v>
      </c>
      <c r="U87" s="121">
        <v>0</v>
      </c>
      <c r="V87" s="121">
        <v>0</v>
      </c>
      <c r="W87" s="121">
        <v>0</v>
      </c>
      <c r="X87" s="121">
        <f>MouserListTable12[[#This Row],['#/Unit]]*FilterSpecs!$C$3+MouserListTable12[[#This Row],[Extra]]</f>
        <v>0</v>
      </c>
      <c r="Y87" s="121">
        <f>IF(MouserListTable12[[#This Row],[Tag]]=FilterSpecs!$F$7,MouserListTable12[[#This Row],[Price (USD)]],0)</f>
        <v>0</v>
      </c>
      <c r="Z87" s="121">
        <f>MouserListTable12[[#This Row],[Tot '#]]*MouserListTable12[[#This Row],[Price (USD)]]</f>
        <v>0</v>
      </c>
    </row>
    <row r="88" spans="1:26" s="146" customFormat="1" x14ac:dyDescent="0.3">
      <c r="A88" s="103" t="s">
        <v>894</v>
      </c>
      <c r="B88" s="103" t="s">
        <v>2064</v>
      </c>
      <c r="C88" s="103" t="s">
        <v>1898</v>
      </c>
      <c r="D88" s="106" t="str">
        <f>IF(MouserListTable12[[#This Row],[Vendor]]=FilterSpecs!$A$8,MouserListTable12[[#This Row],[Mouser SKU]], MouserListTable12[[#This Row],[SKU2]])</f>
        <v>2789</v>
      </c>
      <c r="E88" s="121">
        <f>MouserListTable12[[#This Row],[Tot '#]]-MouserListTable12[[#This Row],['# Initial]]</f>
        <v>0</v>
      </c>
      <c r="F88" s="121">
        <f>MouserListTable12[[#This Row],['#/Unit]]*FilterSpecs!$B$3+MouserListTable12[[#This Row],[Extra Initial]]</f>
        <v>5</v>
      </c>
      <c r="G88" s="103"/>
      <c r="H88" s="103"/>
      <c r="I88" s="103" t="s">
        <v>2313</v>
      </c>
      <c r="K88" s="171">
        <v>1.95</v>
      </c>
      <c r="L88" s="103" t="s">
        <v>1911</v>
      </c>
      <c r="M88" s="106"/>
      <c r="N88" s="171">
        <f>MouserListTable12[[#This Row],['# Initial]]*MouserListTable12[[#This Row],[Price (USD)]]</f>
        <v>9.75</v>
      </c>
      <c r="O88" s="106" t="s">
        <v>2312</v>
      </c>
      <c r="P88" s="103">
        <f t="shared" si="1"/>
        <v>75</v>
      </c>
      <c r="Q88" s="103">
        <f>IF($D88=$O88,1,0)</f>
        <v>1</v>
      </c>
      <c r="R88" s="103" t="s">
        <v>1898</v>
      </c>
      <c r="S88" s="103" t="str">
        <f>_xlfn.IFS(MouserListTable12[[#This Row],[Supplier]]=FilterSpecs!$A$6, FilterSpecs!$B$6,MouserListTable12[[#This Row],[Supplier]]=FilterSpecs!$A$7,FilterSpecs!$B$7,MouserListTable12[[#This Row],[Supplier]]=FilterSpecs!$A$8,FilterSpecs!$B$8,MouserListTable12[[#This Row],[Supplier]]=FilterSpecs!$A$9,FilterSpecs!$B$9)</f>
        <v>485-</v>
      </c>
      <c r="T8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485-2789</v>
      </c>
      <c r="U88" s="121">
        <v>1</v>
      </c>
      <c r="V88" s="121">
        <v>0</v>
      </c>
      <c r="W88" s="121">
        <v>0</v>
      </c>
      <c r="X88" s="121">
        <f>MouserListTable12[[#This Row],['#/Unit]]*FilterSpecs!$C$3+MouserListTable12[[#This Row],[Extra]]</f>
        <v>5</v>
      </c>
      <c r="Y88" s="121">
        <f>IF(MouserListTable12[[#This Row],[Tag]]=FilterSpecs!$F$7,MouserListTable12[[#This Row],[Price (USD)]],0)</f>
        <v>1.95</v>
      </c>
      <c r="Z88" s="121">
        <f>MouserListTable12[[#This Row],[Tot '#]]*MouserListTable12[[#This Row],[Price (USD)]]</f>
        <v>9.75</v>
      </c>
    </row>
    <row r="89" spans="1:26" s="146" customFormat="1" x14ac:dyDescent="0.3">
      <c r="A89" s="103" t="s">
        <v>894</v>
      </c>
      <c r="B89" s="103" t="s">
        <v>2040</v>
      </c>
      <c r="C89" s="103" t="s">
        <v>8</v>
      </c>
      <c r="D89" s="106" t="str">
        <f>IF(MouserListTable12[[#This Row],[Vendor]]=FilterSpecs!$A$8,MouserListTable12[[#This Row],[Mouser SKU]], MouserListTable12[[#This Row],[SKU2]])</f>
        <v>DEV-13158</v>
      </c>
      <c r="E89" s="121">
        <f>MouserListTable12[[#This Row],[Tot '#]]-MouserListTable12[[#This Row],['# Initial]]</f>
        <v>0</v>
      </c>
      <c r="F89" s="121">
        <f>MouserListTable12[[#This Row],['#/Unit]]*FilterSpecs!$B$3+MouserListTable12[[#This Row],[Extra Initial]]</f>
        <v>5</v>
      </c>
      <c r="G89" s="103" t="s">
        <v>37</v>
      </c>
      <c r="H89" s="103" t="s">
        <v>38</v>
      </c>
      <c r="I89" s="103" t="s">
        <v>39</v>
      </c>
      <c r="J89" s="146">
        <v>1</v>
      </c>
      <c r="K89" s="171">
        <v>29.95</v>
      </c>
      <c r="L89" s="103" t="s">
        <v>1911</v>
      </c>
      <c r="M89" s="106"/>
      <c r="N89" s="171">
        <f>MouserListTable12[[#This Row],['# Initial]]*MouserListTable12[[#This Row],[Price (USD)]]</f>
        <v>149.75</v>
      </c>
      <c r="O89" s="106" t="s">
        <v>36</v>
      </c>
      <c r="P89" s="103">
        <f t="shared" si="1"/>
        <v>76</v>
      </c>
      <c r="Q89" s="103">
        <f>IF($D89=$O89,1,0)</f>
        <v>1</v>
      </c>
      <c r="R89" s="103" t="s">
        <v>8</v>
      </c>
      <c r="S89" s="103" t="str">
        <f>_xlfn.IFS(MouserListTable12[[#This Row],[Supplier]]=FilterSpecs!$A$6, FilterSpecs!$B$6,MouserListTable12[[#This Row],[Supplier]]=FilterSpecs!$A$7,FilterSpecs!$B$7,MouserListTable12[[#This Row],[Supplier]]=FilterSpecs!$A$8,FilterSpecs!$B$8,MouserListTable12[[#This Row],[Supplier]]=FilterSpecs!$A$9,FilterSpecs!$B$9)</f>
        <v>474-</v>
      </c>
      <c r="T8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474-DEV-13158</v>
      </c>
      <c r="U89" s="121">
        <v>1</v>
      </c>
      <c r="V89" s="121">
        <v>0</v>
      </c>
      <c r="W89" s="121">
        <v>0</v>
      </c>
      <c r="X89" s="121">
        <f>MouserListTable12[[#This Row],['#/Unit]]*FilterSpecs!$C$3+MouserListTable12[[#This Row],[Extra]]</f>
        <v>5</v>
      </c>
      <c r="Y89" s="121">
        <f>IF(MouserListTable12[[#This Row],[Tag]]=FilterSpecs!$F$7,MouserListTable12[[#This Row],[Price (USD)]],0)</f>
        <v>29.95</v>
      </c>
      <c r="Z89" s="121">
        <f>MouserListTable12[[#This Row],[Tot '#]]*MouserListTable12[[#This Row],[Price (USD)]]</f>
        <v>149.75</v>
      </c>
    </row>
    <row r="90" spans="1:26" s="146" customFormat="1" x14ac:dyDescent="0.3">
      <c r="A90" s="103" t="s">
        <v>894</v>
      </c>
      <c r="B90" s="103" t="s">
        <v>2040</v>
      </c>
      <c r="C90" s="103" t="s">
        <v>8</v>
      </c>
      <c r="D90" s="106" t="str">
        <f>IF(MouserListTable12[[#This Row],[Vendor]]=FilterSpecs!$A$8,MouserListTable12[[#This Row],[Mouser SKU]], MouserListTable12[[#This Row],[SKU2]])</f>
        <v>PRT-12711</v>
      </c>
      <c r="E90" s="121">
        <f>MouserListTable12[[#This Row],[Tot '#]]-MouserListTable12[[#This Row],['# Initial]]</f>
        <v>0</v>
      </c>
      <c r="F90" s="121">
        <f>MouserListTable12[[#This Row],['#/Unit]]*FilterSpecs!$B$3+MouserListTable12[[#This Row],[Extra Initial]]</f>
        <v>5</v>
      </c>
      <c r="G90" s="103" t="s">
        <v>41</v>
      </c>
      <c r="H90" s="103" t="s">
        <v>42</v>
      </c>
      <c r="I90" s="103" t="s">
        <v>43</v>
      </c>
      <c r="J90" s="146">
        <v>1</v>
      </c>
      <c r="K90" s="171">
        <v>14.95</v>
      </c>
      <c r="L90" s="103" t="s">
        <v>1911</v>
      </c>
      <c r="M90" s="106"/>
      <c r="N90" s="171">
        <f>MouserListTable12[[#This Row],['# Initial]]*MouserListTable12[[#This Row],[Price (USD)]]</f>
        <v>74.75</v>
      </c>
      <c r="O90" s="106" t="s">
        <v>40</v>
      </c>
      <c r="P90" s="103">
        <f t="shared" si="1"/>
        <v>77</v>
      </c>
      <c r="Q90" s="103">
        <f>IF($D90=$O90,1,0)</f>
        <v>1</v>
      </c>
      <c r="R90" s="103" t="s">
        <v>8</v>
      </c>
      <c r="S90" s="103" t="str">
        <f>_xlfn.IFS(MouserListTable12[[#This Row],[Supplier]]=FilterSpecs!$A$6, FilterSpecs!$B$6,MouserListTable12[[#This Row],[Supplier]]=FilterSpecs!$A$7,FilterSpecs!$B$7,MouserListTable12[[#This Row],[Supplier]]=FilterSpecs!$A$8,FilterSpecs!$B$8,MouserListTable12[[#This Row],[Supplier]]=FilterSpecs!$A$9,FilterSpecs!$B$9)</f>
        <v>474-</v>
      </c>
      <c r="T9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474-PRT-12711</v>
      </c>
      <c r="U90" s="121">
        <v>1</v>
      </c>
      <c r="V90" s="121">
        <v>0</v>
      </c>
      <c r="W90" s="121">
        <v>0</v>
      </c>
      <c r="X90" s="121">
        <f>MouserListTable12[[#This Row],['#/Unit]]*FilterSpecs!$C$3+MouserListTable12[[#This Row],[Extra]]</f>
        <v>5</v>
      </c>
      <c r="Y90" s="121">
        <f>IF(MouserListTable12[[#This Row],[Tag]]=FilterSpecs!$F$7,MouserListTable12[[#This Row],[Price (USD)]],0)</f>
        <v>14.95</v>
      </c>
      <c r="Z90" s="121">
        <f>MouserListTable12[[#This Row],[Tot '#]]*MouserListTable12[[#This Row],[Price (USD)]]</f>
        <v>74.75</v>
      </c>
    </row>
    <row r="91" spans="1:26" s="146" customFormat="1" hidden="1" x14ac:dyDescent="0.3">
      <c r="A91" s="103" t="s">
        <v>894</v>
      </c>
      <c r="B91" s="103" t="s">
        <v>2040</v>
      </c>
      <c r="C91" s="103" t="s">
        <v>8</v>
      </c>
      <c r="D91" s="106" t="str">
        <f>IF(MouserListTable12[[#This Row],[Vendor]]=FilterSpecs!$A$8,MouserListTable12[[#This Row],[Mouser SKU]], MouserListTable12[[#This Row],[SKU2]])</f>
        <v>PRT-13777</v>
      </c>
      <c r="E91" s="121">
        <f>MouserListTable12[[#This Row],[Tot '#]]-MouserListTable12[[#This Row],['# Initial]]</f>
        <v>1</v>
      </c>
      <c r="F91" s="121">
        <f>MouserListTable12[[#This Row],['#/Unit]]*FilterSpecs!$B$3+MouserListTable12[[#This Row],[Extra Initial]]</f>
        <v>0</v>
      </c>
      <c r="G91" s="103" t="s">
        <v>49</v>
      </c>
      <c r="H91" s="103" t="s">
        <v>50</v>
      </c>
      <c r="I91" s="103" t="s">
        <v>51</v>
      </c>
      <c r="J91" s="146">
        <v>1</v>
      </c>
      <c r="K91" s="171">
        <v>19.95</v>
      </c>
      <c r="L91" s="103" t="s">
        <v>1910</v>
      </c>
      <c r="M91" s="106"/>
      <c r="N91" s="171">
        <f>MouserListTable12[[#This Row],['# Initial]]*MouserListTable12[[#This Row],[Price (USD)]]</f>
        <v>0</v>
      </c>
      <c r="O91" s="106" t="s">
        <v>48</v>
      </c>
      <c r="P91" s="103">
        <f t="shared" si="1"/>
        <v>78</v>
      </c>
      <c r="Q91" s="103">
        <f>IF($D91=$O91,1,0)</f>
        <v>1</v>
      </c>
      <c r="R91" s="103" t="s">
        <v>8</v>
      </c>
      <c r="S91" s="103" t="str">
        <f>_xlfn.IFS(MouserListTable12[[#This Row],[Supplier]]=FilterSpecs!$A$6, FilterSpecs!$B$6,MouserListTable12[[#This Row],[Supplier]]=FilterSpecs!$A$7,FilterSpecs!$B$7,MouserListTable12[[#This Row],[Supplier]]=FilterSpecs!$A$8,FilterSpecs!$B$8,MouserListTable12[[#This Row],[Supplier]]=FilterSpecs!$A$9,FilterSpecs!$B$9)</f>
        <v>474-</v>
      </c>
      <c r="T9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474-PRT-13777</v>
      </c>
      <c r="U91" s="121">
        <v>0</v>
      </c>
      <c r="V91" s="121">
        <v>1</v>
      </c>
      <c r="W91" s="121">
        <v>0</v>
      </c>
      <c r="X91" s="121">
        <f>MouserListTable12[[#This Row],['#/Unit]]*FilterSpecs!$C$3+MouserListTable12[[#This Row],[Extra]]</f>
        <v>1</v>
      </c>
      <c r="Y91" s="121">
        <f>IF(MouserListTable12[[#This Row],[Tag]]=FilterSpecs!$F$7,MouserListTable12[[#This Row],[Price (USD)]],0)</f>
        <v>0</v>
      </c>
      <c r="Z91" s="121">
        <f>MouserListTable12[[#This Row],[Tot '#]]*MouserListTable12[[#This Row],[Price (USD)]]</f>
        <v>19.95</v>
      </c>
    </row>
    <row r="92" spans="1:26" s="146" customFormat="1" x14ac:dyDescent="0.3">
      <c r="A92" s="103" t="s">
        <v>894</v>
      </c>
      <c r="B92" s="103" t="s">
        <v>2040</v>
      </c>
      <c r="C92" s="103" t="s">
        <v>8</v>
      </c>
      <c r="D92" s="106" t="str">
        <f>IF(MouserListTable12[[#This Row],[Vendor]]=FilterSpecs!$A$8,MouserListTable12[[#This Row],[Mouser SKU]], MouserListTable12[[#This Row],[SKU2]])</f>
        <v>PRT-13856</v>
      </c>
      <c r="E92" s="121">
        <f>MouserListTable12[[#This Row],[Tot '#]]-MouserListTable12[[#This Row],['# Initial]]</f>
        <v>1</v>
      </c>
      <c r="F92" s="121">
        <f>MouserListTable12[[#This Row],['#/Unit]]*FilterSpecs!$B$3+MouserListTable12[[#This Row],[Extra Initial]]</f>
        <v>5</v>
      </c>
      <c r="G92" s="103" t="s">
        <v>53</v>
      </c>
      <c r="H92" s="103" t="s">
        <v>54</v>
      </c>
      <c r="I92" s="103" t="s">
        <v>55</v>
      </c>
      <c r="J92" s="146">
        <v>1</v>
      </c>
      <c r="K92" s="171">
        <v>29.95</v>
      </c>
      <c r="L92" s="103" t="s">
        <v>1911</v>
      </c>
      <c r="M92" s="106"/>
      <c r="N92" s="171">
        <f>MouserListTable12[[#This Row],['# Initial]]*MouserListTable12[[#This Row],[Price (USD)]]</f>
        <v>149.75</v>
      </c>
      <c r="O92" s="106" t="s">
        <v>52</v>
      </c>
      <c r="P92" s="103">
        <f t="shared" si="1"/>
        <v>79</v>
      </c>
      <c r="Q92" s="103">
        <f>IF($D92=$O92,1,0)</f>
        <v>1</v>
      </c>
      <c r="R92" s="103" t="s">
        <v>8</v>
      </c>
      <c r="S92" s="103" t="str">
        <f>_xlfn.IFS(MouserListTable12[[#This Row],[Supplier]]=FilterSpecs!$A$6, FilterSpecs!$B$6,MouserListTable12[[#This Row],[Supplier]]=FilterSpecs!$A$7,FilterSpecs!$B$7,MouserListTable12[[#This Row],[Supplier]]=FilterSpecs!$A$8,FilterSpecs!$B$8,MouserListTable12[[#This Row],[Supplier]]=FilterSpecs!$A$9,FilterSpecs!$B$9)</f>
        <v>474-</v>
      </c>
      <c r="T9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474-PRT-13856</v>
      </c>
      <c r="U92" s="121">
        <v>1</v>
      </c>
      <c r="V92" s="121">
        <v>1</v>
      </c>
      <c r="W92" s="121">
        <v>0</v>
      </c>
      <c r="X92" s="121">
        <f>MouserListTable12[[#This Row],['#/Unit]]*FilterSpecs!$C$3+MouserListTable12[[#This Row],[Extra]]</f>
        <v>6</v>
      </c>
      <c r="Y92" s="121">
        <f>IF(MouserListTable12[[#This Row],[Tag]]=FilterSpecs!$F$7,MouserListTable12[[#This Row],[Price (USD)]],0)</f>
        <v>29.95</v>
      </c>
      <c r="Z92" s="121">
        <f>MouserListTable12[[#This Row],[Tot '#]]*MouserListTable12[[#This Row],[Price (USD)]]</f>
        <v>179.7</v>
      </c>
    </row>
    <row r="93" spans="1:26" s="146" customFormat="1" hidden="1" x14ac:dyDescent="0.3">
      <c r="A93" s="103" t="s">
        <v>894</v>
      </c>
      <c r="B93" s="103" t="s">
        <v>2040</v>
      </c>
      <c r="C93" s="103" t="s">
        <v>8</v>
      </c>
      <c r="D93" s="106" t="str">
        <f>IF(MouserListTable12[[#This Row],[Vendor]]=FilterSpecs!$A$8,MouserListTable12[[#This Row],[Mouser SKU]], MouserListTable12[[#This Row],[SKU2]])</f>
        <v>PRT-13855</v>
      </c>
      <c r="E93" s="121">
        <f>MouserListTable12[[#This Row],[Tot '#]]-MouserListTable12[[#This Row],['# Initial]]</f>
        <v>2</v>
      </c>
      <c r="F93" s="121">
        <f>MouserListTable12[[#This Row],['#/Unit]]*FilterSpecs!$B$3+MouserListTable12[[#This Row],[Extra Initial]]</f>
        <v>0</v>
      </c>
      <c r="G93" s="103" t="s">
        <v>796</v>
      </c>
      <c r="H93" s="103" t="s">
        <v>797</v>
      </c>
      <c r="I93" s="103" t="s">
        <v>798</v>
      </c>
      <c r="J93" s="146">
        <v>1</v>
      </c>
      <c r="K93" s="171">
        <v>12.95</v>
      </c>
      <c r="L93" s="103" t="s">
        <v>1910</v>
      </c>
      <c r="M93" s="106"/>
      <c r="N93" s="171">
        <f>MouserListTable12[[#This Row],['# Initial]]*MouserListTable12[[#This Row],[Price (USD)]]</f>
        <v>0</v>
      </c>
      <c r="O93" s="106" t="s">
        <v>795</v>
      </c>
      <c r="P93" s="103">
        <f t="shared" si="1"/>
        <v>80</v>
      </c>
      <c r="Q93" s="103">
        <f>IF($D93=$O93,1,0)</f>
        <v>1</v>
      </c>
      <c r="R93" s="103" t="s">
        <v>8</v>
      </c>
      <c r="S93" s="103" t="str">
        <f>_xlfn.IFS(MouserListTable12[[#This Row],[Supplier]]=FilterSpecs!$A$6, FilterSpecs!$B$6,MouserListTable12[[#This Row],[Supplier]]=FilterSpecs!$A$7,FilterSpecs!$B$7,MouserListTable12[[#This Row],[Supplier]]=FilterSpecs!$A$8,FilterSpecs!$B$8,MouserListTable12[[#This Row],[Supplier]]=FilterSpecs!$A$9,FilterSpecs!$B$9)</f>
        <v>474-</v>
      </c>
      <c r="T9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474-PRT-13855</v>
      </c>
      <c r="U93" s="121">
        <v>0</v>
      </c>
      <c r="V93" s="121">
        <v>2</v>
      </c>
      <c r="W93" s="121">
        <v>0</v>
      </c>
      <c r="X93" s="121">
        <f>MouserListTable12[[#This Row],['#/Unit]]*FilterSpecs!$C$3+MouserListTable12[[#This Row],[Extra]]</f>
        <v>2</v>
      </c>
      <c r="Y93" s="121">
        <f>IF(MouserListTable12[[#This Row],[Tag]]=FilterSpecs!$F$7,MouserListTable12[[#This Row],[Price (USD)]],0)</f>
        <v>0</v>
      </c>
      <c r="Z93" s="121">
        <f>MouserListTable12[[#This Row],[Tot '#]]*MouserListTable12[[#This Row],[Price (USD)]]</f>
        <v>25.9</v>
      </c>
    </row>
    <row r="94" spans="1:26" s="146" customFormat="1" x14ac:dyDescent="0.3">
      <c r="A94" s="103" t="s">
        <v>894</v>
      </c>
      <c r="B94" s="103" t="s">
        <v>2034</v>
      </c>
      <c r="C94" s="103" t="s">
        <v>8</v>
      </c>
      <c r="D94" s="106" t="str">
        <f>IF(MouserListTable12[[#This Row],[Vendor]]=FilterSpecs!$A$8,MouserListTable12[[#This Row],[Mouser SKU]], MouserListTable12[[#This Row],[SKU2]])</f>
        <v>PRT-13032</v>
      </c>
      <c r="E94" s="121">
        <f>MouserListTable12[[#This Row],[Tot '#]]-MouserListTable12[[#This Row],['# Initial]]</f>
        <v>0</v>
      </c>
      <c r="F94" s="121">
        <f>MouserListTable12[[#This Row],['#/Unit]]*FilterSpecs!$B$3+MouserListTable12[[#This Row],[Extra Initial]]</f>
        <v>5</v>
      </c>
      <c r="G94" s="103" t="s">
        <v>45</v>
      </c>
      <c r="H94" s="103" t="s">
        <v>46</v>
      </c>
      <c r="I94" s="103" t="s">
        <v>47</v>
      </c>
      <c r="J94" s="146">
        <v>1</v>
      </c>
      <c r="K94" s="171">
        <v>9.9499999999999993</v>
      </c>
      <c r="L94" s="103" t="s">
        <v>1911</v>
      </c>
      <c r="M94" s="106"/>
      <c r="N94" s="171">
        <f>MouserListTable12[[#This Row],['# Initial]]*MouserListTable12[[#This Row],[Price (USD)]]</f>
        <v>49.75</v>
      </c>
      <c r="O94" s="106" t="s">
        <v>44</v>
      </c>
      <c r="P94" s="103">
        <f t="shared" si="1"/>
        <v>81</v>
      </c>
      <c r="Q94" s="103">
        <f>IF($D94=$O94,1,0)</f>
        <v>1</v>
      </c>
      <c r="R94" s="103" t="s">
        <v>8</v>
      </c>
      <c r="S94" s="103" t="str">
        <f>_xlfn.IFS(MouserListTable12[[#This Row],[Supplier]]=FilterSpecs!$A$6, FilterSpecs!$B$6,MouserListTable12[[#This Row],[Supplier]]=FilterSpecs!$A$7,FilterSpecs!$B$7,MouserListTable12[[#This Row],[Supplier]]=FilterSpecs!$A$8,FilterSpecs!$B$8,MouserListTable12[[#This Row],[Supplier]]=FilterSpecs!$A$9,FilterSpecs!$B$9)</f>
        <v>474-</v>
      </c>
      <c r="T9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474-PRT-13032</v>
      </c>
      <c r="U94" s="121">
        <v>1</v>
      </c>
      <c r="V94" s="121">
        <v>0</v>
      </c>
      <c r="W94" s="121">
        <v>0</v>
      </c>
      <c r="X94" s="121">
        <f>MouserListTable12[[#This Row],['#/Unit]]*FilterSpecs!$C$3+MouserListTable12[[#This Row],[Extra]]</f>
        <v>5</v>
      </c>
      <c r="Y94" s="121">
        <f>IF(MouserListTable12[[#This Row],[Tag]]=FilterSpecs!$F$7,MouserListTable12[[#This Row],[Price (USD)]],0)</f>
        <v>9.9499999999999993</v>
      </c>
      <c r="Z94" s="121">
        <f>MouserListTable12[[#This Row],[Tot '#]]*MouserListTable12[[#This Row],[Price (USD)]]</f>
        <v>49.75</v>
      </c>
    </row>
    <row r="95" spans="1:26" s="146" customFormat="1" hidden="1" x14ac:dyDescent="0.3">
      <c r="A95" s="103" t="s">
        <v>894</v>
      </c>
      <c r="B95" s="103" t="s">
        <v>2034</v>
      </c>
      <c r="C95" s="103" t="s">
        <v>8</v>
      </c>
      <c r="D95" s="106" t="str">
        <f>IF(MouserListTable12[[#This Row],[Vendor]]=FilterSpecs!$A$8,MouserListTable12[[#This Row],[Mouser SKU]], MouserListTable12[[#This Row],[SKU2]])</f>
        <v>PRT-00114</v>
      </c>
      <c r="E95" s="121">
        <f>MouserListTable12[[#This Row],[Tot '#]]-MouserListTable12[[#This Row],['# Initial]]</f>
        <v>2</v>
      </c>
      <c r="F95" s="121">
        <f>MouserListTable12[[#This Row],['#/Unit]]*FilterSpecs!$B$3+MouserListTable12[[#This Row],[Extra Initial]]</f>
        <v>0</v>
      </c>
      <c r="G95" s="103" t="s">
        <v>1206</v>
      </c>
      <c r="H95" s="103" t="s">
        <v>1207</v>
      </c>
      <c r="I95" s="103" t="s">
        <v>1208</v>
      </c>
      <c r="J95" s="146">
        <v>1</v>
      </c>
      <c r="K95" s="171">
        <v>9.9499999999999993</v>
      </c>
      <c r="L95" s="103" t="s">
        <v>1913</v>
      </c>
      <c r="M95" s="106"/>
      <c r="N95" s="171">
        <f>MouserListTable12[[#This Row],['# Initial]]*MouserListTable12[[#This Row],[Price (USD)]]</f>
        <v>0</v>
      </c>
      <c r="O95" s="106" t="s">
        <v>1205</v>
      </c>
      <c r="P95" s="103">
        <f t="shared" si="1"/>
        <v>82</v>
      </c>
      <c r="Q95" s="103">
        <f>IF($D95=$O95,1,0)</f>
        <v>1</v>
      </c>
      <c r="R95" s="103" t="s">
        <v>8</v>
      </c>
      <c r="S95" s="103" t="str">
        <f>_xlfn.IFS(MouserListTable12[[#This Row],[Supplier]]=FilterSpecs!$A$6, FilterSpecs!$B$6,MouserListTable12[[#This Row],[Supplier]]=FilterSpecs!$A$7,FilterSpecs!$B$7,MouserListTable12[[#This Row],[Supplier]]=FilterSpecs!$A$8,FilterSpecs!$B$8,MouserListTable12[[#This Row],[Supplier]]=FilterSpecs!$A$9,FilterSpecs!$B$9)</f>
        <v>474-</v>
      </c>
      <c r="T9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474-PRT-00114</v>
      </c>
      <c r="U95" s="121">
        <v>0</v>
      </c>
      <c r="V95" s="121">
        <v>2</v>
      </c>
      <c r="W95" s="121">
        <v>0</v>
      </c>
      <c r="X95" s="121">
        <f>MouserListTable12[[#This Row],['#/Unit]]*FilterSpecs!$C$3+MouserListTable12[[#This Row],[Extra]]</f>
        <v>2</v>
      </c>
      <c r="Y95" s="121">
        <f>IF(MouserListTable12[[#This Row],[Tag]]=FilterSpecs!$F$7,MouserListTable12[[#This Row],[Price (USD)]],0)</f>
        <v>0</v>
      </c>
      <c r="Z95" s="121">
        <f>MouserListTable12[[#This Row],[Tot '#]]*MouserListTable12[[#This Row],[Price (USD)]]</f>
        <v>19.899999999999999</v>
      </c>
    </row>
    <row r="96" spans="1:26" s="146" customFormat="1" hidden="1" x14ac:dyDescent="0.3">
      <c r="A96" s="126" t="s">
        <v>894</v>
      </c>
      <c r="B96" s="103" t="s">
        <v>2034</v>
      </c>
      <c r="C96" s="103" t="s">
        <v>1898</v>
      </c>
      <c r="D96" s="106" t="str">
        <f>IF(MouserListTable12[[#This Row],[Vendor]]=FilterSpecs!$A$8,MouserListTable12[[#This Row],[Mouser SKU]], MouserListTable12[[#This Row],[SKU2]])</f>
        <v>184</v>
      </c>
      <c r="E96" s="121">
        <f>MouserListTable12[[#This Row],[Tot '#]]-MouserListTable12[[#This Row],['# Initial]]</f>
        <v>0</v>
      </c>
      <c r="F96" s="121">
        <f>MouserListTable12[[#This Row],['#/Unit]]*FilterSpecs!$B$3+MouserListTable12[[#This Row],[Extra Initial]]</f>
        <v>0</v>
      </c>
      <c r="G96" s="103"/>
      <c r="H96" s="103"/>
      <c r="I96" s="126" t="s">
        <v>2288</v>
      </c>
      <c r="K96" s="172">
        <v>14.95</v>
      </c>
      <c r="L96" s="126" t="s">
        <v>1910</v>
      </c>
      <c r="N96" s="171">
        <f>MouserListTable12[[#This Row],['# Initial]]*MouserListTable12[[#This Row],[Price (USD)]]</f>
        <v>0</v>
      </c>
      <c r="O96" s="106" t="s">
        <v>2287</v>
      </c>
      <c r="P96" s="103">
        <f t="shared" si="1"/>
        <v>83</v>
      </c>
      <c r="Q96" s="103">
        <f>IF($D96=$O96,1,0)</f>
        <v>1</v>
      </c>
      <c r="R96" s="103" t="s">
        <v>1898</v>
      </c>
      <c r="S96" s="103" t="str">
        <f>_xlfn.IFS(MouserListTable12[[#This Row],[Supplier]]=FilterSpecs!$A$6, FilterSpecs!$B$6,MouserListTable12[[#This Row],[Supplier]]=FilterSpecs!$A$7,FilterSpecs!$B$7,MouserListTable12[[#This Row],[Supplier]]=FilterSpecs!$A$8,FilterSpecs!$B$8,MouserListTable12[[#This Row],[Supplier]]=FilterSpecs!$A$9,FilterSpecs!$B$9)</f>
        <v>485-</v>
      </c>
      <c r="T9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485-184</v>
      </c>
      <c r="U96" s="121">
        <v>0</v>
      </c>
      <c r="V96" s="121">
        <v>0</v>
      </c>
      <c r="W96" s="121">
        <v>0</v>
      </c>
      <c r="X96" s="121">
        <f>MouserListTable12[[#This Row],['#/Unit]]*FilterSpecs!$C$3+MouserListTable12[[#This Row],[Extra]]</f>
        <v>0</v>
      </c>
      <c r="Y96" s="121">
        <f>IF(MouserListTable12[[#This Row],[Tag]]=FilterSpecs!$F$7,MouserListTable12[[#This Row],[Price (USD)]],0)</f>
        <v>0</v>
      </c>
      <c r="Z96" s="121">
        <f>MouserListTable12[[#This Row],[Tot '#]]*MouserListTable12[[#This Row],[Price (USD)]]</f>
        <v>0</v>
      </c>
    </row>
    <row r="97" spans="1:26" s="146" customFormat="1" x14ac:dyDescent="0.3">
      <c r="A97" s="103" t="s">
        <v>894</v>
      </c>
      <c r="B97" s="103" t="s">
        <v>2034</v>
      </c>
      <c r="C97" s="103" t="s">
        <v>8</v>
      </c>
      <c r="D97" s="106" t="str">
        <f>IF(MouserListTable12[[#This Row],[Vendor]]=FilterSpecs!$A$8,MouserListTable12[[#This Row],[Mouser SKU]], MouserListTable12[[#This Row],[SKU2]])</f>
        <v>PRT-10811</v>
      </c>
      <c r="E97" s="121">
        <f>MouserListTable12[[#This Row],[Tot '#]]-MouserListTable12[[#This Row],['# Initial]]</f>
        <v>1</v>
      </c>
      <c r="F97" s="121">
        <f>MouserListTable12[[#This Row],['#/Unit]]*FilterSpecs!$B$3+MouserListTable12[[#This Row],[Extra Initial]]</f>
        <v>5</v>
      </c>
      <c r="G97" s="103" t="s">
        <v>572</v>
      </c>
      <c r="H97" s="103" t="s">
        <v>573</v>
      </c>
      <c r="I97" s="103" t="s">
        <v>574</v>
      </c>
      <c r="K97" s="171">
        <v>0.95</v>
      </c>
      <c r="L97" s="103" t="s">
        <v>1911</v>
      </c>
      <c r="M97" s="106"/>
      <c r="N97" s="171">
        <f>MouserListTable12[[#This Row],['# Initial]]*MouserListTable12[[#This Row],[Price (USD)]]</f>
        <v>4.75</v>
      </c>
      <c r="O97" s="106" t="s">
        <v>571</v>
      </c>
      <c r="P97" s="103">
        <f t="shared" si="1"/>
        <v>84</v>
      </c>
      <c r="Q97" s="103">
        <f>IF($D97=$O97,1,0)</f>
        <v>1</v>
      </c>
      <c r="R97" s="103" t="s">
        <v>8</v>
      </c>
      <c r="S97" s="103" t="str">
        <f>_xlfn.IFS(MouserListTable12[[#This Row],[Supplier]]=FilterSpecs!$A$6, FilterSpecs!$B$6,MouserListTable12[[#This Row],[Supplier]]=FilterSpecs!$A$7,FilterSpecs!$B$7,MouserListTable12[[#This Row],[Supplier]]=FilterSpecs!$A$8,FilterSpecs!$B$8,MouserListTable12[[#This Row],[Supplier]]=FilterSpecs!$A$9,FilterSpecs!$B$9)</f>
        <v>474-</v>
      </c>
      <c r="T9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474-PRT-10811</v>
      </c>
      <c r="U97" s="121">
        <v>1</v>
      </c>
      <c r="V97" s="121">
        <v>1</v>
      </c>
      <c r="W97" s="121">
        <v>0</v>
      </c>
      <c r="X97" s="121">
        <f>MouserListTable12[[#This Row],['#/Unit]]*FilterSpecs!$C$3+MouserListTable12[[#This Row],[Extra]]</f>
        <v>6</v>
      </c>
      <c r="Y97" s="121">
        <f>IF(MouserListTable12[[#This Row],[Tag]]=FilterSpecs!$F$7,MouserListTable12[[#This Row],[Price (USD)]],0)</f>
        <v>0.95</v>
      </c>
      <c r="Z97" s="121">
        <f>MouserListTable12[[#This Row],[Tot '#]]*MouserListTable12[[#This Row],[Price (USD)]]</f>
        <v>5.6999999999999993</v>
      </c>
    </row>
    <row r="98" spans="1:26" s="146" customFormat="1" hidden="1" x14ac:dyDescent="0.3">
      <c r="A98" s="126" t="s">
        <v>894</v>
      </c>
      <c r="B98" s="103" t="s">
        <v>2034</v>
      </c>
      <c r="C98" s="103" t="s">
        <v>1898</v>
      </c>
      <c r="D98" s="106" t="str">
        <f>IF(MouserListTable12[[#This Row],[Vendor]]=FilterSpecs!$A$8,MouserListTable12[[#This Row],[Mouser SKU]], MouserListTable12[[#This Row],[SKU2]])</f>
        <v>373</v>
      </c>
      <c r="E98" s="121">
        <f>MouserListTable12[[#This Row],[Tot '#]]-MouserListTable12[[#This Row],['# Initial]]</f>
        <v>0</v>
      </c>
      <c r="F98" s="121">
        <f>MouserListTable12[[#This Row],['#/Unit]]*FilterSpecs!$B$3+MouserListTable12[[#This Row],[Extra Initial]]</f>
        <v>0</v>
      </c>
      <c r="G98" s="103"/>
      <c r="H98" s="103"/>
      <c r="I98" s="126" t="s">
        <v>2222</v>
      </c>
      <c r="K98" s="172">
        <v>0.95</v>
      </c>
      <c r="L98" s="126" t="s">
        <v>1910</v>
      </c>
      <c r="N98" s="171">
        <f>MouserListTable12[[#This Row],['# Initial]]*MouserListTable12[[#This Row],[Price (USD)]]</f>
        <v>0</v>
      </c>
      <c r="O98" s="106" t="s">
        <v>2221</v>
      </c>
      <c r="P98" s="103">
        <f t="shared" si="1"/>
        <v>85</v>
      </c>
      <c r="Q98" s="103">
        <f>IF($D98=$O98,1,0)</f>
        <v>1</v>
      </c>
      <c r="R98" s="103" t="s">
        <v>1898</v>
      </c>
      <c r="S98" s="103" t="str">
        <f>_xlfn.IFS(MouserListTable12[[#This Row],[Supplier]]=FilterSpecs!$A$6, FilterSpecs!$B$6,MouserListTable12[[#This Row],[Supplier]]=FilterSpecs!$A$7,FilterSpecs!$B$7,MouserListTable12[[#This Row],[Supplier]]=FilterSpecs!$A$8,FilterSpecs!$B$8,MouserListTable12[[#This Row],[Supplier]]=FilterSpecs!$A$9,FilterSpecs!$B$9)</f>
        <v>485-</v>
      </c>
      <c r="T9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485-373</v>
      </c>
      <c r="U98" s="121">
        <v>0</v>
      </c>
      <c r="V98" s="121">
        <v>0</v>
      </c>
      <c r="W98" s="121">
        <v>0</v>
      </c>
      <c r="X98" s="121">
        <f>MouserListTable12[[#This Row],['#/Unit]]*FilterSpecs!$C$3+MouserListTable12[[#This Row],[Extra]]</f>
        <v>0</v>
      </c>
      <c r="Y98" s="121">
        <f>IF(MouserListTable12[[#This Row],[Tag]]=FilterSpecs!$F$7,MouserListTable12[[#This Row],[Price (USD)]],0)</f>
        <v>0</v>
      </c>
      <c r="Z98" s="121">
        <f>MouserListTable12[[#This Row],[Tot '#]]*MouserListTable12[[#This Row],[Price (USD)]]</f>
        <v>0</v>
      </c>
    </row>
    <row r="99" spans="1:26" s="146" customFormat="1" x14ac:dyDescent="0.3">
      <c r="A99" s="103" t="s">
        <v>894</v>
      </c>
      <c r="B99" s="106" t="s">
        <v>2035</v>
      </c>
      <c r="C99" s="103" t="s">
        <v>8</v>
      </c>
      <c r="D99" s="106" t="str">
        <f>IF(MouserListTable12[[#This Row],[Vendor]]=FilterSpecs!$A$8,MouserListTable12[[#This Row],[Mouser SKU]], MouserListTable12[[#This Row],[SKU2]])</f>
        <v>PRT-11214</v>
      </c>
      <c r="E99" s="121">
        <f>MouserListTable12[[#This Row],[Tot '#]]-MouserListTable12[[#This Row],['# Initial]]</f>
        <v>0</v>
      </c>
      <c r="F99" s="121">
        <f>MouserListTable12[[#This Row],['#/Unit]]*FilterSpecs!$B$3+MouserListTable12[[#This Row],[Extra Initial]]</f>
        <v>5</v>
      </c>
      <c r="G99" s="103" t="s">
        <v>808</v>
      </c>
      <c r="H99" s="103" t="s">
        <v>809</v>
      </c>
      <c r="I99" s="103" t="s">
        <v>810</v>
      </c>
      <c r="J99" s="103">
        <v>1</v>
      </c>
      <c r="K99" s="171">
        <v>6.95</v>
      </c>
      <c r="L99" s="103" t="s">
        <v>1911</v>
      </c>
      <c r="M99" s="106"/>
      <c r="N99" s="171">
        <f>MouserListTable12[[#This Row],['# Initial]]*MouserListTable12[[#This Row],[Price (USD)]]</f>
        <v>34.75</v>
      </c>
      <c r="O99" s="106" t="s">
        <v>807</v>
      </c>
      <c r="P99" s="103">
        <f t="shared" si="1"/>
        <v>86</v>
      </c>
      <c r="Q99" s="103">
        <f>IF($D99=$O99,1,0)</f>
        <v>1</v>
      </c>
      <c r="R99" s="103" t="s">
        <v>8</v>
      </c>
      <c r="S99" s="103" t="str">
        <f>_xlfn.IFS(MouserListTable12[[#This Row],[Supplier]]=FilterSpecs!$A$6, FilterSpecs!$B$6,MouserListTable12[[#This Row],[Supplier]]=FilterSpecs!$A$7,FilterSpecs!$B$7,MouserListTable12[[#This Row],[Supplier]]=FilterSpecs!$A$8,FilterSpecs!$B$8,MouserListTable12[[#This Row],[Supplier]]=FilterSpecs!$A$9,FilterSpecs!$B$9)</f>
        <v>474-</v>
      </c>
      <c r="T9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474-PRT-11214</v>
      </c>
      <c r="U99" s="121">
        <v>1</v>
      </c>
      <c r="V99" s="121">
        <v>0</v>
      </c>
      <c r="W99" s="121">
        <v>0</v>
      </c>
      <c r="X99" s="121">
        <f>MouserListTable12[[#This Row],['#/Unit]]*FilterSpecs!$C$3+MouserListTable12[[#This Row],[Extra]]</f>
        <v>5</v>
      </c>
      <c r="Y99" s="121">
        <f>IF(MouserListTable12[[#This Row],[Tag]]=FilterSpecs!$F$7,MouserListTable12[[#This Row],[Price (USD)]],0)</f>
        <v>6.95</v>
      </c>
      <c r="Z99" s="121">
        <f>MouserListTable12[[#This Row],[Tot '#]]*MouserListTable12[[#This Row],[Price (USD)]]</f>
        <v>34.75</v>
      </c>
    </row>
    <row r="100" spans="1:26" s="146" customFormat="1" hidden="1" x14ac:dyDescent="0.3">
      <c r="A100" s="126" t="s">
        <v>894</v>
      </c>
      <c r="B100" s="126" t="s">
        <v>2035</v>
      </c>
      <c r="C100" s="126" t="s">
        <v>1898</v>
      </c>
      <c r="D100" s="106" t="str">
        <f>IF(MouserListTable12[[#This Row],[Vendor]]=FilterSpecs!$A$8,MouserListTable12[[#This Row],[Mouser SKU]], MouserListTable12[[#This Row],[SKU2]])</f>
        <v>1125</v>
      </c>
      <c r="E100" s="121">
        <f>MouserListTable12[[#This Row],[Tot '#]]-MouserListTable12[[#This Row],['# Initial]]</f>
        <v>0</v>
      </c>
      <c r="F100" s="121">
        <f>MouserListTable12[[#This Row],['#/Unit]]*FilterSpecs!$B$3+MouserListTable12[[#This Row],[Extra Initial]]</f>
        <v>0</v>
      </c>
      <c r="G100" s="103"/>
      <c r="H100" s="103"/>
      <c r="I100" s="103" t="s">
        <v>2282</v>
      </c>
      <c r="J100" s="103"/>
      <c r="K100" s="171">
        <v>2.5</v>
      </c>
      <c r="L100" s="103" t="s">
        <v>1910</v>
      </c>
      <c r="N100" s="171">
        <f>MouserListTable12[[#This Row],['# Initial]]*MouserListTable12[[#This Row],[Price (USD)]]</f>
        <v>0</v>
      </c>
      <c r="O100" s="106" t="s">
        <v>2281</v>
      </c>
      <c r="P100" s="103">
        <f t="shared" si="1"/>
        <v>87</v>
      </c>
      <c r="Q100" s="103">
        <f>IF($D100=$O100,1,0)</f>
        <v>1</v>
      </c>
      <c r="R100" s="103" t="s">
        <v>1898</v>
      </c>
      <c r="S100" s="103" t="str">
        <f>_xlfn.IFS(MouserListTable12[[#This Row],[Supplier]]=FilterSpecs!$A$6, FilterSpecs!$B$6,MouserListTable12[[#This Row],[Supplier]]=FilterSpecs!$A$7,FilterSpecs!$B$7,MouserListTable12[[#This Row],[Supplier]]=FilterSpecs!$A$8,FilterSpecs!$B$8,MouserListTable12[[#This Row],[Supplier]]=FilterSpecs!$A$9,FilterSpecs!$B$9)</f>
        <v>485-</v>
      </c>
      <c r="T10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485-1125</v>
      </c>
      <c r="U100" s="121">
        <v>0</v>
      </c>
      <c r="V100" s="121">
        <v>0</v>
      </c>
      <c r="W100" s="121">
        <v>0</v>
      </c>
      <c r="X100" s="121">
        <f>MouserListTable12[[#This Row],['#/Unit]]*FilterSpecs!$C$3+MouserListTable12[[#This Row],[Extra]]</f>
        <v>0</v>
      </c>
      <c r="Y100" s="121">
        <f>IF(MouserListTable12[[#This Row],[Tag]]=FilterSpecs!$F$7,MouserListTable12[[#This Row],[Price (USD)]],0)</f>
        <v>0</v>
      </c>
      <c r="Z100" s="121">
        <f>MouserListTable12[[#This Row],[Tot '#]]*MouserListTable12[[#This Row],[Price (USD)]]</f>
        <v>0</v>
      </c>
    </row>
    <row r="101" spans="1:26" s="146" customFormat="1" x14ac:dyDescent="0.3">
      <c r="A101" s="103" t="s">
        <v>894</v>
      </c>
      <c r="B101" s="103" t="s">
        <v>2037</v>
      </c>
      <c r="C101" s="103" t="s">
        <v>1898</v>
      </c>
      <c r="D101" s="106" t="str">
        <f>IF(MouserListTable12[[#This Row],[Vendor]]=FilterSpecs!$A$8,MouserListTable12[[#This Row],[Mouser SKU]], MouserListTable12[[#This Row],[SKU2]])</f>
        <v>743</v>
      </c>
      <c r="E101" s="121">
        <f>MouserListTable12[[#This Row],[Tot '#]]-MouserListTable12[[#This Row],['# Initial]]</f>
        <v>1</v>
      </c>
      <c r="F101" s="121">
        <f>MouserListTable12[[#This Row],['#/Unit]]*FilterSpecs!$B$3+MouserListTable12[[#This Row],[Extra Initial]]</f>
        <v>5</v>
      </c>
      <c r="G101" s="103"/>
      <c r="H101" s="103"/>
      <c r="I101" s="103" t="s">
        <v>2088</v>
      </c>
      <c r="J101" s="103"/>
      <c r="K101" s="171">
        <v>2.5</v>
      </c>
      <c r="L101" s="103" t="s">
        <v>1911</v>
      </c>
      <c r="M101" s="106"/>
      <c r="N101" s="171">
        <f>MouserListTable12[[#This Row],['# Initial]]*MouserListTable12[[#This Row],[Price (USD)]]</f>
        <v>12.5</v>
      </c>
      <c r="O101" s="106" t="s">
        <v>2089</v>
      </c>
      <c r="P101" s="103">
        <f t="shared" si="1"/>
        <v>88</v>
      </c>
      <c r="Q101" s="103">
        <f>IF($D101=$O101,1,0)</f>
        <v>1</v>
      </c>
      <c r="R101" s="103" t="s">
        <v>1898</v>
      </c>
      <c r="S101" s="103" t="str">
        <f>_xlfn.IFS(MouserListTable12[[#This Row],[Supplier]]=FilterSpecs!$A$6, FilterSpecs!$B$6,MouserListTable12[[#This Row],[Supplier]]=FilterSpecs!$A$7,FilterSpecs!$B$7,MouserListTable12[[#This Row],[Supplier]]=FilterSpecs!$A$8,FilterSpecs!$B$8,MouserListTable12[[#This Row],[Supplier]]=FilterSpecs!$A$9,FilterSpecs!$B$9)</f>
        <v>485-</v>
      </c>
      <c r="T10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485-743</v>
      </c>
      <c r="U101" s="121">
        <v>1</v>
      </c>
      <c r="V101" s="121">
        <v>1</v>
      </c>
      <c r="W101" s="121">
        <v>0</v>
      </c>
      <c r="X101" s="121">
        <f>MouserListTable12[[#This Row],['#/Unit]]*FilterSpecs!$C$3+MouserListTable12[[#This Row],[Extra]]</f>
        <v>6</v>
      </c>
      <c r="Y101" s="121">
        <f>IF(MouserListTable12[[#This Row],[Tag]]=FilterSpecs!$F$7,MouserListTable12[[#This Row],[Price (USD)]],0)</f>
        <v>2.5</v>
      </c>
      <c r="Z101" s="121">
        <f>MouserListTable12[[#This Row],[Tot '#]]*MouserListTable12[[#This Row],[Price (USD)]]</f>
        <v>15</v>
      </c>
    </row>
    <row r="102" spans="1:26" s="146" customFormat="1" hidden="1" x14ac:dyDescent="0.3">
      <c r="A102" s="126" t="s">
        <v>894</v>
      </c>
      <c r="B102" s="126" t="s">
        <v>2037</v>
      </c>
      <c r="C102" s="126" t="s">
        <v>8</v>
      </c>
      <c r="D102" s="106" t="str">
        <f>IF(MouserListTable12[[#This Row],[Vendor]]=FilterSpecs!$A$8,MouserListTable12[[#This Row],[Mouser SKU]], MouserListTable12[[#This Row],[SKU2]])</f>
        <v>PRT-10288</v>
      </c>
      <c r="E102" s="121">
        <f>MouserListTable12[[#This Row],[Tot '#]]-MouserListTable12[[#This Row],['# Initial]]</f>
        <v>0</v>
      </c>
      <c r="F102" s="121">
        <f>MouserListTable12[[#This Row],['#/Unit]]*FilterSpecs!$B$3+MouserListTable12[[#This Row],[Extra Initial]]</f>
        <v>0</v>
      </c>
      <c r="G102" s="103" t="s">
        <v>1028</v>
      </c>
      <c r="H102" s="103" t="s">
        <v>1029</v>
      </c>
      <c r="I102" s="103" t="s">
        <v>1030</v>
      </c>
      <c r="J102" s="103"/>
      <c r="K102" s="171">
        <v>2.95</v>
      </c>
      <c r="L102" s="103" t="s">
        <v>1912</v>
      </c>
      <c r="M102" s="103"/>
      <c r="N102" s="171">
        <f>MouserListTable12[[#This Row],['# Initial]]*MouserListTable12[[#This Row],[Price (USD)]]</f>
        <v>0</v>
      </c>
      <c r="O102" s="106" t="s">
        <v>1027</v>
      </c>
      <c r="P102" s="103">
        <f t="shared" si="1"/>
        <v>89</v>
      </c>
      <c r="Q102" s="103">
        <f>IF($D102=$O102,1,0)</f>
        <v>1</v>
      </c>
      <c r="R102" s="103" t="s">
        <v>8</v>
      </c>
      <c r="S102" s="103" t="str">
        <f>_xlfn.IFS(MouserListTable12[[#This Row],[Supplier]]=FilterSpecs!$A$6, FilterSpecs!$B$6,MouserListTable12[[#This Row],[Supplier]]=FilterSpecs!$A$7,FilterSpecs!$B$7,MouserListTable12[[#This Row],[Supplier]]=FilterSpecs!$A$8,FilterSpecs!$B$8,MouserListTable12[[#This Row],[Supplier]]=FilterSpecs!$A$9,FilterSpecs!$B$9)</f>
        <v>474-</v>
      </c>
      <c r="T10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474-PRT-10288</v>
      </c>
      <c r="U102" s="121">
        <v>0</v>
      </c>
      <c r="V102" s="121">
        <v>0</v>
      </c>
      <c r="W102" s="121">
        <v>0</v>
      </c>
      <c r="X102" s="121">
        <f>MouserListTable12[[#This Row],['#/Unit]]*FilterSpecs!$C$3+MouserListTable12[[#This Row],[Extra]]</f>
        <v>0</v>
      </c>
      <c r="Y102" s="121">
        <f>IF(MouserListTable12[[#This Row],[Tag]]=FilterSpecs!$F$7,MouserListTable12[[#This Row],[Price (USD)]],0)</f>
        <v>0</v>
      </c>
      <c r="Z102" s="121">
        <f>MouserListTable12[[#This Row],[Tot '#]]*MouserListTable12[[#This Row],[Price (USD)]]</f>
        <v>0</v>
      </c>
    </row>
    <row r="103" spans="1:26" s="146" customFormat="1" hidden="1" x14ac:dyDescent="0.3">
      <c r="A103" s="126" t="s">
        <v>894</v>
      </c>
      <c r="B103" s="126" t="s">
        <v>2037</v>
      </c>
      <c r="C103" s="126" t="s">
        <v>8</v>
      </c>
      <c r="D103" s="106" t="str">
        <f>IF(MouserListTable12[[#This Row],[Vendor]]=FilterSpecs!$A$8,MouserListTable12[[#This Row],[Mouser SKU]], MouserListTable12[[#This Row],[SKU2]])</f>
        <v>PRT-10287</v>
      </c>
      <c r="E103" s="121">
        <f>MouserListTable12[[#This Row],[Tot '#]]-MouserListTable12[[#This Row],['# Initial]]</f>
        <v>0</v>
      </c>
      <c r="F103" s="121">
        <f>MouserListTable12[[#This Row],['#/Unit]]*FilterSpecs!$B$3+MouserListTable12[[#This Row],[Extra Initial]]</f>
        <v>0</v>
      </c>
      <c r="G103" s="103" t="s">
        <v>816</v>
      </c>
      <c r="H103" s="103" t="s">
        <v>817</v>
      </c>
      <c r="I103" s="103" t="s">
        <v>818</v>
      </c>
      <c r="J103" s="103"/>
      <c r="K103" s="171">
        <v>2.95</v>
      </c>
      <c r="L103" s="103" t="s">
        <v>1912</v>
      </c>
      <c r="M103" s="103"/>
      <c r="N103" s="171">
        <f>MouserListTable12[[#This Row],['# Initial]]*MouserListTable12[[#This Row],[Price (USD)]]</f>
        <v>0</v>
      </c>
      <c r="O103" s="106" t="s">
        <v>815</v>
      </c>
      <c r="P103" s="103">
        <f t="shared" si="1"/>
        <v>90</v>
      </c>
      <c r="Q103" s="103">
        <f>IF($D103=$O103,1,0)</f>
        <v>1</v>
      </c>
      <c r="R103" s="103" t="s">
        <v>8</v>
      </c>
      <c r="S103" s="103" t="str">
        <f>_xlfn.IFS(MouserListTable12[[#This Row],[Supplier]]=FilterSpecs!$A$6, FilterSpecs!$B$6,MouserListTable12[[#This Row],[Supplier]]=FilterSpecs!$A$7,FilterSpecs!$B$7,MouserListTable12[[#This Row],[Supplier]]=FilterSpecs!$A$8,FilterSpecs!$B$8,MouserListTable12[[#This Row],[Supplier]]=FilterSpecs!$A$9,FilterSpecs!$B$9)</f>
        <v>474-</v>
      </c>
      <c r="T10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474-PRT-10287</v>
      </c>
      <c r="U103" s="121">
        <v>0</v>
      </c>
      <c r="V103" s="121">
        <v>0</v>
      </c>
      <c r="W103" s="121">
        <v>0</v>
      </c>
      <c r="X103" s="121">
        <f>MouserListTable12[[#This Row],['#/Unit]]*FilterSpecs!$C$3+MouserListTable12[[#This Row],[Extra]]</f>
        <v>0</v>
      </c>
      <c r="Y103" s="121">
        <f>IF(MouserListTable12[[#This Row],[Tag]]=FilterSpecs!$F$7,MouserListTable12[[#This Row],[Price (USD)]],0)</f>
        <v>0</v>
      </c>
      <c r="Z103" s="121">
        <f>MouserListTable12[[#This Row],[Tot '#]]*MouserListTable12[[#This Row],[Price (USD)]]</f>
        <v>0</v>
      </c>
    </row>
    <row r="104" spans="1:26" s="146" customFormat="1" hidden="1" x14ac:dyDescent="0.3">
      <c r="A104" s="126" t="s">
        <v>894</v>
      </c>
      <c r="B104" s="126" t="s">
        <v>2037</v>
      </c>
      <c r="C104" s="126" t="s">
        <v>1898</v>
      </c>
      <c r="D104" s="106" t="str">
        <f>IF(MouserListTable12[[#This Row],[Vendor]]=FilterSpecs!$A$8,MouserListTable12[[#This Row],[Mouser SKU]], MouserListTable12[[#This Row],[SKU2]])</f>
        <v>368</v>
      </c>
      <c r="E104" s="121">
        <f>MouserListTable12[[#This Row],[Tot '#]]-MouserListTable12[[#This Row],['# Initial]]</f>
        <v>0</v>
      </c>
      <c r="F104" s="121">
        <f>MouserListTable12[[#This Row],['#/Unit]]*FilterSpecs!$B$3+MouserListTable12[[#This Row],[Extra Initial]]</f>
        <v>0</v>
      </c>
      <c r="G104" s="103"/>
      <c r="H104" s="103"/>
      <c r="I104" s="103" t="s">
        <v>2224</v>
      </c>
      <c r="J104" s="103"/>
      <c r="K104" s="171">
        <v>2</v>
      </c>
      <c r="L104" s="103" t="s">
        <v>1910</v>
      </c>
      <c r="M104" s="103"/>
      <c r="N104" s="171">
        <f>MouserListTable12[[#This Row],['# Initial]]*MouserListTable12[[#This Row],[Price (USD)]]</f>
        <v>0</v>
      </c>
      <c r="O104" s="106" t="s">
        <v>2223</v>
      </c>
      <c r="P104" s="103">
        <f t="shared" si="1"/>
        <v>91</v>
      </c>
      <c r="Q104" s="103">
        <f>IF($D104=$O104,1,0)</f>
        <v>1</v>
      </c>
      <c r="R104" s="103" t="s">
        <v>1898</v>
      </c>
      <c r="S104" s="103" t="str">
        <f>_xlfn.IFS(MouserListTable12[[#This Row],[Supplier]]=FilterSpecs!$A$6, FilterSpecs!$B$6,MouserListTable12[[#This Row],[Supplier]]=FilterSpecs!$A$7,FilterSpecs!$B$7,MouserListTable12[[#This Row],[Supplier]]=FilterSpecs!$A$8,FilterSpecs!$B$8,MouserListTable12[[#This Row],[Supplier]]=FilterSpecs!$A$9,FilterSpecs!$B$9)</f>
        <v>485-</v>
      </c>
      <c r="T10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485-368</v>
      </c>
      <c r="U104" s="121">
        <v>0</v>
      </c>
      <c r="V104" s="121">
        <v>0</v>
      </c>
      <c r="W104" s="121">
        <v>0</v>
      </c>
      <c r="X104" s="121">
        <f>MouserListTable12[[#This Row],['#/Unit]]*FilterSpecs!$C$3+MouserListTable12[[#This Row],[Extra]]</f>
        <v>0</v>
      </c>
      <c r="Y104" s="121">
        <f>IF(MouserListTable12[[#This Row],[Tag]]=FilterSpecs!$F$7,MouserListTable12[[#This Row],[Price (USD)]],0)</f>
        <v>0</v>
      </c>
      <c r="Z104" s="121">
        <f>MouserListTable12[[#This Row],[Tot '#]]*MouserListTable12[[#This Row],[Price (USD)]]</f>
        <v>0</v>
      </c>
    </row>
    <row r="105" spans="1:26" s="146" customFormat="1" hidden="1" x14ac:dyDescent="0.3">
      <c r="A105" s="126" t="s">
        <v>894</v>
      </c>
      <c r="B105" s="126" t="s">
        <v>2037</v>
      </c>
      <c r="C105" s="126" t="s">
        <v>1898</v>
      </c>
      <c r="D105" s="106" t="str">
        <f>IF(MouserListTable12[[#This Row],[Vendor]]=FilterSpecs!$A$8,MouserListTable12[[#This Row],[Mouser SKU]], MouserListTable12[[#This Row],[SKU2]])</f>
        <v>369</v>
      </c>
      <c r="E105" s="121">
        <f>MouserListTable12[[#This Row],[Tot '#]]-MouserListTable12[[#This Row],['# Initial]]</f>
        <v>0</v>
      </c>
      <c r="F105" s="121">
        <f>MouserListTable12[[#This Row],['#/Unit]]*FilterSpecs!$B$3+MouserListTable12[[#This Row],[Extra Initial]]</f>
        <v>0</v>
      </c>
      <c r="G105" s="103"/>
      <c r="H105" s="103"/>
      <c r="I105" s="103" t="s">
        <v>2226</v>
      </c>
      <c r="J105" s="103"/>
      <c r="K105" s="171">
        <v>2</v>
      </c>
      <c r="L105" s="103" t="s">
        <v>1910</v>
      </c>
      <c r="M105" s="103"/>
      <c r="N105" s="171">
        <f>MouserListTable12[[#This Row],['# Initial]]*MouserListTable12[[#This Row],[Price (USD)]]</f>
        <v>0</v>
      </c>
      <c r="O105" s="106" t="s">
        <v>2225</v>
      </c>
      <c r="P105" s="103">
        <f t="shared" si="1"/>
        <v>92</v>
      </c>
      <c r="Q105" s="103">
        <f>IF($D105=$O105,1,0)</f>
        <v>1</v>
      </c>
      <c r="R105" s="103" t="s">
        <v>1898</v>
      </c>
      <c r="S105" s="103" t="str">
        <f>_xlfn.IFS(MouserListTable12[[#This Row],[Supplier]]=FilterSpecs!$A$6, FilterSpecs!$B$6,MouserListTable12[[#This Row],[Supplier]]=FilterSpecs!$A$7,FilterSpecs!$B$7,MouserListTable12[[#This Row],[Supplier]]=FilterSpecs!$A$8,FilterSpecs!$B$8,MouserListTable12[[#This Row],[Supplier]]=FilterSpecs!$A$9,FilterSpecs!$B$9)</f>
        <v>485-</v>
      </c>
      <c r="T10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485-369</v>
      </c>
      <c r="U105" s="121">
        <v>0</v>
      </c>
      <c r="V105" s="121">
        <v>0</v>
      </c>
      <c r="W105" s="121">
        <v>0</v>
      </c>
      <c r="X105" s="121">
        <f>MouserListTable12[[#This Row],['#/Unit]]*FilterSpecs!$C$3+MouserListTable12[[#This Row],[Extra]]</f>
        <v>0</v>
      </c>
      <c r="Y105" s="121">
        <f>IF(MouserListTable12[[#This Row],[Tag]]=FilterSpecs!$F$7,MouserListTable12[[#This Row],[Price (USD)]],0)</f>
        <v>0</v>
      </c>
      <c r="Z105" s="121">
        <f>MouserListTable12[[#This Row],[Tot '#]]*MouserListTable12[[#This Row],[Price (USD)]]</f>
        <v>0</v>
      </c>
    </row>
    <row r="106" spans="1:26" s="146" customFormat="1" hidden="1" x14ac:dyDescent="0.3">
      <c r="A106" s="103" t="s">
        <v>894</v>
      </c>
      <c r="B106" s="103" t="s">
        <v>2037</v>
      </c>
      <c r="C106" s="103" t="s">
        <v>8</v>
      </c>
      <c r="D106" s="106" t="str">
        <f>IF(MouserListTable12[[#This Row],[Vendor]]=FilterSpecs!$A$8,MouserListTable12[[#This Row],[Mouser SKU]], MouserListTable12[[#This Row],[SKU2]])</f>
        <v>PRT-13126</v>
      </c>
      <c r="E106" s="121">
        <f>MouserListTable12[[#This Row],[Tot '#]]-MouserListTable12[[#This Row],['# Initial]]</f>
        <v>2</v>
      </c>
      <c r="F106" s="121">
        <f>MouserListTable12[[#This Row],['#/Unit]]*FilterSpecs!$B$3+MouserListTable12[[#This Row],[Extra Initial]]</f>
        <v>0</v>
      </c>
      <c r="G106" s="103" t="s">
        <v>966</v>
      </c>
      <c r="H106" s="103" t="s">
        <v>967</v>
      </c>
      <c r="I106" s="103" t="s">
        <v>968</v>
      </c>
      <c r="J106" s="103">
        <v>1</v>
      </c>
      <c r="K106" s="171">
        <v>0.95</v>
      </c>
      <c r="L106" s="103" t="s">
        <v>1911</v>
      </c>
      <c r="M106" s="103"/>
      <c r="N106" s="171">
        <f>MouserListTable12[[#This Row],['# Initial]]*MouserListTable12[[#This Row],[Price (USD)]]</f>
        <v>0</v>
      </c>
      <c r="O106" s="106" t="s">
        <v>965</v>
      </c>
      <c r="P106" s="103">
        <f t="shared" si="1"/>
        <v>93</v>
      </c>
      <c r="Q106" s="103">
        <f>IF($D106=$O106,1,0)</f>
        <v>1</v>
      </c>
      <c r="R106" s="103" t="s">
        <v>8</v>
      </c>
      <c r="S106" s="103" t="str">
        <f>_xlfn.IFS(MouserListTable12[[#This Row],[Supplier]]=FilterSpecs!$A$6, FilterSpecs!$B$6,MouserListTable12[[#This Row],[Supplier]]=FilterSpecs!$A$7,FilterSpecs!$B$7,MouserListTable12[[#This Row],[Supplier]]=FilterSpecs!$A$8,FilterSpecs!$B$8,MouserListTable12[[#This Row],[Supplier]]=FilterSpecs!$A$9,FilterSpecs!$B$9)</f>
        <v>474-</v>
      </c>
      <c r="T10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474-PRT-13126</v>
      </c>
      <c r="U106" s="121">
        <v>0</v>
      </c>
      <c r="V106" s="121">
        <v>2</v>
      </c>
      <c r="W106" s="121">
        <v>0</v>
      </c>
      <c r="X106" s="121">
        <f>MouserListTable12[[#This Row],['#/Unit]]*FilterSpecs!$C$3+MouserListTable12[[#This Row],[Extra]]</f>
        <v>2</v>
      </c>
      <c r="Y106" s="121">
        <f>IF(MouserListTable12[[#This Row],[Tag]]=FilterSpecs!$F$7,MouserListTable12[[#This Row],[Price (USD)]],0)</f>
        <v>0.95</v>
      </c>
      <c r="Z106" s="121">
        <f>MouserListTable12[[#This Row],[Tot '#]]*MouserListTable12[[#This Row],[Price (USD)]]</f>
        <v>1.9</v>
      </c>
    </row>
    <row r="107" spans="1:26" s="146" customFormat="1" x14ac:dyDescent="0.3">
      <c r="A107" s="103" t="s">
        <v>894</v>
      </c>
      <c r="B107" s="103" t="s">
        <v>2037</v>
      </c>
      <c r="C107" s="103" t="s">
        <v>8</v>
      </c>
      <c r="D107" s="106" t="str">
        <f>IF(MouserListTable12[[#This Row],[Vendor]]=FilterSpecs!$A$8,MouserListTable12[[#This Row],[Mouser SKU]], MouserListTable12[[#This Row],[SKU2]])</f>
        <v>PRT-11476</v>
      </c>
      <c r="E107" s="121">
        <f>MouserListTable12[[#This Row],[Tot '#]]-MouserListTable12[[#This Row],['# Initial]]</f>
        <v>1</v>
      </c>
      <c r="F107" s="121">
        <f>MouserListTable12[[#This Row],['#/Unit]]*FilterSpecs!$B$3+MouserListTable12[[#This Row],[Extra Initial]]</f>
        <v>5</v>
      </c>
      <c r="G107" s="103" t="s">
        <v>1024</v>
      </c>
      <c r="H107" s="103" t="s">
        <v>1025</v>
      </c>
      <c r="I107" s="103" t="s">
        <v>1026</v>
      </c>
      <c r="J107" s="146">
        <v>1</v>
      </c>
      <c r="K107" s="171">
        <v>0.95</v>
      </c>
      <c r="L107" s="103" t="s">
        <v>1911</v>
      </c>
      <c r="M107" s="106"/>
      <c r="N107" s="171">
        <f>MouserListTable12[[#This Row],['# Initial]]*MouserListTable12[[#This Row],[Price (USD)]]</f>
        <v>4.75</v>
      </c>
      <c r="O107" s="106" t="s">
        <v>1023</v>
      </c>
      <c r="P107" s="103">
        <f t="shared" si="1"/>
        <v>94</v>
      </c>
      <c r="Q107" s="103">
        <f>IF($D107=$O107,1,0)</f>
        <v>1</v>
      </c>
      <c r="R107" s="103" t="s">
        <v>8</v>
      </c>
      <c r="S107" s="103" t="str">
        <f>_xlfn.IFS(MouserListTable12[[#This Row],[Supplier]]=FilterSpecs!$A$6, FilterSpecs!$B$6,MouserListTable12[[#This Row],[Supplier]]=FilterSpecs!$A$7,FilterSpecs!$B$7,MouserListTable12[[#This Row],[Supplier]]=FilterSpecs!$A$8,FilterSpecs!$B$8,MouserListTable12[[#This Row],[Supplier]]=FilterSpecs!$A$9,FilterSpecs!$B$9)</f>
        <v>474-</v>
      </c>
      <c r="T10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474-PRT-11476</v>
      </c>
      <c r="U107" s="121">
        <v>1</v>
      </c>
      <c r="V107" s="121">
        <v>1</v>
      </c>
      <c r="W107" s="121">
        <v>0</v>
      </c>
      <c r="X107" s="121">
        <f>MouserListTable12[[#This Row],['#/Unit]]*FilterSpecs!$C$3+MouserListTable12[[#This Row],[Extra]]</f>
        <v>6</v>
      </c>
      <c r="Y107" s="121">
        <f>IF(MouserListTable12[[#This Row],[Tag]]=FilterSpecs!$F$7,MouserListTable12[[#This Row],[Price (USD)]],0)</f>
        <v>0.95</v>
      </c>
      <c r="Z107" s="121">
        <f>MouserListTable12[[#This Row],[Tot '#]]*MouserListTable12[[#This Row],[Price (USD)]]</f>
        <v>5.6999999999999993</v>
      </c>
    </row>
    <row r="108" spans="1:26" s="146" customFormat="1" hidden="1" x14ac:dyDescent="0.3">
      <c r="A108" s="103" t="s">
        <v>894</v>
      </c>
      <c r="B108" s="103" t="s">
        <v>2037</v>
      </c>
      <c r="C108" s="103" t="s">
        <v>8</v>
      </c>
      <c r="D108" s="106" t="str">
        <f>IF(MouserListTable12[[#This Row],[Vendor]]=FilterSpecs!$A$8,MouserListTable12[[#This Row],[Mouser SKU]], MouserListTable12[[#This Row],[SKU2]])</f>
        <v>PRT-11474</v>
      </c>
      <c r="E108" s="121">
        <f>MouserListTable12[[#This Row],[Tot '#]]-MouserListTable12[[#This Row],['# Initial]]</f>
        <v>4</v>
      </c>
      <c r="F108" s="121">
        <f>MouserListTable12[[#This Row],['#/Unit]]*FilterSpecs!$B$3+MouserListTable12[[#This Row],[Extra Initial]]</f>
        <v>0</v>
      </c>
      <c r="G108" s="103" t="s">
        <v>2423</v>
      </c>
      <c r="H108" s="103" t="s">
        <v>2424</v>
      </c>
      <c r="I108" s="103" t="s">
        <v>2425</v>
      </c>
      <c r="J108" s="146">
        <v>1</v>
      </c>
      <c r="K108" s="171">
        <v>0.3</v>
      </c>
      <c r="L108" s="103" t="s">
        <v>1910</v>
      </c>
      <c r="M108" s="106"/>
      <c r="N108" s="171">
        <f>MouserListTable12[[#This Row],['# Initial]]*MouserListTable12[[#This Row],[Price (USD)]]</f>
        <v>0</v>
      </c>
      <c r="O108" s="106" t="s">
        <v>2422</v>
      </c>
      <c r="P108" s="103">
        <f t="shared" si="1"/>
        <v>95</v>
      </c>
      <c r="Q108" s="103">
        <f>IF($D108=$O108,1,0)</f>
        <v>1</v>
      </c>
      <c r="R108" s="103" t="s">
        <v>8</v>
      </c>
      <c r="S108" s="103" t="str">
        <f>_xlfn.IFS(MouserListTable12[[#This Row],[Supplier]]=FilterSpecs!$A$6, FilterSpecs!$B$6,MouserListTable12[[#This Row],[Supplier]]=FilterSpecs!$A$7,FilterSpecs!$B$7,MouserListTable12[[#This Row],[Supplier]]=FilterSpecs!$A$8,FilterSpecs!$B$8,MouserListTable12[[#This Row],[Supplier]]=FilterSpecs!$A$9,FilterSpecs!$B$9)</f>
        <v>474-</v>
      </c>
      <c r="T10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474-PRT-11474</v>
      </c>
      <c r="U108" s="121">
        <v>0</v>
      </c>
      <c r="V108" s="121">
        <v>4</v>
      </c>
      <c r="W108" s="121">
        <v>0</v>
      </c>
      <c r="X108" s="121">
        <f>MouserListTable12[[#This Row],['#/Unit]]*FilterSpecs!$C$3+MouserListTable12[[#This Row],[Extra]]</f>
        <v>4</v>
      </c>
      <c r="Y108" s="121">
        <f>IF(MouserListTable12[[#This Row],[Tag]]=FilterSpecs!$F$7,MouserListTable12[[#This Row],[Price (USD)]],0)</f>
        <v>0</v>
      </c>
      <c r="Z108" s="121">
        <f>MouserListTable12[[#This Row],[Tot '#]]*MouserListTable12[[#This Row],[Price (USD)]]</f>
        <v>1.2</v>
      </c>
    </row>
    <row r="109" spans="1:26" s="146" customFormat="1" hidden="1" x14ac:dyDescent="0.3">
      <c r="A109" s="103" t="s">
        <v>894</v>
      </c>
      <c r="B109" s="103" t="s">
        <v>2037</v>
      </c>
      <c r="C109" s="103" t="s">
        <v>1898</v>
      </c>
      <c r="D109" s="106" t="str">
        <f>IF(MouserListTable12[[#This Row],[Vendor]]=FilterSpecs!$A$8,MouserListTable12[[#This Row],[Mouser SKU]], MouserListTable12[[#This Row],[SKU2]])</f>
        <v>1829</v>
      </c>
      <c r="E109" s="121">
        <f>MouserListTable12[[#This Row],[Tot '#]]-MouserListTable12[[#This Row],['# Initial]]</f>
        <v>0</v>
      </c>
      <c r="F109" s="121">
        <f>MouserListTable12[[#This Row],['#/Unit]]*FilterSpecs!$B$3+MouserListTable12[[#This Row],[Extra Initial]]</f>
        <v>0</v>
      </c>
      <c r="G109" s="103"/>
      <c r="H109" s="103"/>
      <c r="I109" s="126" t="s">
        <v>2290</v>
      </c>
      <c r="K109" s="172">
        <v>0.95</v>
      </c>
      <c r="L109" s="126" t="s">
        <v>1910</v>
      </c>
      <c r="N109" s="171">
        <f>MouserListTable12[[#This Row],['# Initial]]*MouserListTable12[[#This Row],[Price (USD)]]</f>
        <v>0</v>
      </c>
      <c r="O109" s="106" t="s">
        <v>2289</v>
      </c>
      <c r="P109" s="103">
        <f t="shared" si="1"/>
        <v>96</v>
      </c>
      <c r="Q109" s="103">
        <f>IF($D109=$O109,1,0)</f>
        <v>1</v>
      </c>
      <c r="R109" s="103" t="s">
        <v>1898</v>
      </c>
      <c r="S109" s="103" t="str">
        <f>_xlfn.IFS(MouserListTable12[[#This Row],[Supplier]]=FilterSpecs!$A$6, FilterSpecs!$B$6,MouserListTable12[[#This Row],[Supplier]]=FilterSpecs!$A$7,FilterSpecs!$B$7,MouserListTable12[[#This Row],[Supplier]]=FilterSpecs!$A$8,FilterSpecs!$B$8,MouserListTable12[[#This Row],[Supplier]]=FilterSpecs!$A$9,FilterSpecs!$B$9)</f>
        <v>485-</v>
      </c>
      <c r="T10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485-1829</v>
      </c>
      <c r="U109" s="121">
        <v>0</v>
      </c>
      <c r="V109" s="121">
        <v>0</v>
      </c>
      <c r="W109" s="121">
        <v>0</v>
      </c>
      <c r="X109" s="121">
        <f>MouserListTable12[[#This Row],['#/Unit]]*FilterSpecs!$C$3+MouserListTable12[[#This Row],[Extra]]</f>
        <v>0</v>
      </c>
      <c r="Y109" s="121">
        <f>IF(MouserListTable12[[#This Row],[Tag]]=FilterSpecs!$F$7,MouserListTable12[[#This Row],[Price (USD)]],0)</f>
        <v>0</v>
      </c>
      <c r="Z109" s="121">
        <f>MouserListTable12[[#This Row],[Tot '#]]*MouserListTable12[[#This Row],[Price (USD)]]</f>
        <v>0</v>
      </c>
    </row>
    <row r="110" spans="1:26" s="146" customFormat="1" hidden="1" x14ac:dyDescent="0.3">
      <c r="A110" s="126" t="s">
        <v>894</v>
      </c>
      <c r="B110" s="126" t="s">
        <v>2037</v>
      </c>
      <c r="C110" s="126" t="s">
        <v>1898</v>
      </c>
      <c r="D110" s="106" t="str">
        <f>IF(MouserListTable12[[#This Row],[Vendor]]=FilterSpecs!$A$8,MouserListTable12[[#This Row],[Mouser SKU]], MouserListTable12[[#This Row],[SKU2]])</f>
        <v>1388</v>
      </c>
      <c r="E110" s="121">
        <f>MouserListTable12[[#This Row],[Tot '#]]-MouserListTable12[[#This Row],['# Initial]]</f>
        <v>0</v>
      </c>
      <c r="F110" s="121">
        <f>MouserListTable12[[#This Row],['#/Unit]]*FilterSpecs!$B$3+MouserListTable12[[#This Row],[Extra Initial]]</f>
        <v>0</v>
      </c>
      <c r="G110" s="103"/>
      <c r="H110" s="103"/>
      <c r="I110" s="103" t="s">
        <v>2292</v>
      </c>
      <c r="J110" s="103"/>
      <c r="K110" s="171">
        <v>0.95</v>
      </c>
      <c r="L110" s="146" t="s">
        <v>1910</v>
      </c>
      <c r="M110" s="103"/>
      <c r="N110" s="171">
        <f>MouserListTable12[[#This Row],['# Initial]]*MouserListTable12[[#This Row],[Price (USD)]]</f>
        <v>0</v>
      </c>
      <c r="O110" s="106" t="s">
        <v>2291</v>
      </c>
      <c r="P110" s="103">
        <f t="shared" si="1"/>
        <v>97</v>
      </c>
      <c r="Q110" s="103">
        <f>IF($D110=$O110,1,0)</f>
        <v>1</v>
      </c>
      <c r="R110" s="103" t="s">
        <v>1898</v>
      </c>
      <c r="S110" s="103" t="str">
        <f>_xlfn.IFS(MouserListTable12[[#This Row],[Supplier]]=FilterSpecs!$A$6, FilterSpecs!$B$6,MouserListTable12[[#This Row],[Supplier]]=FilterSpecs!$A$7,FilterSpecs!$B$7,MouserListTable12[[#This Row],[Supplier]]=FilterSpecs!$A$8,FilterSpecs!$B$8,MouserListTable12[[#This Row],[Supplier]]=FilterSpecs!$A$9,FilterSpecs!$B$9)</f>
        <v>485-</v>
      </c>
      <c r="T11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485-1388</v>
      </c>
      <c r="U110" s="121">
        <v>0</v>
      </c>
      <c r="V110" s="121">
        <v>0</v>
      </c>
      <c r="W110" s="121">
        <v>0</v>
      </c>
      <c r="X110" s="121">
        <f>MouserListTable12[[#This Row],['#/Unit]]*FilterSpecs!$C$3+MouserListTable12[[#This Row],[Extra]]</f>
        <v>0</v>
      </c>
      <c r="Y110" s="121">
        <f>IF(MouserListTable12[[#This Row],[Tag]]=FilterSpecs!$F$7,MouserListTable12[[#This Row],[Price (USD)]],0)</f>
        <v>0</v>
      </c>
      <c r="Z110" s="121">
        <f>MouserListTable12[[#This Row],[Tot '#]]*MouserListTable12[[#This Row],[Price (USD)]]</f>
        <v>0</v>
      </c>
    </row>
    <row r="111" spans="1:26" s="146" customFormat="1" hidden="1" x14ac:dyDescent="0.3">
      <c r="A111" s="126" t="s">
        <v>894</v>
      </c>
      <c r="B111" s="126" t="s">
        <v>2037</v>
      </c>
      <c r="C111" s="126" t="s">
        <v>1898</v>
      </c>
      <c r="D111" s="106" t="str">
        <f>IF(MouserListTable12[[#This Row],[Vendor]]=FilterSpecs!$A$8,MouserListTable12[[#This Row],[Mouser SKU]], MouserListTable12[[#This Row],[SKU2]])</f>
        <v>1390</v>
      </c>
      <c r="E111" s="121">
        <f>MouserListTable12[[#This Row],[Tot '#]]-MouserListTable12[[#This Row],['# Initial]]</f>
        <v>0</v>
      </c>
      <c r="F111" s="121">
        <f>MouserListTable12[[#This Row],['#/Unit]]*FilterSpecs!$B$3+MouserListTable12[[#This Row],[Extra Initial]]</f>
        <v>0</v>
      </c>
      <c r="G111" s="103"/>
      <c r="H111" s="103"/>
      <c r="I111" s="103" t="s">
        <v>2294</v>
      </c>
      <c r="J111" s="103"/>
      <c r="K111" s="171">
        <v>0.95</v>
      </c>
      <c r="L111" s="146" t="s">
        <v>1910</v>
      </c>
      <c r="M111" s="103"/>
      <c r="N111" s="171">
        <f>MouserListTable12[[#This Row],['# Initial]]*MouserListTable12[[#This Row],[Price (USD)]]</f>
        <v>0</v>
      </c>
      <c r="O111" s="106" t="s">
        <v>2293</v>
      </c>
      <c r="P111" s="103">
        <f t="shared" si="1"/>
        <v>98</v>
      </c>
      <c r="Q111" s="103">
        <f>IF($D111=$O111,1,0)</f>
        <v>1</v>
      </c>
      <c r="R111" s="103" t="s">
        <v>1898</v>
      </c>
      <c r="S111" s="103" t="str">
        <f>_xlfn.IFS(MouserListTable12[[#This Row],[Supplier]]=FilterSpecs!$A$6, FilterSpecs!$B$6,MouserListTable12[[#This Row],[Supplier]]=FilterSpecs!$A$7,FilterSpecs!$B$7,MouserListTable12[[#This Row],[Supplier]]=FilterSpecs!$A$8,FilterSpecs!$B$8,MouserListTable12[[#This Row],[Supplier]]=FilterSpecs!$A$9,FilterSpecs!$B$9)</f>
        <v>485-</v>
      </c>
      <c r="T11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485-1390</v>
      </c>
      <c r="U111" s="121">
        <v>0</v>
      </c>
      <c r="V111" s="121">
        <v>0</v>
      </c>
      <c r="W111" s="121">
        <v>0</v>
      </c>
      <c r="X111" s="121">
        <f>MouserListTable12[[#This Row],['#/Unit]]*FilterSpecs!$C$3+MouserListTable12[[#This Row],[Extra]]</f>
        <v>0</v>
      </c>
      <c r="Y111" s="121">
        <f>IF(MouserListTable12[[#This Row],[Tag]]=FilterSpecs!$F$7,MouserListTable12[[#This Row],[Price (USD)]],0)</f>
        <v>0</v>
      </c>
      <c r="Z111" s="121">
        <f>MouserListTable12[[#This Row],[Tot '#]]*MouserListTable12[[#This Row],[Price (USD)]]</f>
        <v>0</v>
      </c>
    </row>
    <row r="112" spans="1:26" s="146" customFormat="1" hidden="1" x14ac:dyDescent="0.3">
      <c r="A112" s="126" t="s">
        <v>894</v>
      </c>
      <c r="B112" s="126" t="s">
        <v>2037</v>
      </c>
      <c r="C112" s="126" t="s">
        <v>1898</v>
      </c>
      <c r="D112" s="106" t="str">
        <f>IF(MouserListTable12[[#This Row],[Vendor]]=FilterSpecs!$A$8,MouserListTable12[[#This Row],[Mouser SKU]], MouserListTable12[[#This Row],[SKU2]])</f>
        <v>1389</v>
      </c>
      <c r="E112" s="121">
        <f>MouserListTable12[[#This Row],[Tot '#]]-MouserListTable12[[#This Row],['# Initial]]</f>
        <v>0</v>
      </c>
      <c r="F112" s="121">
        <f>MouserListTable12[[#This Row],['#/Unit]]*FilterSpecs!$B$3+MouserListTable12[[#This Row],[Extra Initial]]</f>
        <v>0</v>
      </c>
      <c r="G112" s="103"/>
      <c r="H112" s="103"/>
      <c r="I112" s="103" t="s">
        <v>2296</v>
      </c>
      <c r="J112" s="103"/>
      <c r="K112" s="171">
        <v>0.95</v>
      </c>
      <c r="L112" s="146" t="s">
        <v>1910</v>
      </c>
      <c r="M112" s="103"/>
      <c r="N112" s="171">
        <f>MouserListTable12[[#This Row],['# Initial]]*MouserListTable12[[#This Row],[Price (USD)]]</f>
        <v>0</v>
      </c>
      <c r="O112" s="106" t="s">
        <v>2295</v>
      </c>
      <c r="P112" s="103">
        <f t="shared" si="1"/>
        <v>99</v>
      </c>
      <c r="Q112" s="103">
        <f>IF($D112=$O112,1,0)</f>
        <v>1</v>
      </c>
      <c r="R112" s="103" t="s">
        <v>1898</v>
      </c>
      <c r="S112" s="103" t="str">
        <f>_xlfn.IFS(MouserListTable12[[#This Row],[Supplier]]=FilterSpecs!$A$6, FilterSpecs!$B$6,MouserListTable12[[#This Row],[Supplier]]=FilterSpecs!$A$7,FilterSpecs!$B$7,MouserListTable12[[#This Row],[Supplier]]=FilterSpecs!$A$8,FilterSpecs!$B$8,MouserListTable12[[#This Row],[Supplier]]=FilterSpecs!$A$9,FilterSpecs!$B$9)</f>
        <v>485-</v>
      </c>
      <c r="T11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485-1389</v>
      </c>
      <c r="U112" s="121">
        <v>0</v>
      </c>
      <c r="V112" s="121">
        <v>0</v>
      </c>
      <c r="W112" s="121">
        <v>0</v>
      </c>
      <c r="X112" s="121">
        <f>MouserListTable12[[#This Row],['#/Unit]]*FilterSpecs!$C$3+MouserListTable12[[#This Row],[Extra]]</f>
        <v>0</v>
      </c>
      <c r="Y112" s="121">
        <f>IF(MouserListTable12[[#This Row],[Tag]]=FilterSpecs!$F$7,MouserListTable12[[#This Row],[Price (USD)]],0)</f>
        <v>0</v>
      </c>
      <c r="Z112" s="121">
        <f>MouserListTable12[[#This Row],[Tot '#]]*MouserListTable12[[#This Row],[Price (USD)]]</f>
        <v>0</v>
      </c>
    </row>
    <row r="113" spans="1:26" s="146" customFormat="1" hidden="1" x14ac:dyDescent="0.3">
      <c r="A113" s="126" t="s">
        <v>894</v>
      </c>
      <c r="B113" s="126" t="s">
        <v>2037</v>
      </c>
      <c r="C113" s="126" t="s">
        <v>1898</v>
      </c>
      <c r="D113" s="106" t="str">
        <f>IF(MouserListTable12[[#This Row],[Vendor]]=FilterSpecs!$A$8,MouserListTable12[[#This Row],[Mouser SKU]], MouserListTable12[[#This Row],[SKU2]])</f>
        <v>1827</v>
      </c>
      <c r="E113" s="121">
        <f>MouserListTable12[[#This Row],[Tot '#]]-MouserListTable12[[#This Row],['# Initial]]</f>
        <v>0</v>
      </c>
      <c r="F113" s="121">
        <f>MouserListTable12[[#This Row],['#/Unit]]*FilterSpecs!$B$3+MouserListTable12[[#This Row],[Extra Initial]]</f>
        <v>0</v>
      </c>
      <c r="G113" s="103"/>
      <c r="H113" s="103"/>
      <c r="I113" s="103" t="s">
        <v>2298</v>
      </c>
      <c r="J113" s="103"/>
      <c r="K113" s="171">
        <v>0.95</v>
      </c>
      <c r="L113" s="146" t="s">
        <v>1910</v>
      </c>
      <c r="M113" s="103"/>
      <c r="N113" s="171">
        <f>MouserListTable12[[#This Row],['# Initial]]*MouserListTable12[[#This Row],[Price (USD)]]</f>
        <v>0</v>
      </c>
      <c r="O113" s="106" t="s">
        <v>2297</v>
      </c>
      <c r="P113" s="103">
        <f t="shared" si="1"/>
        <v>100</v>
      </c>
      <c r="Q113" s="103">
        <f>IF($D113=$O113,1,0)</f>
        <v>1</v>
      </c>
      <c r="R113" s="103" t="s">
        <v>1898</v>
      </c>
      <c r="S113" s="103" t="str">
        <f>_xlfn.IFS(MouserListTable12[[#This Row],[Supplier]]=FilterSpecs!$A$6, FilterSpecs!$B$6,MouserListTable12[[#This Row],[Supplier]]=FilterSpecs!$A$7,FilterSpecs!$B$7,MouserListTable12[[#This Row],[Supplier]]=FilterSpecs!$A$8,FilterSpecs!$B$8,MouserListTable12[[#This Row],[Supplier]]=FilterSpecs!$A$9,FilterSpecs!$B$9)</f>
        <v>485-</v>
      </c>
      <c r="T11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485-1827</v>
      </c>
      <c r="U113" s="121">
        <v>0</v>
      </c>
      <c r="V113" s="121">
        <v>0</v>
      </c>
      <c r="W113" s="121">
        <v>0</v>
      </c>
      <c r="X113" s="121">
        <f>MouserListTable12[[#This Row],['#/Unit]]*FilterSpecs!$C$3+MouserListTable12[[#This Row],[Extra]]</f>
        <v>0</v>
      </c>
      <c r="Y113" s="121">
        <f>IF(MouserListTable12[[#This Row],[Tag]]=FilterSpecs!$F$7,MouserListTable12[[#This Row],[Price (USD)]],0)</f>
        <v>0</v>
      </c>
      <c r="Z113" s="121">
        <f>MouserListTable12[[#This Row],[Tot '#]]*MouserListTable12[[#This Row],[Price (USD)]]</f>
        <v>0</v>
      </c>
    </row>
    <row r="114" spans="1:26" s="146" customFormat="1" hidden="1" x14ac:dyDescent="0.3">
      <c r="A114" s="126" t="s">
        <v>894</v>
      </c>
      <c r="B114" s="126" t="s">
        <v>2037</v>
      </c>
      <c r="C114" s="126" t="s">
        <v>1898</v>
      </c>
      <c r="D114" s="106" t="str">
        <f>IF(MouserListTable12[[#This Row],[Vendor]]=FilterSpecs!$A$8,MouserListTable12[[#This Row],[Mouser SKU]], MouserListTable12[[#This Row],[SKU2]])</f>
        <v>1826</v>
      </c>
      <c r="E114" s="121">
        <f>MouserListTable12[[#This Row],[Tot '#]]-MouserListTable12[[#This Row],['# Initial]]</f>
        <v>0</v>
      </c>
      <c r="F114" s="121">
        <f>MouserListTable12[[#This Row],['#/Unit]]*FilterSpecs!$B$3+MouserListTable12[[#This Row],[Extra Initial]]</f>
        <v>0</v>
      </c>
      <c r="G114" s="103"/>
      <c r="H114" s="103"/>
      <c r="I114" s="103" t="s">
        <v>2300</v>
      </c>
      <c r="J114" s="103"/>
      <c r="K114" s="171">
        <v>0.95</v>
      </c>
      <c r="L114" s="146" t="s">
        <v>1910</v>
      </c>
      <c r="M114" s="103"/>
      <c r="N114" s="171">
        <f>MouserListTable12[[#This Row],['# Initial]]*MouserListTable12[[#This Row],[Price (USD)]]</f>
        <v>0</v>
      </c>
      <c r="O114" s="106" t="s">
        <v>2299</v>
      </c>
      <c r="P114" s="103">
        <f t="shared" si="1"/>
        <v>101</v>
      </c>
      <c r="Q114" s="103">
        <f>IF($D114=$O114,1,0)</f>
        <v>1</v>
      </c>
      <c r="R114" s="103" t="s">
        <v>1898</v>
      </c>
      <c r="S114" s="103" t="str">
        <f>_xlfn.IFS(MouserListTable12[[#This Row],[Supplier]]=FilterSpecs!$A$6, FilterSpecs!$B$6,MouserListTable12[[#This Row],[Supplier]]=FilterSpecs!$A$7,FilterSpecs!$B$7,MouserListTable12[[#This Row],[Supplier]]=FilterSpecs!$A$8,FilterSpecs!$B$8,MouserListTable12[[#This Row],[Supplier]]=FilterSpecs!$A$9,FilterSpecs!$B$9)</f>
        <v>485-</v>
      </c>
      <c r="T11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485-1826</v>
      </c>
      <c r="U114" s="121">
        <v>0</v>
      </c>
      <c r="V114" s="121">
        <v>0</v>
      </c>
      <c r="W114" s="121">
        <v>0</v>
      </c>
      <c r="X114" s="121">
        <f>MouserListTable12[[#This Row],['#/Unit]]*FilterSpecs!$C$3+MouserListTable12[[#This Row],[Extra]]</f>
        <v>0</v>
      </c>
      <c r="Y114" s="121">
        <f>IF(MouserListTable12[[#This Row],[Tag]]=FilterSpecs!$F$7,MouserListTable12[[#This Row],[Price (USD)]],0)</f>
        <v>0</v>
      </c>
      <c r="Z114" s="121">
        <f>MouserListTable12[[#This Row],[Tot '#]]*MouserListTable12[[#This Row],[Price (USD)]]</f>
        <v>0</v>
      </c>
    </row>
    <row r="115" spans="1:26" s="146" customFormat="1" hidden="1" x14ac:dyDescent="0.3">
      <c r="A115" s="103" t="s">
        <v>894</v>
      </c>
      <c r="B115" s="103" t="s">
        <v>14</v>
      </c>
      <c r="C115" s="103" t="s">
        <v>8</v>
      </c>
      <c r="D115" s="106" t="str">
        <f>IF(MouserListTable12[[#This Row],[Vendor]]=FilterSpecs!$A$8,MouserListTable12[[#This Row],[Mouser SKU]], MouserListTable12[[#This Row],[SKU2]])</f>
        <v>SEN-00246</v>
      </c>
      <c r="E115" s="121">
        <f>MouserListTable12[[#This Row],[Tot '#]]-MouserListTable12[[#This Row],['# Initial]]</f>
        <v>0</v>
      </c>
      <c r="F115" s="121">
        <f>MouserListTable12[[#This Row],['#/Unit]]*FilterSpecs!$B$3+MouserListTable12[[#This Row],[Extra Initial]]</f>
        <v>0</v>
      </c>
      <c r="G115" s="103" t="s">
        <v>73</v>
      </c>
      <c r="H115" s="103" t="s">
        <v>74</v>
      </c>
      <c r="I115" s="103" t="s">
        <v>75</v>
      </c>
      <c r="J115" s="103">
        <v>1</v>
      </c>
      <c r="K115" s="171">
        <v>0.95</v>
      </c>
      <c r="L115" s="103" t="s">
        <v>1911</v>
      </c>
      <c r="M115" s="106"/>
      <c r="N115" s="171">
        <f>MouserListTable12[[#This Row],['# Initial]]*MouserListTable12[[#This Row],[Price (USD)]]</f>
        <v>0</v>
      </c>
      <c r="O115" s="106" t="s">
        <v>72</v>
      </c>
      <c r="P115" s="103">
        <f t="shared" si="1"/>
        <v>102</v>
      </c>
      <c r="Q115" s="103">
        <f>IF($D115=$O115,1,0)</f>
        <v>1</v>
      </c>
      <c r="R115" s="103" t="s">
        <v>8</v>
      </c>
      <c r="S115" s="103" t="str">
        <f>_xlfn.IFS(MouserListTable12[[#This Row],[Supplier]]=FilterSpecs!$A$6, FilterSpecs!$B$6,MouserListTable12[[#This Row],[Supplier]]=FilterSpecs!$A$7,FilterSpecs!$B$7,MouserListTable12[[#This Row],[Supplier]]=FilterSpecs!$A$8,FilterSpecs!$B$8,MouserListTable12[[#This Row],[Supplier]]=FilterSpecs!$A$9,FilterSpecs!$B$9)</f>
        <v>474-</v>
      </c>
      <c r="T11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474-SEN-00246</v>
      </c>
      <c r="U115" s="121">
        <v>0</v>
      </c>
      <c r="V115" s="121">
        <v>0</v>
      </c>
      <c r="W115" s="121">
        <v>0</v>
      </c>
      <c r="X115" s="121">
        <f>MouserListTable12[[#This Row],['#/Unit]]*FilterSpecs!$C$3+MouserListTable12[[#This Row],[Extra]]</f>
        <v>0</v>
      </c>
      <c r="Y115" s="121">
        <f>IF(MouserListTable12[[#This Row],[Tag]]=FilterSpecs!$F$7,MouserListTable12[[#This Row],[Price (USD)]],0)</f>
        <v>0.95</v>
      </c>
      <c r="Z115" s="121">
        <f>MouserListTable12[[#This Row],[Tot '#]]*MouserListTable12[[#This Row],[Price (USD)]]</f>
        <v>0</v>
      </c>
    </row>
    <row r="116" spans="1:26" s="146" customFormat="1" x14ac:dyDescent="0.3">
      <c r="A116" s="103" t="s">
        <v>894</v>
      </c>
      <c r="B116" s="103" t="s">
        <v>14</v>
      </c>
      <c r="C116" s="103" t="s">
        <v>8</v>
      </c>
      <c r="D116" s="106" t="str">
        <f>IF(MouserListTable12[[#This Row],[Vendor]]=FilterSpecs!$A$8,MouserListTable12[[#This Row],[Mouser SKU]], MouserListTable12[[#This Row],[SKU2]])</f>
        <v>SEN-00241</v>
      </c>
      <c r="E116" s="121">
        <f>MouserListTable12[[#This Row],[Tot '#]]-MouserListTable12[[#This Row],['# Initial]]</f>
        <v>0</v>
      </c>
      <c r="F116" s="121">
        <f>MouserListTable12[[#This Row],['#/Unit]]*FilterSpecs!$B$3+MouserListTable12[[#This Row],[Extra Initial]]</f>
        <v>20</v>
      </c>
      <c r="G116" s="103" t="s">
        <v>77</v>
      </c>
      <c r="H116" s="103" t="s">
        <v>78</v>
      </c>
      <c r="I116" s="103" t="s">
        <v>79</v>
      </c>
      <c r="J116" s="103">
        <v>1</v>
      </c>
      <c r="K116" s="171">
        <v>1.95</v>
      </c>
      <c r="L116" s="103" t="s">
        <v>1911</v>
      </c>
      <c r="M116" s="106"/>
      <c r="N116" s="171">
        <f>MouserListTable12[[#This Row],['# Initial]]*MouserListTable12[[#This Row],[Price (USD)]]</f>
        <v>39</v>
      </c>
      <c r="O116" s="106" t="s">
        <v>76</v>
      </c>
      <c r="P116" s="103">
        <f t="shared" si="1"/>
        <v>103</v>
      </c>
      <c r="Q116" s="103">
        <f>IF($D116=$O116,1,0)</f>
        <v>1</v>
      </c>
      <c r="R116" s="103" t="s">
        <v>8</v>
      </c>
      <c r="S116" s="103" t="str">
        <f>_xlfn.IFS(MouserListTable12[[#This Row],[Supplier]]=FilterSpecs!$A$6, FilterSpecs!$B$6,MouserListTable12[[#This Row],[Supplier]]=FilterSpecs!$A$7,FilterSpecs!$B$7,MouserListTable12[[#This Row],[Supplier]]=FilterSpecs!$A$8,FilterSpecs!$B$8,MouserListTable12[[#This Row],[Supplier]]=FilterSpecs!$A$9,FilterSpecs!$B$9)</f>
        <v>474-</v>
      </c>
      <c r="T11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474-SEN-00241</v>
      </c>
      <c r="U116" s="121">
        <v>4</v>
      </c>
      <c r="V116" s="121">
        <v>0</v>
      </c>
      <c r="W116" s="121">
        <v>0</v>
      </c>
      <c r="X116" s="121">
        <f>MouserListTable12[[#This Row],['#/Unit]]*FilterSpecs!$C$3+MouserListTable12[[#This Row],[Extra]]</f>
        <v>20</v>
      </c>
      <c r="Y116" s="121">
        <f>IF(MouserListTable12[[#This Row],[Tag]]=FilterSpecs!$F$7,MouserListTable12[[#This Row],[Price (USD)]],0)</f>
        <v>1.95</v>
      </c>
      <c r="Z116" s="121">
        <f>MouserListTable12[[#This Row],[Tot '#]]*MouserListTable12[[#This Row],[Price (USD)]]</f>
        <v>39</v>
      </c>
    </row>
    <row r="117" spans="1:26" s="146" customFormat="1" x14ac:dyDescent="0.3">
      <c r="A117" s="103" t="s">
        <v>894</v>
      </c>
      <c r="B117" s="103" t="s">
        <v>14</v>
      </c>
      <c r="C117" s="103" t="s">
        <v>8</v>
      </c>
      <c r="D117" s="106" t="str">
        <f>IF(MouserListTable12[[#This Row],[Vendor]]=FilterSpecs!$A$8,MouserListTable12[[#This Row],[Mouser SKU]], MouserListTable12[[#This Row],[SKU2]])</f>
        <v>SEN-13968</v>
      </c>
      <c r="E117" s="121">
        <f>MouserListTable12[[#This Row],[Tot '#]]-MouserListTable12[[#This Row],['# Initial]]</f>
        <v>0</v>
      </c>
      <c r="F117" s="121">
        <f>MouserListTable12[[#This Row],['#/Unit]]*FilterSpecs!$B$3+MouserListTable12[[#This Row],[Extra Initial]]</f>
        <v>5</v>
      </c>
      <c r="G117" s="103" t="s">
        <v>81</v>
      </c>
      <c r="H117" s="103" t="s">
        <v>82</v>
      </c>
      <c r="I117" s="103" t="s">
        <v>83</v>
      </c>
      <c r="J117" s="103"/>
      <c r="K117" s="171">
        <v>14.95</v>
      </c>
      <c r="L117" s="116" t="s">
        <v>1911</v>
      </c>
      <c r="M117" s="106"/>
      <c r="N117" s="171">
        <f>MouserListTable12[[#This Row],['# Initial]]*MouserListTable12[[#This Row],[Price (USD)]]</f>
        <v>74.75</v>
      </c>
      <c r="O117" s="106" t="s">
        <v>80</v>
      </c>
      <c r="P117" s="103">
        <f t="shared" si="1"/>
        <v>104</v>
      </c>
      <c r="Q117" s="103">
        <f>IF($D117=$O117,1,0)</f>
        <v>1</v>
      </c>
      <c r="R117" s="103" t="s">
        <v>8</v>
      </c>
      <c r="S117" s="103" t="str">
        <f>_xlfn.IFS(MouserListTable12[[#This Row],[Supplier]]=FilterSpecs!$A$6, FilterSpecs!$B$6,MouserListTable12[[#This Row],[Supplier]]=FilterSpecs!$A$7,FilterSpecs!$B$7,MouserListTable12[[#This Row],[Supplier]]=FilterSpecs!$A$8,FilterSpecs!$B$8,MouserListTable12[[#This Row],[Supplier]]=FilterSpecs!$A$9,FilterSpecs!$B$9)</f>
        <v>474-</v>
      </c>
      <c r="T11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474-SEN-13968</v>
      </c>
      <c r="U117" s="121">
        <v>1</v>
      </c>
      <c r="V117" s="121">
        <v>0</v>
      </c>
      <c r="W117" s="121">
        <v>0</v>
      </c>
      <c r="X117" s="121">
        <f>MouserListTable12[[#This Row],['#/Unit]]*FilterSpecs!$C$3+MouserListTable12[[#This Row],[Extra]]</f>
        <v>5</v>
      </c>
      <c r="Y117" s="121">
        <f>IF(MouserListTable12[[#This Row],[Tag]]=FilterSpecs!$F$7,MouserListTable12[[#This Row],[Price (USD)]],0)</f>
        <v>14.95</v>
      </c>
      <c r="Z117" s="121">
        <f>MouserListTable12[[#This Row],[Tot '#]]*MouserListTable12[[#This Row],[Price (USD)]]</f>
        <v>74.75</v>
      </c>
    </row>
    <row r="118" spans="1:26" s="146" customFormat="1" x14ac:dyDescent="0.3">
      <c r="A118" s="103" t="s">
        <v>894</v>
      </c>
      <c r="B118" s="103" t="s">
        <v>14</v>
      </c>
      <c r="C118" s="103" t="s">
        <v>8</v>
      </c>
      <c r="D118" s="106" t="str">
        <f>IF(MouserListTable12[[#This Row],[Vendor]]=FilterSpecs!$A$8,MouserListTable12[[#This Row],[Mouser SKU]], MouserListTable12[[#This Row],[SKU2]])</f>
        <v>SEN-13959</v>
      </c>
      <c r="E118" s="121">
        <f>MouserListTable12[[#This Row],[Tot '#]]-MouserListTable12[[#This Row],['# Initial]]</f>
        <v>0</v>
      </c>
      <c r="F118" s="121">
        <f>MouserListTable12[[#This Row],['#/Unit]]*FilterSpecs!$B$3+MouserListTable12[[#This Row],[Extra Initial]]</f>
        <v>5</v>
      </c>
      <c r="G118" s="103" t="s">
        <v>85</v>
      </c>
      <c r="H118" s="103" t="s">
        <v>86</v>
      </c>
      <c r="I118" s="103" t="s">
        <v>87</v>
      </c>
      <c r="J118" s="103">
        <v>1</v>
      </c>
      <c r="K118" s="171">
        <v>3.95</v>
      </c>
      <c r="L118" s="103" t="s">
        <v>1911</v>
      </c>
      <c r="M118" s="106"/>
      <c r="N118" s="171">
        <f>MouserListTable12[[#This Row],['# Initial]]*MouserListTable12[[#This Row],[Price (USD)]]</f>
        <v>19.75</v>
      </c>
      <c r="O118" s="106" t="s">
        <v>84</v>
      </c>
      <c r="P118" s="103">
        <f t="shared" si="1"/>
        <v>105</v>
      </c>
      <c r="Q118" s="103">
        <f>IF($D118=$O118,1,0)</f>
        <v>1</v>
      </c>
      <c r="R118" s="103" t="s">
        <v>8</v>
      </c>
      <c r="S118" s="103" t="str">
        <f>_xlfn.IFS(MouserListTable12[[#This Row],[Supplier]]=FilterSpecs!$A$6, FilterSpecs!$B$6,MouserListTable12[[#This Row],[Supplier]]=FilterSpecs!$A$7,FilterSpecs!$B$7,MouserListTable12[[#This Row],[Supplier]]=FilterSpecs!$A$8,FilterSpecs!$B$8,MouserListTable12[[#This Row],[Supplier]]=FilterSpecs!$A$9,FilterSpecs!$B$9)</f>
        <v>474-</v>
      </c>
      <c r="T11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474-SEN-13959</v>
      </c>
      <c r="U118" s="121">
        <v>1</v>
      </c>
      <c r="V118" s="121">
        <v>0</v>
      </c>
      <c r="W118" s="121">
        <v>0</v>
      </c>
      <c r="X118" s="121">
        <f>MouserListTable12[[#This Row],['#/Unit]]*FilterSpecs!$C$3+MouserListTable12[[#This Row],[Extra]]</f>
        <v>5</v>
      </c>
      <c r="Y118" s="121">
        <f>IF(MouserListTable12[[#This Row],[Tag]]=FilterSpecs!$F$7,MouserListTable12[[#This Row],[Price (USD)]],0)</f>
        <v>3.95</v>
      </c>
      <c r="Z118" s="121">
        <f>MouserListTable12[[#This Row],[Tot '#]]*MouserListTable12[[#This Row],[Price (USD)]]</f>
        <v>19.75</v>
      </c>
    </row>
    <row r="119" spans="1:26" s="146" customFormat="1" hidden="1" x14ac:dyDescent="0.3">
      <c r="A119" s="126" t="s">
        <v>894</v>
      </c>
      <c r="B119" s="126" t="s">
        <v>14</v>
      </c>
      <c r="C119" s="126" t="s">
        <v>8</v>
      </c>
      <c r="D119" s="106" t="str">
        <f>IF(MouserListTable12[[#This Row],[Vendor]]=FilterSpecs!$A$8,MouserListTable12[[#This Row],[Mouser SKU]], MouserListTable12[[#This Row],[SKU2]])</f>
        <v>SEN-12785</v>
      </c>
      <c r="E119" s="121">
        <f>MouserListTable12[[#This Row],[Tot '#]]-MouserListTable12[[#This Row],['# Initial]]</f>
        <v>0</v>
      </c>
      <c r="F119" s="121">
        <f>MouserListTable12[[#This Row],['#/Unit]]*FilterSpecs!$B$3+MouserListTable12[[#This Row],[Extra Initial]]</f>
        <v>0</v>
      </c>
      <c r="G119" s="103" t="s">
        <v>89</v>
      </c>
      <c r="H119" s="103" t="s">
        <v>90</v>
      </c>
      <c r="I119" s="103" t="s">
        <v>91</v>
      </c>
      <c r="J119" s="103">
        <v>1</v>
      </c>
      <c r="K119" s="171">
        <v>24.95</v>
      </c>
      <c r="L119" s="103" t="s">
        <v>1911</v>
      </c>
      <c r="N119" s="171">
        <f>MouserListTable12[[#This Row],['# Initial]]*MouserListTable12[[#This Row],[Price (USD)]]</f>
        <v>0</v>
      </c>
      <c r="O119" s="106" t="s">
        <v>88</v>
      </c>
      <c r="P119" s="103">
        <f t="shared" si="1"/>
        <v>106</v>
      </c>
      <c r="Q119" s="103">
        <f>IF($D119=$O119,1,0)</f>
        <v>1</v>
      </c>
      <c r="R119" s="103" t="s">
        <v>8</v>
      </c>
      <c r="S119" s="103" t="str">
        <f>_xlfn.IFS(MouserListTable12[[#This Row],[Supplier]]=FilterSpecs!$A$6, FilterSpecs!$B$6,MouserListTable12[[#This Row],[Supplier]]=FilterSpecs!$A$7,FilterSpecs!$B$7,MouserListTable12[[#This Row],[Supplier]]=FilterSpecs!$A$8,FilterSpecs!$B$8,MouserListTable12[[#This Row],[Supplier]]=FilterSpecs!$A$9,FilterSpecs!$B$9)</f>
        <v>474-</v>
      </c>
      <c r="T11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474-SEN-12785</v>
      </c>
      <c r="U119" s="121">
        <v>0</v>
      </c>
      <c r="V119" s="121">
        <v>0</v>
      </c>
      <c r="W119" s="121">
        <v>0</v>
      </c>
      <c r="X119" s="121">
        <f>MouserListTable12[[#This Row],['#/Unit]]*FilterSpecs!$C$3+MouserListTable12[[#This Row],[Extra]]</f>
        <v>0</v>
      </c>
      <c r="Y119" s="121">
        <f>IF(MouserListTable12[[#This Row],[Tag]]=FilterSpecs!$F$7,MouserListTable12[[#This Row],[Price (USD)]],0)</f>
        <v>24.95</v>
      </c>
      <c r="Z119" s="121">
        <f>MouserListTable12[[#This Row],[Tot '#]]*MouserListTable12[[#This Row],[Price (USD)]]</f>
        <v>0</v>
      </c>
    </row>
    <row r="120" spans="1:26" s="146" customFormat="1" hidden="1" x14ac:dyDescent="0.3">
      <c r="A120" s="103" t="s">
        <v>894</v>
      </c>
      <c r="B120" s="103" t="s">
        <v>14</v>
      </c>
      <c r="C120" s="103" t="s">
        <v>8</v>
      </c>
      <c r="D120" s="106" t="str">
        <f>IF(MouserListTable12[[#This Row],[Vendor]]=FilterSpecs!$A$8,MouserListTable12[[#This Row],[Mouser SKU]], MouserListTable12[[#This Row],[SKU2]])</f>
        <v>SEN-13162</v>
      </c>
      <c r="E120" s="121">
        <f>MouserListTable12[[#This Row],[Tot '#]]-MouserListTable12[[#This Row],['# Initial]]</f>
        <v>0</v>
      </c>
      <c r="F120" s="121">
        <f>MouserListTable12[[#This Row],['#/Unit]]*FilterSpecs!$B$3+MouserListTable12[[#This Row],[Extra Initial]]</f>
        <v>0</v>
      </c>
      <c r="G120" s="103" t="s">
        <v>93</v>
      </c>
      <c r="H120" s="103" t="s">
        <v>94</v>
      </c>
      <c r="I120" s="103" t="s">
        <v>95</v>
      </c>
      <c r="J120" s="103"/>
      <c r="K120" s="171">
        <v>24.95</v>
      </c>
      <c r="L120" s="103" t="s">
        <v>1911</v>
      </c>
      <c r="M120" s="106"/>
      <c r="N120" s="171">
        <f>MouserListTable12[[#This Row],['# Initial]]*MouserListTable12[[#This Row],[Price (USD)]]</f>
        <v>0</v>
      </c>
      <c r="O120" s="106" t="s">
        <v>92</v>
      </c>
      <c r="P120" s="103">
        <f t="shared" si="1"/>
        <v>107</v>
      </c>
      <c r="Q120" s="103">
        <f>IF($D120=$O120,1,0)</f>
        <v>1</v>
      </c>
      <c r="R120" s="103" t="s">
        <v>8</v>
      </c>
      <c r="S120" s="103" t="str">
        <f>_xlfn.IFS(MouserListTable12[[#This Row],[Supplier]]=FilterSpecs!$A$6, FilterSpecs!$B$6,MouserListTable12[[#This Row],[Supplier]]=FilterSpecs!$A$7,FilterSpecs!$B$7,MouserListTable12[[#This Row],[Supplier]]=FilterSpecs!$A$8,FilterSpecs!$B$8,MouserListTable12[[#This Row],[Supplier]]=FilterSpecs!$A$9,FilterSpecs!$B$9)</f>
        <v>474-</v>
      </c>
      <c r="T12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474-SEN-13162</v>
      </c>
      <c r="U120" s="121">
        <v>0</v>
      </c>
      <c r="V120" s="121">
        <v>0</v>
      </c>
      <c r="W120" s="121">
        <v>0</v>
      </c>
      <c r="X120" s="121">
        <f>MouserListTable12[[#This Row],['#/Unit]]*FilterSpecs!$C$3+MouserListTable12[[#This Row],[Extra]]</f>
        <v>0</v>
      </c>
      <c r="Y120" s="121">
        <f>IF(MouserListTable12[[#This Row],[Tag]]=FilterSpecs!$F$7,MouserListTable12[[#This Row],[Price (USD)]],0)</f>
        <v>24.95</v>
      </c>
      <c r="Z120" s="121">
        <f>MouserListTable12[[#This Row],[Tot '#]]*MouserListTable12[[#This Row],[Price (USD)]]</f>
        <v>0</v>
      </c>
    </row>
    <row r="121" spans="1:26" s="146" customFormat="1" hidden="1" x14ac:dyDescent="0.3">
      <c r="A121" s="126" t="s">
        <v>894</v>
      </c>
      <c r="B121" s="126" t="s">
        <v>14</v>
      </c>
      <c r="C121" s="126" t="s">
        <v>8</v>
      </c>
      <c r="D121" s="106" t="str">
        <f>IF(MouserListTable12[[#This Row],[Vendor]]=FilterSpecs!$A$8,MouserListTable12[[#This Row],[Mouser SKU]], MouserListTable12[[#This Row],[SKU2]])</f>
        <v>SEN-12787</v>
      </c>
      <c r="E121" s="121">
        <f>MouserListTable12[[#This Row],[Tot '#]]-MouserListTable12[[#This Row],['# Initial]]</f>
        <v>0</v>
      </c>
      <c r="F121" s="121">
        <f>MouserListTable12[[#This Row],['#/Unit]]*FilterSpecs!$B$3+MouserListTable12[[#This Row],[Extra Initial]]</f>
        <v>0</v>
      </c>
      <c r="G121" s="103" t="s">
        <v>97</v>
      </c>
      <c r="H121" s="103" t="s">
        <v>98</v>
      </c>
      <c r="I121" s="103" t="s">
        <v>99</v>
      </c>
      <c r="J121" s="103">
        <v>1</v>
      </c>
      <c r="K121" s="171">
        <v>14.95</v>
      </c>
      <c r="L121" s="103" t="s">
        <v>1911</v>
      </c>
      <c r="N121" s="171">
        <f>MouserListTable12[[#This Row],['# Initial]]*MouserListTable12[[#This Row],[Price (USD)]]</f>
        <v>0</v>
      </c>
      <c r="O121" s="106" t="s">
        <v>96</v>
      </c>
      <c r="P121" s="103">
        <f t="shared" si="1"/>
        <v>108</v>
      </c>
      <c r="Q121" s="103">
        <f>IF($D121=$O121,1,0)</f>
        <v>1</v>
      </c>
      <c r="R121" s="103" t="s">
        <v>8</v>
      </c>
      <c r="S121" s="103" t="str">
        <f>_xlfn.IFS(MouserListTable12[[#This Row],[Supplier]]=FilterSpecs!$A$6, FilterSpecs!$B$6,MouserListTable12[[#This Row],[Supplier]]=FilterSpecs!$A$7,FilterSpecs!$B$7,MouserListTable12[[#This Row],[Supplier]]=FilterSpecs!$A$8,FilterSpecs!$B$8,MouserListTable12[[#This Row],[Supplier]]=FilterSpecs!$A$9,FilterSpecs!$B$9)</f>
        <v>474-</v>
      </c>
      <c r="T12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474-SEN-12787</v>
      </c>
      <c r="U121" s="121">
        <v>0</v>
      </c>
      <c r="V121" s="121">
        <v>0</v>
      </c>
      <c r="W121" s="121">
        <v>0</v>
      </c>
      <c r="X121" s="121">
        <f>MouserListTable12[[#This Row],['#/Unit]]*FilterSpecs!$C$3+MouserListTable12[[#This Row],[Extra]]</f>
        <v>0</v>
      </c>
      <c r="Y121" s="121">
        <f>IF(MouserListTable12[[#This Row],[Tag]]=FilterSpecs!$F$7,MouserListTable12[[#This Row],[Price (USD)]],0)</f>
        <v>14.95</v>
      </c>
      <c r="Z121" s="121">
        <f>MouserListTable12[[#This Row],[Tot '#]]*MouserListTable12[[#This Row],[Price (USD)]]</f>
        <v>0</v>
      </c>
    </row>
    <row r="122" spans="1:26" s="146" customFormat="1" hidden="1" x14ac:dyDescent="0.3">
      <c r="A122" s="103" t="s">
        <v>894</v>
      </c>
      <c r="B122" s="103" t="s">
        <v>14</v>
      </c>
      <c r="C122" s="103" t="s">
        <v>8</v>
      </c>
      <c r="D122" s="106" t="str">
        <f>IF(MouserListTable12[[#This Row],[Vendor]]=FilterSpecs!$A$8,MouserListTable12[[#This Row],[Mouser SKU]], MouserListTable12[[#This Row],[SKU2]])</f>
        <v>SPX-14343</v>
      </c>
      <c r="E122" s="121">
        <f>MouserListTable12[[#This Row],[Tot '#]]-MouserListTable12[[#This Row],['# Initial]]</f>
        <v>3</v>
      </c>
      <c r="F122" s="121">
        <f>MouserListTable12[[#This Row],['#/Unit]]*FilterSpecs!$B$3+MouserListTable12[[#This Row],[Extra Initial]]</f>
        <v>0</v>
      </c>
      <c r="G122" s="103" t="s">
        <v>101</v>
      </c>
      <c r="H122" s="103" t="s">
        <v>102</v>
      </c>
      <c r="I122" s="103" t="s">
        <v>103</v>
      </c>
      <c r="J122" s="103">
        <v>1</v>
      </c>
      <c r="K122" s="171">
        <v>19.95</v>
      </c>
      <c r="L122" s="103" t="s">
        <v>1912</v>
      </c>
      <c r="M122" s="106"/>
      <c r="N122" s="171">
        <f>MouserListTable12[[#This Row],['# Initial]]*MouserListTable12[[#This Row],[Price (USD)]]</f>
        <v>0</v>
      </c>
      <c r="O122" s="106" t="s">
        <v>100</v>
      </c>
      <c r="P122" s="103">
        <f t="shared" si="1"/>
        <v>109</v>
      </c>
      <c r="Q122" s="103">
        <f>IF($D122=$O122,1,0)</f>
        <v>1</v>
      </c>
      <c r="R122" s="103" t="s">
        <v>8</v>
      </c>
      <c r="S122" s="103" t="str">
        <f>_xlfn.IFS(MouserListTable12[[#This Row],[Supplier]]=FilterSpecs!$A$6, FilterSpecs!$B$6,MouserListTable12[[#This Row],[Supplier]]=FilterSpecs!$A$7,FilterSpecs!$B$7,MouserListTable12[[#This Row],[Supplier]]=FilterSpecs!$A$8,FilterSpecs!$B$8,MouserListTable12[[#This Row],[Supplier]]=FilterSpecs!$A$9,FilterSpecs!$B$9)</f>
        <v>474-</v>
      </c>
      <c r="T12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474-SPX-14343</v>
      </c>
      <c r="U122" s="121">
        <v>0</v>
      </c>
      <c r="V122" s="121">
        <v>3</v>
      </c>
      <c r="W122" s="121">
        <v>0</v>
      </c>
      <c r="X122" s="121">
        <f>MouserListTable12[[#This Row],['#/Unit]]*FilterSpecs!$C$3+MouserListTable12[[#This Row],[Extra]]</f>
        <v>3</v>
      </c>
      <c r="Y122" s="121">
        <f>IF(MouserListTable12[[#This Row],[Tag]]=FilterSpecs!$F$7,MouserListTable12[[#This Row],[Price (USD)]],0)</f>
        <v>0</v>
      </c>
      <c r="Z122" s="121">
        <f>MouserListTable12[[#This Row],[Tot '#]]*MouserListTable12[[#This Row],[Price (USD)]]</f>
        <v>59.849999999999994</v>
      </c>
    </row>
    <row r="123" spans="1:26" s="144" customFormat="1" hidden="1" x14ac:dyDescent="0.3">
      <c r="A123" s="126" t="s">
        <v>894</v>
      </c>
      <c r="B123" s="126" t="s">
        <v>14</v>
      </c>
      <c r="C123" s="126" t="s">
        <v>8</v>
      </c>
      <c r="D123" s="106" t="str">
        <f>IF(MouserListTable12[[#This Row],[Vendor]]=FilterSpecs!$A$8,MouserListTable12[[#This Row],[Mouser SKU]], MouserListTable12[[#This Row],[SKU2]])</f>
        <v>SEN-00242</v>
      </c>
      <c r="E123" s="121">
        <f>MouserListTable12[[#This Row],[Tot '#]]-MouserListTable12[[#This Row],['# Initial]]</f>
        <v>0</v>
      </c>
      <c r="F123" s="121">
        <f>MouserListTable12[[#This Row],['#/Unit]]*FilterSpecs!$B$3+MouserListTable12[[#This Row],[Extra Initial]]</f>
        <v>0</v>
      </c>
      <c r="G123" s="103" t="s">
        <v>105</v>
      </c>
      <c r="H123" s="103" t="s">
        <v>106</v>
      </c>
      <c r="I123" s="103" t="s">
        <v>107</v>
      </c>
      <c r="J123" s="103">
        <v>1</v>
      </c>
      <c r="K123" s="171">
        <v>13.95</v>
      </c>
      <c r="L123" s="103" t="s">
        <v>1911</v>
      </c>
      <c r="M123" s="146"/>
      <c r="N123" s="171">
        <f>MouserListTable12[[#This Row],['# Initial]]*MouserListTable12[[#This Row],[Price (USD)]]</f>
        <v>0</v>
      </c>
      <c r="O123" s="106" t="s">
        <v>104</v>
      </c>
      <c r="P123" s="103">
        <f t="shared" si="1"/>
        <v>110</v>
      </c>
      <c r="Q123" s="103">
        <f>IF($D123=$O123,1,0)</f>
        <v>1</v>
      </c>
      <c r="R123" s="103" t="s">
        <v>8</v>
      </c>
      <c r="S123" s="103" t="str">
        <f>_xlfn.IFS(MouserListTable12[[#This Row],[Supplier]]=FilterSpecs!$A$6, FilterSpecs!$B$6,MouserListTable12[[#This Row],[Supplier]]=FilterSpecs!$A$7,FilterSpecs!$B$7,MouserListTable12[[#This Row],[Supplier]]=FilterSpecs!$A$8,FilterSpecs!$B$8,MouserListTable12[[#This Row],[Supplier]]=FilterSpecs!$A$9,FilterSpecs!$B$9)</f>
        <v>474-</v>
      </c>
      <c r="T12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474-SEN-00242</v>
      </c>
      <c r="U123" s="121">
        <v>0</v>
      </c>
      <c r="V123" s="121">
        <v>0</v>
      </c>
      <c r="W123" s="121">
        <v>0</v>
      </c>
      <c r="X123" s="121">
        <f>MouserListTable12[[#This Row],['#/Unit]]*FilterSpecs!$C$3+MouserListTable12[[#This Row],[Extra]]</f>
        <v>0</v>
      </c>
      <c r="Y123" s="121">
        <f>IF(MouserListTable12[[#This Row],[Tag]]=FilterSpecs!$F$7,MouserListTable12[[#This Row],[Price (USD)]],0)</f>
        <v>13.95</v>
      </c>
      <c r="Z123" s="121">
        <f>MouserListTable12[[#This Row],[Tot '#]]*MouserListTable12[[#This Row],[Price (USD)]]</f>
        <v>0</v>
      </c>
    </row>
    <row r="124" spans="1:26" s="144" customFormat="1" hidden="1" x14ac:dyDescent="0.3">
      <c r="A124" s="126" t="s">
        <v>894</v>
      </c>
      <c r="B124" s="126" t="s">
        <v>14</v>
      </c>
      <c r="C124" s="126" t="s">
        <v>8</v>
      </c>
      <c r="D124" s="106" t="str">
        <f>IF(MouserListTable12[[#This Row],[Vendor]]=FilterSpecs!$A$8,MouserListTable12[[#This Row],[Mouser SKU]], MouserListTable12[[#This Row],[SKU2]])</f>
        <v>SEN-08733</v>
      </c>
      <c r="E124" s="121">
        <f>MouserListTable12[[#This Row],[Tot '#]]-MouserListTable12[[#This Row],['# Initial]]</f>
        <v>0</v>
      </c>
      <c r="F124" s="121">
        <f>MouserListTable12[[#This Row],['#/Unit]]*FilterSpecs!$B$3+MouserListTable12[[#This Row],[Extra Initial]]</f>
        <v>0</v>
      </c>
      <c r="G124" s="103" t="s">
        <v>1093</v>
      </c>
      <c r="H124" s="103" t="s">
        <v>1094</v>
      </c>
      <c r="I124" s="103" t="s">
        <v>1095</v>
      </c>
      <c r="J124" s="103">
        <v>1</v>
      </c>
      <c r="K124" s="171">
        <v>1.5</v>
      </c>
      <c r="L124" s="103" t="s">
        <v>1911</v>
      </c>
      <c r="M124" s="146"/>
      <c r="N124" s="171">
        <f>MouserListTable12[[#This Row],['# Initial]]*MouserListTable12[[#This Row],[Price (USD)]]</f>
        <v>0</v>
      </c>
      <c r="O124" s="106" t="s">
        <v>1092</v>
      </c>
      <c r="P124" s="103">
        <f t="shared" si="1"/>
        <v>111</v>
      </c>
      <c r="Q124" s="103">
        <f>IF($D124=$O124,1,0)</f>
        <v>1</v>
      </c>
      <c r="R124" s="103" t="s">
        <v>8</v>
      </c>
      <c r="S124" s="103" t="str">
        <f>_xlfn.IFS(MouserListTable12[[#This Row],[Supplier]]=FilterSpecs!$A$6, FilterSpecs!$B$6,MouserListTable12[[#This Row],[Supplier]]=FilterSpecs!$A$7,FilterSpecs!$B$7,MouserListTable12[[#This Row],[Supplier]]=FilterSpecs!$A$8,FilterSpecs!$B$8,MouserListTable12[[#This Row],[Supplier]]=FilterSpecs!$A$9,FilterSpecs!$B$9)</f>
        <v>474-</v>
      </c>
      <c r="T12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474-SEN-08733</v>
      </c>
      <c r="U124" s="121">
        <v>0</v>
      </c>
      <c r="V124" s="121">
        <v>0</v>
      </c>
      <c r="W124" s="121">
        <v>0</v>
      </c>
      <c r="X124" s="121">
        <f>MouserListTable12[[#This Row],['#/Unit]]*FilterSpecs!$C$3+MouserListTable12[[#This Row],[Extra]]</f>
        <v>0</v>
      </c>
      <c r="Y124" s="121">
        <f>IF(MouserListTable12[[#This Row],[Tag]]=FilterSpecs!$F$7,MouserListTable12[[#This Row],[Price (USD)]],0)</f>
        <v>1.5</v>
      </c>
      <c r="Z124" s="121">
        <f>MouserListTable12[[#This Row],[Tot '#]]*MouserListTable12[[#This Row],[Price (USD)]]</f>
        <v>0</v>
      </c>
    </row>
    <row r="125" spans="1:26" s="144" customFormat="1" hidden="1" x14ac:dyDescent="0.3">
      <c r="A125" s="103" t="s">
        <v>894</v>
      </c>
      <c r="B125" s="103" t="s">
        <v>14</v>
      </c>
      <c r="C125" s="103" t="s">
        <v>1898</v>
      </c>
      <c r="D125" s="106" t="str">
        <f>IF(MouserListTable12[[#This Row],[Vendor]]=FilterSpecs!$A$8,MouserListTable12[[#This Row],[Mouser SKU]], MouserListTable12[[#This Row],[SKU2]])</f>
        <v>3538</v>
      </c>
      <c r="E125" s="121">
        <f>MouserListTable12[[#This Row],[Tot '#]]-MouserListTable12[[#This Row],['# Initial]]</f>
        <v>0</v>
      </c>
      <c r="F125" s="121">
        <f>MouserListTable12[[#This Row],['#/Unit]]*FilterSpecs!$B$3+MouserListTable12[[#This Row],[Extra Initial]]</f>
        <v>0</v>
      </c>
      <c r="G125" s="103"/>
      <c r="H125" s="103"/>
      <c r="I125" s="126" t="s">
        <v>2319</v>
      </c>
      <c r="J125" s="146"/>
      <c r="K125" s="172">
        <v>39.950000000000003</v>
      </c>
      <c r="L125" s="126" t="s">
        <v>1910</v>
      </c>
      <c r="M125" s="146"/>
      <c r="N125" s="171">
        <f>MouserListTable12[[#This Row],['# Initial]]*MouserListTable12[[#This Row],[Price (USD)]]</f>
        <v>0</v>
      </c>
      <c r="O125" s="106" t="s">
        <v>2318</v>
      </c>
      <c r="P125" s="103">
        <f t="shared" si="1"/>
        <v>112</v>
      </c>
      <c r="Q125" s="103">
        <f>IF($D125=$O125,1,0)</f>
        <v>1</v>
      </c>
      <c r="R125" s="103" t="s">
        <v>1898</v>
      </c>
      <c r="S125" s="103" t="str">
        <f>_xlfn.IFS(MouserListTable12[[#This Row],[Supplier]]=FilterSpecs!$A$6, FilterSpecs!$B$6,MouserListTable12[[#This Row],[Supplier]]=FilterSpecs!$A$7,FilterSpecs!$B$7,MouserListTable12[[#This Row],[Supplier]]=FilterSpecs!$A$8,FilterSpecs!$B$8,MouserListTable12[[#This Row],[Supplier]]=FilterSpecs!$A$9,FilterSpecs!$B$9)</f>
        <v>485-</v>
      </c>
      <c r="T12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485-3538</v>
      </c>
      <c r="U125" s="121">
        <v>0</v>
      </c>
      <c r="V125" s="121">
        <v>0</v>
      </c>
      <c r="W125" s="121">
        <v>0</v>
      </c>
      <c r="X125" s="121">
        <f>MouserListTable12[[#This Row],['#/Unit]]*FilterSpecs!$C$3+MouserListTable12[[#This Row],[Extra]]</f>
        <v>0</v>
      </c>
      <c r="Y125" s="121">
        <f>IF(MouserListTable12[[#This Row],[Tag]]=FilterSpecs!$F$7,MouserListTable12[[#This Row],[Price (USD)]],0)</f>
        <v>0</v>
      </c>
      <c r="Z125" s="121">
        <f>MouserListTable12[[#This Row],[Tot '#]]*MouserListTable12[[#This Row],[Price (USD)]]</f>
        <v>0</v>
      </c>
    </row>
    <row r="126" spans="1:26" s="144" customFormat="1" x14ac:dyDescent="0.3">
      <c r="A126" s="103" t="s">
        <v>894</v>
      </c>
      <c r="B126" s="103" t="s">
        <v>14</v>
      </c>
      <c r="C126" s="103" t="s">
        <v>1898</v>
      </c>
      <c r="D126" s="106" t="str">
        <f>IF(MouserListTable12[[#This Row],[Vendor]]=FilterSpecs!$A$8,MouserListTable12[[#This Row],[Mouser SKU]], MouserListTable12[[#This Row],[SKU2]])</f>
        <v>3317</v>
      </c>
      <c r="E126" s="121">
        <f>MouserListTable12[[#This Row],[Tot '#]]-MouserListTable12[[#This Row],['# Initial]]</f>
        <v>0</v>
      </c>
      <c r="F126" s="121">
        <f>MouserListTable12[[#This Row],['#/Unit]]*FilterSpecs!$B$3+MouserListTable12[[#This Row],[Extra Initial]]</f>
        <v>10</v>
      </c>
      <c r="G126" s="103"/>
      <c r="H126" s="103"/>
      <c r="I126" s="103" t="s">
        <v>2321</v>
      </c>
      <c r="J126" s="146"/>
      <c r="K126" s="171">
        <v>14.95</v>
      </c>
      <c r="L126" s="103" t="s">
        <v>1911</v>
      </c>
      <c r="M126" s="106"/>
      <c r="N126" s="171">
        <f>MouserListTable12[[#This Row],['# Initial]]*MouserListTable12[[#This Row],[Price (USD)]]</f>
        <v>149.5</v>
      </c>
      <c r="O126" s="106" t="s">
        <v>2320</v>
      </c>
      <c r="P126" s="103">
        <f t="shared" si="1"/>
        <v>113</v>
      </c>
      <c r="Q126" s="103">
        <f>IF($D126=$O126,1,0)</f>
        <v>1</v>
      </c>
      <c r="R126" s="103" t="s">
        <v>1898</v>
      </c>
      <c r="S126" s="103" t="str">
        <f>_xlfn.IFS(MouserListTable12[[#This Row],[Supplier]]=FilterSpecs!$A$6, FilterSpecs!$B$6,MouserListTable12[[#This Row],[Supplier]]=FilterSpecs!$A$7,FilterSpecs!$B$7,MouserListTable12[[#This Row],[Supplier]]=FilterSpecs!$A$8,FilterSpecs!$B$8,MouserListTable12[[#This Row],[Supplier]]=FilterSpecs!$A$9,FilterSpecs!$B$9)</f>
        <v>485-</v>
      </c>
      <c r="T12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485-3317</v>
      </c>
      <c r="U126" s="121">
        <v>2</v>
      </c>
      <c r="V126" s="121">
        <v>0</v>
      </c>
      <c r="W126" s="121">
        <v>0</v>
      </c>
      <c r="X126" s="121">
        <f>MouserListTable12[[#This Row],['#/Unit]]*FilterSpecs!$C$3+MouserListTable12[[#This Row],[Extra]]</f>
        <v>10</v>
      </c>
      <c r="Y126" s="121">
        <f>IF(MouserListTable12[[#This Row],[Tag]]=FilterSpecs!$F$7,MouserListTable12[[#This Row],[Price (USD)]],0)</f>
        <v>14.95</v>
      </c>
      <c r="Z126" s="121">
        <f>MouserListTable12[[#This Row],[Tot '#]]*MouserListTable12[[#This Row],[Price (USD)]]</f>
        <v>149.5</v>
      </c>
    </row>
    <row r="127" spans="1:26" s="144" customFormat="1" hidden="1" x14ac:dyDescent="0.3">
      <c r="A127" s="103" t="s">
        <v>894</v>
      </c>
      <c r="B127" s="103" t="s">
        <v>14</v>
      </c>
      <c r="C127" s="103" t="s">
        <v>1898</v>
      </c>
      <c r="D127" s="106" t="str">
        <f>IF(MouserListTable12[[#This Row],[Vendor]]=FilterSpecs!$A$8,MouserListTable12[[#This Row],[Mouser SKU]], MouserListTable12[[#This Row],[SKU2]])</f>
        <v>3316</v>
      </c>
      <c r="E127" s="121">
        <f>MouserListTable12[[#This Row],[Tot '#]]-MouserListTable12[[#This Row],['# Initial]]</f>
        <v>0</v>
      </c>
      <c r="F127" s="121">
        <f>MouserListTable12[[#This Row],['#/Unit]]*FilterSpecs!$B$3+MouserListTable12[[#This Row],[Extra Initial]]</f>
        <v>0</v>
      </c>
      <c r="G127" s="103"/>
      <c r="H127" s="103"/>
      <c r="I127" s="126" t="s">
        <v>2323</v>
      </c>
      <c r="J127" s="146"/>
      <c r="K127" s="172">
        <v>13.95</v>
      </c>
      <c r="L127" s="126" t="s">
        <v>1910</v>
      </c>
      <c r="M127" s="146"/>
      <c r="N127" s="171">
        <f>MouserListTable12[[#This Row],['# Initial]]*MouserListTable12[[#This Row],[Price (USD)]]</f>
        <v>0</v>
      </c>
      <c r="O127" s="106" t="s">
        <v>2322</v>
      </c>
      <c r="P127" s="103">
        <f t="shared" si="1"/>
        <v>114</v>
      </c>
      <c r="Q127" s="103">
        <f>IF($D127=$O127,1,0)</f>
        <v>1</v>
      </c>
      <c r="R127" s="103" t="s">
        <v>1898</v>
      </c>
      <c r="S127" s="103" t="str">
        <f>_xlfn.IFS(MouserListTable12[[#This Row],[Supplier]]=FilterSpecs!$A$6, FilterSpecs!$B$6,MouserListTable12[[#This Row],[Supplier]]=FilterSpecs!$A$7,FilterSpecs!$B$7,MouserListTable12[[#This Row],[Supplier]]=FilterSpecs!$A$8,FilterSpecs!$B$8,MouserListTable12[[#This Row],[Supplier]]=FilterSpecs!$A$9,FilterSpecs!$B$9)</f>
        <v>485-</v>
      </c>
      <c r="T12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485-3316</v>
      </c>
      <c r="U127" s="121">
        <v>0</v>
      </c>
      <c r="V127" s="121">
        <v>0</v>
      </c>
      <c r="W127" s="121">
        <v>0</v>
      </c>
      <c r="X127" s="121">
        <f>MouserListTable12[[#This Row],['#/Unit]]*FilterSpecs!$C$3+MouserListTable12[[#This Row],[Extra]]</f>
        <v>0</v>
      </c>
      <c r="Y127" s="121">
        <f>IF(MouserListTable12[[#This Row],[Tag]]=FilterSpecs!$F$7,MouserListTable12[[#This Row],[Price (USD)]],0)</f>
        <v>0</v>
      </c>
      <c r="Z127" s="121">
        <f>MouserListTable12[[#This Row],[Tot '#]]*MouserListTable12[[#This Row],[Price (USD)]]</f>
        <v>0</v>
      </c>
    </row>
    <row r="128" spans="1:26" s="144" customFormat="1" hidden="1" x14ac:dyDescent="0.3">
      <c r="A128" s="103" t="s">
        <v>894</v>
      </c>
      <c r="B128" s="103" t="s">
        <v>14</v>
      </c>
      <c r="C128" s="103" t="s">
        <v>1898</v>
      </c>
      <c r="D128" s="106" t="str">
        <f>IF(MouserListTable12[[#This Row],[Vendor]]=FilterSpecs!$A$8,MouserListTable12[[#This Row],[Mouser SKU]], MouserListTable12[[#This Row],[SKU2]])</f>
        <v>1568</v>
      </c>
      <c r="E128" s="121">
        <f>MouserListTable12[[#This Row],[Tot '#]]-MouserListTable12[[#This Row],['# Initial]]</f>
        <v>0</v>
      </c>
      <c r="F128" s="121">
        <f>MouserListTable12[[#This Row],['#/Unit]]*FilterSpecs!$B$3+MouserListTable12[[#This Row],[Extra Initial]]</f>
        <v>0</v>
      </c>
      <c r="G128" s="103"/>
      <c r="H128" s="103"/>
      <c r="I128" s="126" t="s">
        <v>2325</v>
      </c>
      <c r="J128" s="146"/>
      <c r="K128" s="172">
        <v>24.95</v>
      </c>
      <c r="L128" s="126" t="s">
        <v>1910</v>
      </c>
      <c r="M128" s="146"/>
      <c r="N128" s="171">
        <f>MouserListTable12[[#This Row],['# Initial]]*MouserListTable12[[#This Row],[Price (USD)]]</f>
        <v>0</v>
      </c>
      <c r="O128" s="106" t="s">
        <v>2324</v>
      </c>
      <c r="P128" s="103">
        <f t="shared" si="1"/>
        <v>115</v>
      </c>
      <c r="Q128" s="103">
        <f>IF($D128=$O128,1,0)</f>
        <v>1</v>
      </c>
      <c r="R128" s="103" t="s">
        <v>1898</v>
      </c>
      <c r="S128" s="103" t="str">
        <f>_xlfn.IFS(MouserListTable12[[#This Row],[Supplier]]=FilterSpecs!$A$6, FilterSpecs!$B$6,MouserListTable12[[#This Row],[Supplier]]=FilterSpecs!$A$7,FilterSpecs!$B$7,MouserListTable12[[#This Row],[Supplier]]=FilterSpecs!$A$8,FilterSpecs!$B$8,MouserListTable12[[#This Row],[Supplier]]=FilterSpecs!$A$9,FilterSpecs!$B$9)</f>
        <v>485-</v>
      </c>
      <c r="T12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485-1568</v>
      </c>
      <c r="U128" s="121">
        <v>0</v>
      </c>
      <c r="V128" s="121">
        <v>0</v>
      </c>
      <c r="W128" s="121">
        <v>0</v>
      </c>
      <c r="X128" s="121">
        <f>MouserListTable12[[#This Row],['#/Unit]]*FilterSpecs!$C$3+MouserListTable12[[#This Row],[Extra]]</f>
        <v>0</v>
      </c>
      <c r="Y128" s="121">
        <f>IF(MouserListTable12[[#This Row],[Tag]]=FilterSpecs!$F$7,MouserListTable12[[#This Row],[Price (USD)]],0)</f>
        <v>0</v>
      </c>
      <c r="Z128" s="121">
        <f>MouserListTable12[[#This Row],[Tot '#]]*MouserListTable12[[#This Row],[Price (USD)]]</f>
        <v>0</v>
      </c>
    </row>
    <row r="129" spans="1:26" s="144" customFormat="1" hidden="1" x14ac:dyDescent="0.3">
      <c r="A129" s="103" t="s">
        <v>894</v>
      </c>
      <c r="B129" s="103" t="s">
        <v>14</v>
      </c>
      <c r="C129" s="103" t="s">
        <v>1898</v>
      </c>
      <c r="D129" s="106" t="str">
        <f>IF(MouserListTable12[[#This Row],[Vendor]]=FilterSpecs!$A$8,MouserListTable12[[#This Row],[Mouser SKU]], MouserListTable12[[#This Row],[SKU2]])</f>
        <v>164</v>
      </c>
      <c r="E129" s="121">
        <f>MouserListTable12[[#This Row],[Tot '#]]-MouserListTable12[[#This Row],['# Initial]]</f>
        <v>0</v>
      </c>
      <c r="F129" s="121">
        <f>MouserListTable12[[#This Row],['#/Unit]]*FilterSpecs!$B$3+MouserListTable12[[#This Row],[Extra Initial]]</f>
        <v>0</v>
      </c>
      <c r="G129" s="103"/>
      <c r="H129" s="103"/>
      <c r="I129" s="126" t="s">
        <v>2327</v>
      </c>
      <c r="J129" s="146"/>
      <c r="K129" s="172">
        <v>14.95</v>
      </c>
      <c r="L129" s="126" t="s">
        <v>1910</v>
      </c>
      <c r="M129" s="146"/>
      <c r="N129" s="171">
        <f>MouserListTable12[[#This Row],['# Initial]]*MouserListTable12[[#This Row],[Price (USD)]]</f>
        <v>0</v>
      </c>
      <c r="O129" s="106" t="s">
        <v>2326</v>
      </c>
      <c r="P129" s="103">
        <f t="shared" si="1"/>
        <v>116</v>
      </c>
      <c r="Q129" s="103">
        <f>IF($D129=$O129,1,0)</f>
        <v>1</v>
      </c>
      <c r="R129" s="103" t="s">
        <v>1898</v>
      </c>
      <c r="S129" s="103" t="str">
        <f>_xlfn.IFS(MouserListTable12[[#This Row],[Supplier]]=FilterSpecs!$A$6, FilterSpecs!$B$6,MouserListTable12[[#This Row],[Supplier]]=FilterSpecs!$A$7,FilterSpecs!$B$7,MouserListTable12[[#This Row],[Supplier]]=FilterSpecs!$A$8,FilterSpecs!$B$8,MouserListTable12[[#This Row],[Supplier]]=FilterSpecs!$A$9,FilterSpecs!$B$9)</f>
        <v>485-</v>
      </c>
      <c r="T12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485-164</v>
      </c>
      <c r="U129" s="121">
        <v>0</v>
      </c>
      <c r="V129" s="121">
        <v>0</v>
      </c>
      <c r="W129" s="121">
        <v>0</v>
      </c>
      <c r="X129" s="121">
        <f>MouserListTable12[[#This Row],['#/Unit]]*FilterSpecs!$C$3+MouserListTable12[[#This Row],[Extra]]</f>
        <v>0</v>
      </c>
      <c r="Y129" s="121">
        <f>IF(MouserListTable12[[#This Row],[Tag]]=FilterSpecs!$F$7,MouserListTable12[[#This Row],[Price (USD)]],0)</f>
        <v>0</v>
      </c>
      <c r="Z129" s="121">
        <f>MouserListTable12[[#This Row],[Tot '#]]*MouserListTable12[[#This Row],[Price (USD)]]</f>
        <v>0</v>
      </c>
    </row>
    <row r="130" spans="1:26" s="144" customFormat="1" hidden="1" x14ac:dyDescent="0.3">
      <c r="A130" s="103" t="s">
        <v>894</v>
      </c>
      <c r="B130" s="103" t="s">
        <v>14</v>
      </c>
      <c r="C130" s="103" t="s">
        <v>1898</v>
      </c>
      <c r="D130" s="106" t="str">
        <f>IF(MouserListTable12[[#This Row],[Vendor]]=FilterSpecs!$A$8,MouserListTable12[[#This Row],[Mouser SKU]], MouserListTable12[[#This Row],[SKU2]])</f>
        <v>1031</v>
      </c>
      <c r="E130" s="121">
        <f>MouserListTable12[[#This Row],[Tot '#]]-MouserListTable12[[#This Row],['# Initial]]</f>
        <v>0</v>
      </c>
      <c r="F130" s="121">
        <f>MouserListTable12[[#This Row],['#/Unit]]*FilterSpecs!$B$3+MouserListTable12[[#This Row],[Extra Initial]]</f>
        <v>0</v>
      </c>
      <c r="G130" s="103"/>
      <c r="H130" s="103"/>
      <c r="I130" s="126" t="s">
        <v>2329</v>
      </c>
      <c r="J130" s="146"/>
      <c r="K130" s="172">
        <v>15.95</v>
      </c>
      <c r="L130" s="126" t="s">
        <v>1910</v>
      </c>
      <c r="M130" s="146"/>
      <c r="N130" s="171">
        <f>MouserListTable12[[#This Row],['# Initial]]*MouserListTable12[[#This Row],[Price (USD)]]</f>
        <v>0</v>
      </c>
      <c r="O130" s="106" t="s">
        <v>2328</v>
      </c>
      <c r="P130" s="103">
        <f t="shared" si="1"/>
        <v>117</v>
      </c>
      <c r="Q130" s="103">
        <f>IF($D130=$O130,1,0)</f>
        <v>1</v>
      </c>
      <c r="R130" s="103" t="s">
        <v>1898</v>
      </c>
      <c r="S130" s="103" t="str">
        <f>_xlfn.IFS(MouserListTable12[[#This Row],[Supplier]]=FilterSpecs!$A$6, FilterSpecs!$B$6,MouserListTable12[[#This Row],[Supplier]]=FilterSpecs!$A$7,FilterSpecs!$B$7,MouserListTable12[[#This Row],[Supplier]]=FilterSpecs!$A$8,FilterSpecs!$B$8,MouserListTable12[[#This Row],[Supplier]]=FilterSpecs!$A$9,FilterSpecs!$B$9)</f>
        <v>485-</v>
      </c>
      <c r="T13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485-1031</v>
      </c>
      <c r="U130" s="121">
        <v>0</v>
      </c>
      <c r="V130" s="121">
        <v>0</v>
      </c>
      <c r="W130" s="121">
        <v>0</v>
      </c>
      <c r="X130" s="121">
        <f>MouserListTable12[[#This Row],['#/Unit]]*FilterSpecs!$C$3+MouserListTable12[[#This Row],[Extra]]</f>
        <v>0</v>
      </c>
      <c r="Y130" s="121">
        <f>IF(MouserListTable12[[#This Row],[Tag]]=FilterSpecs!$F$7,MouserListTable12[[#This Row],[Price (USD)]],0)</f>
        <v>0</v>
      </c>
      <c r="Z130" s="121">
        <f>MouserListTable12[[#This Row],[Tot '#]]*MouserListTable12[[#This Row],[Price (USD)]]</f>
        <v>0</v>
      </c>
    </row>
    <row r="131" spans="1:26" s="144" customFormat="1" hidden="1" x14ac:dyDescent="0.3">
      <c r="A131" s="103" t="s">
        <v>894</v>
      </c>
      <c r="B131" s="103" t="s">
        <v>14</v>
      </c>
      <c r="C131" s="103" t="s">
        <v>2555</v>
      </c>
      <c r="D131" s="106" t="str">
        <f>IF(MouserListTable12[[#This Row],[Vendor]]=FilterSpecs!$A$8,MouserListTable12[[#This Row],[Mouser SKU]], MouserListTable12[[#This Row],[SKU2]])</f>
        <v>53L0-SATEL-I1</v>
      </c>
      <c r="E131" s="121">
        <f>MouserListTable12[[#This Row],[Tot '#]]-MouserListTable12[[#This Row],['# Initial]]</f>
        <v>0</v>
      </c>
      <c r="F131" s="121">
        <f>MouserListTable12[[#This Row],['#/Unit]]*FilterSpecs!$B$3+MouserListTable12[[#This Row],[Extra Initial]]</f>
        <v>0</v>
      </c>
      <c r="G131" s="103"/>
      <c r="H131" s="103"/>
      <c r="I131" s="103" t="s">
        <v>2556</v>
      </c>
      <c r="J131" s="103"/>
      <c r="K131" s="171">
        <v>18.13</v>
      </c>
      <c r="L131" s="121" t="s">
        <v>1910</v>
      </c>
      <c r="M131" s="103"/>
      <c r="N131" s="171">
        <f>MouserListTable12[[#This Row],['# Initial]]*MouserListTable12[[#This Row],[Price (USD)]]</f>
        <v>0</v>
      </c>
      <c r="O131" s="106" t="s">
        <v>2554</v>
      </c>
      <c r="P131" s="103">
        <f t="shared" si="1"/>
        <v>118</v>
      </c>
      <c r="Q131" s="121">
        <f>IF($D131=$O131,1,0)</f>
        <v>1</v>
      </c>
      <c r="R131" s="103" t="s">
        <v>18913</v>
      </c>
      <c r="S131" s="103" t="str">
        <f>_xlfn.IFS(MouserListTable12[[#This Row],[Supplier]]=FilterSpecs!$A$6, FilterSpecs!$B$6,MouserListTable12[[#This Row],[Supplier]]=FilterSpecs!$A$7,FilterSpecs!$B$7,MouserListTable12[[#This Row],[Supplier]]=FilterSpecs!$A$8,FilterSpecs!$B$8,MouserListTable12[[#This Row],[Supplier]]=FilterSpecs!$A$9,FilterSpecs!$B$9)</f>
        <v>511-</v>
      </c>
      <c r="T13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511-53L0-SATEL-I1</v>
      </c>
      <c r="U131" s="121">
        <v>0</v>
      </c>
      <c r="V131" s="121">
        <v>0</v>
      </c>
      <c r="W131" s="121">
        <v>0</v>
      </c>
      <c r="X131" s="121">
        <f>MouserListTable12[[#This Row],['#/Unit]]*FilterSpecs!$C$3+MouserListTable12[[#This Row],[Extra]]</f>
        <v>0</v>
      </c>
      <c r="Y131" s="121">
        <f>IF(MouserListTable12[[#This Row],[Tag]]=FilterSpecs!$F$7,MouserListTable12[[#This Row],[Price (USD)]],0)</f>
        <v>0</v>
      </c>
      <c r="Z131" s="121">
        <f>MouserListTable12[[#This Row],[Tot '#]]*MouserListTable12[[#This Row],[Price (USD)]]</f>
        <v>0</v>
      </c>
    </row>
    <row r="132" spans="1:26" s="144" customFormat="1" x14ac:dyDescent="0.3">
      <c r="A132" s="103" t="s">
        <v>894</v>
      </c>
      <c r="B132" s="103" t="s">
        <v>14</v>
      </c>
      <c r="C132" s="103" t="s">
        <v>1906</v>
      </c>
      <c r="D132" s="106" t="str">
        <f>IF(MouserListTable12[[#This Row],[Vendor]]=FilterSpecs!$A$8,MouserListTable12[[#This Row],[Mouser SKU]], MouserListTable12[[#This Row],[SKU2]])</f>
        <v>511-53L0-SATEL-I1</v>
      </c>
      <c r="E132" s="121">
        <f>MouserListTable12[[#This Row],[Tot '#]]-MouserListTable12[[#This Row],['# Initial]]</f>
        <v>0</v>
      </c>
      <c r="F132" s="121">
        <f>MouserListTable12[[#This Row],['#/Unit]]*FilterSpecs!$B$3+MouserListTable12[[#This Row],[Extra Initial]]</f>
        <v>5</v>
      </c>
      <c r="G132" s="103"/>
      <c r="H132" s="103"/>
      <c r="I132" s="103" t="s">
        <v>2556</v>
      </c>
      <c r="J132" s="103"/>
      <c r="K132" s="171">
        <v>18.5</v>
      </c>
      <c r="L132" s="121" t="s">
        <v>1911</v>
      </c>
      <c r="M132" s="103"/>
      <c r="N132" s="171">
        <f>MouserListTable12[[#This Row],['# Initial]]*MouserListTable12[[#This Row],[Price (USD)]]</f>
        <v>92.5</v>
      </c>
      <c r="O132" s="106" t="s">
        <v>2553</v>
      </c>
      <c r="P132" s="103">
        <f t="shared" si="1"/>
        <v>119</v>
      </c>
      <c r="Q132" s="121">
        <f>IF($D132=$O132,1,0)</f>
        <v>1</v>
      </c>
      <c r="R132" s="103" t="s">
        <v>1906</v>
      </c>
      <c r="S132" s="103">
        <f>_xlfn.IFS(MouserListTable12[[#This Row],[Supplier]]=FilterSpecs!$A$6, FilterSpecs!$B$6,MouserListTable12[[#This Row],[Supplier]]=FilterSpecs!$A$7,FilterSpecs!$B$7,MouserListTable12[[#This Row],[Supplier]]=FilterSpecs!$A$8,FilterSpecs!$B$8,MouserListTable12[[#This Row],[Supplier]]=FilterSpecs!$A$9,FilterSpecs!$B$9)</f>
        <v>0</v>
      </c>
      <c r="T13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511-53L0-SATEL-I1</v>
      </c>
      <c r="U132" s="121">
        <v>1</v>
      </c>
      <c r="V132" s="121">
        <v>0</v>
      </c>
      <c r="W132" s="121">
        <v>0</v>
      </c>
      <c r="X132" s="121">
        <f>MouserListTable12[[#This Row],['#/Unit]]*FilterSpecs!$C$3+MouserListTable12[[#This Row],[Extra]]</f>
        <v>5</v>
      </c>
      <c r="Y132" s="121">
        <f>IF(MouserListTable12[[#This Row],[Tag]]=FilterSpecs!$F$7,MouserListTable12[[#This Row],[Price (USD)]],0)</f>
        <v>18.5</v>
      </c>
      <c r="Z132" s="121">
        <f>MouserListTable12[[#This Row],[Tot '#]]*MouserListTable12[[#This Row],[Price (USD)]]</f>
        <v>92.5</v>
      </c>
    </row>
    <row r="133" spans="1:26" s="146" customFormat="1" x14ac:dyDescent="0.3">
      <c r="A133" s="103" t="s">
        <v>894</v>
      </c>
      <c r="B133" s="103" t="s">
        <v>15</v>
      </c>
      <c r="C133" s="103" t="s">
        <v>8</v>
      </c>
      <c r="D133" s="106" t="str">
        <f>IF(MouserListTable12[[#This Row],[Vendor]]=FilterSpecs!$A$8,MouserListTable12[[#This Row],[Mouser SKU]], MouserListTable12[[#This Row],[SKU2]])</f>
        <v>SEN-09196</v>
      </c>
      <c r="E133" s="121">
        <f>MouserListTable12[[#This Row],[Tot '#]]-MouserListTable12[[#This Row],['# Initial]]</f>
        <v>0</v>
      </c>
      <c r="F133" s="121">
        <f>MouserListTable12[[#This Row],['#/Unit]]*FilterSpecs!$B$3+MouserListTable12[[#This Row],[Extra Initial]]</f>
        <v>5</v>
      </c>
      <c r="G133" s="103" t="s">
        <v>109</v>
      </c>
      <c r="H133" s="103" t="s">
        <v>110</v>
      </c>
      <c r="I133" s="103" t="s">
        <v>111</v>
      </c>
      <c r="J133" s="146">
        <v>1</v>
      </c>
      <c r="K133" s="171">
        <v>2.95</v>
      </c>
      <c r="L133" s="103" t="s">
        <v>1911</v>
      </c>
      <c r="M133" s="106"/>
      <c r="N133" s="171">
        <f>MouserListTable12[[#This Row],['# Initial]]*MouserListTable12[[#This Row],[Price (USD)]]</f>
        <v>14.75</v>
      </c>
      <c r="O133" s="106" t="s">
        <v>108</v>
      </c>
      <c r="P133" s="103">
        <f t="shared" si="1"/>
        <v>120</v>
      </c>
      <c r="Q133" s="103">
        <f>IF($D133=$O133,1,0)</f>
        <v>1</v>
      </c>
      <c r="R133" s="103" t="s">
        <v>8</v>
      </c>
      <c r="S133" s="103" t="str">
        <f>_xlfn.IFS(MouserListTable12[[#This Row],[Supplier]]=FilterSpecs!$A$6, FilterSpecs!$B$6,MouserListTable12[[#This Row],[Supplier]]=FilterSpecs!$A$7,FilterSpecs!$B$7,MouserListTable12[[#This Row],[Supplier]]=FilterSpecs!$A$8,FilterSpecs!$B$8,MouserListTable12[[#This Row],[Supplier]]=FilterSpecs!$A$9,FilterSpecs!$B$9)</f>
        <v>474-</v>
      </c>
      <c r="T13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474-SEN-09196</v>
      </c>
      <c r="U133" s="121">
        <v>1</v>
      </c>
      <c r="V133" s="121">
        <v>0</v>
      </c>
      <c r="W133" s="121">
        <v>0</v>
      </c>
      <c r="X133" s="121">
        <f>MouserListTable12[[#This Row],['#/Unit]]*FilterSpecs!$C$3+MouserListTable12[[#This Row],[Extra]]</f>
        <v>5</v>
      </c>
      <c r="Y133" s="121">
        <f>IF(MouserListTable12[[#This Row],[Tag]]=FilterSpecs!$F$7,MouserListTable12[[#This Row],[Price (USD)]],0)</f>
        <v>2.95</v>
      </c>
      <c r="Z133" s="121">
        <f>MouserListTable12[[#This Row],[Tot '#]]*MouserListTable12[[#This Row],[Price (USD)]]</f>
        <v>14.75</v>
      </c>
    </row>
    <row r="134" spans="1:26" s="146" customFormat="1" hidden="1" x14ac:dyDescent="0.3">
      <c r="A134" s="103" t="s">
        <v>894</v>
      </c>
      <c r="B134" s="103" t="s">
        <v>15</v>
      </c>
      <c r="C134" s="103" t="s">
        <v>8</v>
      </c>
      <c r="D134" s="106" t="str">
        <f>IF(MouserListTable12[[#This Row],[Vendor]]=FilterSpecs!$A$8,MouserListTable12[[#This Row],[Mouser SKU]], MouserListTable12[[#This Row],[SKU2]])</f>
        <v>SEN-09197</v>
      </c>
      <c r="E134" s="121">
        <f>MouserListTable12[[#This Row],[Tot '#]]-MouserListTable12[[#This Row],['# Initial]]</f>
        <v>0</v>
      </c>
      <c r="F134" s="121">
        <f>MouserListTable12[[#This Row],['#/Unit]]*FilterSpecs!$B$3+MouserListTable12[[#This Row],[Extra Initial]]</f>
        <v>0</v>
      </c>
      <c r="G134" s="103" t="s">
        <v>1339</v>
      </c>
      <c r="H134" s="103" t="s">
        <v>1340</v>
      </c>
      <c r="I134" s="126" t="s">
        <v>1341</v>
      </c>
      <c r="J134" s="146">
        <v>1</v>
      </c>
      <c r="K134" s="172">
        <v>2.95</v>
      </c>
      <c r="L134" s="126" t="s">
        <v>1910</v>
      </c>
      <c r="N134" s="171">
        <f>MouserListTable12[[#This Row],['# Initial]]*MouserListTable12[[#This Row],[Price (USD)]]</f>
        <v>0</v>
      </c>
      <c r="O134" s="106" t="s">
        <v>1338</v>
      </c>
      <c r="P134" s="103">
        <f t="shared" si="1"/>
        <v>121</v>
      </c>
      <c r="Q134" s="103">
        <f>IF($D134=$O134,1,0)</f>
        <v>1</v>
      </c>
      <c r="R134" s="103" t="s">
        <v>8</v>
      </c>
      <c r="S134" s="103" t="str">
        <f>_xlfn.IFS(MouserListTable12[[#This Row],[Supplier]]=FilterSpecs!$A$6, FilterSpecs!$B$6,MouserListTable12[[#This Row],[Supplier]]=FilterSpecs!$A$7,FilterSpecs!$B$7,MouserListTable12[[#This Row],[Supplier]]=FilterSpecs!$A$8,FilterSpecs!$B$8,MouserListTable12[[#This Row],[Supplier]]=FilterSpecs!$A$9,FilterSpecs!$B$9)</f>
        <v>474-</v>
      </c>
      <c r="T13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474-SEN-09197</v>
      </c>
      <c r="U134" s="121">
        <v>0</v>
      </c>
      <c r="V134" s="121">
        <v>0</v>
      </c>
      <c r="W134" s="121">
        <v>0</v>
      </c>
      <c r="X134" s="121">
        <f>MouserListTable12[[#This Row],['#/Unit]]*FilterSpecs!$C$3+MouserListTable12[[#This Row],[Extra]]</f>
        <v>0</v>
      </c>
      <c r="Y134" s="121">
        <f>IF(MouserListTable12[[#This Row],[Tag]]=FilterSpecs!$F$7,MouserListTable12[[#This Row],[Price (USD)]],0)</f>
        <v>0</v>
      </c>
      <c r="Z134" s="121">
        <f>MouserListTable12[[#This Row],[Tot '#]]*MouserListTable12[[#This Row],[Price (USD)]]</f>
        <v>0</v>
      </c>
    </row>
    <row r="135" spans="1:26" s="146" customFormat="1" hidden="1" x14ac:dyDescent="0.3">
      <c r="A135" s="103" t="s">
        <v>894</v>
      </c>
      <c r="B135" s="103" t="s">
        <v>15</v>
      </c>
      <c r="C135" s="103" t="s">
        <v>8</v>
      </c>
      <c r="D135" s="106" t="str">
        <f>IF(MouserListTable12[[#This Row],[Vendor]]=FilterSpecs!$A$8,MouserListTable12[[#This Row],[Mouser SKU]], MouserListTable12[[#This Row],[SKU2]])</f>
        <v>SEN-09198</v>
      </c>
      <c r="E135" s="121">
        <f>MouserListTable12[[#This Row],[Tot '#]]-MouserListTable12[[#This Row],['# Initial]]</f>
        <v>0</v>
      </c>
      <c r="F135" s="121">
        <f>MouserListTable12[[#This Row],['#/Unit]]*FilterSpecs!$B$3+MouserListTable12[[#This Row],[Extra Initial]]</f>
        <v>0</v>
      </c>
      <c r="G135" s="103" t="s">
        <v>1343</v>
      </c>
      <c r="H135" s="103" t="s">
        <v>1344</v>
      </c>
      <c r="I135" s="126" t="s">
        <v>1345</v>
      </c>
      <c r="J135" s="146">
        <v>1</v>
      </c>
      <c r="K135" s="172">
        <v>2.95</v>
      </c>
      <c r="L135" s="126" t="s">
        <v>1910</v>
      </c>
      <c r="N135" s="171">
        <f>MouserListTable12[[#This Row],['# Initial]]*MouserListTable12[[#This Row],[Price (USD)]]</f>
        <v>0</v>
      </c>
      <c r="O135" s="106" t="s">
        <v>1342</v>
      </c>
      <c r="P135" s="103">
        <f t="shared" si="1"/>
        <v>122</v>
      </c>
      <c r="Q135" s="103">
        <f>IF($D135=$O135,1,0)</f>
        <v>1</v>
      </c>
      <c r="R135" s="103" t="s">
        <v>8</v>
      </c>
      <c r="S135" s="103" t="str">
        <f>_xlfn.IFS(MouserListTable12[[#This Row],[Supplier]]=FilterSpecs!$A$6, FilterSpecs!$B$6,MouserListTable12[[#This Row],[Supplier]]=FilterSpecs!$A$7,FilterSpecs!$B$7,MouserListTable12[[#This Row],[Supplier]]=FilterSpecs!$A$8,FilterSpecs!$B$8,MouserListTable12[[#This Row],[Supplier]]=FilterSpecs!$A$9,FilterSpecs!$B$9)</f>
        <v>474-</v>
      </c>
      <c r="T13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474-SEN-09198</v>
      </c>
      <c r="U135" s="121">
        <v>0</v>
      </c>
      <c r="V135" s="121">
        <v>0</v>
      </c>
      <c r="W135" s="121">
        <v>0</v>
      </c>
      <c r="X135" s="121">
        <f>MouserListTable12[[#This Row],['#/Unit]]*FilterSpecs!$C$3+MouserListTable12[[#This Row],[Extra]]</f>
        <v>0</v>
      </c>
      <c r="Y135" s="121">
        <f>IF(MouserListTable12[[#This Row],[Tag]]=FilterSpecs!$F$7,MouserListTable12[[#This Row],[Price (USD)]],0)</f>
        <v>0</v>
      </c>
      <c r="Z135" s="121">
        <f>MouserListTable12[[#This Row],[Tot '#]]*MouserListTable12[[#This Row],[Price (USD)]]</f>
        <v>0</v>
      </c>
    </row>
    <row r="136" spans="1:26" s="146" customFormat="1" hidden="1" x14ac:dyDescent="0.3">
      <c r="A136" s="103" t="s">
        <v>894</v>
      </c>
      <c r="B136" s="103" t="s">
        <v>15</v>
      </c>
      <c r="C136" s="103" t="s">
        <v>8</v>
      </c>
      <c r="D136" s="106" t="str">
        <f>IF(MouserListTable12[[#This Row],[Vendor]]=FilterSpecs!$A$8,MouserListTable12[[#This Row],[Mouser SKU]], MouserListTable12[[#This Row],[SKU2]])</f>
        <v>SEN-09199</v>
      </c>
      <c r="E136" s="121">
        <f>MouserListTable12[[#This Row],[Tot '#]]-MouserListTable12[[#This Row],['# Initial]]</f>
        <v>0</v>
      </c>
      <c r="F136" s="121">
        <f>MouserListTable12[[#This Row],['#/Unit]]*FilterSpecs!$B$3+MouserListTable12[[#This Row],[Extra Initial]]</f>
        <v>0</v>
      </c>
      <c r="G136" s="103" t="s">
        <v>1347</v>
      </c>
      <c r="H136" s="103" t="s">
        <v>1348</v>
      </c>
      <c r="I136" s="126" t="s">
        <v>1349</v>
      </c>
      <c r="J136" s="146">
        <v>1</v>
      </c>
      <c r="K136" s="172">
        <v>2.95</v>
      </c>
      <c r="L136" s="126" t="s">
        <v>1913</v>
      </c>
      <c r="N136" s="171">
        <f>MouserListTable12[[#This Row],['# Initial]]*MouserListTable12[[#This Row],[Price (USD)]]</f>
        <v>0</v>
      </c>
      <c r="O136" s="106" t="s">
        <v>1346</v>
      </c>
      <c r="P136" s="103">
        <f t="shared" si="1"/>
        <v>123</v>
      </c>
      <c r="Q136" s="103">
        <f>IF($D136=$O136,1,0)</f>
        <v>1</v>
      </c>
      <c r="R136" s="103" t="s">
        <v>8</v>
      </c>
      <c r="S136" s="103" t="str">
        <f>_xlfn.IFS(MouserListTable12[[#This Row],[Supplier]]=FilterSpecs!$A$6, FilterSpecs!$B$6,MouserListTable12[[#This Row],[Supplier]]=FilterSpecs!$A$7,FilterSpecs!$B$7,MouserListTable12[[#This Row],[Supplier]]=FilterSpecs!$A$8,FilterSpecs!$B$8,MouserListTable12[[#This Row],[Supplier]]=FilterSpecs!$A$9,FilterSpecs!$B$9)</f>
        <v>474-</v>
      </c>
      <c r="T13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474-SEN-09199</v>
      </c>
      <c r="U136" s="121">
        <v>0</v>
      </c>
      <c r="V136" s="121">
        <v>0</v>
      </c>
      <c r="W136" s="121">
        <v>0</v>
      </c>
      <c r="X136" s="121">
        <f>MouserListTable12[[#This Row],['#/Unit]]*FilterSpecs!$C$3+MouserListTable12[[#This Row],[Extra]]</f>
        <v>0</v>
      </c>
      <c r="Y136" s="121">
        <f>IF(MouserListTable12[[#This Row],[Tag]]=FilterSpecs!$F$7,MouserListTable12[[#This Row],[Price (USD)]],0)</f>
        <v>0</v>
      </c>
      <c r="Z136" s="121">
        <f>MouserListTable12[[#This Row],[Tot '#]]*MouserListTable12[[#This Row],[Price (USD)]]</f>
        <v>0</v>
      </c>
    </row>
    <row r="137" spans="1:26" s="146" customFormat="1" hidden="1" x14ac:dyDescent="0.3">
      <c r="A137" s="103" t="s">
        <v>894</v>
      </c>
      <c r="B137" s="103" t="s">
        <v>15</v>
      </c>
      <c r="C137" s="103" t="s">
        <v>1898</v>
      </c>
      <c r="D137" s="106" t="str">
        <f>IF(MouserListTable12[[#This Row],[Vendor]]=FilterSpecs!$A$8,MouserListTable12[[#This Row],[Mouser SKU]], MouserListTable12[[#This Row],[SKU2]])</f>
        <v>1071</v>
      </c>
      <c r="E137" s="121">
        <f>MouserListTable12[[#This Row],[Tot '#]]-MouserListTable12[[#This Row],['# Initial]]</f>
        <v>0</v>
      </c>
      <c r="F137" s="121">
        <f>MouserListTable12[[#This Row],['#/Unit]]*FilterSpecs!$B$3+MouserListTable12[[#This Row],[Extra Initial]]</f>
        <v>0</v>
      </c>
      <c r="G137" s="103"/>
      <c r="H137" s="103"/>
      <c r="I137" s="126" t="s">
        <v>2333</v>
      </c>
      <c r="K137" s="172">
        <v>17.95</v>
      </c>
      <c r="L137" s="126" t="s">
        <v>1910</v>
      </c>
      <c r="N137" s="171">
        <f>MouserListTable12[[#This Row],['# Initial]]*MouserListTable12[[#This Row],[Price (USD)]]</f>
        <v>0</v>
      </c>
      <c r="O137" s="106" t="s">
        <v>2332</v>
      </c>
      <c r="P137" s="103">
        <f t="shared" si="1"/>
        <v>124</v>
      </c>
      <c r="Q137" s="103">
        <f>IF($D137=$O137,1,0)</f>
        <v>1</v>
      </c>
      <c r="R137" s="103" t="s">
        <v>1898</v>
      </c>
      <c r="S137" s="103" t="str">
        <f>_xlfn.IFS(MouserListTable12[[#This Row],[Supplier]]=FilterSpecs!$A$6, FilterSpecs!$B$6,MouserListTable12[[#This Row],[Supplier]]=FilterSpecs!$A$7,FilterSpecs!$B$7,MouserListTable12[[#This Row],[Supplier]]=FilterSpecs!$A$8,FilterSpecs!$B$8,MouserListTable12[[#This Row],[Supplier]]=FilterSpecs!$A$9,FilterSpecs!$B$9)</f>
        <v>485-</v>
      </c>
      <c r="T13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485-1071</v>
      </c>
      <c r="U137" s="121">
        <v>0</v>
      </c>
      <c r="V137" s="121">
        <v>0</v>
      </c>
      <c r="W137" s="121">
        <v>0</v>
      </c>
      <c r="X137" s="121">
        <f>MouserListTable12[[#This Row],['#/Unit]]*FilterSpecs!$C$3+MouserListTable12[[#This Row],[Extra]]</f>
        <v>0</v>
      </c>
      <c r="Y137" s="121">
        <f>IF(MouserListTable12[[#This Row],[Tag]]=FilterSpecs!$F$7,MouserListTable12[[#This Row],[Price (USD)]],0)</f>
        <v>0</v>
      </c>
      <c r="Z137" s="121">
        <f>MouserListTable12[[#This Row],[Tot '#]]*MouserListTable12[[#This Row],[Price (USD)]]</f>
        <v>0</v>
      </c>
    </row>
    <row r="138" spans="1:26" s="146" customFormat="1" hidden="1" x14ac:dyDescent="0.3">
      <c r="A138" s="103" t="s">
        <v>894</v>
      </c>
      <c r="B138" s="103" t="s">
        <v>15</v>
      </c>
      <c r="C138" s="103" t="s">
        <v>8</v>
      </c>
      <c r="D138" s="106" t="str">
        <f>IF(MouserListTable12[[#This Row],[Vendor]]=FilterSpecs!$A$8,MouserListTable12[[#This Row],[Mouser SKU]], MouserListTable12[[#This Row],[SKU2]])</f>
        <v>SEN-09674</v>
      </c>
      <c r="E138" s="121">
        <f>MouserListTable12[[#This Row],[Tot '#]]-MouserListTable12[[#This Row],['# Initial]]</f>
        <v>0</v>
      </c>
      <c r="F138" s="121">
        <f>MouserListTable12[[#This Row],['#/Unit]]*FilterSpecs!$B$3+MouserListTable12[[#This Row],[Extra Initial]]</f>
        <v>0</v>
      </c>
      <c r="G138" s="103" t="s">
        <v>1430</v>
      </c>
      <c r="H138" s="103" t="s">
        <v>1431</v>
      </c>
      <c r="I138" s="126" t="s">
        <v>1432</v>
      </c>
      <c r="J138" s="146">
        <v>1</v>
      </c>
      <c r="K138" s="172">
        <v>20.95</v>
      </c>
      <c r="L138" s="126" t="s">
        <v>1910</v>
      </c>
      <c r="N138" s="171">
        <f>MouserListTable12[[#This Row],['# Initial]]*MouserListTable12[[#This Row],[Price (USD)]]</f>
        <v>0</v>
      </c>
      <c r="O138" s="106" t="s">
        <v>1429</v>
      </c>
      <c r="P138" s="103">
        <f t="shared" si="1"/>
        <v>125</v>
      </c>
      <c r="Q138" s="103">
        <f>IF($D138=$O138,1,0)</f>
        <v>1</v>
      </c>
      <c r="R138" s="103" t="s">
        <v>8</v>
      </c>
      <c r="S138" s="103" t="str">
        <f>_xlfn.IFS(MouserListTable12[[#This Row],[Supplier]]=FilterSpecs!$A$6, FilterSpecs!$B$6,MouserListTable12[[#This Row],[Supplier]]=FilterSpecs!$A$7,FilterSpecs!$B$7,MouserListTable12[[#This Row],[Supplier]]=FilterSpecs!$A$8,FilterSpecs!$B$8,MouserListTable12[[#This Row],[Supplier]]=FilterSpecs!$A$9,FilterSpecs!$B$9)</f>
        <v>474-</v>
      </c>
      <c r="T13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474-SEN-09674</v>
      </c>
      <c r="U138" s="121">
        <v>0</v>
      </c>
      <c r="V138" s="121">
        <v>0</v>
      </c>
      <c r="W138" s="121">
        <v>0</v>
      </c>
      <c r="X138" s="121">
        <f>MouserListTable12[[#This Row],['#/Unit]]*FilterSpecs!$C$3+MouserListTable12[[#This Row],[Extra]]</f>
        <v>0</v>
      </c>
      <c r="Y138" s="121">
        <f>IF(MouserListTable12[[#This Row],[Tag]]=FilterSpecs!$F$7,MouserListTable12[[#This Row],[Price (USD)]],0)</f>
        <v>0</v>
      </c>
      <c r="Z138" s="121">
        <f>MouserListTable12[[#This Row],[Tot '#]]*MouserListTable12[[#This Row],[Price (USD)]]</f>
        <v>0</v>
      </c>
    </row>
    <row r="139" spans="1:26" s="146" customFormat="1" hidden="1" x14ac:dyDescent="0.3">
      <c r="A139" s="126" t="s">
        <v>894</v>
      </c>
      <c r="B139" s="126" t="s">
        <v>15</v>
      </c>
      <c r="C139" s="126" t="s">
        <v>8</v>
      </c>
      <c r="D139" s="106" t="str">
        <f>IF(MouserListTable12[[#This Row],[Vendor]]=FilterSpecs!$A$8,MouserListTable12[[#This Row],[Mouser SKU]], MouserListTable12[[#This Row],[SKU2]])</f>
        <v>SEN-09673</v>
      </c>
      <c r="E139" s="121">
        <f>MouserListTable12[[#This Row],[Tot '#]]-MouserListTable12[[#This Row],['# Initial]]</f>
        <v>0</v>
      </c>
      <c r="F139" s="121">
        <f>MouserListTable12[[#This Row],['#/Unit]]*FilterSpecs!$B$3+MouserListTable12[[#This Row],[Extra Initial]]</f>
        <v>0</v>
      </c>
      <c r="G139" s="103" t="s">
        <v>1434</v>
      </c>
      <c r="H139" s="103" t="s">
        <v>1435</v>
      </c>
      <c r="I139" s="103" t="s">
        <v>1436</v>
      </c>
      <c r="J139" s="103">
        <v>1</v>
      </c>
      <c r="K139" s="171">
        <v>5.95</v>
      </c>
      <c r="L139" s="103" t="s">
        <v>1910</v>
      </c>
      <c r="N139" s="171">
        <f>MouserListTable12[[#This Row],['# Initial]]*MouserListTable12[[#This Row],[Price (USD)]]</f>
        <v>0</v>
      </c>
      <c r="O139" s="106" t="s">
        <v>1433</v>
      </c>
      <c r="P139" s="103">
        <f t="shared" si="1"/>
        <v>126</v>
      </c>
      <c r="Q139" s="103">
        <f>IF($D139=$O139,1,0)</f>
        <v>1</v>
      </c>
      <c r="R139" s="103" t="s">
        <v>8</v>
      </c>
      <c r="S139" s="103" t="str">
        <f>_xlfn.IFS(MouserListTable12[[#This Row],[Supplier]]=FilterSpecs!$A$6, FilterSpecs!$B$6,MouserListTable12[[#This Row],[Supplier]]=FilterSpecs!$A$7,FilterSpecs!$B$7,MouserListTable12[[#This Row],[Supplier]]=FilterSpecs!$A$8,FilterSpecs!$B$8,MouserListTable12[[#This Row],[Supplier]]=FilterSpecs!$A$9,FilterSpecs!$B$9)</f>
        <v>474-</v>
      </c>
      <c r="T13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474-SEN-09673</v>
      </c>
      <c r="U139" s="121">
        <v>0</v>
      </c>
      <c r="V139" s="121">
        <v>0</v>
      </c>
      <c r="W139" s="121">
        <v>0</v>
      </c>
      <c r="X139" s="121">
        <f>MouserListTable12[[#This Row],['#/Unit]]*FilterSpecs!$C$3+MouserListTable12[[#This Row],[Extra]]</f>
        <v>0</v>
      </c>
      <c r="Y139" s="121">
        <f>IF(MouserListTable12[[#This Row],[Tag]]=FilterSpecs!$F$7,MouserListTable12[[#This Row],[Price (USD)]],0)</f>
        <v>0</v>
      </c>
      <c r="Z139" s="121">
        <f>MouserListTable12[[#This Row],[Tot '#]]*MouserListTable12[[#This Row],[Price (USD)]]</f>
        <v>0</v>
      </c>
    </row>
    <row r="140" spans="1:26" s="146" customFormat="1" hidden="1" x14ac:dyDescent="0.3">
      <c r="A140" s="126" t="s">
        <v>894</v>
      </c>
      <c r="B140" s="126" t="s">
        <v>15</v>
      </c>
      <c r="C140" s="126" t="s">
        <v>8</v>
      </c>
      <c r="D140" s="106" t="str">
        <f>IF(MouserListTable12[[#This Row],[Vendor]]=FilterSpecs!$A$8,MouserListTable12[[#This Row],[Mouser SKU]], MouserListTable12[[#This Row],[SKU2]])</f>
        <v>SEN-09376</v>
      </c>
      <c r="E140" s="121">
        <f>MouserListTable12[[#This Row],[Tot '#]]-MouserListTable12[[#This Row],['# Initial]]</f>
        <v>0</v>
      </c>
      <c r="F140" s="121">
        <f>MouserListTable12[[#This Row],['#/Unit]]*FilterSpecs!$B$3+MouserListTable12[[#This Row],[Extra Initial]]</f>
        <v>0</v>
      </c>
      <c r="G140" s="103" t="s">
        <v>676</v>
      </c>
      <c r="H140" s="103" t="s">
        <v>677</v>
      </c>
      <c r="I140" s="103" t="s">
        <v>678</v>
      </c>
      <c r="J140" s="103">
        <v>1</v>
      </c>
      <c r="K140" s="171">
        <v>9.9499999999999993</v>
      </c>
      <c r="L140" s="103" t="s">
        <v>1910</v>
      </c>
      <c r="N140" s="171">
        <f>MouserListTable12[[#This Row],['# Initial]]*MouserListTable12[[#This Row],[Price (USD)]]</f>
        <v>0</v>
      </c>
      <c r="O140" s="106" t="s">
        <v>675</v>
      </c>
      <c r="P140" s="103">
        <f t="shared" si="1"/>
        <v>127</v>
      </c>
      <c r="Q140" s="103">
        <f>IF($D140=$O140,1,0)</f>
        <v>1</v>
      </c>
      <c r="R140" s="103" t="s">
        <v>8</v>
      </c>
      <c r="S140" s="103" t="str">
        <f>_xlfn.IFS(MouserListTable12[[#This Row],[Supplier]]=FilterSpecs!$A$6, FilterSpecs!$B$6,MouserListTable12[[#This Row],[Supplier]]=FilterSpecs!$A$7,FilterSpecs!$B$7,MouserListTable12[[#This Row],[Supplier]]=FilterSpecs!$A$8,FilterSpecs!$B$8,MouserListTable12[[#This Row],[Supplier]]=FilterSpecs!$A$9,FilterSpecs!$B$9)</f>
        <v>474-</v>
      </c>
      <c r="T14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474-SEN-09376</v>
      </c>
      <c r="U140" s="121">
        <v>0</v>
      </c>
      <c r="V140" s="121">
        <v>0</v>
      </c>
      <c r="W140" s="121">
        <v>0</v>
      </c>
      <c r="X140" s="121">
        <f>MouserListTable12[[#This Row],['#/Unit]]*FilterSpecs!$C$3+MouserListTable12[[#This Row],[Extra]]</f>
        <v>0</v>
      </c>
      <c r="Y140" s="121">
        <f>IF(MouserListTable12[[#This Row],[Tag]]=FilterSpecs!$F$7,MouserListTable12[[#This Row],[Price (USD)]],0)</f>
        <v>0</v>
      </c>
      <c r="Z140" s="121">
        <f>MouserListTable12[[#This Row],[Tot '#]]*MouserListTable12[[#This Row],[Price (USD)]]</f>
        <v>0</v>
      </c>
    </row>
    <row r="141" spans="1:26" s="146" customFormat="1" hidden="1" x14ac:dyDescent="0.3">
      <c r="A141" s="103" t="s">
        <v>894</v>
      </c>
      <c r="B141" s="103" t="s">
        <v>15</v>
      </c>
      <c r="C141" s="103" t="s">
        <v>1898</v>
      </c>
      <c r="D141" s="106" t="str">
        <f>IF(MouserListTable12[[#This Row],[Vendor]]=FilterSpecs!$A$8,MouserListTable12[[#This Row],[Mouser SKU]], MouserListTable12[[#This Row],[SKU2]])</f>
        <v>1075</v>
      </c>
      <c r="E141" s="121">
        <f>MouserListTable12[[#This Row],[Tot '#]]-MouserListTable12[[#This Row],['# Initial]]</f>
        <v>4</v>
      </c>
      <c r="F141" s="121">
        <f>MouserListTable12[[#This Row],['#/Unit]]*FilterSpecs!$B$3+MouserListTable12[[#This Row],[Extra Initial]]</f>
        <v>0</v>
      </c>
      <c r="G141" s="103"/>
      <c r="H141" s="103"/>
      <c r="I141" s="103" t="s">
        <v>2339</v>
      </c>
      <c r="J141" s="103"/>
      <c r="K141" s="171">
        <v>7.95</v>
      </c>
      <c r="L141" s="103" t="s">
        <v>1910</v>
      </c>
      <c r="M141" s="106"/>
      <c r="N141" s="171">
        <f>MouserListTable12[[#This Row],['# Initial]]*MouserListTable12[[#This Row],[Price (USD)]]</f>
        <v>0</v>
      </c>
      <c r="O141" s="106" t="s">
        <v>2338</v>
      </c>
      <c r="P141" s="103">
        <f t="shared" si="1"/>
        <v>128</v>
      </c>
      <c r="Q141" s="103">
        <f>IF($D141=$O141,1,0)</f>
        <v>1</v>
      </c>
      <c r="R141" s="103" t="s">
        <v>1898</v>
      </c>
      <c r="S141" s="103" t="str">
        <f>_xlfn.IFS(MouserListTable12[[#This Row],[Supplier]]=FilterSpecs!$A$6, FilterSpecs!$B$6,MouserListTable12[[#This Row],[Supplier]]=FilterSpecs!$A$7,FilterSpecs!$B$7,MouserListTable12[[#This Row],[Supplier]]=FilterSpecs!$A$8,FilterSpecs!$B$8,MouserListTable12[[#This Row],[Supplier]]=FilterSpecs!$A$9,FilterSpecs!$B$9)</f>
        <v>485-</v>
      </c>
      <c r="T14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485-1075</v>
      </c>
      <c r="U141" s="121">
        <v>0</v>
      </c>
      <c r="V141" s="121">
        <v>4</v>
      </c>
      <c r="W141" s="121">
        <v>0</v>
      </c>
      <c r="X141" s="121">
        <f>MouserListTable12[[#This Row],['#/Unit]]*FilterSpecs!$C$3+MouserListTable12[[#This Row],[Extra]]</f>
        <v>4</v>
      </c>
      <c r="Y141" s="121">
        <f>IF(MouserListTable12[[#This Row],[Tag]]=FilterSpecs!$F$7,MouserListTable12[[#This Row],[Price (USD)]],0)</f>
        <v>0</v>
      </c>
      <c r="Z141" s="121">
        <f>MouserListTable12[[#This Row],[Tot '#]]*MouserListTable12[[#This Row],[Price (USD)]]</f>
        <v>31.8</v>
      </c>
    </row>
    <row r="142" spans="1:26" s="146" customFormat="1" hidden="1" x14ac:dyDescent="0.3">
      <c r="A142" s="126" t="s">
        <v>894</v>
      </c>
      <c r="B142" s="126" t="s">
        <v>15</v>
      </c>
      <c r="C142" s="126" t="s">
        <v>8</v>
      </c>
      <c r="D142" s="106" t="str">
        <f>IF(MouserListTable12[[#This Row],[Vendor]]=FilterSpecs!$A$8,MouserListTable12[[#This Row],[Mouser SKU]], MouserListTable12[[#This Row],[SKU2]])</f>
        <v>SEN-09375</v>
      </c>
      <c r="E142" s="121">
        <f>MouserListTable12[[#This Row],[Tot '#]]-MouserListTable12[[#This Row],['# Initial]]</f>
        <v>0</v>
      </c>
      <c r="F142" s="121">
        <f>MouserListTable12[[#This Row],['#/Unit]]*FilterSpecs!$B$3+MouserListTable12[[#This Row],[Extra Initial]]</f>
        <v>0</v>
      </c>
      <c r="G142" s="103" t="s">
        <v>1422</v>
      </c>
      <c r="H142" s="103" t="s">
        <v>1423</v>
      </c>
      <c r="I142" s="103" t="s">
        <v>1424</v>
      </c>
      <c r="J142" s="103">
        <v>1</v>
      </c>
      <c r="K142" s="171">
        <v>6.95</v>
      </c>
      <c r="L142" s="103" t="s">
        <v>1910</v>
      </c>
      <c r="N142" s="171">
        <f>MouserListTable12[[#This Row],['# Initial]]*MouserListTable12[[#This Row],[Price (USD)]]</f>
        <v>0</v>
      </c>
      <c r="O142" s="106" t="s">
        <v>1421</v>
      </c>
      <c r="P142" s="103">
        <f t="shared" ref="P142:P210" si="2">IF($P141="List #",1,$P141+1)</f>
        <v>129</v>
      </c>
      <c r="Q142" s="103">
        <f>IF($D142=$O142,1,0)</f>
        <v>1</v>
      </c>
      <c r="R142" s="103" t="s">
        <v>8</v>
      </c>
      <c r="S142" s="103" t="str">
        <f>_xlfn.IFS(MouserListTable12[[#This Row],[Supplier]]=FilterSpecs!$A$6, FilterSpecs!$B$6,MouserListTable12[[#This Row],[Supplier]]=FilterSpecs!$A$7,FilterSpecs!$B$7,MouserListTable12[[#This Row],[Supplier]]=FilterSpecs!$A$8,FilterSpecs!$B$8,MouserListTable12[[#This Row],[Supplier]]=FilterSpecs!$A$9,FilterSpecs!$B$9)</f>
        <v>474-</v>
      </c>
      <c r="T14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474-SEN-09375</v>
      </c>
      <c r="U142" s="121">
        <v>0</v>
      </c>
      <c r="V142" s="121">
        <v>0</v>
      </c>
      <c r="W142" s="121">
        <v>0</v>
      </c>
      <c r="X142" s="121">
        <f>MouserListTable12[[#This Row],['#/Unit]]*FilterSpecs!$C$3+MouserListTable12[[#This Row],[Extra]]</f>
        <v>0</v>
      </c>
      <c r="Y142" s="121">
        <f>IF(MouserListTable12[[#This Row],[Tag]]=FilterSpecs!$F$7,MouserListTable12[[#This Row],[Price (USD)]],0)</f>
        <v>0</v>
      </c>
      <c r="Z142" s="121">
        <f>MouserListTable12[[#This Row],[Tot '#]]*MouserListTable12[[#This Row],[Price (USD)]]</f>
        <v>0</v>
      </c>
    </row>
    <row r="143" spans="1:26" s="146" customFormat="1" hidden="1" x14ac:dyDescent="0.3">
      <c r="A143" s="126" t="s">
        <v>894</v>
      </c>
      <c r="B143" s="126" t="s">
        <v>15</v>
      </c>
      <c r="C143" s="126" t="s">
        <v>8</v>
      </c>
      <c r="D143" s="106" t="str">
        <f>IF(MouserListTable12[[#This Row],[Vendor]]=FilterSpecs!$A$8,MouserListTable12[[#This Row],[Mouser SKU]], MouserListTable12[[#This Row],[SKU2]])</f>
        <v>SEN-08606</v>
      </c>
      <c r="E143" s="121">
        <f>MouserListTable12[[#This Row],[Tot '#]]-MouserListTable12[[#This Row],['# Initial]]</f>
        <v>0</v>
      </c>
      <c r="F143" s="121">
        <f>MouserListTable12[[#This Row],['#/Unit]]*FilterSpecs!$B$3+MouserListTable12[[#This Row],[Extra Initial]]</f>
        <v>0</v>
      </c>
      <c r="G143" s="103" t="s">
        <v>1426</v>
      </c>
      <c r="H143" s="103" t="s">
        <v>1427</v>
      </c>
      <c r="I143" s="103" t="s">
        <v>1428</v>
      </c>
      <c r="J143" s="103">
        <v>1</v>
      </c>
      <c r="K143" s="171">
        <v>12.95</v>
      </c>
      <c r="L143" s="103" t="s">
        <v>1910</v>
      </c>
      <c r="N143" s="171">
        <f>MouserListTable12[[#This Row],['# Initial]]*MouserListTable12[[#This Row],[Price (USD)]]</f>
        <v>0</v>
      </c>
      <c r="O143" s="106" t="s">
        <v>1425</v>
      </c>
      <c r="P143" s="103">
        <f t="shared" si="2"/>
        <v>130</v>
      </c>
      <c r="Q143" s="103">
        <f>IF($D143=$O143,1,0)</f>
        <v>1</v>
      </c>
      <c r="R143" s="103" t="s">
        <v>8</v>
      </c>
      <c r="S143" s="103" t="str">
        <f>_xlfn.IFS(MouserListTable12[[#This Row],[Supplier]]=FilterSpecs!$A$6, FilterSpecs!$B$6,MouserListTable12[[#This Row],[Supplier]]=FilterSpecs!$A$7,FilterSpecs!$B$7,MouserListTable12[[#This Row],[Supplier]]=FilterSpecs!$A$8,FilterSpecs!$B$8,MouserListTable12[[#This Row],[Supplier]]=FilterSpecs!$A$9,FilterSpecs!$B$9)</f>
        <v>474-</v>
      </c>
      <c r="T14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474-SEN-08606</v>
      </c>
      <c r="U143" s="121">
        <v>0</v>
      </c>
      <c r="V143" s="121">
        <v>0</v>
      </c>
      <c r="W143" s="121">
        <v>0</v>
      </c>
      <c r="X143" s="121">
        <f>MouserListTable12[[#This Row],['#/Unit]]*FilterSpecs!$C$3+MouserListTable12[[#This Row],[Extra]]</f>
        <v>0</v>
      </c>
      <c r="Y143" s="121">
        <f>IF(MouserListTable12[[#This Row],[Tag]]=FilterSpecs!$F$7,MouserListTable12[[#This Row],[Price (USD)]],0)</f>
        <v>0</v>
      </c>
      <c r="Z143" s="121">
        <f>MouserListTable12[[#This Row],[Tot '#]]*MouserListTable12[[#This Row],[Price (USD)]]</f>
        <v>0</v>
      </c>
    </row>
    <row r="144" spans="1:26" s="146" customFormat="1" hidden="1" x14ac:dyDescent="0.3">
      <c r="A144" s="126" t="s">
        <v>894</v>
      </c>
      <c r="B144" s="126" t="s">
        <v>15</v>
      </c>
      <c r="C144" s="126" t="s">
        <v>8</v>
      </c>
      <c r="D144" s="106" t="str">
        <f>IF(MouserListTable12[[#This Row],[Vendor]]=FilterSpecs!$A$8,MouserListTable12[[#This Row],[Mouser SKU]], MouserListTable12[[#This Row],[SKU2]])</f>
        <v>SEN-10293</v>
      </c>
      <c r="E144" s="121">
        <f>MouserListTable12[[#This Row],[Tot '#]]-MouserListTable12[[#This Row],['# Initial]]</f>
        <v>0</v>
      </c>
      <c r="F144" s="121">
        <f>MouserListTable12[[#This Row],['#/Unit]]*FilterSpecs!$B$3+MouserListTable12[[#This Row],[Extra Initial]]</f>
        <v>0</v>
      </c>
      <c r="G144" s="103" t="s">
        <v>720</v>
      </c>
      <c r="H144" s="103" t="s">
        <v>721</v>
      </c>
      <c r="I144" s="103" t="s">
        <v>722</v>
      </c>
      <c r="J144" s="103">
        <v>1</v>
      </c>
      <c r="K144" s="171">
        <v>1.5</v>
      </c>
      <c r="L144" s="103" t="s">
        <v>1913</v>
      </c>
      <c r="N144" s="171">
        <f>MouserListTable12[[#This Row],['# Initial]]*MouserListTable12[[#This Row],[Price (USD)]]</f>
        <v>0</v>
      </c>
      <c r="O144" s="106" t="s">
        <v>719</v>
      </c>
      <c r="P144" s="103">
        <f t="shared" si="2"/>
        <v>131</v>
      </c>
      <c r="Q144" s="103">
        <f>IF($D144=$O144,1,0)</f>
        <v>1</v>
      </c>
      <c r="R144" s="103" t="s">
        <v>8</v>
      </c>
      <c r="S144" s="103" t="str">
        <f>_xlfn.IFS(MouserListTable12[[#This Row],[Supplier]]=FilterSpecs!$A$6, FilterSpecs!$B$6,MouserListTable12[[#This Row],[Supplier]]=FilterSpecs!$A$7,FilterSpecs!$B$7,MouserListTable12[[#This Row],[Supplier]]=FilterSpecs!$A$8,FilterSpecs!$B$8,MouserListTable12[[#This Row],[Supplier]]=FilterSpecs!$A$9,FilterSpecs!$B$9)</f>
        <v>474-</v>
      </c>
      <c r="T14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474-SEN-10293</v>
      </c>
      <c r="U144" s="121">
        <v>0</v>
      </c>
      <c r="V144" s="121">
        <v>0</v>
      </c>
      <c r="W144" s="121">
        <v>0</v>
      </c>
      <c r="X144" s="121">
        <f>MouserListTable12[[#This Row],['#/Unit]]*FilterSpecs!$C$3+MouserListTable12[[#This Row],[Extra]]</f>
        <v>0</v>
      </c>
      <c r="Y144" s="121">
        <f>IF(MouserListTable12[[#This Row],[Tag]]=FilterSpecs!$F$7,MouserListTable12[[#This Row],[Price (USD)]],0)</f>
        <v>0</v>
      </c>
      <c r="Z144" s="121">
        <f>MouserListTable12[[#This Row],[Tot '#]]*MouserListTable12[[#This Row],[Price (USD)]]</f>
        <v>0</v>
      </c>
    </row>
    <row r="145" spans="1:26" s="146" customFormat="1" hidden="1" x14ac:dyDescent="0.3">
      <c r="A145" s="126" t="s">
        <v>894</v>
      </c>
      <c r="B145" s="126" t="s">
        <v>15</v>
      </c>
      <c r="C145" s="126" t="s">
        <v>1898</v>
      </c>
      <c r="D145" s="106" t="str">
        <f>IF(MouserListTable12[[#This Row],[Vendor]]=FilterSpecs!$A$8,MouserListTable12[[#This Row],[Mouser SKU]], MouserListTable12[[#This Row],[SKU2]])</f>
        <v>1739</v>
      </c>
      <c r="E145" s="121">
        <f>MouserListTable12[[#This Row],[Tot '#]]-MouserListTable12[[#This Row],['# Initial]]</f>
        <v>0</v>
      </c>
      <c r="F145" s="121">
        <f>MouserListTable12[[#This Row],['#/Unit]]*FilterSpecs!$B$3+MouserListTable12[[#This Row],[Extra Initial]]</f>
        <v>0</v>
      </c>
      <c r="G145" s="103"/>
      <c r="H145" s="103"/>
      <c r="I145" s="103" t="s">
        <v>2335</v>
      </c>
      <c r="J145" s="103"/>
      <c r="K145" s="171">
        <v>0.95</v>
      </c>
      <c r="L145" s="103" t="s">
        <v>1910</v>
      </c>
      <c r="N145" s="171">
        <f>MouserListTable12[[#This Row],['# Initial]]*MouserListTable12[[#This Row],[Price (USD)]]</f>
        <v>0</v>
      </c>
      <c r="O145" s="106" t="s">
        <v>2334</v>
      </c>
      <c r="P145" s="103">
        <f t="shared" si="2"/>
        <v>132</v>
      </c>
      <c r="Q145" s="103">
        <f>IF($D145=$O145,1,0)</f>
        <v>1</v>
      </c>
      <c r="R145" s="103" t="s">
        <v>1898</v>
      </c>
      <c r="S145" s="103" t="str">
        <f>_xlfn.IFS(MouserListTable12[[#This Row],[Supplier]]=FilterSpecs!$A$6, FilterSpecs!$B$6,MouserListTable12[[#This Row],[Supplier]]=FilterSpecs!$A$7,FilterSpecs!$B$7,MouserListTable12[[#This Row],[Supplier]]=FilterSpecs!$A$8,FilterSpecs!$B$8,MouserListTable12[[#This Row],[Supplier]]=FilterSpecs!$A$9,FilterSpecs!$B$9)</f>
        <v>485-</v>
      </c>
      <c r="T14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485-1739</v>
      </c>
      <c r="U145" s="121">
        <v>0</v>
      </c>
      <c r="V145" s="121">
        <v>0</v>
      </c>
      <c r="W145" s="121">
        <v>0</v>
      </c>
      <c r="X145" s="121">
        <f>MouserListTable12[[#This Row],['#/Unit]]*FilterSpecs!$C$3+MouserListTable12[[#This Row],[Extra]]</f>
        <v>0</v>
      </c>
      <c r="Y145" s="121">
        <f>IF(MouserListTable12[[#This Row],[Tag]]=FilterSpecs!$F$7,MouserListTable12[[#This Row],[Price (USD)]],0)</f>
        <v>0</v>
      </c>
      <c r="Z145" s="121">
        <f>MouserListTable12[[#This Row],[Tot '#]]*MouserListTable12[[#This Row],[Price (USD)]]</f>
        <v>0</v>
      </c>
    </row>
    <row r="146" spans="1:26" s="146" customFormat="1" x14ac:dyDescent="0.3">
      <c r="A146" s="103" t="s">
        <v>894</v>
      </c>
      <c r="B146" s="103" t="s">
        <v>15</v>
      </c>
      <c r="C146" s="103" t="s">
        <v>8</v>
      </c>
      <c r="D146" s="106" t="str">
        <f>IF(MouserListTable12[[#This Row],[Vendor]]=FilterSpecs!$A$8,MouserListTable12[[#This Row],[Mouser SKU]], MouserListTable12[[#This Row],[SKU2]])</f>
        <v>SEN-10289</v>
      </c>
      <c r="E146" s="121">
        <f>MouserListTable12[[#This Row],[Tot '#]]-MouserListTable12[[#This Row],['# Initial]]</f>
        <v>0</v>
      </c>
      <c r="F146" s="121">
        <f>MouserListTable12[[#This Row],['#/Unit]]*FilterSpecs!$B$3+MouserListTable12[[#This Row],[Extra Initial]]</f>
        <v>5</v>
      </c>
      <c r="G146" s="103" t="s">
        <v>290</v>
      </c>
      <c r="H146" s="103" t="s">
        <v>291</v>
      </c>
      <c r="I146" s="103" t="s">
        <v>292</v>
      </c>
      <c r="J146" s="103">
        <v>1</v>
      </c>
      <c r="K146" s="171">
        <v>1.95</v>
      </c>
      <c r="L146" s="103" t="s">
        <v>1911</v>
      </c>
      <c r="M146" s="106"/>
      <c r="N146" s="171">
        <f>MouserListTable12[[#This Row],['# Initial]]*MouserListTable12[[#This Row],[Price (USD)]]</f>
        <v>9.75</v>
      </c>
      <c r="O146" s="106" t="s">
        <v>289</v>
      </c>
      <c r="P146" s="103">
        <f t="shared" si="2"/>
        <v>133</v>
      </c>
      <c r="Q146" s="103">
        <f>IF($D146=$O146,1,0)</f>
        <v>1</v>
      </c>
      <c r="R146" s="103" t="s">
        <v>8</v>
      </c>
      <c r="S146" s="103" t="str">
        <f>_xlfn.IFS(MouserListTable12[[#This Row],[Supplier]]=FilterSpecs!$A$6, FilterSpecs!$B$6,MouserListTable12[[#This Row],[Supplier]]=FilterSpecs!$A$7,FilterSpecs!$B$7,MouserListTable12[[#This Row],[Supplier]]=FilterSpecs!$A$8,FilterSpecs!$B$8,MouserListTable12[[#This Row],[Supplier]]=FilterSpecs!$A$9,FilterSpecs!$B$9)</f>
        <v>474-</v>
      </c>
      <c r="T14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474-SEN-10289</v>
      </c>
      <c r="U146" s="121">
        <v>1</v>
      </c>
      <c r="V146" s="121">
        <v>0</v>
      </c>
      <c r="W146" s="121">
        <v>0</v>
      </c>
      <c r="X146" s="121">
        <f>MouserListTable12[[#This Row],['#/Unit]]*FilterSpecs!$C$3+MouserListTable12[[#This Row],[Extra]]</f>
        <v>5</v>
      </c>
      <c r="Y146" s="121">
        <f>IF(MouserListTable12[[#This Row],[Tag]]=FilterSpecs!$F$7,MouserListTable12[[#This Row],[Price (USD)]],0)</f>
        <v>1.95</v>
      </c>
      <c r="Z146" s="121">
        <f>MouserListTable12[[#This Row],[Tot '#]]*MouserListTable12[[#This Row],[Price (USD)]]</f>
        <v>9.75</v>
      </c>
    </row>
    <row r="147" spans="1:26" s="146" customFormat="1" hidden="1" x14ac:dyDescent="0.3">
      <c r="A147" s="126" t="s">
        <v>894</v>
      </c>
      <c r="B147" s="126" t="s">
        <v>15</v>
      </c>
      <c r="C147" s="126" t="s">
        <v>1898</v>
      </c>
      <c r="D147" s="106" t="str">
        <f>IF(MouserListTable12[[#This Row],[Vendor]]=FilterSpecs!$A$8,MouserListTable12[[#This Row],[Mouser SKU]], MouserListTable12[[#This Row],[SKU2]])</f>
        <v>1917</v>
      </c>
      <c r="E147" s="121">
        <f>MouserListTable12[[#This Row],[Tot '#]]-MouserListTable12[[#This Row],['# Initial]]</f>
        <v>0</v>
      </c>
      <c r="F147" s="121">
        <f>MouserListTable12[[#This Row],['#/Unit]]*FilterSpecs!$B$3+MouserListTable12[[#This Row],[Extra Initial]]</f>
        <v>0</v>
      </c>
      <c r="G147" s="103"/>
      <c r="H147" s="103"/>
      <c r="I147" s="103" t="s">
        <v>2331</v>
      </c>
      <c r="J147" s="103"/>
      <c r="K147" s="171">
        <v>18</v>
      </c>
      <c r="L147" s="103" t="s">
        <v>1910</v>
      </c>
      <c r="N147" s="171">
        <f>MouserListTable12[[#This Row],['# Initial]]*MouserListTable12[[#This Row],[Price (USD)]]</f>
        <v>0</v>
      </c>
      <c r="O147" s="106" t="s">
        <v>2330</v>
      </c>
      <c r="P147" s="103">
        <f t="shared" si="2"/>
        <v>134</v>
      </c>
      <c r="Q147" s="103">
        <f>IF($D147=$O147,1,0)</f>
        <v>1</v>
      </c>
      <c r="R147" s="103" t="s">
        <v>1898</v>
      </c>
      <c r="S147" s="103" t="str">
        <f>_xlfn.IFS(MouserListTable12[[#This Row],[Supplier]]=FilterSpecs!$A$6, FilterSpecs!$B$6,MouserListTable12[[#This Row],[Supplier]]=FilterSpecs!$A$7,FilterSpecs!$B$7,MouserListTable12[[#This Row],[Supplier]]=FilterSpecs!$A$8,FilterSpecs!$B$8,MouserListTable12[[#This Row],[Supplier]]=FilterSpecs!$A$9,FilterSpecs!$B$9)</f>
        <v>485-</v>
      </c>
      <c r="T14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485-1917</v>
      </c>
      <c r="U147" s="121">
        <v>0</v>
      </c>
      <c r="V147" s="121">
        <v>0</v>
      </c>
      <c r="W147" s="121">
        <v>0</v>
      </c>
      <c r="X147" s="121">
        <f>MouserListTable12[[#This Row],['#/Unit]]*FilterSpecs!$C$3+MouserListTable12[[#This Row],[Extra]]</f>
        <v>0</v>
      </c>
      <c r="Y147" s="121">
        <f>IF(MouserListTable12[[#This Row],[Tag]]=FilterSpecs!$F$7,MouserListTable12[[#This Row],[Price (USD)]],0)</f>
        <v>0</v>
      </c>
      <c r="Z147" s="121">
        <f>MouserListTable12[[#This Row],[Tot '#]]*MouserListTable12[[#This Row],[Price (USD)]]</f>
        <v>0</v>
      </c>
    </row>
    <row r="148" spans="1:26" s="146" customFormat="1" x14ac:dyDescent="0.3">
      <c r="A148" s="103" t="s">
        <v>894</v>
      </c>
      <c r="B148" s="103" t="s">
        <v>15</v>
      </c>
      <c r="C148" s="103" t="s">
        <v>1898</v>
      </c>
      <c r="D148" s="106" t="str">
        <f>IF(MouserListTable12[[#This Row],[Vendor]]=FilterSpecs!$A$8,MouserListTable12[[#This Row],[Mouser SKU]], MouserListTable12[[#This Row],[SKU2]])</f>
        <v>1361</v>
      </c>
      <c r="E148" s="121">
        <f>MouserListTable12[[#This Row],[Tot '#]]-MouserListTable12[[#This Row],['# Initial]]</f>
        <v>0</v>
      </c>
      <c r="F148" s="121">
        <f>MouserListTable12[[#This Row],['#/Unit]]*FilterSpecs!$B$3+MouserListTable12[[#This Row],[Extra Initial]]</f>
        <v>1</v>
      </c>
      <c r="G148" s="103"/>
      <c r="H148" s="103"/>
      <c r="I148" s="103" t="s">
        <v>2337</v>
      </c>
      <c r="J148" s="103"/>
      <c r="K148" s="171">
        <v>3.95</v>
      </c>
      <c r="L148" s="103" t="s">
        <v>1910</v>
      </c>
      <c r="M148" s="106"/>
      <c r="N148" s="171">
        <f>MouserListTable12[[#This Row],['# Initial]]*MouserListTable12[[#This Row],[Price (USD)]]</f>
        <v>3.95</v>
      </c>
      <c r="O148" s="106" t="s">
        <v>2336</v>
      </c>
      <c r="P148" s="103">
        <f t="shared" si="2"/>
        <v>135</v>
      </c>
      <c r="Q148" s="103">
        <f>IF($D148=$O148,1,0)</f>
        <v>1</v>
      </c>
      <c r="R148" s="103" t="s">
        <v>1898</v>
      </c>
      <c r="S148" s="103" t="str">
        <f>_xlfn.IFS(MouserListTable12[[#This Row],[Supplier]]=FilterSpecs!$A$6, FilterSpecs!$B$6,MouserListTable12[[#This Row],[Supplier]]=FilterSpecs!$A$7,FilterSpecs!$B$7,MouserListTable12[[#This Row],[Supplier]]=FilterSpecs!$A$8,FilterSpecs!$B$8,MouserListTable12[[#This Row],[Supplier]]=FilterSpecs!$A$9,FilterSpecs!$B$9)</f>
        <v>485-</v>
      </c>
      <c r="T14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485-1361</v>
      </c>
      <c r="U148" s="121">
        <v>0</v>
      </c>
      <c r="V148" s="121">
        <v>1</v>
      </c>
      <c r="W148" s="121">
        <v>1</v>
      </c>
      <c r="X148" s="121">
        <f>MouserListTable12[[#This Row],['#/Unit]]*FilterSpecs!$C$3+MouserListTable12[[#This Row],[Extra]]</f>
        <v>1</v>
      </c>
      <c r="Y148" s="121">
        <f>IF(MouserListTable12[[#This Row],[Tag]]=FilterSpecs!$F$7,MouserListTable12[[#This Row],[Price (USD)]],0)</f>
        <v>0</v>
      </c>
      <c r="Z148" s="121">
        <f>MouserListTable12[[#This Row],[Tot '#]]*MouserListTable12[[#This Row],[Price (USD)]]</f>
        <v>3.95</v>
      </c>
    </row>
    <row r="149" spans="1:26" s="146" customFormat="1" x14ac:dyDescent="0.3">
      <c r="A149" s="103" t="s">
        <v>894</v>
      </c>
      <c r="B149" s="103" t="s">
        <v>15</v>
      </c>
      <c r="C149" s="103" t="s">
        <v>8</v>
      </c>
      <c r="D149" s="106" t="str">
        <f>IF(MouserListTable12[[#This Row],[Vendor]]=FilterSpecs!$A$8,MouserListTable12[[#This Row],[Mouser SKU]], MouserListTable12[[#This Row],[SKU2]])</f>
        <v>COM-14111</v>
      </c>
      <c r="E149" s="121">
        <f>MouserListTable12[[#This Row],[Tot '#]]-MouserListTable12[[#This Row],['# Initial]]</f>
        <v>0</v>
      </c>
      <c r="F149" s="121">
        <f>MouserListTable12[[#This Row],['#/Unit]]*FilterSpecs!$B$3+MouserListTable12[[#This Row],[Extra Initial]]</f>
        <v>2</v>
      </c>
      <c r="G149" s="103" t="s">
        <v>113</v>
      </c>
      <c r="H149" s="103" t="s">
        <v>114</v>
      </c>
      <c r="I149" s="103" t="s">
        <v>115</v>
      </c>
      <c r="J149" s="103">
        <v>1</v>
      </c>
      <c r="K149" s="171">
        <v>24.95</v>
      </c>
      <c r="L149" s="103" t="s">
        <v>1910</v>
      </c>
      <c r="M149" s="106"/>
      <c r="N149" s="171">
        <f>MouserListTable12[[#This Row],['# Initial]]*MouserListTable12[[#This Row],[Price (USD)]]</f>
        <v>49.9</v>
      </c>
      <c r="O149" s="106" t="s">
        <v>112</v>
      </c>
      <c r="P149" s="103">
        <f t="shared" si="2"/>
        <v>136</v>
      </c>
      <c r="Q149" s="103">
        <f>IF($D149=$O149,1,0)</f>
        <v>1</v>
      </c>
      <c r="R149" s="103" t="s">
        <v>8</v>
      </c>
      <c r="S149" s="103" t="str">
        <f>_xlfn.IFS(MouserListTable12[[#This Row],[Supplier]]=FilterSpecs!$A$6, FilterSpecs!$B$6,MouserListTable12[[#This Row],[Supplier]]=FilterSpecs!$A$7,FilterSpecs!$B$7,MouserListTable12[[#This Row],[Supplier]]=FilterSpecs!$A$8,FilterSpecs!$B$8,MouserListTable12[[#This Row],[Supplier]]=FilterSpecs!$A$9,FilterSpecs!$B$9)</f>
        <v>474-</v>
      </c>
      <c r="T14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474-COM-14111</v>
      </c>
      <c r="U149" s="121">
        <v>0</v>
      </c>
      <c r="V149" s="121">
        <v>2</v>
      </c>
      <c r="W149" s="121">
        <v>2</v>
      </c>
      <c r="X149" s="121">
        <f>MouserListTable12[[#This Row],['#/Unit]]*FilterSpecs!$C$3+MouserListTable12[[#This Row],[Extra]]</f>
        <v>2</v>
      </c>
      <c r="Y149" s="121">
        <f>IF(MouserListTable12[[#This Row],[Tag]]=FilterSpecs!$F$7,MouserListTable12[[#This Row],[Price (USD)]],0)</f>
        <v>0</v>
      </c>
      <c r="Z149" s="121">
        <f>MouserListTable12[[#This Row],[Tot '#]]*MouserListTable12[[#This Row],[Price (USD)]]</f>
        <v>49.9</v>
      </c>
    </row>
    <row r="150" spans="1:26" s="146" customFormat="1" x14ac:dyDescent="0.3">
      <c r="A150" s="103" t="s">
        <v>894</v>
      </c>
      <c r="B150" s="103" t="s">
        <v>15</v>
      </c>
      <c r="C150" s="103" t="s">
        <v>1898</v>
      </c>
      <c r="D150" s="106" t="str">
        <f>IF(MouserListTable12[[#This Row],[Vendor]]=FilterSpecs!$A$8,MouserListTable12[[#This Row],[Mouser SKU]], MouserListTable12[[#This Row],[SKU2]])</f>
        <v>1168</v>
      </c>
      <c r="E150" s="121">
        <f>MouserListTable12[[#This Row],[Tot '#]]-MouserListTable12[[#This Row],['# Initial]]</f>
        <v>0</v>
      </c>
      <c r="F150" s="121">
        <f>MouserListTable12[[#This Row],['#/Unit]]*FilterSpecs!$B$3+MouserListTable12[[#This Row],[Extra Initial]]</f>
        <v>1</v>
      </c>
      <c r="G150" s="103"/>
      <c r="H150" s="103"/>
      <c r="I150" s="103" t="s">
        <v>2341</v>
      </c>
      <c r="J150" s="103"/>
      <c r="K150" s="171">
        <v>4.95</v>
      </c>
      <c r="L150" s="103" t="s">
        <v>1910</v>
      </c>
      <c r="M150" s="106"/>
      <c r="N150" s="171">
        <f>MouserListTable12[[#This Row],['# Initial]]*MouserListTable12[[#This Row],[Price (USD)]]</f>
        <v>4.95</v>
      </c>
      <c r="O150" s="106" t="s">
        <v>2340</v>
      </c>
      <c r="P150" s="103">
        <f t="shared" si="2"/>
        <v>137</v>
      </c>
      <c r="Q150" s="103">
        <f>IF($D150=$O150,1,0)</f>
        <v>1</v>
      </c>
      <c r="R150" s="103" t="s">
        <v>1898</v>
      </c>
      <c r="S150" s="103" t="str">
        <f>_xlfn.IFS(MouserListTable12[[#This Row],[Supplier]]=FilterSpecs!$A$6, FilterSpecs!$B$6,MouserListTable12[[#This Row],[Supplier]]=FilterSpecs!$A$7,FilterSpecs!$B$7,MouserListTable12[[#This Row],[Supplier]]=FilterSpecs!$A$8,FilterSpecs!$B$8,MouserListTable12[[#This Row],[Supplier]]=FilterSpecs!$A$9,FilterSpecs!$B$9)</f>
        <v>485-</v>
      </c>
      <c r="T15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485-1168</v>
      </c>
      <c r="U150" s="121">
        <v>0</v>
      </c>
      <c r="V150" s="121">
        <v>1</v>
      </c>
      <c r="W150" s="121">
        <v>1</v>
      </c>
      <c r="X150" s="121">
        <f>MouserListTable12[[#This Row],['#/Unit]]*FilterSpecs!$C$3+MouserListTable12[[#This Row],[Extra]]</f>
        <v>1</v>
      </c>
      <c r="Y150" s="121">
        <f>IF(MouserListTable12[[#This Row],[Tag]]=FilterSpecs!$F$7,MouserListTable12[[#This Row],[Price (USD)]],0)</f>
        <v>0</v>
      </c>
      <c r="Z150" s="121">
        <f>MouserListTable12[[#This Row],[Tot '#]]*MouserListTable12[[#This Row],[Price (USD)]]</f>
        <v>4.95</v>
      </c>
    </row>
    <row r="151" spans="1:26" s="146" customFormat="1" hidden="1" x14ac:dyDescent="0.3">
      <c r="A151" s="103" t="s">
        <v>894</v>
      </c>
      <c r="B151" s="103" t="s">
        <v>2031</v>
      </c>
      <c r="C151" s="103" t="s">
        <v>8</v>
      </c>
      <c r="D151" s="106" t="str">
        <f>IF(MouserListTable12[[#This Row],[Vendor]]=FilterSpecs!$A$8,MouserListTable12[[#This Row],[Mouser SKU]], MouserListTable12[[#This Row],[SKU2]])</f>
        <v>DEV-13293</v>
      </c>
      <c r="E151" s="121">
        <f>MouserListTable12[[#This Row],[Tot '#]]-MouserListTable12[[#This Row],['# Initial]]</f>
        <v>0</v>
      </c>
      <c r="F151" s="121">
        <f>MouserListTable12[[#This Row],['#/Unit]]*FilterSpecs!$B$3+MouserListTable12[[#This Row],[Extra Initial]]</f>
        <v>0</v>
      </c>
      <c r="G151" s="103" t="s">
        <v>117</v>
      </c>
      <c r="H151" s="103" t="s">
        <v>118</v>
      </c>
      <c r="I151" s="103" t="s">
        <v>119</v>
      </c>
      <c r="J151" s="103">
        <v>1</v>
      </c>
      <c r="K151" s="171">
        <v>12.95</v>
      </c>
      <c r="L151" s="103" t="s">
        <v>1913</v>
      </c>
      <c r="M151" s="106"/>
      <c r="N151" s="171">
        <f>MouserListTable12[[#This Row],['# Initial]]*MouserListTable12[[#This Row],[Price (USD)]]</f>
        <v>0</v>
      </c>
      <c r="O151" s="106" t="s">
        <v>116</v>
      </c>
      <c r="P151" s="103">
        <f t="shared" si="2"/>
        <v>138</v>
      </c>
      <c r="Q151" s="103">
        <f>IF($D151=$O151,1,0)</f>
        <v>1</v>
      </c>
      <c r="R151" s="103" t="s">
        <v>8</v>
      </c>
      <c r="S151" s="103" t="str">
        <f>_xlfn.IFS(MouserListTable12[[#This Row],[Supplier]]=FilterSpecs!$A$6, FilterSpecs!$B$6,MouserListTable12[[#This Row],[Supplier]]=FilterSpecs!$A$7,FilterSpecs!$B$7,MouserListTable12[[#This Row],[Supplier]]=FilterSpecs!$A$8,FilterSpecs!$B$8,MouserListTable12[[#This Row],[Supplier]]=FilterSpecs!$A$9,FilterSpecs!$B$9)</f>
        <v>474-</v>
      </c>
      <c r="T15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474-DEV-13293</v>
      </c>
      <c r="U151" s="121">
        <v>0</v>
      </c>
      <c r="V151" s="121">
        <v>0</v>
      </c>
      <c r="W151" s="121">
        <v>0</v>
      </c>
      <c r="X151" s="121">
        <f>MouserListTable12[[#This Row],['#/Unit]]*FilterSpecs!$C$3+MouserListTable12[[#This Row],[Extra]]</f>
        <v>0</v>
      </c>
      <c r="Y151" s="121">
        <f>IF(MouserListTable12[[#This Row],[Tag]]=FilterSpecs!$F$7,MouserListTable12[[#This Row],[Price (USD)]],0)</f>
        <v>0</v>
      </c>
      <c r="Z151" s="121">
        <f>MouserListTable12[[#This Row],[Tot '#]]*MouserListTable12[[#This Row],[Price (USD)]]</f>
        <v>0</v>
      </c>
    </row>
    <row r="152" spans="1:26" s="146" customFormat="1" x14ac:dyDescent="0.3">
      <c r="A152" s="103" t="s">
        <v>894</v>
      </c>
      <c r="B152" s="103" t="s">
        <v>2031</v>
      </c>
      <c r="C152" s="103" t="s">
        <v>1898</v>
      </c>
      <c r="D152" s="174">
        <f>IF(MouserListTable12[[#This Row],[Vendor]]=FilterSpecs!$A$8,MouserListTable12[[#This Row],[Mouser SKU]], MouserListTable12[[#This Row],[SKU2]])</f>
        <v>716</v>
      </c>
      <c r="E152" s="121">
        <f>MouserListTable12[[#This Row],[Tot '#]]-MouserListTable12[[#This Row],['# Initial]]</f>
        <v>0</v>
      </c>
      <c r="F152" s="121">
        <f>MouserListTable12[[#This Row],['#/Unit]]*FilterSpecs!$B$3+MouserListTable12[[#This Row],[Extra Initial]]</f>
        <v>5</v>
      </c>
      <c r="G152" s="103"/>
      <c r="H152" s="103"/>
      <c r="I152" s="103" t="s">
        <v>18940</v>
      </c>
      <c r="J152" s="103"/>
      <c r="K152" s="171">
        <v>23.95</v>
      </c>
      <c r="L152" s="121" t="s">
        <v>1911</v>
      </c>
      <c r="M152" s="103"/>
      <c r="N152" s="171">
        <f>MouserListTable12[[#This Row],['# Initial]]*MouserListTable12[[#This Row],[Price (USD)]]</f>
        <v>119.75</v>
      </c>
      <c r="O152" s="106">
        <v>716</v>
      </c>
      <c r="P152" s="121">
        <f>IF($P151="List #",1,$P151+1)</f>
        <v>139</v>
      </c>
      <c r="Q152" s="121">
        <f>IF($D152=$O152,1,0)</f>
        <v>1</v>
      </c>
      <c r="R152" s="103" t="s">
        <v>1898</v>
      </c>
      <c r="S152" s="121" t="str">
        <f>_xlfn.IFS(MouserListTable12[[#This Row],[Supplier]]=FilterSpecs!$A$6, FilterSpecs!$B$6,MouserListTable12[[#This Row],[Supplier]]=FilterSpecs!$A$7,FilterSpecs!$B$7,MouserListTable12[[#This Row],[Supplier]]=FilterSpecs!$A$8,FilterSpecs!$B$8,MouserListTable12[[#This Row],[Supplier]]=FilterSpecs!$A$9,FilterSpecs!$B$9)</f>
        <v>485-</v>
      </c>
      <c r="T15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485-716</v>
      </c>
      <c r="U152" s="121">
        <v>1</v>
      </c>
      <c r="V152" s="121">
        <v>0</v>
      </c>
      <c r="W152" s="121">
        <v>0</v>
      </c>
      <c r="X152" s="121">
        <f>MouserListTable12[[#This Row],['#/Unit]]*FilterSpecs!$C$3+MouserListTable12[[#This Row],[Extra]]</f>
        <v>5</v>
      </c>
      <c r="Y152" s="121">
        <f>IF(MouserListTable12[[#This Row],[Tag]]=FilterSpecs!$F$7,MouserListTable12[[#This Row],[Price (USD)]],0)</f>
        <v>23.95</v>
      </c>
      <c r="Z152" s="121">
        <f>MouserListTable12[[#This Row],[Tot '#]]*MouserListTable12[[#This Row],[Price (USD)]]</f>
        <v>119.75</v>
      </c>
    </row>
    <row r="153" spans="1:26" s="146" customFormat="1" hidden="1" x14ac:dyDescent="0.3">
      <c r="A153" s="103" t="s">
        <v>894</v>
      </c>
      <c r="B153" s="103" t="s">
        <v>2031</v>
      </c>
      <c r="C153" s="103" t="s">
        <v>1898</v>
      </c>
      <c r="D153" s="174">
        <f>IF(MouserListTable12[[#This Row],[Vendor]]=FilterSpecs!$A$8,MouserListTable12[[#This Row],[Mouser SKU]], MouserListTable12[[#This Row],[SKU2]])</f>
        <v>772</v>
      </c>
      <c r="E153" s="121">
        <f>MouserListTable12[[#This Row],[Tot '#]]-MouserListTable12[[#This Row],['# Initial]]</f>
        <v>0</v>
      </c>
      <c r="F153" s="121">
        <f>MouserListTable12[[#This Row],['#/Unit]]*FilterSpecs!$B$3+MouserListTable12[[#This Row],[Extra Initial]]</f>
        <v>0</v>
      </c>
      <c r="G153" s="103"/>
      <c r="H153" s="103"/>
      <c r="I153" s="103" t="s">
        <v>18941</v>
      </c>
      <c r="J153" s="103"/>
      <c r="K153" s="171">
        <v>19.95</v>
      </c>
      <c r="L153" s="121" t="str">
        <f>Primary!K141</f>
        <v>A</v>
      </c>
      <c r="M153" s="103"/>
      <c r="N153" s="171">
        <f>MouserListTable12[[#This Row],['# Initial]]*MouserListTable12[[#This Row],[Price (USD)]]</f>
        <v>0</v>
      </c>
      <c r="O153" s="106">
        <v>772</v>
      </c>
      <c r="P153" s="121">
        <f>IF($P152="List #",1,$P152+1)</f>
        <v>140</v>
      </c>
      <c r="Q153" s="121">
        <f>IF($D153=$O153,1,0)</f>
        <v>1</v>
      </c>
      <c r="R153" s="103" t="s">
        <v>1898</v>
      </c>
      <c r="S153" s="121" t="str">
        <f>_xlfn.IFS(MouserListTable12[[#This Row],[Supplier]]=FilterSpecs!$A$6, FilterSpecs!$B$6,MouserListTable12[[#This Row],[Supplier]]=FilterSpecs!$A$7,FilterSpecs!$B$7,MouserListTable12[[#This Row],[Supplier]]=FilterSpecs!$A$8,FilterSpecs!$B$8,MouserListTable12[[#This Row],[Supplier]]=FilterSpecs!$A$9,FilterSpecs!$B$9)</f>
        <v>485-</v>
      </c>
      <c r="T15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485-772</v>
      </c>
      <c r="U153" s="121">
        <v>0</v>
      </c>
      <c r="V153" s="121">
        <v>0</v>
      </c>
      <c r="W153" s="121">
        <v>0</v>
      </c>
      <c r="X153" s="121">
        <f>MouserListTable12[[#This Row],['#/Unit]]*FilterSpecs!$C$3+MouserListTable12[[#This Row],[Extra]]</f>
        <v>0</v>
      </c>
      <c r="Y153" s="121">
        <f>IF(MouserListTable12[[#This Row],[Tag]]=FilterSpecs!$F$7,MouserListTable12[[#This Row],[Price (USD)]],0)</f>
        <v>0</v>
      </c>
      <c r="Z153" s="121">
        <f>MouserListTable12[[#This Row],[Tot '#]]*MouserListTable12[[#This Row],[Price (USD)]]</f>
        <v>0</v>
      </c>
    </row>
    <row r="154" spans="1:26" s="146" customFormat="1" hidden="1" x14ac:dyDescent="0.3">
      <c r="A154" s="103" t="s">
        <v>894</v>
      </c>
      <c r="B154" s="103" t="s">
        <v>2031</v>
      </c>
      <c r="C154" s="103" t="s">
        <v>8</v>
      </c>
      <c r="D154" s="106" t="str">
        <f>IF(MouserListTable12[[#This Row],[Vendor]]=FilterSpecs!$A$8,MouserListTable12[[#This Row],[Mouser SKU]], MouserListTable12[[#This Row],[SKU2]])</f>
        <v>LCD-00710</v>
      </c>
      <c r="E154" s="121">
        <f>MouserListTable12[[#This Row],[Tot '#]]-MouserListTable12[[#This Row],['# Initial]]</f>
        <v>1</v>
      </c>
      <c r="F154" s="121">
        <f>MouserListTable12[[#This Row],['#/Unit]]*FilterSpecs!$B$3+MouserListTable12[[#This Row],[Extra Initial]]</f>
        <v>0</v>
      </c>
      <c r="G154" s="103" t="s">
        <v>1182</v>
      </c>
      <c r="H154" s="103" t="s">
        <v>1183</v>
      </c>
      <c r="I154" s="103" t="s">
        <v>1184</v>
      </c>
      <c r="J154" s="103">
        <v>1</v>
      </c>
      <c r="K154" s="171">
        <v>19.95</v>
      </c>
      <c r="L154" s="103" t="s">
        <v>1910</v>
      </c>
      <c r="M154" s="106"/>
      <c r="N154" s="171">
        <f>MouserListTable12[[#This Row],['# Initial]]*MouserListTable12[[#This Row],[Price (USD)]]</f>
        <v>0</v>
      </c>
      <c r="O154" s="106" t="s">
        <v>1181</v>
      </c>
      <c r="P154" s="103">
        <f>IF($P151="List #",1,$P151+1)</f>
        <v>139</v>
      </c>
      <c r="Q154" s="103">
        <f>IF($D154=$O154,1,0)</f>
        <v>1</v>
      </c>
      <c r="R154" s="103" t="s">
        <v>8</v>
      </c>
      <c r="S154" s="103" t="str">
        <f>_xlfn.IFS(MouserListTable12[[#This Row],[Supplier]]=FilterSpecs!$A$6, FilterSpecs!$B$6,MouserListTable12[[#This Row],[Supplier]]=FilterSpecs!$A$7,FilterSpecs!$B$7,MouserListTable12[[#This Row],[Supplier]]=FilterSpecs!$A$8,FilterSpecs!$B$8,MouserListTable12[[#This Row],[Supplier]]=FilterSpecs!$A$9,FilterSpecs!$B$9)</f>
        <v>474-</v>
      </c>
      <c r="T15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474-LCD-00710</v>
      </c>
      <c r="U154" s="121">
        <v>0</v>
      </c>
      <c r="V154" s="121">
        <v>1</v>
      </c>
      <c r="W154" s="121">
        <v>0</v>
      </c>
      <c r="X154" s="121">
        <f>MouserListTable12[[#This Row],['#/Unit]]*FilterSpecs!$C$3+MouserListTable12[[#This Row],[Extra]]</f>
        <v>1</v>
      </c>
      <c r="Y154" s="121">
        <f>IF(MouserListTable12[[#This Row],[Tag]]=FilterSpecs!$F$7,MouserListTable12[[#This Row],[Price (USD)]],0)</f>
        <v>0</v>
      </c>
      <c r="Z154" s="121">
        <f>MouserListTable12[[#This Row],[Tot '#]]*MouserListTable12[[#This Row],[Price (USD)]]</f>
        <v>19.95</v>
      </c>
    </row>
    <row r="155" spans="1:26" s="146" customFormat="1" hidden="1" x14ac:dyDescent="0.3">
      <c r="A155" s="126" t="s">
        <v>894</v>
      </c>
      <c r="B155" s="126" t="s">
        <v>2031</v>
      </c>
      <c r="C155" s="126" t="s">
        <v>8</v>
      </c>
      <c r="D155" s="106" t="str">
        <f>IF(MouserListTable12[[#This Row],[Vendor]]=FilterSpecs!$A$8,MouserListTable12[[#This Row],[Mouser SKU]], MouserListTable12[[#This Row],[SKU2]])</f>
        <v>LCD-09568</v>
      </c>
      <c r="E155" s="121">
        <f>MouserListTable12[[#This Row],[Tot '#]]-MouserListTable12[[#This Row],['# Initial]]</f>
        <v>0</v>
      </c>
      <c r="F155" s="121">
        <f>MouserListTable12[[#This Row],['#/Unit]]*FilterSpecs!$B$3+MouserListTable12[[#This Row],[Extra Initial]]</f>
        <v>0</v>
      </c>
      <c r="G155" s="103" t="s">
        <v>1524</v>
      </c>
      <c r="H155" s="103" t="s">
        <v>1525</v>
      </c>
      <c r="I155" s="103" t="s">
        <v>1526</v>
      </c>
      <c r="J155" s="103">
        <v>1</v>
      </c>
      <c r="K155" s="171">
        <v>29.95</v>
      </c>
      <c r="L155" s="103" t="s">
        <v>1910</v>
      </c>
      <c r="N155" s="171">
        <f>MouserListTable12[[#This Row],['# Initial]]*MouserListTable12[[#This Row],[Price (USD)]]</f>
        <v>0</v>
      </c>
      <c r="O155" s="106" t="s">
        <v>1523</v>
      </c>
      <c r="P155" s="103">
        <f t="shared" si="2"/>
        <v>140</v>
      </c>
      <c r="Q155" s="103">
        <f>IF($D155=$O155,1,0)</f>
        <v>1</v>
      </c>
      <c r="R155" s="103" t="s">
        <v>8</v>
      </c>
      <c r="S155" s="103" t="str">
        <f>_xlfn.IFS(MouserListTable12[[#This Row],[Supplier]]=FilterSpecs!$A$6, FilterSpecs!$B$6,MouserListTable12[[#This Row],[Supplier]]=FilterSpecs!$A$7,FilterSpecs!$B$7,MouserListTable12[[#This Row],[Supplier]]=FilterSpecs!$A$8,FilterSpecs!$B$8,MouserListTable12[[#This Row],[Supplier]]=FilterSpecs!$A$9,FilterSpecs!$B$9)</f>
        <v>474-</v>
      </c>
      <c r="T15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474-LCD-09568</v>
      </c>
      <c r="U155" s="121">
        <v>0</v>
      </c>
      <c r="V155" s="121">
        <v>0</v>
      </c>
      <c r="W155" s="121">
        <v>0</v>
      </c>
      <c r="X155" s="121">
        <f>MouserListTable12[[#This Row],['#/Unit]]*FilterSpecs!$C$3+MouserListTable12[[#This Row],[Extra]]</f>
        <v>0</v>
      </c>
      <c r="Y155" s="121">
        <f>IF(MouserListTable12[[#This Row],[Tag]]=FilterSpecs!$F$7,MouserListTable12[[#This Row],[Price (USD)]],0)</f>
        <v>0</v>
      </c>
      <c r="Z155" s="121">
        <f>MouserListTable12[[#This Row],[Tot '#]]*MouserListTable12[[#This Row],[Price (USD)]]</f>
        <v>0</v>
      </c>
    </row>
    <row r="156" spans="1:26" s="146" customFormat="1" hidden="1" x14ac:dyDescent="0.3">
      <c r="A156" s="103" t="s">
        <v>894</v>
      </c>
      <c r="B156" s="103" t="s">
        <v>2031</v>
      </c>
      <c r="C156" s="103" t="s">
        <v>1898</v>
      </c>
      <c r="D156" s="106" t="str">
        <f>IF(MouserListTable12[[#This Row],[Vendor]]=FilterSpecs!$A$8,MouserListTable12[[#This Row],[Mouser SKU]], MouserListTable12[[#This Row],[SKU2]])</f>
        <v>198</v>
      </c>
      <c r="E156" s="121">
        <f>MouserListTable12[[#This Row],[Tot '#]]-MouserListTable12[[#This Row],['# Initial]]</f>
        <v>0</v>
      </c>
      <c r="F156" s="121">
        <f>MouserListTable12[[#This Row],['#/Unit]]*FilterSpecs!$B$3+MouserListTable12[[#This Row],[Extra Initial]]</f>
        <v>0</v>
      </c>
      <c r="G156" s="103"/>
      <c r="H156" s="103"/>
      <c r="I156" s="126" t="s">
        <v>2074</v>
      </c>
      <c r="K156" s="172">
        <v>17.95</v>
      </c>
      <c r="L156" s="126" t="s">
        <v>1910</v>
      </c>
      <c r="N156" s="171">
        <f>MouserListTable12[[#This Row],['# Initial]]*MouserListTable12[[#This Row],[Price (USD)]]</f>
        <v>0</v>
      </c>
      <c r="O156" s="106" t="s">
        <v>2075</v>
      </c>
      <c r="P156" s="103">
        <f t="shared" si="2"/>
        <v>141</v>
      </c>
      <c r="Q156" s="103">
        <f>IF($D156=$O156,1,0)</f>
        <v>1</v>
      </c>
      <c r="R156" s="103" t="s">
        <v>1898</v>
      </c>
      <c r="S156" s="103" t="str">
        <f>_xlfn.IFS(MouserListTable12[[#This Row],[Supplier]]=FilterSpecs!$A$6, FilterSpecs!$B$6,MouserListTable12[[#This Row],[Supplier]]=FilterSpecs!$A$7,FilterSpecs!$B$7,MouserListTable12[[#This Row],[Supplier]]=FilterSpecs!$A$8,FilterSpecs!$B$8,MouserListTable12[[#This Row],[Supplier]]=FilterSpecs!$A$9,FilterSpecs!$B$9)</f>
        <v>485-</v>
      </c>
      <c r="T15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485-198</v>
      </c>
      <c r="U156" s="121">
        <v>0</v>
      </c>
      <c r="V156" s="121">
        <v>0</v>
      </c>
      <c r="W156" s="121">
        <v>0</v>
      </c>
      <c r="X156" s="121">
        <f>MouserListTable12[[#This Row],['#/Unit]]*FilterSpecs!$C$3+MouserListTable12[[#This Row],[Extra]]</f>
        <v>0</v>
      </c>
      <c r="Y156" s="121">
        <f>IF(MouserListTable12[[#This Row],[Tag]]=FilterSpecs!$F$7,MouserListTable12[[#This Row],[Price (USD)]],0)</f>
        <v>0</v>
      </c>
      <c r="Z156" s="121">
        <f>MouserListTable12[[#This Row],[Tot '#]]*MouserListTable12[[#This Row],[Price (USD)]]</f>
        <v>0</v>
      </c>
    </row>
    <row r="157" spans="1:26" s="146" customFormat="1" hidden="1" x14ac:dyDescent="0.3">
      <c r="A157" s="103" t="s">
        <v>894</v>
      </c>
      <c r="B157" s="103" t="s">
        <v>2031</v>
      </c>
      <c r="C157" s="103" t="s">
        <v>1898</v>
      </c>
      <c r="D157" s="106" t="str">
        <f>IF(MouserListTable12[[#This Row],[Vendor]]=FilterSpecs!$A$8,MouserListTable12[[#This Row],[Mouser SKU]], MouserListTable12[[#This Row],[SKU2]])</f>
        <v>3330</v>
      </c>
      <c r="E157" s="121">
        <f>MouserListTable12[[#This Row],[Tot '#]]-MouserListTable12[[#This Row],['# Initial]]</f>
        <v>0</v>
      </c>
      <c r="F157" s="121">
        <f>MouserListTable12[[#This Row],['#/Unit]]*FilterSpecs!$B$3+MouserListTable12[[#This Row],[Extra Initial]]</f>
        <v>0</v>
      </c>
      <c r="G157" s="103"/>
      <c r="H157" s="103"/>
      <c r="I157" s="126" t="s">
        <v>2343</v>
      </c>
      <c r="K157" s="172">
        <v>7.5</v>
      </c>
      <c r="L157" s="126" t="s">
        <v>1910</v>
      </c>
      <c r="N157" s="171">
        <f>MouserListTable12[[#This Row],['# Initial]]*MouserListTable12[[#This Row],[Price (USD)]]</f>
        <v>0</v>
      </c>
      <c r="O157" s="106" t="s">
        <v>2342</v>
      </c>
      <c r="P157" s="103">
        <f t="shared" si="2"/>
        <v>142</v>
      </c>
      <c r="Q157" s="103">
        <f>IF($D157=$O157,1,0)</f>
        <v>1</v>
      </c>
      <c r="R157" s="103" t="s">
        <v>1898</v>
      </c>
      <c r="S157" s="103" t="str">
        <f>_xlfn.IFS(MouserListTable12[[#This Row],[Supplier]]=FilterSpecs!$A$6, FilterSpecs!$B$6,MouserListTable12[[#This Row],[Supplier]]=FilterSpecs!$A$7,FilterSpecs!$B$7,MouserListTable12[[#This Row],[Supplier]]=FilterSpecs!$A$8,FilterSpecs!$B$8,MouserListTable12[[#This Row],[Supplier]]=FilterSpecs!$A$9,FilterSpecs!$B$9)</f>
        <v>485-</v>
      </c>
      <c r="T15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485-3330</v>
      </c>
      <c r="U157" s="121">
        <v>0</v>
      </c>
      <c r="V157" s="121">
        <v>0</v>
      </c>
      <c r="W157" s="121">
        <v>0</v>
      </c>
      <c r="X157" s="121">
        <f>MouserListTable12[[#This Row],['#/Unit]]*FilterSpecs!$C$3+MouserListTable12[[#This Row],[Extra]]</f>
        <v>0</v>
      </c>
      <c r="Y157" s="121">
        <f>IF(MouserListTable12[[#This Row],[Tag]]=FilterSpecs!$F$7,MouserListTable12[[#This Row],[Price (USD)]],0)</f>
        <v>0</v>
      </c>
      <c r="Z157" s="121">
        <f>MouserListTable12[[#This Row],[Tot '#]]*MouserListTable12[[#This Row],[Price (USD)]]</f>
        <v>0</v>
      </c>
    </row>
    <row r="158" spans="1:26" s="146" customFormat="1" hidden="1" x14ac:dyDescent="0.3">
      <c r="A158" s="103" t="s">
        <v>894</v>
      </c>
      <c r="B158" s="103" t="s">
        <v>2031</v>
      </c>
      <c r="C158" s="103" t="s">
        <v>1898</v>
      </c>
      <c r="D158" s="106" t="str">
        <f>IF(MouserListTable12[[#This Row],[Vendor]]=FilterSpecs!$A$8,MouserListTable12[[#This Row],[Mouser SKU]], MouserListTable12[[#This Row],[SKU2]])</f>
        <v>1332</v>
      </c>
      <c r="E158" s="121">
        <f>MouserListTable12[[#This Row],[Tot '#]]-MouserListTable12[[#This Row],['# Initial]]</f>
        <v>0</v>
      </c>
      <c r="F158" s="121">
        <f>MouserListTable12[[#This Row],['#/Unit]]*FilterSpecs!$B$3+MouserListTable12[[#This Row],[Extra Initial]]</f>
        <v>0</v>
      </c>
      <c r="G158" s="103"/>
      <c r="H158" s="103"/>
      <c r="I158" s="103" t="s">
        <v>2373</v>
      </c>
      <c r="K158" s="171">
        <v>2.95</v>
      </c>
      <c r="L158" s="103" t="s">
        <v>1910</v>
      </c>
      <c r="M158" s="106"/>
      <c r="N158" s="171">
        <f>MouserListTable12[[#This Row],['# Initial]]*MouserListTable12[[#This Row],[Price (USD)]]</f>
        <v>0</v>
      </c>
      <c r="O158" s="106" t="s">
        <v>2372</v>
      </c>
      <c r="P158" s="103">
        <f t="shared" si="2"/>
        <v>143</v>
      </c>
      <c r="Q158" s="103">
        <f>IF($D158=$O158,1,0)</f>
        <v>1</v>
      </c>
      <c r="R158" s="103" t="s">
        <v>1898</v>
      </c>
      <c r="S158" s="103" t="str">
        <f>_xlfn.IFS(MouserListTable12[[#This Row],[Supplier]]=FilterSpecs!$A$6, FilterSpecs!$B$6,MouserListTable12[[#This Row],[Supplier]]=FilterSpecs!$A$7,FilterSpecs!$B$7,MouserListTable12[[#This Row],[Supplier]]=FilterSpecs!$A$8,FilterSpecs!$B$8,MouserListTable12[[#This Row],[Supplier]]=FilterSpecs!$A$9,FilterSpecs!$B$9)</f>
        <v>485-</v>
      </c>
      <c r="T15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485-1332</v>
      </c>
      <c r="U158" s="121">
        <v>0</v>
      </c>
      <c r="V158" s="121">
        <v>0</v>
      </c>
      <c r="W158" s="121">
        <v>0</v>
      </c>
      <c r="X158" s="121">
        <f>MouserListTable12[[#This Row],['#/Unit]]*FilterSpecs!$C$3+MouserListTable12[[#This Row],[Extra]]</f>
        <v>0</v>
      </c>
      <c r="Y158" s="121">
        <f>IF(MouserListTable12[[#This Row],[Tag]]=FilterSpecs!$F$7,MouserListTable12[[#This Row],[Price (USD)]],0)</f>
        <v>0</v>
      </c>
      <c r="Z158" s="121">
        <f>MouserListTable12[[#This Row],[Tot '#]]*MouserListTable12[[#This Row],[Price (USD)]]</f>
        <v>0</v>
      </c>
    </row>
    <row r="159" spans="1:26" s="146" customFormat="1" x14ac:dyDescent="0.3">
      <c r="A159" s="103" t="s">
        <v>894</v>
      </c>
      <c r="B159" s="103" t="s">
        <v>2031</v>
      </c>
      <c r="C159" s="103" t="s">
        <v>1898</v>
      </c>
      <c r="D159" s="106" t="str">
        <f>IF(MouserListTable12[[#This Row],[Vendor]]=FilterSpecs!$A$8,MouserListTable12[[#This Row],[Mouser SKU]], MouserListTable12[[#This Row],[SKU2]])</f>
        <v>419</v>
      </c>
      <c r="E159" s="121">
        <f>MouserListTable12[[#This Row],[Tot '#]]-MouserListTable12[[#This Row],['# Initial]]</f>
        <v>0</v>
      </c>
      <c r="F159" s="121">
        <f>MouserListTable12[[#This Row],['#/Unit]]*FilterSpecs!$B$3+MouserListTable12[[#This Row],[Extra Initial]]</f>
        <v>5</v>
      </c>
      <c r="G159" s="103"/>
      <c r="H159" s="103"/>
      <c r="I159" s="103" t="s">
        <v>2375</v>
      </c>
      <c r="K159" s="171">
        <v>3.95</v>
      </c>
      <c r="L159" s="103" t="s">
        <v>1911</v>
      </c>
      <c r="M159" s="106"/>
      <c r="N159" s="171">
        <f>MouserListTable12[[#This Row],['# Initial]]*MouserListTable12[[#This Row],[Price (USD)]]</f>
        <v>19.75</v>
      </c>
      <c r="O159" s="106" t="s">
        <v>2374</v>
      </c>
      <c r="P159" s="103">
        <f t="shared" si="2"/>
        <v>144</v>
      </c>
      <c r="Q159" s="103">
        <f>IF($D159=$O159,1,0)</f>
        <v>1</v>
      </c>
      <c r="R159" s="103" t="s">
        <v>1898</v>
      </c>
      <c r="S159" s="103" t="str">
        <f>_xlfn.IFS(MouserListTable12[[#This Row],[Supplier]]=FilterSpecs!$A$6, FilterSpecs!$B$6,MouserListTable12[[#This Row],[Supplier]]=FilterSpecs!$A$7,FilterSpecs!$B$7,MouserListTable12[[#This Row],[Supplier]]=FilterSpecs!$A$8,FilterSpecs!$B$8,MouserListTable12[[#This Row],[Supplier]]=FilterSpecs!$A$9,FilterSpecs!$B$9)</f>
        <v>485-</v>
      </c>
      <c r="T15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485-419</v>
      </c>
      <c r="U159" s="121">
        <v>1</v>
      </c>
      <c r="V159" s="121">
        <v>0</v>
      </c>
      <c r="W159" s="121">
        <v>0</v>
      </c>
      <c r="X159" s="121">
        <f>MouserListTable12[[#This Row],['#/Unit]]*FilterSpecs!$C$3+MouserListTable12[[#This Row],[Extra]]</f>
        <v>5</v>
      </c>
      <c r="Y159" s="121">
        <f>IF(MouserListTable12[[#This Row],[Tag]]=FilterSpecs!$F$7,MouserListTable12[[#This Row],[Price (USD)]],0)</f>
        <v>3.95</v>
      </c>
      <c r="Z159" s="121">
        <f>MouserListTable12[[#This Row],[Tot '#]]*MouserListTable12[[#This Row],[Price (USD)]]</f>
        <v>19.75</v>
      </c>
    </row>
    <row r="160" spans="1:26" s="146" customFormat="1" hidden="1" x14ac:dyDescent="0.3">
      <c r="A160" s="103" t="s">
        <v>894</v>
      </c>
      <c r="B160" s="103" t="s">
        <v>898</v>
      </c>
      <c r="C160" s="103" t="s">
        <v>8</v>
      </c>
      <c r="D160" s="106" t="str">
        <f>IF(MouserListTable12[[#This Row],[Vendor]]=FilterSpecs!$A$8,MouserListTable12[[#This Row],[Mouser SKU]], MouserListTable12[[#This Row],[SKU2]])</f>
        <v>SEN-14348</v>
      </c>
      <c r="E160" s="121">
        <f>MouserListTable12[[#This Row],[Tot '#]]-MouserListTable12[[#This Row],['# Initial]]</f>
        <v>1</v>
      </c>
      <c r="F160" s="121">
        <f>MouserListTable12[[#This Row],['#/Unit]]*FilterSpecs!$B$3+MouserListTable12[[#This Row],[Extra Initial]]</f>
        <v>0</v>
      </c>
      <c r="G160" s="103" t="s">
        <v>684</v>
      </c>
      <c r="H160" s="103" t="s">
        <v>685</v>
      </c>
      <c r="I160" s="103" t="s">
        <v>686</v>
      </c>
      <c r="J160" s="103">
        <v>1</v>
      </c>
      <c r="K160" s="171">
        <v>34.950000000000003</v>
      </c>
      <c r="L160" s="103" t="s">
        <v>1910</v>
      </c>
      <c r="M160" s="106"/>
      <c r="N160" s="171">
        <f>MouserListTable12[[#This Row],['# Initial]]*MouserListTable12[[#This Row],[Price (USD)]]</f>
        <v>0</v>
      </c>
      <c r="O160" s="106" t="s">
        <v>683</v>
      </c>
      <c r="P160" s="103">
        <f t="shared" si="2"/>
        <v>145</v>
      </c>
      <c r="Q160" s="103">
        <f>IF($D160=$O160,1,0)</f>
        <v>1</v>
      </c>
      <c r="R160" s="103" t="s">
        <v>8</v>
      </c>
      <c r="S160" s="103" t="str">
        <f>_xlfn.IFS(MouserListTable12[[#This Row],[Supplier]]=FilterSpecs!$A$6, FilterSpecs!$B$6,MouserListTable12[[#This Row],[Supplier]]=FilterSpecs!$A$7,FilterSpecs!$B$7,MouserListTable12[[#This Row],[Supplier]]=FilterSpecs!$A$8,FilterSpecs!$B$8,MouserListTable12[[#This Row],[Supplier]]=FilterSpecs!$A$9,FilterSpecs!$B$9)</f>
        <v>474-</v>
      </c>
      <c r="T16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474-SEN-14348</v>
      </c>
      <c r="U160" s="121">
        <v>0</v>
      </c>
      <c r="V160" s="121">
        <v>1</v>
      </c>
      <c r="W160" s="121">
        <v>0</v>
      </c>
      <c r="X160" s="121">
        <f>MouserListTable12[[#This Row],['#/Unit]]*FilterSpecs!$C$3+MouserListTable12[[#This Row],[Extra]]</f>
        <v>1</v>
      </c>
      <c r="Y160" s="121">
        <f>IF(MouserListTable12[[#This Row],[Tag]]=FilterSpecs!$F$7,MouserListTable12[[#This Row],[Price (USD)]],0)</f>
        <v>0</v>
      </c>
      <c r="Z160" s="121">
        <f>MouserListTable12[[#This Row],[Tot '#]]*MouserListTable12[[#This Row],[Price (USD)]]</f>
        <v>34.950000000000003</v>
      </c>
    </row>
    <row r="161" spans="1:26" s="146" customFormat="1" hidden="1" x14ac:dyDescent="0.3">
      <c r="A161" s="103" t="s">
        <v>894</v>
      </c>
      <c r="B161" s="103" t="s">
        <v>898</v>
      </c>
      <c r="C161" s="103" t="s">
        <v>8</v>
      </c>
      <c r="D161" s="106" t="str">
        <f>IF(MouserListTable12[[#This Row],[Vendor]]=FilterSpecs!$A$8,MouserListTable12[[#This Row],[Mouser SKU]], MouserListTable12[[#This Row],[SKU2]])</f>
        <v>SEN-14045</v>
      </c>
      <c r="E161" s="121">
        <f>MouserListTable12[[#This Row],[Tot '#]]-MouserListTable12[[#This Row],['# Initial]]</f>
        <v>1</v>
      </c>
      <c r="F161" s="121">
        <f>MouserListTable12[[#This Row],['#/Unit]]*FilterSpecs!$B$3+MouserListTable12[[#This Row],[Extra Initial]]</f>
        <v>0</v>
      </c>
      <c r="G161" s="103" t="s">
        <v>688</v>
      </c>
      <c r="H161" s="103" t="s">
        <v>689</v>
      </c>
      <c r="I161" s="103" t="s">
        <v>690</v>
      </c>
      <c r="J161" s="103"/>
      <c r="K161" s="171">
        <v>12.95</v>
      </c>
      <c r="L161" s="103" t="s">
        <v>1910</v>
      </c>
      <c r="M161" s="106"/>
      <c r="N161" s="171">
        <f>MouserListTable12[[#This Row],['# Initial]]*MouserListTable12[[#This Row],[Price (USD)]]</f>
        <v>0</v>
      </c>
      <c r="O161" s="106" t="s">
        <v>687</v>
      </c>
      <c r="P161" s="103">
        <f t="shared" si="2"/>
        <v>146</v>
      </c>
      <c r="Q161" s="103">
        <f>IF($D161=$O161,1,0)</f>
        <v>1</v>
      </c>
      <c r="R161" s="103" t="s">
        <v>8</v>
      </c>
      <c r="S161" s="103" t="str">
        <f>_xlfn.IFS(MouserListTable12[[#This Row],[Supplier]]=FilterSpecs!$A$6, FilterSpecs!$B$6,MouserListTable12[[#This Row],[Supplier]]=FilterSpecs!$A$7,FilterSpecs!$B$7,MouserListTable12[[#This Row],[Supplier]]=FilterSpecs!$A$8,FilterSpecs!$B$8,MouserListTable12[[#This Row],[Supplier]]=FilterSpecs!$A$9,FilterSpecs!$B$9)</f>
        <v>474-</v>
      </c>
      <c r="T16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474-SEN-14045</v>
      </c>
      <c r="U161" s="121">
        <v>0</v>
      </c>
      <c r="V161" s="121">
        <v>1</v>
      </c>
      <c r="W161" s="121">
        <v>0</v>
      </c>
      <c r="X161" s="121">
        <f>MouserListTable12[[#This Row],['#/Unit]]*FilterSpecs!$C$3+MouserListTable12[[#This Row],[Extra]]</f>
        <v>1</v>
      </c>
      <c r="Y161" s="121">
        <f>IF(MouserListTable12[[#This Row],[Tag]]=FilterSpecs!$F$7,MouserListTable12[[#This Row],[Price (USD)]],0)</f>
        <v>0</v>
      </c>
      <c r="Z161" s="121">
        <f>MouserListTable12[[#This Row],[Tot '#]]*MouserListTable12[[#This Row],[Price (USD)]]</f>
        <v>12.95</v>
      </c>
    </row>
    <row r="162" spans="1:26" s="146" customFormat="1" hidden="1" x14ac:dyDescent="0.3">
      <c r="A162" s="103" t="s">
        <v>894</v>
      </c>
      <c r="B162" s="103" t="s">
        <v>898</v>
      </c>
      <c r="C162" s="103" t="s">
        <v>8</v>
      </c>
      <c r="D162" s="106" t="str">
        <f>IF(MouserListTable12[[#This Row],[Vendor]]=FilterSpecs!$A$8,MouserListTable12[[#This Row],[Mouser SKU]], MouserListTable12[[#This Row],[SKU2]])</f>
        <v>BOB-08891</v>
      </c>
      <c r="E162" s="121">
        <f>MouserListTable12[[#This Row],[Tot '#]]-MouserListTable12[[#This Row],['# Initial]]</f>
        <v>1</v>
      </c>
      <c r="F162" s="121">
        <f>MouserListTable12[[#This Row],['#/Unit]]*FilterSpecs!$B$3+MouserListTable12[[#This Row],[Extra Initial]]</f>
        <v>0</v>
      </c>
      <c r="G162" s="103" t="s">
        <v>692</v>
      </c>
      <c r="H162" s="103" t="s">
        <v>693</v>
      </c>
      <c r="I162" s="103" t="s">
        <v>694</v>
      </c>
      <c r="J162" s="103">
        <v>1</v>
      </c>
      <c r="K162" s="171">
        <v>0.95</v>
      </c>
      <c r="L162" s="103" t="s">
        <v>1910</v>
      </c>
      <c r="M162" s="106"/>
      <c r="N162" s="171">
        <f>MouserListTable12[[#This Row],['# Initial]]*MouserListTable12[[#This Row],[Price (USD)]]</f>
        <v>0</v>
      </c>
      <c r="O162" s="106" t="s">
        <v>691</v>
      </c>
      <c r="P162" s="103">
        <f t="shared" si="2"/>
        <v>147</v>
      </c>
      <c r="Q162" s="103">
        <f>IF($D162=$O162,1,0)</f>
        <v>1</v>
      </c>
      <c r="R162" s="103" t="s">
        <v>8</v>
      </c>
      <c r="S162" s="103" t="str">
        <f>_xlfn.IFS(MouserListTable12[[#This Row],[Supplier]]=FilterSpecs!$A$6, FilterSpecs!$B$6,MouserListTable12[[#This Row],[Supplier]]=FilterSpecs!$A$7,FilterSpecs!$B$7,MouserListTable12[[#This Row],[Supplier]]=FilterSpecs!$A$8,FilterSpecs!$B$8,MouserListTable12[[#This Row],[Supplier]]=FilterSpecs!$A$9,FilterSpecs!$B$9)</f>
        <v>474-</v>
      </c>
      <c r="T16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474-BOB-08891</v>
      </c>
      <c r="U162" s="121">
        <v>0</v>
      </c>
      <c r="V162" s="121">
        <v>1</v>
      </c>
      <c r="W162" s="121">
        <v>0</v>
      </c>
      <c r="X162" s="121">
        <f>MouserListTable12[[#This Row],['#/Unit]]*FilterSpecs!$C$3+MouserListTable12[[#This Row],[Extra]]</f>
        <v>1</v>
      </c>
      <c r="Y162" s="121">
        <f>IF(MouserListTable12[[#This Row],[Tag]]=FilterSpecs!$F$7,MouserListTable12[[#This Row],[Price (USD)]],0)</f>
        <v>0</v>
      </c>
      <c r="Z162" s="121">
        <f>MouserListTable12[[#This Row],[Tot '#]]*MouserListTable12[[#This Row],[Price (USD)]]</f>
        <v>0.95</v>
      </c>
    </row>
    <row r="163" spans="1:26" s="146" customFormat="1" hidden="1" x14ac:dyDescent="0.3">
      <c r="A163" s="103" t="s">
        <v>894</v>
      </c>
      <c r="B163" s="103" t="s">
        <v>898</v>
      </c>
      <c r="C163" s="103" t="s">
        <v>8</v>
      </c>
      <c r="D163" s="106" t="str">
        <f>IF(MouserListTable12[[#This Row],[Vendor]]=FilterSpecs!$A$8,MouserListTable12[[#This Row],[Mouser SKU]], MouserListTable12[[#This Row],[SKU2]])</f>
        <v>SEN-09403</v>
      </c>
      <c r="E163" s="121">
        <f>MouserListTable12[[#This Row],[Tot '#]]-MouserListTable12[[#This Row],['# Initial]]</f>
        <v>1</v>
      </c>
      <c r="F163" s="121">
        <f>MouserListTable12[[#This Row],['#/Unit]]*FilterSpecs!$B$3+MouserListTable12[[#This Row],[Extra Initial]]</f>
        <v>0</v>
      </c>
      <c r="G163" s="103" t="s">
        <v>696</v>
      </c>
      <c r="H163" s="103" t="s">
        <v>697</v>
      </c>
      <c r="I163" s="103" t="s">
        <v>698</v>
      </c>
      <c r="J163" s="103">
        <v>1</v>
      </c>
      <c r="K163" s="171">
        <v>7.25</v>
      </c>
      <c r="L163" s="103" t="s">
        <v>1910</v>
      </c>
      <c r="M163" s="106"/>
      <c r="N163" s="171">
        <f>MouserListTable12[[#This Row],['# Initial]]*MouserListTable12[[#This Row],[Price (USD)]]</f>
        <v>0</v>
      </c>
      <c r="O163" s="106" t="s">
        <v>695</v>
      </c>
      <c r="P163" s="103">
        <f t="shared" si="2"/>
        <v>148</v>
      </c>
      <c r="Q163" s="103">
        <f>IF($D163=$O163,1,0)</f>
        <v>1</v>
      </c>
      <c r="R163" s="103" t="s">
        <v>8</v>
      </c>
      <c r="S163" s="103" t="str">
        <f>_xlfn.IFS(MouserListTable12[[#This Row],[Supplier]]=FilterSpecs!$A$6, FilterSpecs!$B$6,MouserListTable12[[#This Row],[Supplier]]=FilterSpecs!$A$7,FilterSpecs!$B$7,MouserListTable12[[#This Row],[Supplier]]=FilterSpecs!$A$8,FilterSpecs!$B$8,MouserListTable12[[#This Row],[Supplier]]=FilterSpecs!$A$9,FilterSpecs!$B$9)</f>
        <v>474-</v>
      </c>
      <c r="T16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474-SEN-09403</v>
      </c>
      <c r="U163" s="121">
        <v>0</v>
      </c>
      <c r="V163" s="121">
        <v>1</v>
      </c>
      <c r="W163" s="121">
        <v>0</v>
      </c>
      <c r="X163" s="121">
        <f>MouserListTable12[[#This Row],['#/Unit]]*FilterSpecs!$C$3+MouserListTable12[[#This Row],[Extra]]</f>
        <v>1</v>
      </c>
      <c r="Y163" s="121">
        <f>IF(MouserListTable12[[#This Row],[Tag]]=FilterSpecs!$F$7,MouserListTable12[[#This Row],[Price (USD)]],0)</f>
        <v>0</v>
      </c>
      <c r="Z163" s="121">
        <f>MouserListTable12[[#This Row],[Tot '#]]*MouserListTable12[[#This Row],[Price (USD)]]</f>
        <v>7.25</v>
      </c>
    </row>
    <row r="164" spans="1:26" s="146" customFormat="1" hidden="1" x14ac:dyDescent="0.3">
      <c r="A164" s="126" t="s">
        <v>894</v>
      </c>
      <c r="B164" s="126" t="s">
        <v>898</v>
      </c>
      <c r="C164" s="126" t="s">
        <v>8</v>
      </c>
      <c r="D164" s="106" t="str">
        <f>IF(MouserListTable12[[#This Row],[Vendor]]=FilterSpecs!$A$8,MouserListTable12[[#This Row],[Mouser SKU]], MouserListTable12[[#This Row],[SKU2]])</f>
        <v>SEN-12055</v>
      </c>
      <c r="E164" s="121">
        <f>MouserListTable12[[#This Row],[Tot '#]]-MouserListTable12[[#This Row],['# Initial]]</f>
        <v>0</v>
      </c>
      <c r="F164" s="121">
        <f>MouserListTable12[[#This Row],['#/Unit]]*FilterSpecs!$B$3+MouserListTable12[[#This Row],[Extra Initial]]</f>
        <v>0</v>
      </c>
      <c r="G164" s="103" t="s">
        <v>828</v>
      </c>
      <c r="H164" s="103" t="s">
        <v>829</v>
      </c>
      <c r="I164" s="103" t="s">
        <v>212</v>
      </c>
      <c r="J164" s="103">
        <v>1</v>
      </c>
      <c r="K164" s="171">
        <v>5.95</v>
      </c>
      <c r="L164" s="103" t="s">
        <v>2487</v>
      </c>
      <c r="N164" s="171">
        <f>MouserListTable12[[#This Row],['# Initial]]*MouserListTable12[[#This Row],[Price (USD)]]</f>
        <v>0</v>
      </c>
      <c r="O164" s="106" t="s">
        <v>827</v>
      </c>
      <c r="P164" s="103">
        <f t="shared" si="2"/>
        <v>149</v>
      </c>
      <c r="Q164" s="103">
        <f>IF($D164=$O164,1,0)</f>
        <v>1</v>
      </c>
      <c r="R164" s="103" t="s">
        <v>8</v>
      </c>
      <c r="S164" s="103" t="str">
        <f>_xlfn.IFS(MouserListTable12[[#This Row],[Supplier]]=FilterSpecs!$A$6, FilterSpecs!$B$6,MouserListTable12[[#This Row],[Supplier]]=FilterSpecs!$A$7,FilterSpecs!$B$7,MouserListTable12[[#This Row],[Supplier]]=FilterSpecs!$A$8,FilterSpecs!$B$8,MouserListTable12[[#This Row],[Supplier]]=FilterSpecs!$A$9,FilterSpecs!$B$9)</f>
        <v>474-</v>
      </c>
      <c r="T16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474-SEN-12055</v>
      </c>
      <c r="U164" s="121">
        <v>0</v>
      </c>
      <c r="V164" s="121">
        <v>0</v>
      </c>
      <c r="W164" s="121">
        <v>0</v>
      </c>
      <c r="X164" s="121">
        <f>MouserListTable12[[#This Row],['#/Unit]]*FilterSpecs!$C$3+MouserListTable12[[#This Row],[Extra]]</f>
        <v>0</v>
      </c>
      <c r="Y164" s="121">
        <f>IF(MouserListTable12[[#This Row],[Tag]]=FilterSpecs!$F$7,MouserListTable12[[#This Row],[Price (USD)]],0)</f>
        <v>0</v>
      </c>
      <c r="Z164" s="121">
        <f>MouserListTable12[[#This Row],[Tot '#]]*MouserListTable12[[#This Row],[Price (USD)]]</f>
        <v>0</v>
      </c>
    </row>
    <row r="165" spans="1:26" s="146" customFormat="1" hidden="1" x14ac:dyDescent="0.3">
      <c r="A165" s="103" t="s">
        <v>894</v>
      </c>
      <c r="B165" s="103" t="s">
        <v>898</v>
      </c>
      <c r="C165" s="103" t="s">
        <v>8</v>
      </c>
      <c r="D165" s="106" t="str">
        <f>IF(MouserListTable12[[#This Row],[Vendor]]=FilterSpecs!$A$8,MouserListTable12[[#This Row],[Mouser SKU]], MouserListTable12[[#This Row],[SKU2]])</f>
        <v>BOB-08688</v>
      </c>
      <c r="E165" s="121">
        <f>MouserListTable12[[#This Row],[Tot '#]]-MouserListTable12[[#This Row],['# Initial]]</f>
        <v>2</v>
      </c>
      <c r="F165" s="121">
        <f>MouserListTable12[[#This Row],['#/Unit]]*FilterSpecs!$B$3+MouserListTable12[[#This Row],[Extra Initial]]</f>
        <v>0</v>
      </c>
      <c r="G165" s="103" t="s">
        <v>831</v>
      </c>
      <c r="H165" s="103" t="s">
        <v>832</v>
      </c>
      <c r="I165" s="103" t="s">
        <v>220</v>
      </c>
      <c r="J165" s="103">
        <v>1</v>
      </c>
      <c r="K165" s="171">
        <v>3.95</v>
      </c>
      <c r="L165" s="103" t="s">
        <v>1910</v>
      </c>
      <c r="M165" s="106"/>
      <c r="N165" s="171">
        <f>MouserListTable12[[#This Row],['# Initial]]*MouserListTable12[[#This Row],[Price (USD)]]</f>
        <v>0</v>
      </c>
      <c r="O165" s="106" t="s">
        <v>830</v>
      </c>
      <c r="P165" s="103">
        <f t="shared" si="2"/>
        <v>150</v>
      </c>
      <c r="Q165" s="103">
        <f>IF($D165=$O165,1,0)</f>
        <v>1</v>
      </c>
      <c r="R165" s="103" t="s">
        <v>8</v>
      </c>
      <c r="S165" s="103" t="str">
        <f>_xlfn.IFS(MouserListTable12[[#This Row],[Supplier]]=FilterSpecs!$A$6, FilterSpecs!$B$6,MouserListTable12[[#This Row],[Supplier]]=FilterSpecs!$A$7,FilterSpecs!$B$7,MouserListTable12[[#This Row],[Supplier]]=FilterSpecs!$A$8,FilterSpecs!$B$8,MouserListTable12[[#This Row],[Supplier]]=FilterSpecs!$A$9,FilterSpecs!$B$9)</f>
        <v>474-</v>
      </c>
      <c r="T16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474-BOB-08688</v>
      </c>
      <c r="U165" s="121">
        <v>0</v>
      </c>
      <c r="V165" s="121">
        <v>2</v>
      </c>
      <c r="W165" s="121">
        <v>0</v>
      </c>
      <c r="X165" s="121">
        <f>MouserListTable12[[#This Row],['#/Unit]]*FilterSpecs!$C$3+MouserListTable12[[#This Row],[Extra]]</f>
        <v>2</v>
      </c>
      <c r="Y165" s="121">
        <f>IF(MouserListTable12[[#This Row],[Tag]]=FilterSpecs!$F$7,MouserListTable12[[#This Row],[Price (USD)]],0)</f>
        <v>0</v>
      </c>
      <c r="Z165" s="121">
        <f>MouserListTable12[[#This Row],[Tot '#]]*MouserListTable12[[#This Row],[Price (USD)]]</f>
        <v>7.9</v>
      </c>
    </row>
    <row r="166" spans="1:26" s="146" customFormat="1" hidden="1" x14ac:dyDescent="0.3">
      <c r="A166" s="103" t="s">
        <v>894</v>
      </c>
      <c r="B166" s="103" t="s">
        <v>13</v>
      </c>
      <c r="C166" s="103" t="s">
        <v>8</v>
      </c>
      <c r="D166" s="106" t="str">
        <f>IF(MouserListTable12[[#This Row],[Vendor]]=FilterSpecs!$A$8,MouserListTable12[[#This Row],[Mouser SKU]], MouserListTable12[[#This Row],[SKU2]])</f>
        <v>WRL-13677</v>
      </c>
      <c r="E166" s="121">
        <f>MouserListTable12[[#This Row],[Tot '#]]-MouserListTable12[[#This Row],['# Initial]]</f>
        <v>3</v>
      </c>
      <c r="F166" s="121">
        <f>MouserListTable12[[#This Row],['#/Unit]]*FilterSpecs!$B$3+MouserListTable12[[#This Row],[Extra Initial]]</f>
        <v>0</v>
      </c>
      <c r="G166" s="103" t="s">
        <v>257</v>
      </c>
      <c r="H166" s="103" t="s">
        <v>258</v>
      </c>
      <c r="I166" s="103" t="s">
        <v>259</v>
      </c>
      <c r="J166" s="103">
        <v>1</v>
      </c>
      <c r="K166" s="171">
        <v>14.95</v>
      </c>
      <c r="L166" s="103" t="s">
        <v>1910</v>
      </c>
      <c r="M166" s="106"/>
      <c r="N166" s="171">
        <f>MouserListTable12[[#This Row],['# Initial]]*MouserListTable12[[#This Row],[Price (USD)]]</f>
        <v>0</v>
      </c>
      <c r="O166" s="106" t="s">
        <v>256</v>
      </c>
      <c r="P166" s="103">
        <f t="shared" si="2"/>
        <v>151</v>
      </c>
      <c r="Q166" s="103">
        <f>IF($D166=$O166,1,0)</f>
        <v>1</v>
      </c>
      <c r="R166" s="103" t="s">
        <v>8</v>
      </c>
      <c r="S166" s="103" t="str">
        <f>_xlfn.IFS(MouserListTable12[[#This Row],[Supplier]]=FilterSpecs!$A$6, FilterSpecs!$B$6,MouserListTable12[[#This Row],[Supplier]]=FilterSpecs!$A$7,FilterSpecs!$B$7,MouserListTable12[[#This Row],[Supplier]]=FilterSpecs!$A$8,FilterSpecs!$B$8,MouserListTable12[[#This Row],[Supplier]]=FilterSpecs!$A$9,FilterSpecs!$B$9)</f>
        <v>474-</v>
      </c>
      <c r="T16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474-WRL-13677</v>
      </c>
      <c r="U166" s="121">
        <v>0</v>
      </c>
      <c r="V166" s="121">
        <v>3</v>
      </c>
      <c r="W166" s="121">
        <v>0</v>
      </c>
      <c r="X166" s="121">
        <f>MouserListTable12[[#This Row],['#/Unit]]*FilterSpecs!$C$3+MouserListTable12[[#This Row],[Extra]]</f>
        <v>3</v>
      </c>
      <c r="Y166" s="121">
        <f>IF(MouserListTable12[[#This Row],[Tag]]=FilterSpecs!$F$7,MouserListTable12[[#This Row],[Price (USD)]],0)</f>
        <v>0</v>
      </c>
      <c r="Z166" s="121">
        <f>MouserListTable12[[#This Row],[Tot '#]]*MouserListTable12[[#This Row],[Price (USD)]]</f>
        <v>44.849999999999994</v>
      </c>
    </row>
    <row r="167" spans="1:26" s="146" customFormat="1" hidden="1" x14ac:dyDescent="0.3">
      <c r="A167" s="126" t="s">
        <v>894</v>
      </c>
      <c r="B167" s="103" t="s">
        <v>13</v>
      </c>
      <c r="C167" s="103" t="s">
        <v>8</v>
      </c>
      <c r="D167" s="106" t="str">
        <f>IF(MouserListTable12[[#This Row],[Vendor]]=FilterSpecs!$A$8,MouserListTable12[[#This Row],[Mouser SKU]], MouserListTable12[[#This Row],[SKU2]])</f>
        <v>WRL-13678</v>
      </c>
      <c r="E167" s="121">
        <f>MouserListTable12[[#This Row],[Tot '#]]-MouserListTable12[[#This Row],['# Initial]]</f>
        <v>0</v>
      </c>
      <c r="F167" s="121">
        <f>MouserListTable12[[#This Row],['#/Unit]]*FilterSpecs!$B$3+MouserListTable12[[#This Row],[Extra Initial]]</f>
        <v>0</v>
      </c>
      <c r="G167" s="103" t="s">
        <v>261</v>
      </c>
      <c r="H167" s="103" t="s">
        <v>262</v>
      </c>
      <c r="I167" s="103" t="s">
        <v>263</v>
      </c>
      <c r="J167" s="103">
        <v>1</v>
      </c>
      <c r="K167" s="171">
        <v>6.95</v>
      </c>
      <c r="L167" s="103" t="s">
        <v>1913</v>
      </c>
      <c r="N167" s="171">
        <f>MouserListTable12[[#This Row],['# Initial]]*MouserListTable12[[#This Row],[Price (USD)]]</f>
        <v>0</v>
      </c>
      <c r="O167" s="106" t="s">
        <v>260</v>
      </c>
      <c r="P167" s="103">
        <f>IF($P166="List #",1,$P166+1)</f>
        <v>152</v>
      </c>
      <c r="Q167" s="103">
        <f>IF($D167=$O167,1,0)</f>
        <v>1</v>
      </c>
      <c r="R167" s="103" t="s">
        <v>8</v>
      </c>
      <c r="S167" s="103" t="str">
        <f>_xlfn.IFS(MouserListTable12[[#This Row],[Supplier]]=FilterSpecs!$A$6, FilterSpecs!$B$6,MouserListTable12[[#This Row],[Supplier]]=FilterSpecs!$A$7,FilterSpecs!$B$7,MouserListTable12[[#This Row],[Supplier]]=FilterSpecs!$A$8,FilterSpecs!$B$8,MouserListTable12[[#This Row],[Supplier]]=FilterSpecs!$A$9,FilterSpecs!$B$9)</f>
        <v>474-</v>
      </c>
      <c r="T16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474-WRL-13678</v>
      </c>
      <c r="U167" s="121">
        <v>0</v>
      </c>
      <c r="V167" s="121">
        <v>0</v>
      </c>
      <c r="W167" s="121">
        <v>0</v>
      </c>
      <c r="X167" s="121">
        <f>MouserListTable12[[#This Row],['#/Unit]]*FilterSpecs!$C$3+MouserListTable12[[#This Row],[Extra]]</f>
        <v>0</v>
      </c>
      <c r="Y167" s="121">
        <f>IF(MouserListTable12[[#This Row],[Tag]]=FilterSpecs!$F$7,MouserListTable12[[#This Row],[Price (USD)]],0)</f>
        <v>0</v>
      </c>
      <c r="Z167" s="121">
        <f>MouserListTable12[[#This Row],[Tot '#]]*MouserListTable12[[#This Row],[Price (USD)]]</f>
        <v>0</v>
      </c>
    </row>
    <row r="168" spans="1:26" s="146" customFormat="1" hidden="1" x14ac:dyDescent="0.3">
      <c r="A168" s="126" t="s">
        <v>894</v>
      </c>
      <c r="B168" s="103" t="s">
        <v>13</v>
      </c>
      <c r="C168" s="103" t="s">
        <v>18933</v>
      </c>
      <c r="D168" s="174" t="str">
        <f>IF(MouserListTable12[[#This Row],[Vendor]]=FilterSpecs!$A$8,MouserListTable12[[#This Row],[Mouser SKU]], MouserListTable12[[#This Row],[SKU2]])</f>
        <v>OPT-UP-WF-002</v>
      </c>
      <c r="E168" s="121">
        <f>MouserListTable12[[#This Row],[Tot '#]]-MouserListTable12[[#This Row],['# Initial]]</f>
        <v>0</v>
      </c>
      <c r="F168" s="121">
        <f>MouserListTable12[[#This Row],['#/Unit]]*FilterSpecs!$B$3+MouserListTable12[[#This Row],[Extra Initial]]</f>
        <v>0</v>
      </c>
      <c r="G168" s="103"/>
      <c r="H168" s="103"/>
      <c r="I168" s="103" t="s">
        <v>18932</v>
      </c>
      <c r="J168" s="103"/>
      <c r="K168" s="171">
        <v>9.99</v>
      </c>
      <c r="L168" s="121" t="s">
        <v>1910</v>
      </c>
      <c r="M168" s="103" t="s">
        <v>18936</v>
      </c>
      <c r="N168" s="171">
        <f>MouserListTable12[[#This Row],['# Initial]]*MouserListTable12[[#This Row],[Price (USD)]]</f>
        <v>0</v>
      </c>
      <c r="O168" s="106" t="s">
        <v>18934</v>
      </c>
      <c r="P168" s="121">
        <f t="shared" ref="P168" si="3">IF($P167="List #",1,$P167+1)</f>
        <v>153</v>
      </c>
      <c r="Q168" s="121">
        <f t="shared" ref="Q168" si="4">IF($D168=$O168,1,0)</f>
        <v>1</v>
      </c>
      <c r="R168" s="103" t="s">
        <v>18933</v>
      </c>
      <c r="S168" s="121" t="s">
        <v>18935</v>
      </c>
      <c r="T16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409-OPT-UP-WF-002</v>
      </c>
      <c r="U168" s="121">
        <v>0</v>
      </c>
      <c r="V168" s="121">
        <v>0</v>
      </c>
      <c r="W168" s="121">
        <v>0</v>
      </c>
      <c r="X168" s="121">
        <f>MouserListTable12[[#This Row],['#/Unit]]*FilterSpecs!$C$3+MouserListTable12[[#This Row],[Extra]]</f>
        <v>0</v>
      </c>
      <c r="Y168" s="121">
        <f>IF(MouserListTable12[[#This Row],[Tag]]=FilterSpecs!$F$7,MouserListTable12[[#This Row],[Price (USD)]],0)</f>
        <v>0</v>
      </c>
      <c r="Z168" s="121">
        <f>MouserListTable12[[#This Row],[Tot '#]]*MouserListTable12[[#This Row],[Price (USD)]]</f>
        <v>0</v>
      </c>
    </row>
    <row r="169" spans="1:26" s="146" customFormat="1" hidden="1" x14ac:dyDescent="0.3">
      <c r="A169" s="126" t="s">
        <v>894</v>
      </c>
      <c r="B169" s="126" t="s">
        <v>13</v>
      </c>
      <c r="C169" s="103" t="s">
        <v>1898</v>
      </c>
      <c r="D169" s="174">
        <f>IF(MouserListTable12[[#This Row],[Vendor]]=FilterSpecs!$A$8,MouserListTable12[[#This Row],[Mouser SKU]], MouserListTable12[[#This Row],[SKU2]])</f>
        <v>2810</v>
      </c>
      <c r="E169" s="121">
        <f>MouserListTable12[[#This Row],[Tot '#]]-MouserListTable12[[#This Row],['# Initial]]</f>
        <v>0</v>
      </c>
      <c r="F169" s="121">
        <f>MouserListTable12[[#This Row],['#/Unit]]*FilterSpecs!$B$3+MouserListTable12[[#This Row],[Extra Initial]]</f>
        <v>0</v>
      </c>
      <c r="G169" s="103"/>
      <c r="H169" s="103"/>
      <c r="I169" s="103" t="s">
        <v>18930</v>
      </c>
      <c r="J169" s="103"/>
      <c r="K169" s="171">
        <v>11.99</v>
      </c>
      <c r="L169" s="121" t="s">
        <v>1910</v>
      </c>
      <c r="M169" s="103" t="s">
        <v>18937</v>
      </c>
      <c r="N169" s="171">
        <f>MouserListTable12[[#This Row],['# Initial]]*MouserListTable12[[#This Row],[Price (USD)]]</f>
        <v>0</v>
      </c>
      <c r="O169" s="106">
        <v>2810</v>
      </c>
      <c r="P169" s="121">
        <f>IF($P167="List #",1,$P167+1)</f>
        <v>153</v>
      </c>
      <c r="Q169" s="121">
        <f>IF($D169=$O169,1,0)</f>
        <v>1</v>
      </c>
      <c r="R169" s="103" t="s">
        <v>1898</v>
      </c>
      <c r="S169" s="121" t="str">
        <f>_xlfn.IFS(MouserListTable12[[#This Row],[Supplier]]=FilterSpecs!$A$6, FilterSpecs!$B$6,MouserListTable12[[#This Row],[Supplier]]=FilterSpecs!$A$7,FilterSpecs!$B$7,MouserListTable12[[#This Row],[Supplier]]=FilterSpecs!$A$8,FilterSpecs!$B$8,MouserListTable12[[#This Row],[Supplier]]=FilterSpecs!$A$9,FilterSpecs!$B$9)</f>
        <v>485-</v>
      </c>
      <c r="T16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485-2810</v>
      </c>
      <c r="U169" s="121">
        <v>0</v>
      </c>
      <c r="V169" s="121">
        <v>0</v>
      </c>
      <c r="W169" s="121">
        <v>0</v>
      </c>
      <c r="X169" s="121">
        <f>MouserListTable12[[#This Row],['#/Unit]]*FilterSpecs!$C$3+MouserListTable12[[#This Row],[Extra]]</f>
        <v>0</v>
      </c>
      <c r="Y169" s="121">
        <f>IF(MouserListTable12[[#This Row],[Tag]]=FilterSpecs!$F$7,MouserListTable12[[#This Row],[Price (USD)]],0)</f>
        <v>0</v>
      </c>
      <c r="Z169" s="121">
        <f>MouserListTable12[[#This Row],[Tot '#]]*MouserListTable12[[#This Row],[Price (USD)]]</f>
        <v>0</v>
      </c>
    </row>
    <row r="170" spans="1:26" s="146" customFormat="1" x14ac:dyDescent="0.3">
      <c r="A170" s="126" t="s">
        <v>894</v>
      </c>
      <c r="B170" s="126" t="s">
        <v>13</v>
      </c>
      <c r="C170" s="103" t="s">
        <v>1898</v>
      </c>
      <c r="D170" s="174">
        <f>IF(MouserListTable12[[#This Row],[Vendor]]=FilterSpecs!$A$8,MouserListTable12[[#This Row],[Mouser SKU]], MouserListTable12[[#This Row],[SKU2]])</f>
        <v>2649</v>
      </c>
      <c r="E170" s="121">
        <f>MouserListTable12[[#This Row],[Tot '#]]-MouserListTable12[[#This Row],['# Initial]]</f>
        <v>0</v>
      </c>
      <c r="F170" s="121">
        <f>MouserListTable12[[#This Row],['#/Unit]]*FilterSpecs!$B$3+MouserListTable12[[#This Row],[Extra Initial]]</f>
        <v>5</v>
      </c>
      <c r="G170" s="103"/>
      <c r="H170" s="103"/>
      <c r="I170" s="103" t="s">
        <v>18931</v>
      </c>
      <c r="J170" s="103"/>
      <c r="K170" s="171">
        <v>19.95</v>
      </c>
      <c r="L170" s="121" t="s">
        <v>1911</v>
      </c>
      <c r="M170" s="103" t="s">
        <v>18938</v>
      </c>
      <c r="N170" s="171">
        <f>MouserListTable12[[#This Row],['# Initial]]*MouserListTable12[[#This Row],[Price (USD)]]</f>
        <v>99.75</v>
      </c>
      <c r="O170" s="106">
        <v>2649</v>
      </c>
      <c r="P170" s="121">
        <f>IF($P167="List #",1,$P167+1)</f>
        <v>153</v>
      </c>
      <c r="Q170" s="121">
        <f>IF($D170=$O170,1,0)</f>
        <v>1</v>
      </c>
      <c r="R170" s="103" t="s">
        <v>1898</v>
      </c>
      <c r="S170" s="121" t="str">
        <f>_xlfn.IFS(MouserListTable12[[#This Row],[Supplier]]=FilterSpecs!$A$6, FilterSpecs!$B$6,MouserListTable12[[#This Row],[Supplier]]=FilterSpecs!$A$7,FilterSpecs!$B$7,MouserListTable12[[#This Row],[Supplier]]=FilterSpecs!$A$8,FilterSpecs!$B$8,MouserListTable12[[#This Row],[Supplier]]=FilterSpecs!$A$9,FilterSpecs!$B$9)</f>
        <v>485-</v>
      </c>
      <c r="T17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485-2649</v>
      </c>
      <c r="U170" s="121">
        <v>1</v>
      </c>
      <c r="V170" s="121">
        <v>0</v>
      </c>
      <c r="W170" s="121">
        <v>0</v>
      </c>
      <c r="X170" s="121">
        <f>MouserListTable12[[#This Row],['#/Unit]]*FilterSpecs!$C$3+MouserListTable12[[#This Row],[Extra]]</f>
        <v>5</v>
      </c>
      <c r="Y170" s="121">
        <f>IF(MouserListTable12[[#This Row],[Tag]]=FilterSpecs!$F$7,MouserListTable12[[#This Row],[Price (USD)]],0)</f>
        <v>19.95</v>
      </c>
      <c r="Z170" s="121">
        <f>MouserListTable12[[#This Row],[Tot '#]]*MouserListTable12[[#This Row],[Price (USD)]]</f>
        <v>99.75</v>
      </c>
    </row>
    <row r="171" spans="1:26" s="144" customFormat="1" hidden="1" x14ac:dyDescent="0.3">
      <c r="A171" s="126" t="s">
        <v>894</v>
      </c>
      <c r="B171" s="126" t="s">
        <v>13</v>
      </c>
      <c r="C171" s="126" t="s">
        <v>8</v>
      </c>
      <c r="D171" s="106" t="str">
        <f>IF(MouserListTable12[[#This Row],[Vendor]]=FilterSpecs!$A$8,MouserListTable12[[#This Row],[Mouser SKU]], MouserListTable12[[#This Row],[SKU2]])</f>
        <v>WRL-12579</v>
      </c>
      <c r="E171" s="121">
        <f>MouserListTable12[[#This Row],[Tot '#]]-MouserListTable12[[#This Row],['# Initial]]</f>
        <v>0</v>
      </c>
      <c r="F171" s="121">
        <f>MouserListTable12[[#This Row],['#/Unit]]*FilterSpecs!$B$3+MouserListTable12[[#This Row],[Extra Initial]]</f>
        <v>0</v>
      </c>
      <c r="G171" s="103" t="s">
        <v>2532</v>
      </c>
      <c r="H171" s="103" t="s">
        <v>2533</v>
      </c>
      <c r="I171" s="103" t="s">
        <v>2534</v>
      </c>
      <c r="J171" s="106">
        <v>1</v>
      </c>
      <c r="K171" s="171">
        <v>34.950000000000003</v>
      </c>
      <c r="L171" s="103" t="s">
        <v>1910</v>
      </c>
      <c r="M171" s="103"/>
      <c r="N171" s="171">
        <f>MouserListTable12[[#This Row],['# Initial]]*MouserListTable12[[#This Row],[Price (USD)]]</f>
        <v>0</v>
      </c>
      <c r="O171" s="106" t="s">
        <v>2531</v>
      </c>
      <c r="P171" s="103">
        <f>IF($P167="List #",1,$P167+1)</f>
        <v>153</v>
      </c>
      <c r="Q171" s="103">
        <f>IF($D171=$O171,1,0)</f>
        <v>1</v>
      </c>
      <c r="R171" s="103" t="s">
        <v>8</v>
      </c>
      <c r="S171" s="103" t="str">
        <f>_xlfn.IFS(MouserListTable12[[#This Row],[Supplier]]=FilterSpecs!$A$6, FilterSpecs!$B$6,MouserListTable12[[#This Row],[Supplier]]=FilterSpecs!$A$7,FilterSpecs!$B$7,MouserListTable12[[#This Row],[Supplier]]=FilterSpecs!$A$8,FilterSpecs!$B$8,MouserListTable12[[#This Row],[Supplier]]=FilterSpecs!$A$9,FilterSpecs!$B$9)</f>
        <v>474-</v>
      </c>
      <c r="T17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474-WRL-12579</v>
      </c>
      <c r="U171" s="121">
        <v>0</v>
      </c>
      <c r="V171" s="121">
        <v>0</v>
      </c>
      <c r="W171" s="121">
        <v>0</v>
      </c>
      <c r="X171" s="121">
        <f>MouserListTable12[[#This Row],['#/Unit]]*FilterSpecs!$C$3+MouserListTable12[[#This Row],[Extra]]</f>
        <v>0</v>
      </c>
      <c r="Y171" s="121">
        <f>IF(MouserListTable12[[#This Row],[Tag]]=FilterSpecs!$F$7,MouserListTable12[[#This Row],[Price (USD)]],0)</f>
        <v>0</v>
      </c>
      <c r="Z171" s="121">
        <f>MouserListTable12[[#This Row],[Tot '#]]*MouserListTable12[[#This Row],[Price (USD)]]</f>
        <v>0</v>
      </c>
    </row>
    <row r="172" spans="1:26" s="144" customFormat="1" hidden="1" x14ac:dyDescent="0.3">
      <c r="A172" s="126" t="s">
        <v>894</v>
      </c>
      <c r="B172" s="126" t="s">
        <v>13</v>
      </c>
      <c r="C172" s="126" t="s">
        <v>8</v>
      </c>
      <c r="D172" s="106" t="str">
        <f>IF(MouserListTable12[[#This Row],[Vendor]]=FilterSpecs!$A$8,MouserListTable12[[#This Row],[Mouser SKU]], MouserListTable12[[#This Row],[SKU2]])</f>
        <v>WRL-11048</v>
      </c>
      <c r="E172" s="121">
        <f>MouserListTable12[[#This Row],[Tot '#]]-MouserListTable12[[#This Row],['# Initial]]</f>
        <v>0</v>
      </c>
      <c r="F172" s="121">
        <f>MouserListTable12[[#This Row],['#/Unit]]*FilterSpecs!$B$3+MouserListTable12[[#This Row],[Extra Initial]]</f>
        <v>0</v>
      </c>
      <c r="G172" s="103" t="s">
        <v>2536</v>
      </c>
      <c r="H172" s="103" t="s">
        <v>2537</v>
      </c>
      <c r="I172" s="103" t="s">
        <v>2538</v>
      </c>
      <c r="J172" s="106">
        <v>1</v>
      </c>
      <c r="K172" s="171">
        <v>34.950000000000003</v>
      </c>
      <c r="L172" s="103" t="s">
        <v>1910</v>
      </c>
      <c r="M172" s="103"/>
      <c r="N172" s="171">
        <f>MouserListTable12[[#This Row],['# Initial]]*MouserListTable12[[#This Row],[Price (USD)]]</f>
        <v>0</v>
      </c>
      <c r="O172" s="106" t="s">
        <v>2535</v>
      </c>
      <c r="P172" s="103">
        <f t="shared" si="2"/>
        <v>154</v>
      </c>
      <c r="Q172" s="103">
        <f>IF($D172=$O172,1,0)</f>
        <v>1</v>
      </c>
      <c r="R172" s="103" t="s">
        <v>8</v>
      </c>
      <c r="S172" s="103" t="str">
        <f>_xlfn.IFS(MouserListTable12[[#This Row],[Supplier]]=FilterSpecs!$A$6, FilterSpecs!$B$6,MouserListTable12[[#This Row],[Supplier]]=FilterSpecs!$A$7,FilterSpecs!$B$7,MouserListTable12[[#This Row],[Supplier]]=FilterSpecs!$A$8,FilterSpecs!$B$8,MouserListTable12[[#This Row],[Supplier]]=FilterSpecs!$A$9,FilterSpecs!$B$9)</f>
        <v>474-</v>
      </c>
      <c r="T17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474-WRL-11048</v>
      </c>
      <c r="U172" s="121">
        <v>0</v>
      </c>
      <c r="V172" s="121">
        <v>0</v>
      </c>
      <c r="W172" s="121">
        <v>0</v>
      </c>
      <c r="X172" s="121">
        <f>MouserListTable12[[#This Row],['#/Unit]]*FilterSpecs!$C$3+MouserListTable12[[#This Row],[Extra]]</f>
        <v>0</v>
      </c>
      <c r="Y172" s="121">
        <f>IF(MouserListTable12[[#This Row],[Tag]]=FilterSpecs!$F$7,MouserListTable12[[#This Row],[Price (USD)]],0)</f>
        <v>0</v>
      </c>
      <c r="Z172" s="121">
        <f>MouserListTable12[[#This Row],[Tot '#]]*MouserListTable12[[#This Row],[Price (USD)]]</f>
        <v>0</v>
      </c>
    </row>
    <row r="173" spans="1:26" s="144" customFormat="1" x14ac:dyDescent="0.3">
      <c r="A173" s="103" t="s">
        <v>894</v>
      </c>
      <c r="B173" s="103" t="s">
        <v>13</v>
      </c>
      <c r="C173" s="103" t="s">
        <v>8</v>
      </c>
      <c r="D173" s="106" t="str">
        <f>IF(MouserListTable12[[#This Row],[Vendor]]=FilterSpecs!$A$8,MouserListTable12[[#This Row],[Mouser SKU]], MouserListTable12[[#This Row],[SKU2]])</f>
        <v>WRL-11320</v>
      </c>
      <c r="E173" s="121">
        <f>MouserListTable12[[#This Row],[Tot '#]]-MouserListTable12[[#This Row],['# Initial]]</f>
        <v>0</v>
      </c>
      <c r="F173" s="121">
        <f>MouserListTable12[[#This Row],['#/Unit]]*FilterSpecs!$B$3+MouserListTable12[[#This Row],[Extra Initial]]</f>
        <v>5</v>
      </c>
      <c r="G173" s="103" t="s">
        <v>2540</v>
      </c>
      <c r="H173" s="103" t="s">
        <v>2541</v>
      </c>
      <c r="I173" s="103" t="s">
        <v>2542</v>
      </c>
      <c r="J173" s="106"/>
      <c r="K173" s="171">
        <v>4.95</v>
      </c>
      <c r="L173" s="103" t="s">
        <v>1911</v>
      </c>
      <c r="M173" s="106"/>
      <c r="N173" s="171">
        <f>MouserListTable12[[#This Row],['# Initial]]*MouserListTable12[[#This Row],[Price (USD)]]</f>
        <v>24.75</v>
      </c>
      <c r="O173" s="106" t="s">
        <v>2539</v>
      </c>
      <c r="P173" s="103">
        <f t="shared" si="2"/>
        <v>155</v>
      </c>
      <c r="Q173" s="103">
        <f>IF($D173=$O173,1,0)</f>
        <v>1</v>
      </c>
      <c r="R173" s="103" t="s">
        <v>8</v>
      </c>
      <c r="S173" s="103" t="str">
        <f>_xlfn.IFS(MouserListTable12[[#This Row],[Supplier]]=FilterSpecs!$A$6, FilterSpecs!$B$6,MouserListTable12[[#This Row],[Supplier]]=FilterSpecs!$A$7,FilterSpecs!$B$7,MouserListTable12[[#This Row],[Supplier]]=FilterSpecs!$A$8,FilterSpecs!$B$8,MouserListTable12[[#This Row],[Supplier]]=FilterSpecs!$A$9,FilterSpecs!$B$9)</f>
        <v>474-</v>
      </c>
      <c r="T17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474-WRL-11320</v>
      </c>
      <c r="U173" s="121">
        <v>1</v>
      </c>
      <c r="V173" s="121">
        <v>0</v>
      </c>
      <c r="W173" s="121">
        <v>0</v>
      </c>
      <c r="X173" s="121">
        <f>MouserListTable12[[#This Row],['#/Unit]]*FilterSpecs!$C$3+MouserListTable12[[#This Row],[Extra]]</f>
        <v>5</v>
      </c>
      <c r="Y173" s="121">
        <f>IF(MouserListTable12[[#This Row],[Tag]]=FilterSpecs!$F$7,MouserListTable12[[#This Row],[Price (USD)]],0)</f>
        <v>4.95</v>
      </c>
      <c r="Z173" s="121">
        <f>MouserListTable12[[#This Row],[Tot '#]]*MouserListTable12[[#This Row],[Price (USD)]]</f>
        <v>24.75</v>
      </c>
    </row>
    <row r="174" spans="1:26" s="144" customFormat="1" x14ac:dyDescent="0.3">
      <c r="A174" s="103" t="s">
        <v>894</v>
      </c>
      <c r="B174" s="103" t="s">
        <v>13</v>
      </c>
      <c r="C174" s="103" t="s">
        <v>8</v>
      </c>
      <c r="D174" s="106" t="str">
        <f>IF(MouserListTable12[[#This Row],[Vendor]]=FilterSpecs!$A$8,MouserListTable12[[#This Row],[Mouser SKU]], MouserListTable12[[#This Row],[SKU2]])</f>
        <v>WRL-13287</v>
      </c>
      <c r="E174" s="121">
        <f>MouserListTable12[[#This Row],[Tot '#]]-MouserListTable12[[#This Row],['# Initial]]</f>
        <v>0</v>
      </c>
      <c r="F174" s="121">
        <f>MouserListTable12[[#This Row],['#/Unit]]*FilterSpecs!$B$3+MouserListTable12[[#This Row],[Extra Initial]]</f>
        <v>5</v>
      </c>
      <c r="G174" s="103" t="s">
        <v>2544</v>
      </c>
      <c r="H174" s="103" t="s">
        <v>2545</v>
      </c>
      <c r="I174" s="106" t="s">
        <v>2546</v>
      </c>
      <c r="J174" s="106">
        <v>1</v>
      </c>
      <c r="K174" s="171">
        <v>14.95</v>
      </c>
      <c r="L174" s="103" t="s">
        <v>1911</v>
      </c>
      <c r="M174" s="106"/>
      <c r="N174" s="171">
        <f>MouserListTable12[[#This Row],['# Initial]]*MouserListTable12[[#This Row],[Price (USD)]]</f>
        <v>74.75</v>
      </c>
      <c r="O174" s="106" t="s">
        <v>2543</v>
      </c>
      <c r="P174" s="103">
        <f t="shared" si="2"/>
        <v>156</v>
      </c>
      <c r="Q174" s="103">
        <f>IF($D174=$O174,1,0)</f>
        <v>1</v>
      </c>
      <c r="R174" s="103" t="s">
        <v>8</v>
      </c>
      <c r="S174" s="103" t="str">
        <f>_xlfn.IFS(MouserListTable12[[#This Row],[Supplier]]=FilterSpecs!$A$6, FilterSpecs!$B$6,MouserListTable12[[#This Row],[Supplier]]=FilterSpecs!$A$7,FilterSpecs!$B$7,MouserListTable12[[#This Row],[Supplier]]=FilterSpecs!$A$8,FilterSpecs!$B$8,MouserListTable12[[#This Row],[Supplier]]=FilterSpecs!$A$9,FilterSpecs!$B$9)</f>
        <v>474-</v>
      </c>
      <c r="T17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474-WRL-13287</v>
      </c>
      <c r="U174" s="121">
        <v>1</v>
      </c>
      <c r="V174" s="121">
        <v>0</v>
      </c>
      <c r="W174" s="121">
        <v>0</v>
      </c>
      <c r="X174" s="121">
        <f>MouserListTable12[[#This Row],['#/Unit]]*FilterSpecs!$C$3+MouserListTable12[[#This Row],[Extra]]</f>
        <v>5</v>
      </c>
      <c r="Y174" s="121">
        <f>IF(MouserListTable12[[#This Row],[Tag]]=FilterSpecs!$F$7,MouserListTable12[[#This Row],[Price (USD)]],0)</f>
        <v>14.95</v>
      </c>
      <c r="Z174" s="121">
        <f>MouserListTable12[[#This Row],[Tot '#]]*MouserListTable12[[#This Row],[Price (USD)]]</f>
        <v>74.75</v>
      </c>
    </row>
    <row r="175" spans="1:26" s="146" customFormat="1" hidden="1" x14ac:dyDescent="0.3">
      <c r="A175" s="103" t="s">
        <v>895</v>
      </c>
      <c r="B175" s="103" t="s">
        <v>1606</v>
      </c>
      <c r="C175" s="103" t="s">
        <v>8</v>
      </c>
      <c r="D175" s="106" t="str">
        <f>IF(MouserListTable12[[#This Row],[Vendor]]=FilterSpecs!$A$8,MouserListTable12[[#This Row],[Mouser SKU]], MouserListTable12[[#This Row],[SKU2]])</f>
        <v>KIT-11591</v>
      </c>
      <c r="E175" s="121">
        <f>MouserListTable12[[#This Row],[Tot '#]]-MouserListTable12[[#This Row],['# Initial]]</f>
        <v>1</v>
      </c>
      <c r="F175" s="121">
        <f>MouserListTable12[[#This Row],['#/Unit]]*FilterSpecs!$B$3+MouserListTable12[[#This Row],[Extra Initial]]</f>
        <v>0</v>
      </c>
      <c r="G175" s="103" t="s">
        <v>1548</v>
      </c>
      <c r="H175" s="103" t="s">
        <v>1549</v>
      </c>
      <c r="I175" s="103" t="s">
        <v>1550</v>
      </c>
      <c r="J175" s="103">
        <v>1</v>
      </c>
      <c r="K175" s="171">
        <v>9.9499999999999993</v>
      </c>
      <c r="L175" s="103" t="s">
        <v>1913</v>
      </c>
      <c r="M175" s="106"/>
      <c r="N175" s="171">
        <f>MouserListTable12[[#This Row],['# Initial]]*MouserListTable12[[#This Row],[Price (USD)]]</f>
        <v>0</v>
      </c>
      <c r="O175" s="106" t="s">
        <v>1547</v>
      </c>
      <c r="P175" s="103">
        <f t="shared" si="2"/>
        <v>157</v>
      </c>
      <c r="Q175" s="103">
        <f>IF($D175=$O175,1,0)</f>
        <v>1</v>
      </c>
      <c r="R175" s="103" t="s">
        <v>8</v>
      </c>
      <c r="S175" s="103" t="str">
        <f>_xlfn.IFS(MouserListTable12[[#This Row],[Supplier]]=FilterSpecs!$A$6, FilterSpecs!$B$6,MouserListTable12[[#This Row],[Supplier]]=FilterSpecs!$A$7,FilterSpecs!$B$7,MouserListTable12[[#This Row],[Supplier]]=FilterSpecs!$A$8,FilterSpecs!$B$8,MouserListTable12[[#This Row],[Supplier]]=FilterSpecs!$A$9,FilterSpecs!$B$9)</f>
        <v>474-</v>
      </c>
      <c r="T17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474-KIT-11591</v>
      </c>
      <c r="U175" s="121">
        <v>0</v>
      </c>
      <c r="V175" s="121">
        <v>1</v>
      </c>
      <c r="W175" s="121">
        <v>0</v>
      </c>
      <c r="X175" s="121">
        <f>MouserListTable12[[#This Row],['#/Unit]]*FilterSpecs!$C$3+MouserListTable12[[#This Row],[Extra]]</f>
        <v>1</v>
      </c>
      <c r="Y175" s="121">
        <f>IF(MouserListTable12[[#This Row],[Tag]]=FilterSpecs!$F$7,MouserListTable12[[#This Row],[Price (USD)]],0)</f>
        <v>0</v>
      </c>
      <c r="Z175" s="121">
        <f>MouserListTable12[[#This Row],[Tot '#]]*MouserListTable12[[#This Row],[Price (USD)]]</f>
        <v>9.9499999999999993</v>
      </c>
    </row>
    <row r="176" spans="1:26" s="146" customFormat="1" hidden="1" x14ac:dyDescent="0.3">
      <c r="A176" s="103" t="s">
        <v>895</v>
      </c>
      <c r="B176" s="103" t="s">
        <v>1606</v>
      </c>
      <c r="C176" s="103" t="s">
        <v>8</v>
      </c>
      <c r="D176" s="106" t="str">
        <f>IF(MouserListTable12[[#This Row],[Vendor]]=FilterSpecs!$A$8,MouserListTable12[[#This Row],[Mouser SKU]], MouserListTable12[[#This Row],[SKU2]])</f>
        <v>DEV-09215</v>
      </c>
      <c r="E176" s="121">
        <f>MouserListTable12[[#This Row],[Tot '#]]-MouserListTable12[[#This Row],['# Initial]]</f>
        <v>1</v>
      </c>
      <c r="F176" s="121">
        <f>MouserListTable12[[#This Row],['#/Unit]]*FilterSpecs!$B$3+MouserListTable12[[#This Row],[Extra Initial]]</f>
        <v>0</v>
      </c>
      <c r="G176" s="103" t="s">
        <v>1544</v>
      </c>
      <c r="H176" s="103" t="s">
        <v>1545</v>
      </c>
      <c r="I176" s="103" t="s">
        <v>1546</v>
      </c>
      <c r="J176" s="103">
        <v>1</v>
      </c>
      <c r="K176" s="171">
        <v>1.95</v>
      </c>
      <c r="L176" s="103" t="s">
        <v>1910</v>
      </c>
      <c r="M176" s="106"/>
      <c r="N176" s="171">
        <f>MouserListTable12[[#This Row],['# Initial]]*MouserListTable12[[#This Row],[Price (USD)]]</f>
        <v>0</v>
      </c>
      <c r="O176" s="106" t="s">
        <v>1543</v>
      </c>
      <c r="P176" s="103">
        <f t="shared" si="2"/>
        <v>158</v>
      </c>
      <c r="Q176" s="103">
        <f>IF($D176=$O176,1,0)</f>
        <v>1</v>
      </c>
      <c r="R176" s="103" t="s">
        <v>8</v>
      </c>
      <c r="S176" s="103" t="str">
        <f>_xlfn.IFS(MouserListTable12[[#This Row],[Supplier]]=FilterSpecs!$A$6, FilterSpecs!$B$6,MouserListTable12[[#This Row],[Supplier]]=FilterSpecs!$A$7,FilterSpecs!$B$7,MouserListTable12[[#This Row],[Supplier]]=FilterSpecs!$A$8,FilterSpecs!$B$8,MouserListTable12[[#This Row],[Supplier]]=FilterSpecs!$A$9,FilterSpecs!$B$9)</f>
        <v>474-</v>
      </c>
      <c r="T17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474-DEV-09215</v>
      </c>
      <c r="U176" s="121">
        <v>0</v>
      </c>
      <c r="V176" s="121">
        <v>1</v>
      </c>
      <c r="W176" s="121">
        <v>0</v>
      </c>
      <c r="X176" s="121">
        <f>MouserListTable12[[#This Row],['#/Unit]]*FilterSpecs!$C$3+MouserListTable12[[#This Row],[Extra]]</f>
        <v>1</v>
      </c>
      <c r="Y176" s="121">
        <f>IF(MouserListTable12[[#This Row],[Tag]]=FilterSpecs!$F$7,MouserListTable12[[#This Row],[Price (USD)]],0)</f>
        <v>0</v>
      </c>
      <c r="Z176" s="121">
        <f>MouserListTable12[[#This Row],[Tot '#]]*MouserListTable12[[#This Row],[Price (USD)]]</f>
        <v>1.95</v>
      </c>
    </row>
    <row r="177" spans="1:26" s="146" customFormat="1" x14ac:dyDescent="0.3">
      <c r="A177" s="103" t="s">
        <v>895</v>
      </c>
      <c r="B177" s="103" t="s">
        <v>16</v>
      </c>
      <c r="C177" s="103" t="s">
        <v>8</v>
      </c>
      <c r="D177" s="106" t="str">
        <f>IF(MouserListTable12[[#This Row],[Vendor]]=FilterSpecs!$A$8,MouserListTable12[[#This Row],[Mouser SKU]], MouserListTable12[[#This Row],[SKU2]])</f>
        <v>BOB-12009</v>
      </c>
      <c r="E177" s="121">
        <f>MouserListTable12[[#This Row],[Tot '#]]-MouserListTable12[[#This Row],['# Initial]]</f>
        <v>0</v>
      </c>
      <c r="F177" s="121">
        <f>MouserListTable12[[#This Row],['#/Unit]]*FilterSpecs!$B$3+MouserListTable12[[#This Row],[Extra Initial]]</f>
        <v>10</v>
      </c>
      <c r="G177" s="103" t="s">
        <v>265</v>
      </c>
      <c r="H177" s="103" t="s">
        <v>266</v>
      </c>
      <c r="I177" s="103" t="s">
        <v>267</v>
      </c>
      <c r="J177" s="103">
        <v>1</v>
      </c>
      <c r="K177" s="171">
        <v>2.8</v>
      </c>
      <c r="L177" s="103" t="s">
        <v>1911</v>
      </c>
      <c r="M177" s="103"/>
      <c r="N177" s="171">
        <f>MouserListTable12[[#This Row],['# Initial]]*MouserListTable12[[#This Row],[Price (USD)]]</f>
        <v>28</v>
      </c>
      <c r="O177" s="106" t="s">
        <v>264</v>
      </c>
      <c r="P177" s="103">
        <f t="shared" si="2"/>
        <v>159</v>
      </c>
      <c r="Q177" s="103">
        <f>IF($D177=$O177,1,0)</f>
        <v>1</v>
      </c>
      <c r="R177" s="103" t="s">
        <v>8</v>
      </c>
      <c r="S177" s="103" t="str">
        <f>_xlfn.IFS(MouserListTable12[[#This Row],[Supplier]]=FilterSpecs!$A$6, FilterSpecs!$B$6,MouserListTable12[[#This Row],[Supplier]]=FilterSpecs!$A$7,FilterSpecs!$B$7,MouserListTable12[[#This Row],[Supplier]]=FilterSpecs!$A$8,FilterSpecs!$B$8,MouserListTable12[[#This Row],[Supplier]]=FilterSpecs!$A$9,FilterSpecs!$B$9)</f>
        <v>474-</v>
      </c>
      <c r="T17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474-BOB-12009</v>
      </c>
      <c r="U177" s="121">
        <v>2</v>
      </c>
      <c r="V177" s="121">
        <v>0</v>
      </c>
      <c r="W177" s="121">
        <v>0</v>
      </c>
      <c r="X177" s="121">
        <f>MouserListTable12[[#This Row],['#/Unit]]*FilterSpecs!$C$3+MouserListTable12[[#This Row],[Extra]]</f>
        <v>10</v>
      </c>
      <c r="Y177" s="121">
        <f>IF(MouserListTable12[[#This Row],[Tag]]=FilterSpecs!$F$7,MouserListTable12[[#This Row],[Price (USD)]],0)</f>
        <v>2.8</v>
      </c>
      <c r="Z177" s="121">
        <f>MouserListTable12[[#This Row],[Tot '#]]*MouserListTable12[[#This Row],[Price (USD)]]</f>
        <v>28</v>
      </c>
    </row>
    <row r="178" spans="1:26" s="146" customFormat="1" hidden="1" x14ac:dyDescent="0.3">
      <c r="A178" s="103" t="s">
        <v>895</v>
      </c>
      <c r="B178" s="103" t="s">
        <v>16</v>
      </c>
      <c r="C178" s="103" t="s">
        <v>8</v>
      </c>
      <c r="D178" s="106" t="str">
        <f>IF(MouserListTable12[[#This Row],[Vendor]]=FilterSpecs!$A$8,MouserListTable12[[#This Row],[Mouser SKU]], MouserListTable12[[#This Row],[SKU2]])</f>
        <v>BOB-11955</v>
      </c>
      <c r="E178" s="121">
        <f>MouserListTable12[[#This Row],[Tot '#]]-MouserListTable12[[#This Row],['# Initial]]</f>
        <v>2</v>
      </c>
      <c r="F178" s="121">
        <f>MouserListTable12[[#This Row],['#/Unit]]*FilterSpecs!$B$3+MouserListTable12[[#This Row],[Extra Initial]]</f>
        <v>0</v>
      </c>
      <c r="G178" s="103" t="s">
        <v>294</v>
      </c>
      <c r="H178" s="103" t="s">
        <v>295</v>
      </c>
      <c r="I178" s="103" t="s">
        <v>296</v>
      </c>
      <c r="J178" s="103">
        <v>1</v>
      </c>
      <c r="K178" s="171">
        <v>6.95</v>
      </c>
      <c r="L178" s="103" t="s">
        <v>1910</v>
      </c>
      <c r="M178" s="103"/>
      <c r="N178" s="171">
        <f>MouserListTable12[[#This Row],['# Initial]]*MouserListTable12[[#This Row],[Price (USD)]]</f>
        <v>0</v>
      </c>
      <c r="O178" s="106" t="s">
        <v>293</v>
      </c>
      <c r="P178" s="103">
        <f t="shared" si="2"/>
        <v>160</v>
      </c>
      <c r="Q178" s="103">
        <f>IF($D178=$O178,1,0)</f>
        <v>1</v>
      </c>
      <c r="R178" s="103" t="s">
        <v>8</v>
      </c>
      <c r="S178" s="103" t="str">
        <f>_xlfn.IFS(MouserListTable12[[#This Row],[Supplier]]=FilterSpecs!$A$6, FilterSpecs!$B$6,MouserListTable12[[#This Row],[Supplier]]=FilterSpecs!$A$7,FilterSpecs!$B$7,MouserListTable12[[#This Row],[Supplier]]=FilterSpecs!$A$8,FilterSpecs!$B$8,MouserListTable12[[#This Row],[Supplier]]=FilterSpecs!$A$9,FilterSpecs!$B$9)</f>
        <v>474-</v>
      </c>
      <c r="T17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474-BOB-11955</v>
      </c>
      <c r="U178" s="121">
        <v>0</v>
      </c>
      <c r="V178" s="121">
        <v>2</v>
      </c>
      <c r="W178" s="121">
        <v>0</v>
      </c>
      <c r="X178" s="121">
        <f>MouserListTable12[[#This Row],['#/Unit]]*FilterSpecs!$C$3+MouserListTable12[[#This Row],[Extra]]</f>
        <v>2</v>
      </c>
      <c r="Y178" s="121">
        <f>IF(MouserListTable12[[#This Row],[Tag]]=FilterSpecs!$F$7,MouserListTable12[[#This Row],[Price (USD)]],0)</f>
        <v>0</v>
      </c>
      <c r="Z178" s="121">
        <f>MouserListTable12[[#This Row],[Tot '#]]*MouserListTable12[[#This Row],[Price (USD)]]</f>
        <v>13.9</v>
      </c>
    </row>
    <row r="179" spans="1:26" s="146" customFormat="1" x14ac:dyDescent="0.3">
      <c r="A179" s="103" t="s">
        <v>895</v>
      </c>
      <c r="B179" s="103" t="s">
        <v>16</v>
      </c>
      <c r="C179" s="103" t="s">
        <v>8</v>
      </c>
      <c r="D179" s="106" t="str">
        <f>IF(MouserListTable12[[#This Row],[Vendor]]=FilterSpecs!$A$8,MouserListTable12[[#This Row],[Mouser SKU]], MouserListTable12[[#This Row],[SKU2]])</f>
        <v>BOB-11771</v>
      </c>
      <c r="E179" s="121">
        <f>MouserListTable12[[#This Row],[Tot '#]]-MouserListTable12[[#This Row],['# Initial]]</f>
        <v>0</v>
      </c>
      <c r="F179" s="121">
        <f>MouserListTable12[[#This Row],['#/Unit]]*FilterSpecs!$B$3+MouserListTable12[[#This Row],[Extra Initial]]</f>
        <v>5</v>
      </c>
      <c r="G179" s="103" t="s">
        <v>298</v>
      </c>
      <c r="H179" s="103" t="s">
        <v>299</v>
      </c>
      <c r="I179" s="103" t="s">
        <v>216</v>
      </c>
      <c r="J179" s="103">
        <v>1</v>
      </c>
      <c r="K179" s="171">
        <v>3.95</v>
      </c>
      <c r="L179" s="103" t="s">
        <v>1911</v>
      </c>
      <c r="M179" s="103"/>
      <c r="N179" s="171">
        <f>MouserListTable12[[#This Row],['# Initial]]*MouserListTable12[[#This Row],[Price (USD)]]</f>
        <v>19.75</v>
      </c>
      <c r="O179" s="106" t="s">
        <v>297</v>
      </c>
      <c r="P179" s="103">
        <f t="shared" si="2"/>
        <v>161</v>
      </c>
      <c r="Q179" s="103">
        <f>IF($D179=$O179,1,0)</f>
        <v>1</v>
      </c>
      <c r="R179" s="103" t="s">
        <v>8</v>
      </c>
      <c r="S179" s="103" t="str">
        <f>_xlfn.IFS(MouserListTable12[[#This Row],[Supplier]]=FilterSpecs!$A$6, FilterSpecs!$B$6,MouserListTable12[[#This Row],[Supplier]]=FilterSpecs!$A$7,FilterSpecs!$B$7,MouserListTable12[[#This Row],[Supplier]]=FilterSpecs!$A$8,FilterSpecs!$B$8,MouserListTable12[[#This Row],[Supplier]]=FilterSpecs!$A$9,FilterSpecs!$B$9)</f>
        <v>474-</v>
      </c>
      <c r="T17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474-BOB-11771</v>
      </c>
      <c r="U179" s="121">
        <v>1</v>
      </c>
      <c r="V179" s="121">
        <v>0</v>
      </c>
      <c r="W179" s="121">
        <v>0</v>
      </c>
      <c r="X179" s="121">
        <f>MouserListTable12[[#This Row],['#/Unit]]*FilterSpecs!$C$3+MouserListTable12[[#This Row],[Extra]]</f>
        <v>5</v>
      </c>
      <c r="Y179" s="121">
        <f>IF(MouserListTable12[[#This Row],[Tag]]=FilterSpecs!$F$7,MouserListTable12[[#This Row],[Price (USD)]],0)</f>
        <v>3.95</v>
      </c>
      <c r="Z179" s="121">
        <f>MouserListTable12[[#This Row],[Tot '#]]*MouserListTable12[[#This Row],[Price (USD)]]</f>
        <v>19.75</v>
      </c>
    </row>
    <row r="180" spans="1:26" s="146" customFormat="1" x14ac:dyDescent="0.3">
      <c r="A180" s="103" t="s">
        <v>895</v>
      </c>
      <c r="B180" s="103" t="s">
        <v>16</v>
      </c>
      <c r="C180" s="103" t="s">
        <v>8</v>
      </c>
      <c r="D180" s="106" t="str">
        <f>IF(MouserListTable12[[#This Row],[Vendor]]=FilterSpecs!$A$8,MouserListTable12[[#This Row],[Mouser SKU]], MouserListTable12[[#This Row],[SKU2]])</f>
        <v>BOB-12918</v>
      </c>
      <c r="E180" s="121">
        <f>MouserListTable12[[#This Row],[Tot '#]]-MouserListTable12[[#This Row],['# Initial]]</f>
        <v>0</v>
      </c>
      <c r="F180" s="121">
        <f>MouserListTable12[[#This Row],['#/Unit]]*FilterSpecs!$B$3+MouserListTable12[[#This Row],[Extra Initial]]</f>
        <v>5</v>
      </c>
      <c r="G180" s="103" t="s">
        <v>345</v>
      </c>
      <c r="H180" s="103" t="s">
        <v>346</v>
      </c>
      <c r="I180" s="103" t="s">
        <v>213</v>
      </c>
      <c r="J180" s="103">
        <v>1</v>
      </c>
      <c r="K180" s="171">
        <v>4.95</v>
      </c>
      <c r="L180" s="103" t="s">
        <v>1911</v>
      </c>
      <c r="M180" s="103"/>
      <c r="N180" s="171">
        <f>MouserListTable12[[#This Row],['# Initial]]*MouserListTable12[[#This Row],[Price (USD)]]</f>
        <v>24.75</v>
      </c>
      <c r="O180" s="106" t="s">
        <v>344</v>
      </c>
      <c r="P180" s="103">
        <f t="shared" si="2"/>
        <v>162</v>
      </c>
      <c r="Q180" s="103">
        <f>IF($D180=$O180,1,0)</f>
        <v>1</v>
      </c>
      <c r="R180" s="103" t="s">
        <v>8</v>
      </c>
      <c r="S180" s="103" t="str">
        <f>_xlfn.IFS(MouserListTable12[[#This Row],[Supplier]]=FilterSpecs!$A$6, FilterSpecs!$B$6,MouserListTable12[[#This Row],[Supplier]]=FilterSpecs!$A$7,FilterSpecs!$B$7,MouserListTable12[[#This Row],[Supplier]]=FilterSpecs!$A$8,FilterSpecs!$B$8,MouserListTable12[[#This Row],[Supplier]]=FilterSpecs!$A$9,FilterSpecs!$B$9)</f>
        <v>474-</v>
      </c>
      <c r="T18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474-BOB-12918</v>
      </c>
      <c r="U180" s="121">
        <v>1</v>
      </c>
      <c r="V180" s="121">
        <v>0</v>
      </c>
      <c r="W180" s="121">
        <v>0</v>
      </c>
      <c r="X180" s="121">
        <f>MouserListTable12[[#This Row],['#/Unit]]*FilterSpecs!$C$3+MouserListTable12[[#This Row],[Extra]]</f>
        <v>5</v>
      </c>
      <c r="Y180" s="121">
        <f>IF(MouserListTable12[[#This Row],[Tag]]=FilterSpecs!$F$7,MouserListTable12[[#This Row],[Price (USD)]],0)</f>
        <v>4.95</v>
      </c>
      <c r="Z180" s="121">
        <f>MouserListTable12[[#This Row],[Tot '#]]*MouserListTable12[[#This Row],[Price (USD)]]</f>
        <v>24.75</v>
      </c>
    </row>
    <row r="181" spans="1:26" s="146" customFormat="1" hidden="1" x14ac:dyDescent="0.3">
      <c r="A181" s="126" t="s">
        <v>895</v>
      </c>
      <c r="B181" s="126" t="s">
        <v>16</v>
      </c>
      <c r="C181" s="106" t="s">
        <v>1898</v>
      </c>
      <c r="D181" s="106" t="str">
        <f>IF(MouserListTable12[[#This Row],[Vendor]]=FilterSpecs!$A$8,MouserListTable12[[#This Row],[Mouser SKU]], MouserListTable12[[#This Row],[SKU2]])</f>
        <v>935</v>
      </c>
      <c r="E181" s="121">
        <f>MouserListTable12[[#This Row],[Tot '#]]-MouserListTable12[[#This Row],['# Initial]]</f>
        <v>0</v>
      </c>
      <c r="F181" s="121">
        <f>MouserListTable12[[#This Row],['#/Unit]]*FilterSpecs!$B$3+MouserListTable12[[#This Row],[Extra Initial]]</f>
        <v>0</v>
      </c>
      <c r="G181" s="103"/>
      <c r="H181" s="103"/>
      <c r="I181" s="146" t="s">
        <v>2156</v>
      </c>
      <c r="K181" s="172">
        <v>4.95</v>
      </c>
      <c r="L181" s="146" t="s">
        <v>1910</v>
      </c>
      <c r="N181" s="171">
        <f>MouserListTable12[[#This Row],['# Initial]]*MouserListTable12[[#This Row],[Price (USD)]]</f>
        <v>0</v>
      </c>
      <c r="O181" s="106" t="s">
        <v>2155</v>
      </c>
      <c r="P181" s="103">
        <f t="shared" si="2"/>
        <v>163</v>
      </c>
      <c r="Q181" s="103">
        <f>IF($D181=$O181,1,0)</f>
        <v>1</v>
      </c>
      <c r="R181" s="103" t="s">
        <v>1898</v>
      </c>
      <c r="S181" s="103" t="str">
        <f>_xlfn.IFS(MouserListTable12[[#This Row],[Supplier]]=FilterSpecs!$A$6, FilterSpecs!$B$6,MouserListTable12[[#This Row],[Supplier]]=FilterSpecs!$A$7,FilterSpecs!$B$7,MouserListTable12[[#This Row],[Supplier]]=FilterSpecs!$A$8,FilterSpecs!$B$8,MouserListTable12[[#This Row],[Supplier]]=FilterSpecs!$A$9,FilterSpecs!$B$9)</f>
        <v>485-</v>
      </c>
      <c r="T18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485-935</v>
      </c>
      <c r="U181" s="121">
        <v>0</v>
      </c>
      <c r="V181" s="121">
        <v>0</v>
      </c>
      <c r="W181" s="121">
        <v>0</v>
      </c>
      <c r="X181" s="121">
        <f>MouserListTable12[[#This Row],['#/Unit]]*FilterSpecs!$C$3+MouserListTable12[[#This Row],[Extra]]</f>
        <v>0</v>
      </c>
      <c r="Y181" s="121">
        <f>IF(MouserListTable12[[#This Row],[Tag]]=FilterSpecs!$F$7,MouserListTable12[[#This Row],[Price (USD)]],0)</f>
        <v>0</v>
      </c>
      <c r="Z181" s="121">
        <f>MouserListTable12[[#This Row],[Tot '#]]*MouserListTable12[[#This Row],[Price (USD)]]</f>
        <v>0</v>
      </c>
    </row>
    <row r="182" spans="1:26" s="144" customFormat="1" hidden="1" x14ac:dyDescent="0.3">
      <c r="A182" s="103" t="s">
        <v>895</v>
      </c>
      <c r="B182" s="126" t="s">
        <v>16</v>
      </c>
      <c r="C182" s="103" t="s">
        <v>1898</v>
      </c>
      <c r="D182" s="106" t="str">
        <f>IF(MouserListTable12[[#This Row],[Vendor]]=FilterSpecs!$A$8,MouserListTable12[[#This Row],[Mouser SKU]], MouserListTable12[[#This Row],[SKU2]])</f>
        <v>1895</v>
      </c>
      <c r="E182" s="121">
        <f>MouserListTable12[[#This Row],[Tot '#]]-MouserListTable12[[#This Row],['# Initial]]</f>
        <v>0</v>
      </c>
      <c r="F182" s="121">
        <f>MouserListTable12[[#This Row],['#/Unit]]*FilterSpecs!$B$3+MouserListTable12[[#This Row],[Extra Initial]]</f>
        <v>0</v>
      </c>
      <c r="G182" s="103"/>
      <c r="H182" s="103"/>
      <c r="I182" s="126" t="s">
        <v>2357</v>
      </c>
      <c r="J182" s="146"/>
      <c r="K182" s="172">
        <v>9.9499999999999993</v>
      </c>
      <c r="L182" s="126" t="s">
        <v>1910</v>
      </c>
      <c r="M182" s="146"/>
      <c r="N182" s="171">
        <f>MouserListTable12[[#This Row],['# Initial]]*MouserListTable12[[#This Row],[Price (USD)]]</f>
        <v>0</v>
      </c>
      <c r="O182" s="106" t="s">
        <v>2356</v>
      </c>
      <c r="P182" s="103">
        <f t="shared" si="2"/>
        <v>164</v>
      </c>
      <c r="Q182" s="103">
        <f>IF($D182=$O182,1,0)</f>
        <v>1</v>
      </c>
      <c r="R182" s="103" t="s">
        <v>1898</v>
      </c>
      <c r="S182" s="103" t="str">
        <f>_xlfn.IFS(MouserListTable12[[#This Row],[Supplier]]=FilterSpecs!$A$6, FilterSpecs!$B$6,MouserListTable12[[#This Row],[Supplier]]=FilterSpecs!$A$7,FilterSpecs!$B$7,MouserListTable12[[#This Row],[Supplier]]=FilterSpecs!$A$8,FilterSpecs!$B$8,MouserListTable12[[#This Row],[Supplier]]=FilterSpecs!$A$9,FilterSpecs!$B$9)</f>
        <v>485-</v>
      </c>
      <c r="T18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485-1895</v>
      </c>
      <c r="U182" s="121">
        <v>0</v>
      </c>
      <c r="V182" s="121">
        <v>0</v>
      </c>
      <c r="W182" s="121">
        <v>0</v>
      </c>
      <c r="X182" s="121">
        <f>MouserListTable12[[#This Row],['#/Unit]]*FilterSpecs!$C$3+MouserListTable12[[#This Row],[Extra]]</f>
        <v>0</v>
      </c>
      <c r="Y182" s="121">
        <f>IF(MouserListTable12[[#This Row],[Tag]]=FilterSpecs!$F$7,MouserListTable12[[#This Row],[Price (USD)]],0)</f>
        <v>0</v>
      </c>
      <c r="Z182" s="121">
        <f>MouserListTable12[[#This Row],[Tot '#]]*MouserListTable12[[#This Row],[Price (USD)]]</f>
        <v>0</v>
      </c>
    </row>
    <row r="183" spans="1:26" s="144" customFormat="1" hidden="1" x14ac:dyDescent="0.3">
      <c r="A183" s="103" t="s">
        <v>895</v>
      </c>
      <c r="B183" s="126" t="s">
        <v>16</v>
      </c>
      <c r="C183" s="103" t="s">
        <v>1898</v>
      </c>
      <c r="D183" s="106" t="str">
        <f>IF(MouserListTable12[[#This Row],[Vendor]]=FilterSpecs!$A$8,MouserListTable12[[#This Row],[Mouser SKU]], MouserListTable12[[#This Row],[SKU2]])</f>
        <v>1897</v>
      </c>
      <c r="E183" s="121">
        <f>MouserListTable12[[#This Row],[Tot '#]]-MouserListTable12[[#This Row],['# Initial]]</f>
        <v>0</v>
      </c>
      <c r="F183" s="121">
        <f>MouserListTable12[[#This Row],['#/Unit]]*FilterSpecs!$B$3+MouserListTable12[[#This Row],[Extra Initial]]</f>
        <v>0</v>
      </c>
      <c r="G183" s="103"/>
      <c r="H183" s="103"/>
      <c r="I183" s="126" t="s">
        <v>2359</v>
      </c>
      <c r="J183" s="146"/>
      <c r="K183" s="172">
        <v>5.95</v>
      </c>
      <c r="L183" s="126" t="s">
        <v>1910</v>
      </c>
      <c r="M183" s="146"/>
      <c r="N183" s="171">
        <f>MouserListTable12[[#This Row],['# Initial]]*MouserListTable12[[#This Row],[Price (USD)]]</f>
        <v>0</v>
      </c>
      <c r="O183" s="106" t="s">
        <v>2358</v>
      </c>
      <c r="P183" s="103">
        <f t="shared" si="2"/>
        <v>165</v>
      </c>
      <c r="Q183" s="103">
        <f>IF($D183=$O183,1,0)</f>
        <v>1</v>
      </c>
      <c r="R183" s="103" t="s">
        <v>1898</v>
      </c>
      <c r="S183" s="103" t="str">
        <f>_xlfn.IFS(MouserListTable12[[#This Row],[Supplier]]=FilterSpecs!$A$6, FilterSpecs!$B$6,MouserListTable12[[#This Row],[Supplier]]=FilterSpecs!$A$7,FilterSpecs!$B$7,MouserListTable12[[#This Row],[Supplier]]=FilterSpecs!$A$8,FilterSpecs!$B$8,MouserListTable12[[#This Row],[Supplier]]=FilterSpecs!$A$9,FilterSpecs!$B$9)</f>
        <v>485-</v>
      </c>
      <c r="T18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485-1897</v>
      </c>
      <c r="U183" s="121">
        <v>0</v>
      </c>
      <c r="V183" s="121">
        <v>0</v>
      </c>
      <c r="W183" s="121">
        <v>0</v>
      </c>
      <c r="X183" s="121">
        <f>MouserListTable12[[#This Row],['#/Unit]]*FilterSpecs!$C$3+MouserListTable12[[#This Row],[Extra]]</f>
        <v>0</v>
      </c>
      <c r="Y183" s="121">
        <f>IF(MouserListTable12[[#This Row],[Tag]]=FilterSpecs!$F$7,MouserListTable12[[#This Row],[Price (USD)]],0)</f>
        <v>0</v>
      </c>
      <c r="Z183" s="121">
        <f>MouserListTable12[[#This Row],[Tot '#]]*MouserListTable12[[#This Row],[Price (USD)]]</f>
        <v>0</v>
      </c>
    </row>
    <row r="184" spans="1:26" s="146" customFormat="1" hidden="1" x14ac:dyDescent="0.3">
      <c r="A184" s="103" t="s">
        <v>895</v>
      </c>
      <c r="B184" s="103" t="s">
        <v>899</v>
      </c>
      <c r="C184" s="103" t="s">
        <v>8</v>
      </c>
      <c r="D184" s="106" t="str">
        <f>IF(MouserListTable12[[#This Row],[Vendor]]=FilterSpecs!$A$8,MouserListTable12[[#This Row],[Mouser SKU]], MouserListTable12[[#This Row],[SKU2]])</f>
        <v>PRT-14425</v>
      </c>
      <c r="E184" s="121">
        <f>MouserListTable12[[#This Row],[Tot '#]]-MouserListTable12[[#This Row],['# Initial]]</f>
        <v>0</v>
      </c>
      <c r="F184" s="121">
        <f>MouserListTable12[[#This Row],['#/Unit]]*FilterSpecs!$B$3+MouserListTable12[[#This Row],[Extra Initial]]</f>
        <v>0</v>
      </c>
      <c r="G184" s="103" t="s">
        <v>237</v>
      </c>
      <c r="H184" s="103" t="s">
        <v>238</v>
      </c>
      <c r="I184" s="103" t="s">
        <v>239</v>
      </c>
      <c r="J184" s="103"/>
      <c r="K184" s="171">
        <v>1.5</v>
      </c>
      <c r="L184" s="103" t="s">
        <v>1911</v>
      </c>
      <c r="M184" s="103"/>
      <c r="N184" s="171">
        <f>MouserListTable12[[#This Row],['# Initial]]*MouserListTable12[[#This Row],[Price (USD)]]</f>
        <v>0</v>
      </c>
      <c r="O184" s="106" t="s">
        <v>236</v>
      </c>
      <c r="P184" s="103">
        <f t="shared" si="2"/>
        <v>166</v>
      </c>
      <c r="Q184" s="103">
        <f>IF($D184=$O184,1,0)</f>
        <v>1</v>
      </c>
      <c r="R184" s="103" t="s">
        <v>8</v>
      </c>
      <c r="S184" s="103" t="str">
        <f>_xlfn.IFS(MouserListTable12[[#This Row],[Supplier]]=FilterSpecs!$A$6, FilterSpecs!$B$6,MouserListTable12[[#This Row],[Supplier]]=FilterSpecs!$A$7,FilterSpecs!$B$7,MouserListTable12[[#This Row],[Supplier]]=FilterSpecs!$A$8,FilterSpecs!$B$8,MouserListTable12[[#This Row],[Supplier]]=FilterSpecs!$A$9,FilterSpecs!$B$9)</f>
        <v>474-</v>
      </c>
      <c r="T18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474-PRT-14425</v>
      </c>
      <c r="U184" s="121">
        <v>0</v>
      </c>
      <c r="V184" s="121">
        <v>0</v>
      </c>
      <c r="W184" s="121">
        <v>0</v>
      </c>
      <c r="X184" s="121">
        <f>MouserListTable12[[#This Row],['#/Unit]]*FilterSpecs!$C$3+MouserListTable12[[#This Row],[Extra]]</f>
        <v>0</v>
      </c>
      <c r="Y184" s="121">
        <f>IF(MouserListTable12[[#This Row],[Tag]]=FilterSpecs!$F$7,MouserListTable12[[#This Row],[Price (USD)]],0)</f>
        <v>1.5</v>
      </c>
      <c r="Z184" s="121">
        <f>MouserListTable12[[#This Row],[Tot '#]]*MouserListTable12[[#This Row],[Price (USD)]]</f>
        <v>0</v>
      </c>
    </row>
    <row r="185" spans="1:26" s="146" customFormat="1" hidden="1" x14ac:dyDescent="0.3">
      <c r="A185" s="103" t="s">
        <v>895</v>
      </c>
      <c r="B185" s="103" t="s">
        <v>899</v>
      </c>
      <c r="C185" s="103" t="s">
        <v>8</v>
      </c>
      <c r="D185" s="106" t="str">
        <f>IF(MouserListTable12[[#This Row],[Vendor]]=FilterSpecs!$A$8,MouserListTable12[[#This Row],[Mouser SKU]], MouserListTable12[[#This Row],[SKU2]])</f>
        <v>SPX-14291</v>
      </c>
      <c r="E185" s="121">
        <f>MouserListTable12[[#This Row],[Tot '#]]-MouserListTable12[[#This Row],['# Initial]]</f>
        <v>1</v>
      </c>
      <c r="F185" s="121">
        <f>MouserListTable12[[#This Row],['#/Unit]]*FilterSpecs!$B$3+MouserListTable12[[#This Row],[Extra Initial]]</f>
        <v>0</v>
      </c>
      <c r="G185" s="103" t="s">
        <v>241</v>
      </c>
      <c r="H185" s="103" t="s">
        <v>242</v>
      </c>
      <c r="I185" s="103" t="s">
        <v>243</v>
      </c>
      <c r="J185" s="103">
        <v>1</v>
      </c>
      <c r="K185" s="171">
        <v>14.95</v>
      </c>
      <c r="L185" s="103" t="s">
        <v>1912</v>
      </c>
      <c r="M185" s="103"/>
      <c r="N185" s="171">
        <f>MouserListTable12[[#This Row],['# Initial]]*MouserListTable12[[#This Row],[Price (USD)]]</f>
        <v>0</v>
      </c>
      <c r="O185" s="106" t="s">
        <v>240</v>
      </c>
      <c r="P185" s="103">
        <f t="shared" si="2"/>
        <v>167</v>
      </c>
      <c r="Q185" s="103">
        <f>IF($D185=$O185,1,0)</f>
        <v>1</v>
      </c>
      <c r="R185" s="103" t="s">
        <v>8</v>
      </c>
      <c r="S185" s="103" t="str">
        <f>_xlfn.IFS(MouserListTable12[[#This Row],[Supplier]]=FilterSpecs!$A$6, FilterSpecs!$B$6,MouserListTable12[[#This Row],[Supplier]]=FilterSpecs!$A$7,FilterSpecs!$B$7,MouserListTable12[[#This Row],[Supplier]]=FilterSpecs!$A$8,FilterSpecs!$B$8,MouserListTable12[[#This Row],[Supplier]]=FilterSpecs!$A$9,FilterSpecs!$B$9)</f>
        <v>474-</v>
      </c>
      <c r="T18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474-SPX-14291</v>
      </c>
      <c r="U185" s="121">
        <v>0</v>
      </c>
      <c r="V185" s="121">
        <v>1</v>
      </c>
      <c r="W185" s="121">
        <v>0</v>
      </c>
      <c r="X185" s="121">
        <f>MouserListTable12[[#This Row],['#/Unit]]*FilterSpecs!$C$3+MouserListTable12[[#This Row],[Extra]]</f>
        <v>1</v>
      </c>
      <c r="Y185" s="121">
        <f>IF(MouserListTable12[[#This Row],[Tag]]=FilterSpecs!$F$7,MouserListTable12[[#This Row],[Price (USD)]],0)</f>
        <v>0</v>
      </c>
      <c r="Z185" s="121">
        <f>MouserListTable12[[#This Row],[Tot '#]]*MouserListTable12[[#This Row],[Price (USD)]]</f>
        <v>14.95</v>
      </c>
    </row>
    <row r="186" spans="1:26" s="146" customFormat="1" hidden="1" x14ac:dyDescent="0.3">
      <c r="A186" s="126" t="s">
        <v>895</v>
      </c>
      <c r="B186" s="126" t="s">
        <v>899</v>
      </c>
      <c r="C186" s="126" t="s">
        <v>8</v>
      </c>
      <c r="D186" s="106" t="str">
        <f>IF(MouserListTable12[[#This Row],[Vendor]]=FilterSpecs!$A$8,MouserListTable12[[#This Row],[Mouser SKU]], MouserListTable12[[#This Row],[SKU2]])</f>
        <v>SPX-14286</v>
      </c>
      <c r="E186" s="121">
        <f>MouserListTable12[[#This Row],[Tot '#]]-MouserListTable12[[#This Row],['# Initial]]</f>
        <v>0</v>
      </c>
      <c r="F186" s="121">
        <f>MouserListTable12[[#This Row],['#/Unit]]*FilterSpecs!$B$3+MouserListTable12[[#This Row],[Extra Initial]]</f>
        <v>0</v>
      </c>
      <c r="G186" s="103" t="s">
        <v>364</v>
      </c>
      <c r="H186" s="103" t="s">
        <v>365</v>
      </c>
      <c r="I186" s="103" t="s">
        <v>366</v>
      </c>
      <c r="J186" s="103">
        <v>1</v>
      </c>
      <c r="K186" s="171">
        <v>2.95</v>
      </c>
      <c r="L186" s="103" t="s">
        <v>2487</v>
      </c>
      <c r="M186" s="103"/>
      <c r="N186" s="171">
        <f>MouserListTable12[[#This Row],['# Initial]]*MouserListTable12[[#This Row],[Price (USD)]]</f>
        <v>0</v>
      </c>
      <c r="O186" s="106" t="s">
        <v>363</v>
      </c>
      <c r="P186" s="103">
        <f t="shared" si="2"/>
        <v>168</v>
      </c>
      <c r="Q186" s="103">
        <f>IF($D186=$O186,1,0)</f>
        <v>1</v>
      </c>
      <c r="R186" s="103" t="s">
        <v>8</v>
      </c>
      <c r="S186" s="103" t="str">
        <f>_xlfn.IFS(MouserListTable12[[#This Row],[Supplier]]=FilterSpecs!$A$6, FilterSpecs!$B$6,MouserListTable12[[#This Row],[Supplier]]=FilterSpecs!$A$7,FilterSpecs!$B$7,MouserListTable12[[#This Row],[Supplier]]=FilterSpecs!$A$8,FilterSpecs!$B$8,MouserListTable12[[#This Row],[Supplier]]=FilterSpecs!$A$9,FilterSpecs!$B$9)</f>
        <v>474-</v>
      </c>
      <c r="T18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474-SPX-14286</v>
      </c>
      <c r="U186" s="121">
        <v>0</v>
      </c>
      <c r="V186" s="121">
        <v>0</v>
      </c>
      <c r="W186" s="121">
        <v>0</v>
      </c>
      <c r="X186" s="121">
        <f>MouserListTable12[[#This Row],['#/Unit]]*FilterSpecs!$C$3+MouserListTable12[[#This Row],[Extra]]</f>
        <v>0</v>
      </c>
      <c r="Y186" s="121">
        <f>IF(MouserListTable12[[#This Row],[Tag]]=FilterSpecs!$F$7,MouserListTable12[[#This Row],[Price (USD)]],0)</f>
        <v>0</v>
      </c>
      <c r="Z186" s="121">
        <f>MouserListTable12[[#This Row],[Tot '#]]*MouserListTable12[[#This Row],[Price (USD)]]</f>
        <v>0</v>
      </c>
    </row>
    <row r="187" spans="1:26" s="146" customFormat="1" hidden="1" x14ac:dyDescent="0.3">
      <c r="A187" s="126" t="s">
        <v>895</v>
      </c>
      <c r="B187" s="126" t="s">
        <v>899</v>
      </c>
      <c r="C187" s="126" t="s">
        <v>8</v>
      </c>
      <c r="D187" s="106" t="str">
        <f>IF(MouserListTable12[[#This Row],[Vendor]]=FilterSpecs!$A$8,MouserListTable12[[#This Row],[Mouser SKU]], MouserListTable12[[#This Row],[SKU2]])</f>
        <v>SPX-14257</v>
      </c>
      <c r="E187" s="121">
        <f>MouserListTable12[[#This Row],[Tot '#]]-MouserListTable12[[#This Row],['# Initial]]</f>
        <v>0</v>
      </c>
      <c r="F187" s="121">
        <f>MouserListTable12[[#This Row],['#/Unit]]*FilterSpecs!$B$3+MouserListTable12[[#This Row],[Extra Initial]]</f>
        <v>0</v>
      </c>
      <c r="G187" s="103" t="s">
        <v>1186</v>
      </c>
      <c r="H187" s="103" t="s">
        <v>1187</v>
      </c>
      <c r="I187" s="103" t="s">
        <v>1188</v>
      </c>
      <c r="J187" s="103">
        <v>1</v>
      </c>
      <c r="K187" s="171">
        <v>9.9499999999999993</v>
      </c>
      <c r="L187" s="103" t="s">
        <v>2487</v>
      </c>
      <c r="N187" s="171">
        <f>MouserListTable12[[#This Row],['# Initial]]*MouserListTable12[[#This Row],[Price (USD)]]</f>
        <v>0</v>
      </c>
      <c r="O187" s="106" t="s">
        <v>1185</v>
      </c>
      <c r="P187" s="103">
        <f t="shared" si="2"/>
        <v>169</v>
      </c>
      <c r="Q187" s="103">
        <f>IF($D187=$O187,1,0)</f>
        <v>1</v>
      </c>
      <c r="R187" s="103" t="s">
        <v>8</v>
      </c>
      <c r="S187" s="103" t="str">
        <f>_xlfn.IFS(MouserListTable12[[#This Row],[Supplier]]=FilterSpecs!$A$6, FilterSpecs!$B$6,MouserListTable12[[#This Row],[Supplier]]=FilterSpecs!$A$7,FilterSpecs!$B$7,MouserListTable12[[#This Row],[Supplier]]=FilterSpecs!$A$8,FilterSpecs!$B$8,MouserListTable12[[#This Row],[Supplier]]=FilterSpecs!$A$9,FilterSpecs!$B$9)</f>
        <v>474-</v>
      </c>
      <c r="T18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474-SPX-14257</v>
      </c>
      <c r="U187" s="121">
        <v>0</v>
      </c>
      <c r="V187" s="121">
        <v>0</v>
      </c>
      <c r="W187" s="121">
        <v>0</v>
      </c>
      <c r="X187" s="121">
        <f>MouserListTable12[[#This Row],['#/Unit]]*FilterSpecs!$C$3+MouserListTable12[[#This Row],[Extra]]</f>
        <v>0</v>
      </c>
      <c r="Y187" s="121">
        <f>IF(MouserListTable12[[#This Row],[Tag]]=FilterSpecs!$F$7,MouserListTable12[[#This Row],[Price (USD)]],0)</f>
        <v>0</v>
      </c>
      <c r="Z187" s="121">
        <f>MouserListTable12[[#This Row],[Tot '#]]*MouserListTable12[[#This Row],[Price (USD)]]</f>
        <v>0</v>
      </c>
    </row>
    <row r="188" spans="1:26" s="146" customFormat="1" hidden="1" x14ac:dyDescent="0.3">
      <c r="A188" s="103" t="s">
        <v>895</v>
      </c>
      <c r="B188" s="103" t="s">
        <v>899</v>
      </c>
      <c r="C188" s="103" t="s">
        <v>8</v>
      </c>
      <c r="D188" s="106" t="str">
        <f>IF(MouserListTable12[[#This Row],[Vendor]]=FilterSpecs!$A$8,MouserListTable12[[#This Row],[Mouser SKU]], MouserListTable12[[#This Row],[SKU2]])</f>
        <v>SPX-14293</v>
      </c>
      <c r="E188" s="121">
        <f>MouserListTable12[[#This Row],[Tot '#]]-MouserListTable12[[#This Row],['# Initial]]</f>
        <v>1</v>
      </c>
      <c r="F188" s="121">
        <f>MouserListTable12[[#This Row],['#/Unit]]*FilterSpecs!$B$3+MouserListTable12[[#This Row],[Extra Initial]]</f>
        <v>0</v>
      </c>
      <c r="G188" s="103" t="s">
        <v>1190</v>
      </c>
      <c r="H188" s="103" t="s">
        <v>1191</v>
      </c>
      <c r="I188" s="103" t="s">
        <v>1192</v>
      </c>
      <c r="J188" s="103">
        <v>1</v>
      </c>
      <c r="K188" s="171">
        <v>14.95</v>
      </c>
      <c r="L188" s="103" t="s">
        <v>1912</v>
      </c>
      <c r="M188" s="106"/>
      <c r="N188" s="171">
        <f>MouserListTable12[[#This Row],['# Initial]]*MouserListTable12[[#This Row],[Price (USD)]]</f>
        <v>0</v>
      </c>
      <c r="O188" s="106" t="s">
        <v>1189</v>
      </c>
      <c r="P188" s="103">
        <f t="shared" si="2"/>
        <v>170</v>
      </c>
      <c r="Q188" s="103">
        <f>IF($D188=$O188,1,0)</f>
        <v>1</v>
      </c>
      <c r="R188" s="103" t="s">
        <v>8</v>
      </c>
      <c r="S188" s="103" t="str">
        <f>_xlfn.IFS(MouserListTable12[[#This Row],[Supplier]]=FilterSpecs!$A$6, FilterSpecs!$B$6,MouserListTable12[[#This Row],[Supplier]]=FilterSpecs!$A$7,FilterSpecs!$B$7,MouserListTable12[[#This Row],[Supplier]]=FilterSpecs!$A$8,FilterSpecs!$B$8,MouserListTable12[[#This Row],[Supplier]]=FilterSpecs!$A$9,FilterSpecs!$B$9)</f>
        <v>474-</v>
      </c>
      <c r="T18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474-SPX-14293</v>
      </c>
      <c r="U188" s="121">
        <v>0</v>
      </c>
      <c r="V188" s="121">
        <v>1</v>
      </c>
      <c r="W188" s="121">
        <v>0</v>
      </c>
      <c r="X188" s="121">
        <f>MouserListTable12[[#This Row],['#/Unit]]*FilterSpecs!$C$3+MouserListTable12[[#This Row],[Extra]]</f>
        <v>1</v>
      </c>
      <c r="Y188" s="121">
        <f>IF(MouserListTable12[[#This Row],[Tag]]=FilterSpecs!$F$7,MouserListTable12[[#This Row],[Price (USD)]],0)</f>
        <v>0</v>
      </c>
      <c r="Z188" s="121">
        <f>MouserListTable12[[#This Row],[Tot '#]]*MouserListTable12[[#This Row],[Price (USD)]]</f>
        <v>14.95</v>
      </c>
    </row>
    <row r="189" spans="1:26" s="146" customFormat="1" hidden="1" x14ac:dyDescent="0.3">
      <c r="A189" s="126" t="s">
        <v>895</v>
      </c>
      <c r="B189" s="126" t="s">
        <v>899</v>
      </c>
      <c r="C189" s="126" t="s">
        <v>8</v>
      </c>
      <c r="D189" s="106" t="str">
        <f>IF(MouserListTable12[[#This Row],[Vendor]]=FilterSpecs!$A$8,MouserListTable12[[#This Row],[Mouser SKU]], MouserListTable12[[#This Row],[SKU2]])</f>
        <v>SPX-14289</v>
      </c>
      <c r="E189" s="121">
        <f>MouserListTable12[[#This Row],[Tot '#]]-MouserListTable12[[#This Row],['# Initial]]</f>
        <v>0</v>
      </c>
      <c r="F189" s="121">
        <f>MouserListTable12[[#This Row],['#/Unit]]*FilterSpecs!$B$3+MouserListTable12[[#This Row],[Extra Initial]]</f>
        <v>0</v>
      </c>
      <c r="G189" s="103" t="s">
        <v>1828</v>
      </c>
      <c r="H189" s="103" t="s">
        <v>1829</v>
      </c>
      <c r="I189" s="103" t="s">
        <v>1830</v>
      </c>
      <c r="J189" s="103">
        <v>1</v>
      </c>
      <c r="K189" s="171">
        <v>39.950000000000003</v>
      </c>
      <c r="L189" s="103" t="s">
        <v>2487</v>
      </c>
      <c r="N189" s="171">
        <f>MouserListTable12[[#This Row],['# Initial]]*MouserListTable12[[#This Row],[Price (USD)]]</f>
        <v>0</v>
      </c>
      <c r="O189" s="106" t="s">
        <v>1827</v>
      </c>
      <c r="P189" s="103">
        <f t="shared" si="2"/>
        <v>171</v>
      </c>
      <c r="Q189" s="103">
        <f>IF($D189=$O189,1,0)</f>
        <v>1</v>
      </c>
      <c r="R189" s="103" t="s">
        <v>8</v>
      </c>
      <c r="S189" s="103" t="str">
        <f>_xlfn.IFS(MouserListTable12[[#This Row],[Supplier]]=FilterSpecs!$A$6, FilterSpecs!$B$6,MouserListTable12[[#This Row],[Supplier]]=FilterSpecs!$A$7,FilterSpecs!$B$7,MouserListTable12[[#This Row],[Supplier]]=FilterSpecs!$A$8,FilterSpecs!$B$8,MouserListTable12[[#This Row],[Supplier]]=FilterSpecs!$A$9,FilterSpecs!$B$9)</f>
        <v>474-</v>
      </c>
      <c r="T18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474-SPX-14289</v>
      </c>
      <c r="U189" s="121">
        <v>0</v>
      </c>
      <c r="V189" s="121">
        <v>0</v>
      </c>
      <c r="W189" s="121">
        <v>0</v>
      </c>
      <c r="X189" s="121">
        <f>MouserListTable12[[#This Row],['#/Unit]]*FilterSpecs!$C$3+MouserListTable12[[#This Row],[Extra]]</f>
        <v>0</v>
      </c>
      <c r="Y189" s="121">
        <f>IF(MouserListTable12[[#This Row],[Tag]]=FilterSpecs!$F$7,MouserListTable12[[#This Row],[Price (USD)]],0)</f>
        <v>0</v>
      </c>
      <c r="Z189" s="121">
        <f>MouserListTable12[[#This Row],[Tot '#]]*MouserListTable12[[#This Row],[Price (USD)]]</f>
        <v>0</v>
      </c>
    </row>
    <row r="190" spans="1:26" s="146" customFormat="1" hidden="1" x14ac:dyDescent="0.3">
      <c r="A190" s="126" t="s">
        <v>895</v>
      </c>
      <c r="B190" s="126" t="s">
        <v>899</v>
      </c>
      <c r="C190" s="126" t="s">
        <v>8</v>
      </c>
      <c r="D190" s="106" t="str">
        <f>IF(MouserListTable12[[#This Row],[Vendor]]=FilterSpecs!$A$8,MouserListTable12[[#This Row],[Mouser SKU]], MouserListTable12[[#This Row],[SKU2]])</f>
        <v>SPX-14269</v>
      </c>
      <c r="E190" s="121">
        <f>MouserListTable12[[#This Row],[Tot '#]]-MouserListTable12[[#This Row],['# Initial]]</f>
        <v>0</v>
      </c>
      <c r="F190" s="121">
        <f>MouserListTable12[[#This Row],['#/Unit]]*FilterSpecs!$B$3+MouserListTable12[[#This Row],[Extra Initial]]</f>
        <v>0</v>
      </c>
      <c r="G190" s="103" t="s">
        <v>1788</v>
      </c>
      <c r="H190" s="103" t="s">
        <v>1789</v>
      </c>
      <c r="I190" s="103" t="s">
        <v>1790</v>
      </c>
      <c r="J190" s="103">
        <v>1</v>
      </c>
      <c r="K190" s="171">
        <v>14.95</v>
      </c>
      <c r="L190" s="103" t="s">
        <v>2487</v>
      </c>
      <c r="N190" s="171">
        <f>MouserListTable12[[#This Row],['# Initial]]*MouserListTable12[[#This Row],[Price (USD)]]</f>
        <v>0</v>
      </c>
      <c r="O190" s="106" t="s">
        <v>1787</v>
      </c>
      <c r="P190" s="103">
        <f t="shared" si="2"/>
        <v>172</v>
      </c>
      <c r="Q190" s="103">
        <f>IF($D190=$O190,1,0)</f>
        <v>1</v>
      </c>
      <c r="R190" s="103" t="s">
        <v>8</v>
      </c>
      <c r="S190" s="103" t="str">
        <f>_xlfn.IFS(MouserListTable12[[#This Row],[Supplier]]=FilterSpecs!$A$6, FilterSpecs!$B$6,MouserListTable12[[#This Row],[Supplier]]=FilterSpecs!$A$7,FilterSpecs!$B$7,MouserListTable12[[#This Row],[Supplier]]=FilterSpecs!$A$8,FilterSpecs!$B$8,MouserListTable12[[#This Row],[Supplier]]=FilterSpecs!$A$9,FilterSpecs!$B$9)</f>
        <v>474-</v>
      </c>
      <c r="T19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474-SPX-14269</v>
      </c>
      <c r="U190" s="121">
        <v>0</v>
      </c>
      <c r="V190" s="121">
        <v>0</v>
      </c>
      <c r="W190" s="121">
        <v>0</v>
      </c>
      <c r="X190" s="121">
        <f>MouserListTable12[[#This Row],['#/Unit]]*FilterSpecs!$C$3+MouserListTable12[[#This Row],[Extra]]</f>
        <v>0</v>
      </c>
      <c r="Y190" s="121">
        <f>IF(MouserListTable12[[#This Row],[Tag]]=FilterSpecs!$F$7,MouserListTable12[[#This Row],[Price (USD)]],0)</f>
        <v>0</v>
      </c>
      <c r="Z190" s="121">
        <f>MouserListTable12[[#This Row],[Tot '#]]*MouserListTable12[[#This Row],[Price (USD)]]</f>
        <v>0</v>
      </c>
    </row>
    <row r="191" spans="1:26" s="146" customFormat="1" hidden="1" x14ac:dyDescent="0.3">
      <c r="A191" s="103" t="s">
        <v>895</v>
      </c>
      <c r="B191" s="103" t="s">
        <v>899</v>
      </c>
      <c r="C191" s="103" t="s">
        <v>8</v>
      </c>
      <c r="D191" s="106" t="str">
        <f>IF(MouserListTable12[[#This Row],[Vendor]]=FilterSpecs!$A$8,MouserListTable12[[#This Row],[Mouser SKU]], MouserListTable12[[#This Row],[SKU2]])</f>
        <v>PRT-14426</v>
      </c>
      <c r="E191" s="121">
        <f>MouserListTable12[[#This Row],[Tot '#]]-MouserListTable12[[#This Row],['# Initial]]</f>
        <v>0</v>
      </c>
      <c r="F191" s="121">
        <f>MouserListTable12[[#This Row],['#/Unit]]*FilterSpecs!$B$3+MouserListTable12[[#This Row],[Extra Initial]]</f>
        <v>0</v>
      </c>
      <c r="G191" s="103" t="s">
        <v>273</v>
      </c>
      <c r="H191" s="103" t="s">
        <v>274</v>
      </c>
      <c r="I191" s="103" t="s">
        <v>275</v>
      </c>
      <c r="J191" s="103"/>
      <c r="K191" s="171">
        <v>0.95</v>
      </c>
      <c r="L191" s="103" t="s">
        <v>1911</v>
      </c>
      <c r="M191" s="103"/>
      <c r="N191" s="171">
        <f>MouserListTable12[[#This Row],['# Initial]]*MouserListTable12[[#This Row],[Price (USD)]]</f>
        <v>0</v>
      </c>
      <c r="O191" s="106" t="s">
        <v>272</v>
      </c>
      <c r="P191" s="103">
        <f t="shared" si="2"/>
        <v>173</v>
      </c>
      <c r="Q191" s="103">
        <f>IF($D191=$O191,1,0)</f>
        <v>1</v>
      </c>
      <c r="R191" s="103" t="s">
        <v>8</v>
      </c>
      <c r="S191" s="103" t="str">
        <f>_xlfn.IFS(MouserListTable12[[#This Row],[Supplier]]=FilterSpecs!$A$6, FilterSpecs!$B$6,MouserListTable12[[#This Row],[Supplier]]=FilterSpecs!$A$7,FilterSpecs!$B$7,MouserListTable12[[#This Row],[Supplier]]=FilterSpecs!$A$8,FilterSpecs!$B$8,MouserListTable12[[#This Row],[Supplier]]=FilterSpecs!$A$9,FilterSpecs!$B$9)</f>
        <v>474-</v>
      </c>
      <c r="T19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474-PRT-14426</v>
      </c>
      <c r="U191" s="121">
        <v>0</v>
      </c>
      <c r="V191" s="121">
        <v>0</v>
      </c>
      <c r="W191" s="121">
        <v>0</v>
      </c>
      <c r="X191" s="121">
        <f>MouserListTable12[[#This Row],['#/Unit]]*FilterSpecs!$C$3+MouserListTable12[[#This Row],[Extra]]</f>
        <v>0</v>
      </c>
      <c r="Y191" s="121">
        <f>IF(MouserListTable12[[#This Row],[Tag]]=FilterSpecs!$F$7,MouserListTable12[[#This Row],[Price (USD)]],0)</f>
        <v>0.95</v>
      </c>
      <c r="Z191" s="121">
        <f>MouserListTable12[[#This Row],[Tot '#]]*MouserListTable12[[#This Row],[Price (USD)]]</f>
        <v>0</v>
      </c>
    </row>
    <row r="192" spans="1:26" s="146" customFormat="1" hidden="1" x14ac:dyDescent="0.3">
      <c r="A192" s="103" t="s">
        <v>895</v>
      </c>
      <c r="B192" s="103" t="s">
        <v>899</v>
      </c>
      <c r="C192" s="103" t="s">
        <v>8</v>
      </c>
      <c r="D192" s="106" t="str">
        <f>IF(MouserListTable12[[#This Row],[Vendor]]=FilterSpecs!$A$8,MouserListTable12[[#This Row],[Mouser SKU]], MouserListTable12[[#This Row],[SKU2]])</f>
        <v>PRT-14427</v>
      </c>
      <c r="E192" s="121">
        <f>MouserListTable12[[#This Row],[Tot '#]]-MouserListTable12[[#This Row],['# Initial]]</f>
        <v>0</v>
      </c>
      <c r="F192" s="121">
        <f>MouserListTable12[[#This Row],['#/Unit]]*FilterSpecs!$B$3+MouserListTable12[[#This Row],[Extra Initial]]</f>
        <v>0</v>
      </c>
      <c r="G192" s="103" t="s">
        <v>277</v>
      </c>
      <c r="H192" s="103" t="s">
        <v>278</v>
      </c>
      <c r="I192" s="103" t="s">
        <v>279</v>
      </c>
      <c r="J192" s="103"/>
      <c r="K192" s="171">
        <v>1.5</v>
      </c>
      <c r="L192" s="103" t="s">
        <v>1911</v>
      </c>
      <c r="M192" s="103"/>
      <c r="N192" s="171">
        <f>MouserListTable12[[#This Row],['# Initial]]*MouserListTable12[[#This Row],[Price (USD)]]</f>
        <v>0</v>
      </c>
      <c r="O192" s="106" t="s">
        <v>276</v>
      </c>
      <c r="P192" s="103">
        <f t="shared" si="2"/>
        <v>174</v>
      </c>
      <c r="Q192" s="103">
        <f>IF($D192=$O192,1,0)</f>
        <v>1</v>
      </c>
      <c r="R192" s="103" t="s">
        <v>8</v>
      </c>
      <c r="S192" s="103" t="str">
        <f>_xlfn.IFS(MouserListTable12[[#This Row],[Supplier]]=FilterSpecs!$A$6, FilterSpecs!$B$6,MouserListTable12[[#This Row],[Supplier]]=FilterSpecs!$A$7,FilterSpecs!$B$7,MouserListTable12[[#This Row],[Supplier]]=FilterSpecs!$A$8,FilterSpecs!$B$8,MouserListTable12[[#This Row],[Supplier]]=FilterSpecs!$A$9,FilterSpecs!$B$9)</f>
        <v>474-</v>
      </c>
      <c r="T19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474-PRT-14427</v>
      </c>
      <c r="U192" s="121">
        <v>0</v>
      </c>
      <c r="V192" s="121">
        <v>0</v>
      </c>
      <c r="W192" s="121">
        <v>0</v>
      </c>
      <c r="X192" s="121">
        <f>MouserListTable12[[#This Row],['#/Unit]]*FilterSpecs!$C$3+MouserListTable12[[#This Row],[Extra]]</f>
        <v>0</v>
      </c>
      <c r="Y192" s="121">
        <f>IF(MouserListTable12[[#This Row],[Tag]]=FilterSpecs!$F$7,MouserListTable12[[#This Row],[Price (USD)]],0)</f>
        <v>1.5</v>
      </c>
      <c r="Z192" s="121">
        <f>MouserListTable12[[#This Row],[Tot '#]]*MouserListTable12[[#This Row],[Price (USD)]]</f>
        <v>0</v>
      </c>
    </row>
    <row r="193" spans="1:26" s="146" customFormat="1" hidden="1" x14ac:dyDescent="0.3">
      <c r="A193" s="103" t="s">
        <v>895</v>
      </c>
      <c r="B193" s="103" t="s">
        <v>899</v>
      </c>
      <c r="C193" s="103" t="s">
        <v>8</v>
      </c>
      <c r="D193" s="106" t="str">
        <f>IF(MouserListTable12[[#This Row],[Vendor]]=FilterSpecs!$A$8,MouserListTable12[[#This Row],[Mouser SKU]], MouserListTable12[[#This Row],[SKU2]])</f>
        <v>PRT-14428</v>
      </c>
      <c r="E193" s="121">
        <f>MouserListTable12[[#This Row],[Tot '#]]-MouserListTable12[[#This Row],['# Initial]]</f>
        <v>0</v>
      </c>
      <c r="F193" s="121">
        <f>MouserListTable12[[#This Row],['#/Unit]]*FilterSpecs!$B$3+MouserListTable12[[#This Row],[Extra Initial]]</f>
        <v>0</v>
      </c>
      <c r="G193" s="103" t="s">
        <v>269</v>
      </c>
      <c r="H193" s="103" t="s">
        <v>270</v>
      </c>
      <c r="I193" s="103" t="s">
        <v>271</v>
      </c>
      <c r="J193" s="103"/>
      <c r="K193" s="171">
        <v>1.5</v>
      </c>
      <c r="L193" s="103" t="s">
        <v>1911</v>
      </c>
      <c r="M193" s="103"/>
      <c r="N193" s="171">
        <f>MouserListTable12[[#This Row],['# Initial]]*MouserListTable12[[#This Row],[Price (USD)]]</f>
        <v>0</v>
      </c>
      <c r="O193" s="106" t="s">
        <v>268</v>
      </c>
      <c r="P193" s="103">
        <f t="shared" si="2"/>
        <v>175</v>
      </c>
      <c r="Q193" s="103">
        <f>IF($D193=$O193,1,0)</f>
        <v>1</v>
      </c>
      <c r="R193" s="103" t="s">
        <v>8</v>
      </c>
      <c r="S193" s="103" t="str">
        <f>_xlfn.IFS(MouserListTable12[[#This Row],[Supplier]]=FilterSpecs!$A$6, FilterSpecs!$B$6,MouserListTable12[[#This Row],[Supplier]]=FilterSpecs!$A$7,FilterSpecs!$B$7,MouserListTable12[[#This Row],[Supplier]]=FilterSpecs!$A$8,FilterSpecs!$B$8,MouserListTable12[[#This Row],[Supplier]]=FilterSpecs!$A$9,FilterSpecs!$B$9)</f>
        <v>474-</v>
      </c>
      <c r="T19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474-PRT-14428</v>
      </c>
      <c r="U193" s="121">
        <v>0</v>
      </c>
      <c r="V193" s="121">
        <v>0</v>
      </c>
      <c r="W193" s="121">
        <v>0</v>
      </c>
      <c r="X193" s="121">
        <f>MouserListTable12[[#This Row],['#/Unit]]*FilterSpecs!$C$3+MouserListTable12[[#This Row],[Extra]]</f>
        <v>0</v>
      </c>
      <c r="Y193" s="121">
        <f>IF(MouserListTable12[[#This Row],[Tag]]=FilterSpecs!$F$7,MouserListTable12[[#This Row],[Price (USD)]],0)</f>
        <v>1.5</v>
      </c>
      <c r="Z193" s="121">
        <f>MouserListTable12[[#This Row],[Tot '#]]*MouserListTable12[[#This Row],[Price (USD)]]</f>
        <v>0</v>
      </c>
    </row>
    <row r="194" spans="1:26" s="146" customFormat="1" hidden="1" x14ac:dyDescent="0.3">
      <c r="A194" s="103" t="s">
        <v>895</v>
      </c>
      <c r="B194" s="103" t="s">
        <v>899</v>
      </c>
      <c r="C194" s="103" t="s">
        <v>8</v>
      </c>
      <c r="D194" s="106" t="str">
        <f>IF(MouserListTable12[[#This Row],[Vendor]]=FilterSpecs!$A$8,MouserListTable12[[#This Row],[Mouser SKU]], MouserListTable12[[#This Row],[SKU2]])</f>
        <v>PRT-14429</v>
      </c>
      <c r="E194" s="121">
        <f>MouserListTable12[[#This Row],[Tot '#]]-MouserListTable12[[#This Row],['# Initial]]</f>
        <v>1</v>
      </c>
      <c r="F194" s="121">
        <f>MouserListTable12[[#This Row],['#/Unit]]*FilterSpecs!$B$3+MouserListTable12[[#This Row],[Extra Initial]]</f>
        <v>0</v>
      </c>
      <c r="G194" s="103" t="s">
        <v>1824</v>
      </c>
      <c r="H194" s="103" t="s">
        <v>1825</v>
      </c>
      <c r="I194" s="103" t="s">
        <v>1826</v>
      </c>
      <c r="J194" s="103"/>
      <c r="K194" s="171">
        <v>1.95</v>
      </c>
      <c r="L194" s="103" t="s">
        <v>1910</v>
      </c>
      <c r="M194" s="106"/>
      <c r="N194" s="171">
        <f>MouserListTable12[[#This Row],['# Initial]]*MouserListTable12[[#This Row],[Price (USD)]]</f>
        <v>0</v>
      </c>
      <c r="O194" s="106" t="s">
        <v>1823</v>
      </c>
      <c r="P194" s="103">
        <f t="shared" si="2"/>
        <v>176</v>
      </c>
      <c r="Q194" s="103">
        <f>IF($D194=$O194,1,0)</f>
        <v>1</v>
      </c>
      <c r="R194" s="103" t="s">
        <v>8</v>
      </c>
      <c r="S194" s="103" t="str">
        <f>_xlfn.IFS(MouserListTable12[[#This Row],[Supplier]]=FilterSpecs!$A$6, FilterSpecs!$B$6,MouserListTable12[[#This Row],[Supplier]]=FilterSpecs!$A$7,FilterSpecs!$B$7,MouserListTable12[[#This Row],[Supplier]]=FilterSpecs!$A$8,FilterSpecs!$B$8,MouserListTable12[[#This Row],[Supplier]]=FilterSpecs!$A$9,FilterSpecs!$B$9)</f>
        <v>474-</v>
      </c>
      <c r="T19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474-PRT-14429</v>
      </c>
      <c r="U194" s="121">
        <v>0</v>
      </c>
      <c r="V194" s="121">
        <v>1</v>
      </c>
      <c r="W194" s="121">
        <v>0</v>
      </c>
      <c r="X194" s="121">
        <f>MouserListTable12[[#This Row],['#/Unit]]*FilterSpecs!$C$3+MouserListTable12[[#This Row],[Extra]]</f>
        <v>1</v>
      </c>
      <c r="Y194" s="121">
        <f>IF(MouserListTable12[[#This Row],[Tag]]=FilterSpecs!$F$7,MouserListTable12[[#This Row],[Price (USD)]],0)</f>
        <v>0</v>
      </c>
      <c r="Z194" s="121">
        <f>MouserListTable12[[#This Row],[Tot '#]]*MouserListTable12[[#This Row],[Price (USD)]]</f>
        <v>1.95</v>
      </c>
    </row>
    <row r="195" spans="1:26" s="146" customFormat="1" hidden="1" x14ac:dyDescent="0.3">
      <c r="A195" s="103" t="s">
        <v>895</v>
      </c>
      <c r="B195" s="103" t="s">
        <v>899</v>
      </c>
      <c r="C195" s="103" t="s">
        <v>8</v>
      </c>
      <c r="D195" s="106" t="str">
        <f>IF(MouserListTable12[[#This Row],[Vendor]]=FilterSpecs!$A$8,MouserListTable12[[#This Row],[Mouser SKU]], MouserListTable12[[#This Row],[SKU2]])</f>
        <v>SPX-14323</v>
      </c>
      <c r="E195" s="121">
        <f>MouserListTable12[[#This Row],[Tot '#]]-MouserListTable12[[#This Row],['# Initial]]</f>
        <v>2</v>
      </c>
      <c r="F195" s="121">
        <f>MouserListTable12[[#This Row],['#/Unit]]*FilterSpecs!$B$3+MouserListTable12[[#This Row],[Extra Initial]]</f>
        <v>0</v>
      </c>
      <c r="G195" s="103" t="s">
        <v>736</v>
      </c>
      <c r="H195" s="103" t="s">
        <v>737</v>
      </c>
      <c r="I195" s="103" t="s">
        <v>738</v>
      </c>
      <c r="J195" s="103"/>
      <c r="K195" s="171">
        <v>2.95</v>
      </c>
      <c r="L195" s="103" t="s">
        <v>1913</v>
      </c>
      <c r="M195" s="103"/>
      <c r="N195" s="171">
        <f>MouserListTable12[[#This Row],['# Initial]]*MouserListTable12[[#This Row],[Price (USD)]]</f>
        <v>0</v>
      </c>
      <c r="O195" s="106" t="s">
        <v>735</v>
      </c>
      <c r="P195" s="103">
        <f t="shared" si="2"/>
        <v>177</v>
      </c>
      <c r="Q195" s="103">
        <f>IF($D195=$O195,1,0)</f>
        <v>1</v>
      </c>
      <c r="R195" s="103" t="s">
        <v>8</v>
      </c>
      <c r="S195" s="103" t="str">
        <f>_xlfn.IFS(MouserListTable12[[#This Row],[Supplier]]=FilterSpecs!$A$6, FilterSpecs!$B$6,MouserListTable12[[#This Row],[Supplier]]=FilterSpecs!$A$7,FilterSpecs!$B$7,MouserListTable12[[#This Row],[Supplier]]=FilterSpecs!$A$8,FilterSpecs!$B$8,MouserListTable12[[#This Row],[Supplier]]=FilterSpecs!$A$9,FilterSpecs!$B$9)</f>
        <v>474-</v>
      </c>
      <c r="T19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474-SPX-14323</v>
      </c>
      <c r="U195" s="121">
        <v>0</v>
      </c>
      <c r="V195" s="121">
        <v>2</v>
      </c>
      <c r="W195" s="121">
        <v>0</v>
      </c>
      <c r="X195" s="121">
        <f>MouserListTable12[[#This Row],['#/Unit]]*FilterSpecs!$C$3+MouserListTable12[[#This Row],[Extra]]</f>
        <v>2</v>
      </c>
      <c r="Y195" s="121">
        <f>IF(MouserListTable12[[#This Row],[Tag]]=FilterSpecs!$F$7,MouserListTable12[[#This Row],[Price (USD)]],0)</f>
        <v>0</v>
      </c>
      <c r="Z195" s="121">
        <f>MouserListTable12[[#This Row],[Tot '#]]*MouserListTable12[[#This Row],[Price (USD)]]</f>
        <v>5.9</v>
      </c>
    </row>
    <row r="196" spans="1:26" s="144" customFormat="1" hidden="1" x14ac:dyDescent="0.3">
      <c r="A196" s="103" t="s">
        <v>895</v>
      </c>
      <c r="B196" s="103" t="s">
        <v>899</v>
      </c>
      <c r="C196" s="103" t="s">
        <v>8</v>
      </c>
      <c r="D196" s="106" t="str">
        <f>IF(MouserListTable12[[#This Row],[Vendor]]=FilterSpecs!$A$8,MouserListTable12[[#This Row],[Mouser SKU]], MouserListTable12[[#This Row],[SKU2]])</f>
        <v>SPX-14324</v>
      </c>
      <c r="E196" s="121">
        <f>MouserListTable12[[#This Row],[Tot '#]]-MouserListTable12[[#This Row],['# Initial]]</f>
        <v>1</v>
      </c>
      <c r="F196" s="121">
        <f>MouserListTable12[[#This Row],['#/Unit]]*FilterSpecs!$B$3+MouserListTable12[[#This Row],[Extra Initial]]</f>
        <v>0</v>
      </c>
      <c r="G196" s="103" t="s">
        <v>1808</v>
      </c>
      <c r="H196" s="103" t="s">
        <v>1809</v>
      </c>
      <c r="I196" s="103" t="s">
        <v>1810</v>
      </c>
      <c r="J196" s="103"/>
      <c r="K196" s="171">
        <v>2.95</v>
      </c>
      <c r="L196" s="103" t="s">
        <v>1910</v>
      </c>
      <c r="M196" s="106"/>
      <c r="N196" s="171">
        <f>MouserListTable12[[#This Row],['# Initial]]*MouserListTable12[[#This Row],[Price (USD)]]</f>
        <v>0</v>
      </c>
      <c r="O196" s="106" t="s">
        <v>1807</v>
      </c>
      <c r="P196" s="103">
        <f t="shared" si="2"/>
        <v>178</v>
      </c>
      <c r="Q196" s="103">
        <f>IF($D196=$O196,1,0)</f>
        <v>1</v>
      </c>
      <c r="R196" s="103" t="s">
        <v>8</v>
      </c>
      <c r="S196" s="103" t="str">
        <f>_xlfn.IFS(MouserListTable12[[#This Row],[Supplier]]=FilterSpecs!$A$6, FilterSpecs!$B$6,MouserListTable12[[#This Row],[Supplier]]=FilterSpecs!$A$7,FilterSpecs!$B$7,MouserListTable12[[#This Row],[Supplier]]=FilterSpecs!$A$8,FilterSpecs!$B$8,MouserListTable12[[#This Row],[Supplier]]=FilterSpecs!$A$9,FilterSpecs!$B$9)</f>
        <v>474-</v>
      </c>
      <c r="T19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474-SPX-14324</v>
      </c>
      <c r="U196" s="121">
        <v>0</v>
      </c>
      <c r="V196" s="121">
        <v>1</v>
      </c>
      <c r="W196" s="121">
        <v>0</v>
      </c>
      <c r="X196" s="121">
        <f>MouserListTable12[[#This Row],['#/Unit]]*FilterSpecs!$C$3+MouserListTable12[[#This Row],[Extra]]</f>
        <v>1</v>
      </c>
      <c r="Y196" s="121">
        <f>IF(MouserListTable12[[#This Row],[Tag]]=FilterSpecs!$F$7,MouserListTable12[[#This Row],[Price (USD)]],0)</f>
        <v>0</v>
      </c>
      <c r="Z196" s="121">
        <f>MouserListTable12[[#This Row],[Tot '#]]*MouserListTable12[[#This Row],[Price (USD)]]</f>
        <v>2.95</v>
      </c>
    </row>
    <row r="197" spans="1:26" s="144" customFormat="1" hidden="1" x14ac:dyDescent="0.3">
      <c r="A197" s="103" t="s">
        <v>895</v>
      </c>
      <c r="B197" s="103" t="s">
        <v>1607</v>
      </c>
      <c r="C197" s="103" t="s">
        <v>8</v>
      </c>
      <c r="D197" s="106" t="str">
        <f>IF(MouserListTable12[[#This Row],[Vendor]]=FilterSpecs!$A$8,MouserListTable12[[#This Row],[Mouser SKU]], MouserListTable12[[#This Row],[SKU2]])</f>
        <v>DEV-11723</v>
      </c>
      <c r="E197" s="121">
        <f>MouserListTable12[[#This Row],[Tot '#]]-MouserListTable12[[#This Row],['# Initial]]</f>
        <v>1</v>
      </c>
      <c r="F197" s="121">
        <f>MouserListTable12[[#This Row],['#/Unit]]*FilterSpecs!$B$3+MouserListTable12[[#This Row],[Extra Initial]]</f>
        <v>0</v>
      </c>
      <c r="G197" s="103" t="s">
        <v>1109</v>
      </c>
      <c r="H197" s="103" t="s">
        <v>1110</v>
      </c>
      <c r="I197" s="103" t="s">
        <v>1111</v>
      </c>
      <c r="J197" s="103"/>
      <c r="K197" s="171">
        <v>24.95</v>
      </c>
      <c r="L197" s="103" t="s">
        <v>1910</v>
      </c>
      <c r="M197" s="106"/>
      <c r="N197" s="171">
        <f>MouserListTable12[[#This Row],['# Initial]]*MouserListTable12[[#This Row],[Price (USD)]]</f>
        <v>0</v>
      </c>
      <c r="O197" s="106" t="s">
        <v>1108</v>
      </c>
      <c r="P197" s="103">
        <f t="shared" si="2"/>
        <v>179</v>
      </c>
      <c r="Q197" s="103">
        <f>IF($D197=$O197,1,0)</f>
        <v>1</v>
      </c>
      <c r="R197" s="103" t="s">
        <v>8</v>
      </c>
      <c r="S197" s="103" t="str">
        <f>_xlfn.IFS(MouserListTable12[[#This Row],[Supplier]]=FilterSpecs!$A$6, FilterSpecs!$B$6,MouserListTable12[[#This Row],[Supplier]]=FilterSpecs!$A$7,FilterSpecs!$B$7,MouserListTable12[[#This Row],[Supplier]]=FilterSpecs!$A$8,FilterSpecs!$B$8,MouserListTable12[[#This Row],[Supplier]]=FilterSpecs!$A$9,FilterSpecs!$B$9)</f>
        <v>474-</v>
      </c>
      <c r="T19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474-DEV-11723</v>
      </c>
      <c r="U197" s="121">
        <v>0</v>
      </c>
      <c r="V197" s="121">
        <v>1</v>
      </c>
      <c r="W197" s="121">
        <v>0</v>
      </c>
      <c r="X197" s="121">
        <f>MouserListTable12[[#This Row],['#/Unit]]*FilterSpecs!$C$3+MouserListTable12[[#This Row],[Extra]]</f>
        <v>1</v>
      </c>
      <c r="Y197" s="121">
        <f>IF(MouserListTable12[[#This Row],[Tag]]=FilterSpecs!$F$7,MouserListTable12[[#This Row],[Price (USD)]],0)</f>
        <v>0</v>
      </c>
      <c r="Z197" s="121">
        <f>MouserListTable12[[#This Row],[Tot '#]]*MouserListTable12[[#This Row],[Price (USD)]]</f>
        <v>24.95</v>
      </c>
    </row>
    <row r="198" spans="1:26" s="144" customFormat="1" x14ac:dyDescent="0.3">
      <c r="A198" s="103" t="s">
        <v>895</v>
      </c>
      <c r="B198" s="103" t="s">
        <v>1607</v>
      </c>
      <c r="C198" s="103" t="s">
        <v>8</v>
      </c>
      <c r="D198" s="106" t="str">
        <f>IF(MouserListTable12[[#This Row],[Vendor]]=FilterSpecs!$A$8,MouserListTable12[[#This Row],[Mouser SKU]], MouserListTable12[[#This Row],[SKU2]])</f>
        <v>BOB-09056</v>
      </c>
      <c r="E198" s="121">
        <f>MouserListTable12[[#This Row],[Tot '#]]-MouserListTable12[[#This Row],['# Initial]]</f>
        <v>1</v>
      </c>
      <c r="F198" s="121">
        <f>MouserListTable12[[#This Row],['#/Unit]]*FilterSpecs!$B$3+MouserListTable12[[#This Row],[Extra Initial]]</f>
        <v>5</v>
      </c>
      <c r="G198" s="103" t="s">
        <v>494</v>
      </c>
      <c r="H198" s="103" t="s">
        <v>495</v>
      </c>
      <c r="I198" s="103" t="s">
        <v>218</v>
      </c>
      <c r="J198" s="103">
        <v>1</v>
      </c>
      <c r="K198" s="171">
        <v>4.95</v>
      </c>
      <c r="L198" s="103" t="s">
        <v>1911</v>
      </c>
      <c r="M198" s="103"/>
      <c r="N198" s="171">
        <f>MouserListTable12[[#This Row],['# Initial]]*MouserListTable12[[#This Row],[Price (USD)]]</f>
        <v>24.75</v>
      </c>
      <c r="O198" s="106" t="s">
        <v>493</v>
      </c>
      <c r="P198" s="103">
        <f t="shared" si="2"/>
        <v>180</v>
      </c>
      <c r="Q198" s="103">
        <f>IF($D198=$O198,1,0)</f>
        <v>1</v>
      </c>
      <c r="R198" s="103" t="s">
        <v>8</v>
      </c>
      <c r="S198" s="103" t="str">
        <f>_xlfn.IFS(MouserListTable12[[#This Row],[Supplier]]=FilterSpecs!$A$6, FilterSpecs!$B$6,MouserListTable12[[#This Row],[Supplier]]=FilterSpecs!$A$7,FilterSpecs!$B$7,MouserListTable12[[#This Row],[Supplier]]=FilterSpecs!$A$8,FilterSpecs!$B$8,MouserListTable12[[#This Row],[Supplier]]=FilterSpecs!$A$9,FilterSpecs!$B$9)</f>
        <v>474-</v>
      </c>
      <c r="T19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474-BOB-09056</v>
      </c>
      <c r="U198" s="121">
        <v>1</v>
      </c>
      <c r="V198" s="121">
        <v>1</v>
      </c>
      <c r="W198" s="121">
        <v>0</v>
      </c>
      <c r="X198" s="121">
        <f>MouserListTable12[[#This Row],['#/Unit]]*FilterSpecs!$C$3+MouserListTable12[[#This Row],[Extra]]</f>
        <v>6</v>
      </c>
      <c r="Y198" s="121">
        <f>IF(MouserListTable12[[#This Row],[Tag]]=FilterSpecs!$F$7,MouserListTable12[[#This Row],[Price (USD)]],0)</f>
        <v>4.95</v>
      </c>
      <c r="Z198" s="121">
        <f>MouserListTable12[[#This Row],[Tot '#]]*MouserListTable12[[#This Row],[Price (USD)]]</f>
        <v>29.700000000000003</v>
      </c>
    </row>
    <row r="199" spans="1:26" s="144" customFormat="1" hidden="1" x14ac:dyDescent="0.3">
      <c r="A199" s="103" t="s">
        <v>895</v>
      </c>
      <c r="B199" s="103" t="s">
        <v>1607</v>
      </c>
      <c r="C199" s="103" t="s">
        <v>1898</v>
      </c>
      <c r="D199" s="106" t="str">
        <f>IF(MouserListTable12[[#This Row],[Vendor]]=FilterSpecs!$A$8,MouserListTable12[[#This Row],[Mouser SKU]], MouserListTable12[[#This Row],[SKU2]])</f>
        <v>2717</v>
      </c>
      <c r="E199" s="121">
        <f>MouserListTable12[[#This Row],[Tot '#]]-MouserListTable12[[#This Row],['# Initial]]</f>
        <v>0</v>
      </c>
      <c r="F199" s="121">
        <f>MouserListTable12[[#This Row],['#/Unit]]*FilterSpecs!$B$3+MouserListTable12[[#This Row],[Extra Initial]]</f>
        <v>0</v>
      </c>
      <c r="G199" s="103"/>
      <c r="H199" s="103"/>
      <c r="I199" s="126" t="s">
        <v>2365</v>
      </c>
      <c r="J199" s="146"/>
      <c r="K199" s="172">
        <v>6.95</v>
      </c>
      <c r="L199" s="126" t="s">
        <v>1910</v>
      </c>
      <c r="M199" s="146"/>
      <c r="N199" s="171">
        <f>MouserListTable12[[#This Row],['# Initial]]*MouserListTable12[[#This Row],[Price (USD)]]</f>
        <v>0</v>
      </c>
      <c r="O199" s="106" t="s">
        <v>2364</v>
      </c>
      <c r="P199" s="103">
        <f t="shared" si="2"/>
        <v>181</v>
      </c>
      <c r="Q199" s="103">
        <f>IF($D199=$O199,1,0)</f>
        <v>1</v>
      </c>
      <c r="R199" s="103" t="s">
        <v>1898</v>
      </c>
      <c r="S199" s="103" t="str">
        <f>_xlfn.IFS(MouserListTable12[[#This Row],[Supplier]]=FilterSpecs!$A$6, FilterSpecs!$B$6,MouserListTable12[[#This Row],[Supplier]]=FilterSpecs!$A$7,FilterSpecs!$B$7,MouserListTable12[[#This Row],[Supplier]]=FilterSpecs!$A$8,FilterSpecs!$B$8,MouserListTable12[[#This Row],[Supplier]]=FilterSpecs!$A$9,FilterSpecs!$B$9)</f>
        <v>485-</v>
      </c>
      <c r="T19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485-2717</v>
      </c>
      <c r="U199" s="121">
        <v>0</v>
      </c>
      <c r="V199" s="121">
        <v>0</v>
      </c>
      <c r="W199" s="121">
        <v>0</v>
      </c>
      <c r="X199" s="121">
        <f>MouserListTable12[[#This Row],['#/Unit]]*FilterSpecs!$C$3+MouserListTable12[[#This Row],[Extra]]</f>
        <v>0</v>
      </c>
      <c r="Y199" s="121">
        <f>IF(MouserListTable12[[#This Row],[Tag]]=FilterSpecs!$F$7,MouserListTable12[[#This Row],[Price (USD)]],0)</f>
        <v>0</v>
      </c>
      <c r="Z199" s="121">
        <f>MouserListTable12[[#This Row],[Tot '#]]*MouserListTable12[[#This Row],[Price (USD)]]</f>
        <v>0</v>
      </c>
    </row>
    <row r="200" spans="1:26" s="144" customFormat="1" x14ac:dyDescent="0.3">
      <c r="A200" s="103" t="s">
        <v>895</v>
      </c>
      <c r="B200" s="103" t="s">
        <v>1607</v>
      </c>
      <c r="C200" s="103" t="s">
        <v>8</v>
      </c>
      <c r="D200" s="106" t="str">
        <f>IF(MouserListTable12[[#This Row],[Vendor]]=FilterSpecs!$A$8,MouserListTable12[[#This Row],[Mouser SKU]], MouserListTable12[[#This Row],[SKU2]])</f>
        <v>BOB-09118</v>
      </c>
      <c r="E200" s="121">
        <f>MouserListTable12[[#This Row],[Tot '#]]-MouserListTable12[[#This Row],['# Initial]]</f>
        <v>3</v>
      </c>
      <c r="F200" s="121">
        <f>MouserListTable12[[#This Row],['#/Unit]]*FilterSpecs!$B$3+MouserListTable12[[#This Row],[Extra Initial]]</f>
        <v>5</v>
      </c>
      <c r="G200" s="103" t="s">
        <v>497</v>
      </c>
      <c r="H200" s="103" t="s">
        <v>498</v>
      </c>
      <c r="I200" s="103" t="s">
        <v>214</v>
      </c>
      <c r="J200" s="103">
        <v>1</v>
      </c>
      <c r="K200" s="171">
        <v>4.95</v>
      </c>
      <c r="L200" s="103" t="s">
        <v>1911</v>
      </c>
      <c r="M200" s="103"/>
      <c r="N200" s="171">
        <f>MouserListTable12[[#This Row],['# Initial]]*MouserListTable12[[#This Row],[Price (USD)]]</f>
        <v>24.75</v>
      </c>
      <c r="O200" s="106" t="s">
        <v>496</v>
      </c>
      <c r="P200" s="103">
        <f t="shared" si="2"/>
        <v>182</v>
      </c>
      <c r="Q200" s="103">
        <f>IF($D200=$O200,1,0)</f>
        <v>1</v>
      </c>
      <c r="R200" s="103" t="s">
        <v>8</v>
      </c>
      <c r="S200" s="103" t="str">
        <f>_xlfn.IFS(MouserListTable12[[#This Row],[Supplier]]=FilterSpecs!$A$6, FilterSpecs!$B$6,MouserListTable12[[#This Row],[Supplier]]=FilterSpecs!$A$7,FilterSpecs!$B$7,MouserListTable12[[#This Row],[Supplier]]=FilterSpecs!$A$8,FilterSpecs!$B$8,MouserListTable12[[#This Row],[Supplier]]=FilterSpecs!$A$9,FilterSpecs!$B$9)</f>
        <v>474-</v>
      </c>
      <c r="T20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474-BOB-09118</v>
      </c>
      <c r="U200" s="121">
        <v>1</v>
      </c>
      <c r="V200" s="121">
        <v>3</v>
      </c>
      <c r="W200" s="121">
        <v>0</v>
      </c>
      <c r="X200" s="121">
        <f>MouserListTable12[[#This Row],['#/Unit]]*FilterSpecs!$C$3+MouserListTable12[[#This Row],[Extra]]</f>
        <v>8</v>
      </c>
      <c r="Y200" s="121">
        <f>IF(MouserListTable12[[#This Row],[Tag]]=FilterSpecs!$F$7,MouserListTable12[[#This Row],[Price (USD)]],0)</f>
        <v>4.95</v>
      </c>
      <c r="Z200" s="121">
        <f>MouserListTable12[[#This Row],[Tot '#]]*MouserListTable12[[#This Row],[Price (USD)]]</f>
        <v>39.6</v>
      </c>
    </row>
    <row r="201" spans="1:26" s="144" customFormat="1" hidden="1" x14ac:dyDescent="0.3">
      <c r="A201" s="103" t="s">
        <v>895</v>
      </c>
      <c r="B201" s="103" t="s">
        <v>1607</v>
      </c>
      <c r="C201" s="103" t="s">
        <v>1898</v>
      </c>
      <c r="D201" s="106" t="str">
        <f>IF(MouserListTable12[[#This Row],[Vendor]]=FilterSpecs!$A$8,MouserListTable12[[#This Row],[Mouser SKU]], MouserListTable12[[#This Row],[SKU2]])</f>
        <v>1085</v>
      </c>
      <c r="E201" s="121">
        <f>MouserListTable12[[#This Row],[Tot '#]]-MouserListTable12[[#This Row],['# Initial]]</f>
        <v>0</v>
      </c>
      <c r="F201" s="121">
        <f>MouserListTable12[[#This Row],['#/Unit]]*FilterSpecs!$B$3+MouserListTable12[[#This Row],[Extra Initial]]</f>
        <v>0</v>
      </c>
      <c r="G201" s="103"/>
      <c r="H201" s="103"/>
      <c r="I201" s="126" t="s">
        <v>2361</v>
      </c>
      <c r="J201" s="146"/>
      <c r="K201" s="172">
        <v>14.95</v>
      </c>
      <c r="L201" s="126" t="s">
        <v>1910</v>
      </c>
      <c r="M201" s="146"/>
      <c r="N201" s="171">
        <f>MouserListTable12[[#This Row],['# Initial]]*MouserListTable12[[#This Row],[Price (USD)]]</f>
        <v>0</v>
      </c>
      <c r="O201" s="106" t="s">
        <v>2360</v>
      </c>
      <c r="P201" s="103">
        <f t="shared" si="2"/>
        <v>183</v>
      </c>
      <c r="Q201" s="103">
        <f>IF($D201=$O201,1,0)</f>
        <v>1</v>
      </c>
      <c r="R201" s="103" t="s">
        <v>1898</v>
      </c>
      <c r="S201" s="103" t="str">
        <f>_xlfn.IFS(MouserListTable12[[#This Row],[Supplier]]=FilterSpecs!$A$6, FilterSpecs!$B$6,MouserListTable12[[#This Row],[Supplier]]=FilterSpecs!$A$7,FilterSpecs!$B$7,MouserListTable12[[#This Row],[Supplier]]=FilterSpecs!$A$8,FilterSpecs!$B$8,MouserListTable12[[#This Row],[Supplier]]=FilterSpecs!$A$9,FilterSpecs!$B$9)</f>
        <v>485-</v>
      </c>
      <c r="T20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485-1085</v>
      </c>
      <c r="U201" s="121">
        <v>0</v>
      </c>
      <c r="V201" s="121">
        <v>0</v>
      </c>
      <c r="W201" s="121">
        <v>0</v>
      </c>
      <c r="X201" s="121">
        <f>MouserListTable12[[#This Row],['#/Unit]]*FilterSpecs!$C$3+MouserListTable12[[#This Row],[Extra]]</f>
        <v>0</v>
      </c>
      <c r="Y201" s="121">
        <f>IF(MouserListTable12[[#This Row],[Tag]]=FilterSpecs!$F$7,MouserListTable12[[#This Row],[Price (USD)]],0)</f>
        <v>0</v>
      </c>
      <c r="Z201" s="121">
        <f>MouserListTable12[[#This Row],[Tot '#]]*MouserListTable12[[#This Row],[Price (USD)]]</f>
        <v>0</v>
      </c>
    </row>
    <row r="202" spans="1:26" s="144" customFormat="1" hidden="1" x14ac:dyDescent="0.3">
      <c r="A202" s="103" t="s">
        <v>895</v>
      </c>
      <c r="B202" s="103" t="s">
        <v>1607</v>
      </c>
      <c r="C202" s="103" t="s">
        <v>1898</v>
      </c>
      <c r="D202" s="106" t="str">
        <f>IF(MouserListTable12[[#This Row],[Vendor]]=FilterSpecs!$A$8,MouserListTable12[[#This Row],[Mouser SKU]], MouserListTable12[[#This Row],[SKU2]])</f>
        <v>856</v>
      </c>
      <c r="E202" s="121">
        <f>MouserListTable12[[#This Row],[Tot '#]]-MouserListTable12[[#This Row],['# Initial]]</f>
        <v>0</v>
      </c>
      <c r="F202" s="121">
        <f>MouserListTable12[[#This Row],['#/Unit]]*FilterSpecs!$B$3+MouserListTable12[[#This Row],[Extra Initial]]</f>
        <v>0</v>
      </c>
      <c r="G202" s="103"/>
      <c r="H202" s="103"/>
      <c r="I202" s="126" t="s">
        <v>2363</v>
      </c>
      <c r="J202" s="146"/>
      <c r="K202" s="172">
        <v>3.75</v>
      </c>
      <c r="L202" s="126" t="s">
        <v>1910</v>
      </c>
      <c r="M202" s="146"/>
      <c r="N202" s="171">
        <f>MouserListTable12[[#This Row],['# Initial]]*MouserListTable12[[#This Row],[Price (USD)]]</f>
        <v>0</v>
      </c>
      <c r="O202" s="106" t="s">
        <v>2362</v>
      </c>
      <c r="P202" s="103">
        <f t="shared" si="2"/>
        <v>184</v>
      </c>
      <c r="Q202" s="103">
        <f>IF($D202=$O202,1,0)</f>
        <v>1</v>
      </c>
      <c r="R202" s="103" t="s">
        <v>1898</v>
      </c>
      <c r="S202" s="103" t="str">
        <f>_xlfn.IFS(MouserListTable12[[#This Row],[Supplier]]=FilterSpecs!$A$6, FilterSpecs!$B$6,MouserListTable12[[#This Row],[Supplier]]=FilterSpecs!$A$7,FilterSpecs!$B$7,MouserListTable12[[#This Row],[Supplier]]=FilterSpecs!$A$8,FilterSpecs!$B$8,MouserListTable12[[#This Row],[Supplier]]=FilterSpecs!$A$9,FilterSpecs!$B$9)</f>
        <v>485-</v>
      </c>
      <c r="T20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485-856</v>
      </c>
      <c r="U202" s="121">
        <v>0</v>
      </c>
      <c r="V202" s="121">
        <v>0</v>
      </c>
      <c r="W202" s="121">
        <v>0</v>
      </c>
      <c r="X202" s="121">
        <f>MouserListTable12[[#This Row],['#/Unit]]*FilterSpecs!$C$3+MouserListTable12[[#This Row],[Extra]]</f>
        <v>0</v>
      </c>
      <c r="Y202" s="121">
        <f>IF(MouserListTable12[[#This Row],[Tag]]=FilterSpecs!$F$7,MouserListTable12[[#This Row],[Price (USD)]],0)</f>
        <v>0</v>
      </c>
      <c r="Z202" s="121">
        <f>MouserListTable12[[#This Row],[Tot '#]]*MouserListTable12[[#This Row],[Price (USD)]]</f>
        <v>0</v>
      </c>
    </row>
    <row r="203" spans="1:26" s="144" customFormat="1" hidden="1" x14ac:dyDescent="0.3">
      <c r="A203" s="126" t="s">
        <v>895</v>
      </c>
      <c r="B203" s="126" t="s">
        <v>2041</v>
      </c>
      <c r="C203" s="126" t="s">
        <v>8</v>
      </c>
      <c r="D203" s="106" t="str">
        <f>IF(MouserListTable12[[#This Row],[Vendor]]=FilterSpecs!$A$8,MouserListTable12[[#This Row],[Mouser SKU]], MouserListTable12[[#This Row],[SKU2]])</f>
        <v>CAB-11604</v>
      </c>
      <c r="E203" s="121">
        <f>MouserListTable12[[#This Row],[Tot '#]]-MouserListTable12[[#This Row],['# Initial]]</f>
        <v>0</v>
      </c>
      <c r="F203" s="121">
        <f>MouserListTable12[[#This Row],['#/Unit]]*FilterSpecs!$B$3+MouserListTable12[[#This Row],[Extra Initial]]</f>
        <v>0</v>
      </c>
      <c r="G203" s="103" t="s">
        <v>1504</v>
      </c>
      <c r="H203" s="103" t="s">
        <v>1505</v>
      </c>
      <c r="I203" s="103" t="s">
        <v>1506</v>
      </c>
      <c r="J203" s="103">
        <v>1</v>
      </c>
      <c r="K203" s="171">
        <v>2.95</v>
      </c>
      <c r="L203" s="103" t="s">
        <v>1910</v>
      </c>
      <c r="M203" s="146"/>
      <c r="N203" s="171">
        <f>MouserListTable12[[#This Row],['# Initial]]*MouserListTable12[[#This Row],[Price (USD)]]</f>
        <v>0</v>
      </c>
      <c r="O203" s="106" t="s">
        <v>1503</v>
      </c>
      <c r="P203" s="103">
        <f t="shared" si="2"/>
        <v>185</v>
      </c>
      <c r="Q203" s="103">
        <f>IF($D203=$O203,1,0)</f>
        <v>1</v>
      </c>
      <c r="R203" s="103" t="s">
        <v>8</v>
      </c>
      <c r="S203" s="103" t="str">
        <f>_xlfn.IFS(MouserListTable12[[#This Row],[Supplier]]=FilterSpecs!$A$6, FilterSpecs!$B$6,MouserListTable12[[#This Row],[Supplier]]=FilterSpecs!$A$7,FilterSpecs!$B$7,MouserListTable12[[#This Row],[Supplier]]=FilterSpecs!$A$8,FilterSpecs!$B$8,MouserListTable12[[#This Row],[Supplier]]=FilterSpecs!$A$9,FilterSpecs!$B$9)</f>
        <v>474-</v>
      </c>
      <c r="T20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474-CAB-11604</v>
      </c>
      <c r="U203" s="121">
        <v>0</v>
      </c>
      <c r="V203" s="121">
        <v>0</v>
      </c>
      <c r="W203" s="121">
        <v>0</v>
      </c>
      <c r="X203" s="121">
        <f>MouserListTable12[[#This Row],['#/Unit]]*FilterSpecs!$C$3+MouserListTable12[[#This Row],[Extra]]</f>
        <v>0</v>
      </c>
      <c r="Y203" s="121">
        <f>IF(MouserListTable12[[#This Row],[Tag]]=FilterSpecs!$F$7,MouserListTable12[[#This Row],[Price (USD)]],0)</f>
        <v>0</v>
      </c>
      <c r="Z203" s="121">
        <f>MouserListTable12[[#This Row],[Tot '#]]*MouserListTable12[[#This Row],[Price (USD)]]</f>
        <v>0</v>
      </c>
    </row>
    <row r="204" spans="1:26" s="144" customFormat="1" hidden="1" x14ac:dyDescent="0.3">
      <c r="A204" s="126" t="s">
        <v>895</v>
      </c>
      <c r="B204" s="126" t="s">
        <v>2041</v>
      </c>
      <c r="C204" s="126" t="s">
        <v>8</v>
      </c>
      <c r="D204" s="106" t="str">
        <f>IF(MouserListTable12[[#This Row],[Vendor]]=FilterSpecs!$A$8,MouserListTable12[[#This Row],[Mouser SKU]], MouserListTable12[[#This Row],[SKU2]])</f>
        <v>CAB-14276</v>
      </c>
      <c r="E204" s="121">
        <f>MouserListTable12[[#This Row],[Tot '#]]-MouserListTable12[[#This Row],['# Initial]]</f>
        <v>0</v>
      </c>
      <c r="F204" s="121">
        <f>MouserListTable12[[#This Row],['#/Unit]]*FilterSpecs!$B$3+MouserListTable12[[#This Row],[Extra Initial]]</f>
        <v>0</v>
      </c>
      <c r="G204" s="103" t="s">
        <v>1516</v>
      </c>
      <c r="H204" s="103" t="s">
        <v>1517</v>
      </c>
      <c r="I204" s="103" t="s">
        <v>1518</v>
      </c>
      <c r="J204" s="103"/>
      <c r="K204" s="171">
        <v>2.95</v>
      </c>
      <c r="L204" s="103" t="s">
        <v>1910</v>
      </c>
      <c r="M204" s="146"/>
      <c r="N204" s="171">
        <f>MouserListTable12[[#This Row],['# Initial]]*MouserListTable12[[#This Row],[Price (USD)]]</f>
        <v>0</v>
      </c>
      <c r="O204" s="106" t="s">
        <v>1515</v>
      </c>
      <c r="P204" s="103">
        <f t="shared" si="2"/>
        <v>186</v>
      </c>
      <c r="Q204" s="103">
        <f>IF($D204=$O204,1,0)</f>
        <v>1</v>
      </c>
      <c r="R204" s="103" t="s">
        <v>8</v>
      </c>
      <c r="S204" s="103" t="str">
        <f>_xlfn.IFS(MouserListTable12[[#This Row],[Supplier]]=FilterSpecs!$A$6, FilterSpecs!$B$6,MouserListTable12[[#This Row],[Supplier]]=FilterSpecs!$A$7,FilterSpecs!$B$7,MouserListTable12[[#This Row],[Supplier]]=FilterSpecs!$A$8,FilterSpecs!$B$8,MouserListTable12[[#This Row],[Supplier]]=FilterSpecs!$A$9,FilterSpecs!$B$9)</f>
        <v>474-</v>
      </c>
      <c r="T20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474-CAB-14276</v>
      </c>
      <c r="U204" s="121">
        <v>0</v>
      </c>
      <c r="V204" s="121">
        <v>0</v>
      </c>
      <c r="W204" s="121">
        <v>0</v>
      </c>
      <c r="X204" s="121">
        <f>MouserListTable12[[#This Row],['#/Unit]]*FilterSpecs!$C$3+MouserListTable12[[#This Row],[Extra]]</f>
        <v>0</v>
      </c>
      <c r="Y204" s="121">
        <f>IF(MouserListTable12[[#This Row],[Tag]]=FilterSpecs!$F$7,MouserListTable12[[#This Row],[Price (USD)]],0)</f>
        <v>0</v>
      </c>
      <c r="Z204" s="121">
        <f>MouserListTable12[[#This Row],[Tot '#]]*MouserListTable12[[#This Row],[Price (USD)]]</f>
        <v>0</v>
      </c>
    </row>
    <row r="205" spans="1:26" s="144" customFormat="1" hidden="1" x14ac:dyDescent="0.3">
      <c r="A205" s="126" t="s">
        <v>895</v>
      </c>
      <c r="B205" s="126" t="s">
        <v>2041</v>
      </c>
      <c r="C205" s="126" t="s">
        <v>1898</v>
      </c>
      <c r="D205" s="106" t="str">
        <f>IF(MouserListTable12[[#This Row],[Vendor]]=FilterSpecs!$A$8,MouserListTable12[[#This Row],[Mouser SKU]], MouserListTable12[[#This Row],[SKU2]])</f>
        <v>1099</v>
      </c>
      <c r="E205" s="121">
        <f>MouserListTable12[[#This Row],[Tot '#]]-MouserListTable12[[#This Row],['# Initial]]</f>
        <v>0</v>
      </c>
      <c r="F205" s="121">
        <f>MouserListTable12[[#This Row],['#/Unit]]*FilterSpecs!$B$3+MouserListTable12[[#This Row],[Extra Initial]]</f>
        <v>0</v>
      </c>
      <c r="G205" s="103"/>
      <c r="H205" s="103"/>
      <c r="I205" s="103" t="s">
        <v>2371</v>
      </c>
      <c r="J205" s="103"/>
      <c r="K205" s="171">
        <v>2.5</v>
      </c>
      <c r="L205" s="103" t="s">
        <v>1910</v>
      </c>
      <c r="M205" s="146"/>
      <c r="N205" s="171">
        <f>MouserListTable12[[#This Row],['# Initial]]*MouserListTable12[[#This Row],[Price (USD)]]</f>
        <v>0</v>
      </c>
      <c r="O205" s="106" t="s">
        <v>2370</v>
      </c>
      <c r="P205" s="103">
        <f t="shared" si="2"/>
        <v>187</v>
      </c>
      <c r="Q205" s="103">
        <f>IF($D205=$O205,1,0)</f>
        <v>1</v>
      </c>
      <c r="R205" s="103" t="s">
        <v>1898</v>
      </c>
      <c r="S205" s="103" t="str">
        <f>_xlfn.IFS(MouserListTable12[[#This Row],[Supplier]]=FilterSpecs!$A$6, FilterSpecs!$B$6,MouserListTable12[[#This Row],[Supplier]]=FilterSpecs!$A$7,FilterSpecs!$B$7,MouserListTable12[[#This Row],[Supplier]]=FilterSpecs!$A$8,FilterSpecs!$B$8,MouserListTable12[[#This Row],[Supplier]]=FilterSpecs!$A$9,FilterSpecs!$B$9)</f>
        <v>485-</v>
      </c>
      <c r="T20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485-1099</v>
      </c>
      <c r="U205" s="121">
        <v>0</v>
      </c>
      <c r="V205" s="121">
        <v>0</v>
      </c>
      <c r="W205" s="121">
        <v>0</v>
      </c>
      <c r="X205" s="121">
        <f>MouserListTable12[[#This Row],['#/Unit]]*FilterSpecs!$C$3+MouserListTable12[[#This Row],[Extra]]</f>
        <v>0</v>
      </c>
      <c r="Y205" s="121">
        <f>IF(MouserListTable12[[#This Row],[Tag]]=FilterSpecs!$F$7,MouserListTable12[[#This Row],[Price (USD)]],0)</f>
        <v>0</v>
      </c>
      <c r="Z205" s="121">
        <f>MouserListTable12[[#This Row],[Tot '#]]*MouserListTable12[[#This Row],[Price (USD)]]</f>
        <v>0</v>
      </c>
    </row>
    <row r="206" spans="1:26" s="144" customFormat="1" x14ac:dyDescent="0.3">
      <c r="A206" s="103" t="s">
        <v>895</v>
      </c>
      <c r="B206" s="103" t="s">
        <v>2041</v>
      </c>
      <c r="C206" s="103" t="s">
        <v>1898</v>
      </c>
      <c r="D206" s="106" t="str">
        <f>IF(MouserListTable12[[#This Row],[Vendor]]=FilterSpecs!$A$8,MouserListTable12[[#This Row],[Mouser SKU]], MouserListTable12[[#This Row],[SKU2]])</f>
        <v>2910</v>
      </c>
      <c r="E206" s="121">
        <f>MouserListTable12[[#This Row],[Tot '#]]-MouserListTable12[[#This Row],['# Initial]]</f>
        <v>0</v>
      </c>
      <c r="F206" s="121">
        <f>MouserListTable12[[#This Row],['#/Unit]]*FilterSpecs!$B$3+MouserListTable12[[#This Row],[Extra Initial]]</f>
        <v>5</v>
      </c>
      <c r="G206" s="103"/>
      <c r="H206" s="103"/>
      <c r="I206" s="103" t="s">
        <v>2367</v>
      </c>
      <c r="J206" s="103"/>
      <c r="K206" s="171">
        <v>2.95</v>
      </c>
      <c r="L206" s="103" t="s">
        <v>1911</v>
      </c>
      <c r="M206" s="106"/>
      <c r="N206" s="171">
        <f>MouserListTable12[[#This Row],['# Initial]]*MouserListTable12[[#This Row],[Price (USD)]]</f>
        <v>14.75</v>
      </c>
      <c r="O206" s="106" t="s">
        <v>2366</v>
      </c>
      <c r="P206" s="103">
        <f t="shared" si="2"/>
        <v>188</v>
      </c>
      <c r="Q206" s="103">
        <f>IF($D206=$O206,1,0)</f>
        <v>1</v>
      </c>
      <c r="R206" s="103" t="s">
        <v>1898</v>
      </c>
      <c r="S206" s="103" t="str">
        <f>_xlfn.IFS(MouserListTable12[[#This Row],[Supplier]]=FilterSpecs!$A$6, FilterSpecs!$B$6,MouserListTable12[[#This Row],[Supplier]]=FilterSpecs!$A$7,FilterSpecs!$B$7,MouserListTable12[[#This Row],[Supplier]]=FilterSpecs!$A$8,FilterSpecs!$B$8,MouserListTable12[[#This Row],[Supplier]]=FilterSpecs!$A$9,FilterSpecs!$B$9)</f>
        <v>485-</v>
      </c>
      <c r="T20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485-2910</v>
      </c>
      <c r="U206" s="121">
        <v>1</v>
      </c>
      <c r="V206" s="121">
        <v>0</v>
      </c>
      <c r="W206" s="121">
        <v>0</v>
      </c>
      <c r="X206" s="121">
        <f>MouserListTable12[[#This Row],['#/Unit]]*FilterSpecs!$C$3+MouserListTable12[[#This Row],[Extra]]</f>
        <v>5</v>
      </c>
      <c r="Y206" s="121">
        <f>IF(MouserListTable12[[#This Row],[Tag]]=FilterSpecs!$F$7,MouserListTable12[[#This Row],[Price (USD)]],0)</f>
        <v>2.95</v>
      </c>
      <c r="Z206" s="121">
        <f>MouserListTable12[[#This Row],[Tot '#]]*MouserListTable12[[#This Row],[Price (USD)]]</f>
        <v>14.75</v>
      </c>
    </row>
    <row r="207" spans="1:26" s="144" customFormat="1" hidden="1" x14ac:dyDescent="0.3">
      <c r="A207" s="103" t="s">
        <v>895</v>
      </c>
      <c r="B207" s="103" t="s">
        <v>2041</v>
      </c>
      <c r="C207" s="103" t="s">
        <v>8</v>
      </c>
      <c r="D207" s="106" t="str">
        <f>IF(MouserListTable12[[#This Row],[Vendor]]=FilterSpecs!$A$8,MouserListTable12[[#This Row],[Mouser SKU]], MouserListTable12[[#This Row],[SKU2]])</f>
        <v>CAB-12977</v>
      </c>
      <c r="E207" s="121">
        <f>MouserListTable12[[#This Row],[Tot '#]]-MouserListTable12[[#This Row],['# Initial]]</f>
        <v>1</v>
      </c>
      <c r="F207" s="121">
        <f>MouserListTable12[[#This Row],['#/Unit]]*FilterSpecs!$B$3+MouserListTable12[[#This Row],[Extra Initial]]</f>
        <v>0</v>
      </c>
      <c r="G207" s="103" t="s">
        <v>245</v>
      </c>
      <c r="H207" s="103" t="s">
        <v>246</v>
      </c>
      <c r="I207" s="103" t="s">
        <v>247</v>
      </c>
      <c r="J207" s="103"/>
      <c r="K207" s="171">
        <v>9.9499999999999993</v>
      </c>
      <c r="L207" s="103" t="s">
        <v>1910</v>
      </c>
      <c r="M207" s="103"/>
      <c r="N207" s="171">
        <f>MouserListTable12[[#This Row],['# Initial]]*MouserListTable12[[#This Row],[Price (USD)]]</f>
        <v>0</v>
      </c>
      <c r="O207" s="106" t="s">
        <v>244</v>
      </c>
      <c r="P207" s="103">
        <f t="shared" si="2"/>
        <v>189</v>
      </c>
      <c r="Q207" s="103">
        <f>IF($D207=$O207,1,0)</f>
        <v>1</v>
      </c>
      <c r="R207" s="103" t="s">
        <v>8</v>
      </c>
      <c r="S207" s="103" t="str">
        <f>_xlfn.IFS(MouserListTable12[[#This Row],[Supplier]]=FilterSpecs!$A$6, FilterSpecs!$B$6,MouserListTable12[[#This Row],[Supplier]]=FilterSpecs!$A$7,FilterSpecs!$B$7,MouserListTable12[[#This Row],[Supplier]]=FilterSpecs!$A$8,FilterSpecs!$B$8,MouserListTable12[[#This Row],[Supplier]]=FilterSpecs!$A$9,FilterSpecs!$B$9)</f>
        <v>474-</v>
      </c>
      <c r="T20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474-CAB-12977</v>
      </c>
      <c r="U207" s="121">
        <v>0</v>
      </c>
      <c r="V207" s="121">
        <v>1</v>
      </c>
      <c r="W207" s="121">
        <v>0</v>
      </c>
      <c r="X207" s="121">
        <f>MouserListTable12[[#This Row],['#/Unit]]*FilterSpecs!$C$3+MouserListTable12[[#This Row],[Extra]]</f>
        <v>1</v>
      </c>
      <c r="Y207" s="121">
        <f>IF(MouserListTable12[[#This Row],[Tag]]=FilterSpecs!$F$7,MouserListTable12[[#This Row],[Price (USD)]],0)</f>
        <v>0</v>
      </c>
      <c r="Z207" s="121">
        <f>MouserListTable12[[#This Row],[Tot '#]]*MouserListTable12[[#This Row],[Price (USD)]]</f>
        <v>9.9499999999999993</v>
      </c>
    </row>
    <row r="208" spans="1:26" s="144" customFormat="1" hidden="1" x14ac:dyDescent="0.3">
      <c r="A208" s="103" t="s">
        <v>895</v>
      </c>
      <c r="B208" s="103" t="s">
        <v>2041</v>
      </c>
      <c r="C208" s="103" t="s">
        <v>1898</v>
      </c>
      <c r="D208" s="106" t="str">
        <f>IF(MouserListTable12[[#This Row],[Vendor]]=FilterSpecs!$A$8,MouserListTable12[[#This Row],[Mouser SKU]], MouserListTable12[[#This Row],[SKU2]])</f>
        <v>1620</v>
      </c>
      <c r="E208" s="121">
        <f>MouserListTable12[[#This Row],[Tot '#]]-MouserListTable12[[#This Row],['# Initial]]</f>
        <v>0</v>
      </c>
      <c r="F208" s="121">
        <f>MouserListTable12[[#This Row],['#/Unit]]*FilterSpecs!$B$3+MouserListTable12[[#This Row],[Extra Initial]]</f>
        <v>0</v>
      </c>
      <c r="G208" s="103"/>
      <c r="H208" s="103"/>
      <c r="I208" s="126" t="s">
        <v>2369</v>
      </c>
      <c r="J208" s="146"/>
      <c r="K208" s="172">
        <v>2.95</v>
      </c>
      <c r="L208" s="126" t="s">
        <v>1910</v>
      </c>
      <c r="M208" s="146"/>
      <c r="N208" s="171">
        <f>MouserListTable12[[#This Row],['# Initial]]*MouserListTable12[[#This Row],[Price (USD)]]</f>
        <v>0</v>
      </c>
      <c r="O208" s="106" t="s">
        <v>2368</v>
      </c>
      <c r="P208" s="103">
        <f t="shared" si="2"/>
        <v>190</v>
      </c>
      <c r="Q208" s="103">
        <f>IF($D208=$O208,1,0)</f>
        <v>1</v>
      </c>
      <c r="R208" s="103" t="s">
        <v>1898</v>
      </c>
      <c r="S208" s="103" t="str">
        <f>_xlfn.IFS(MouserListTable12[[#This Row],[Supplier]]=FilterSpecs!$A$6, FilterSpecs!$B$6,MouserListTable12[[#This Row],[Supplier]]=FilterSpecs!$A$7,FilterSpecs!$B$7,MouserListTable12[[#This Row],[Supplier]]=FilterSpecs!$A$8,FilterSpecs!$B$8,MouserListTable12[[#This Row],[Supplier]]=FilterSpecs!$A$9,FilterSpecs!$B$9)</f>
        <v>485-</v>
      </c>
      <c r="T20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485-1620</v>
      </c>
      <c r="U208" s="121">
        <v>0</v>
      </c>
      <c r="V208" s="121">
        <v>0</v>
      </c>
      <c r="W208" s="121">
        <v>0</v>
      </c>
      <c r="X208" s="121">
        <f>MouserListTable12[[#This Row],['#/Unit]]*FilterSpecs!$C$3+MouserListTable12[[#This Row],[Extra]]</f>
        <v>0</v>
      </c>
      <c r="Y208" s="121">
        <f>IF(MouserListTable12[[#This Row],[Tag]]=FilterSpecs!$F$7,MouserListTable12[[#This Row],[Price (USD)]],0)</f>
        <v>0</v>
      </c>
      <c r="Z208" s="121">
        <f>MouserListTable12[[#This Row],[Tot '#]]*MouserListTable12[[#This Row],[Price (USD)]]</f>
        <v>0</v>
      </c>
    </row>
    <row r="209" spans="1:26" s="146" customFormat="1" x14ac:dyDescent="0.3">
      <c r="A209" s="103" t="s">
        <v>895</v>
      </c>
      <c r="B209" s="103" t="s">
        <v>2041</v>
      </c>
      <c r="C209" s="103" t="s">
        <v>8</v>
      </c>
      <c r="D209" s="106" t="str">
        <f>IF(MouserListTable12[[#This Row],[Vendor]]=FilterSpecs!$A$8,MouserListTable12[[#This Row],[Mouser SKU]], MouserListTable12[[#This Row],[SKU2]])</f>
        <v>CAB-12016</v>
      </c>
      <c r="E209" s="121">
        <f>MouserListTable12[[#This Row],[Tot '#]]-MouserListTable12[[#This Row],['# Initial]]</f>
        <v>0</v>
      </c>
      <c r="F209" s="121">
        <f>MouserListTable12[[#This Row],['#/Unit]]*FilterSpecs!$B$3+MouserListTable12[[#This Row],[Extra Initial]]</f>
        <v>1</v>
      </c>
      <c r="G209" s="103" t="s">
        <v>253</v>
      </c>
      <c r="H209" s="103" t="s">
        <v>254</v>
      </c>
      <c r="I209" s="103" t="s">
        <v>255</v>
      </c>
      <c r="K209" s="171">
        <v>6.97</v>
      </c>
      <c r="L209" s="103" t="s">
        <v>1910</v>
      </c>
      <c r="M209" s="106"/>
      <c r="N209" s="171">
        <f>MouserListTable12[[#This Row],['# Initial]]*MouserListTable12[[#This Row],[Price (USD)]]</f>
        <v>6.97</v>
      </c>
      <c r="O209" s="106" t="s">
        <v>252</v>
      </c>
      <c r="P209" s="103">
        <f t="shared" si="2"/>
        <v>191</v>
      </c>
      <c r="Q209" s="103">
        <f>IF($D209=$O209,1,0)</f>
        <v>1</v>
      </c>
      <c r="R209" s="103" t="s">
        <v>8</v>
      </c>
      <c r="S209" s="103" t="str">
        <f>_xlfn.IFS(MouserListTable12[[#This Row],[Supplier]]=FilterSpecs!$A$6, FilterSpecs!$B$6,MouserListTable12[[#This Row],[Supplier]]=FilterSpecs!$A$7,FilterSpecs!$B$7,MouserListTable12[[#This Row],[Supplier]]=FilterSpecs!$A$8,FilterSpecs!$B$8,MouserListTable12[[#This Row],[Supplier]]=FilterSpecs!$A$9,FilterSpecs!$B$9)</f>
        <v>474-</v>
      </c>
      <c r="T20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474-CAB-12016</v>
      </c>
      <c r="U209" s="121">
        <v>0</v>
      </c>
      <c r="V209" s="121">
        <v>1</v>
      </c>
      <c r="W209" s="121">
        <v>1</v>
      </c>
      <c r="X209" s="121">
        <f>MouserListTable12[[#This Row],['#/Unit]]*FilterSpecs!$C$3+MouserListTable12[[#This Row],[Extra]]</f>
        <v>1</v>
      </c>
      <c r="Y209" s="121">
        <f>IF(MouserListTable12[[#This Row],[Tag]]=FilterSpecs!$F$7,MouserListTable12[[#This Row],[Price (USD)]],0)</f>
        <v>0</v>
      </c>
      <c r="Z209" s="121">
        <f>MouserListTable12[[#This Row],[Tot '#]]*MouserListTable12[[#This Row],[Price (USD)]]</f>
        <v>6.97</v>
      </c>
    </row>
    <row r="210" spans="1:26" s="146" customFormat="1" x14ac:dyDescent="0.3">
      <c r="A210" s="103" t="s">
        <v>895</v>
      </c>
      <c r="B210" s="103" t="s">
        <v>1604</v>
      </c>
      <c r="C210" s="103" t="s">
        <v>8</v>
      </c>
      <c r="D210" s="106" t="str">
        <f>IF(MouserListTable12[[#This Row],[Vendor]]=FilterSpecs!$A$8,MouserListTable12[[#This Row],[Mouser SKU]], MouserListTable12[[#This Row],[SKU2]])</f>
        <v>DEV-14050</v>
      </c>
      <c r="E210" s="121">
        <f>MouserListTable12[[#This Row],[Tot '#]]-MouserListTable12[[#This Row],['# Initial]]</f>
        <v>0</v>
      </c>
      <c r="F210" s="121">
        <f>MouserListTable12[[#This Row],['#/Unit]]*FilterSpecs!$B$3+MouserListTable12[[#This Row],[Extra Initial]]</f>
        <v>5</v>
      </c>
      <c r="G210" s="103" t="s">
        <v>281</v>
      </c>
      <c r="H210" s="103" t="s">
        <v>282</v>
      </c>
      <c r="I210" s="103" t="s">
        <v>224</v>
      </c>
      <c r="J210" s="103"/>
      <c r="K210" s="171">
        <v>6.95</v>
      </c>
      <c r="L210" s="103" t="s">
        <v>1911</v>
      </c>
      <c r="M210" s="103"/>
      <c r="N210" s="171">
        <f>MouserListTable12[[#This Row],['# Initial]]*MouserListTable12[[#This Row],[Price (USD)]]</f>
        <v>34.75</v>
      </c>
      <c r="O210" s="106" t="s">
        <v>280</v>
      </c>
      <c r="P210" s="103">
        <f t="shared" si="2"/>
        <v>192</v>
      </c>
      <c r="Q210" s="103">
        <f>IF($D210=$O210,1,0)</f>
        <v>1</v>
      </c>
      <c r="R210" s="103" t="s">
        <v>8</v>
      </c>
      <c r="S210" s="103" t="str">
        <f>_xlfn.IFS(MouserListTable12[[#This Row],[Supplier]]=FilterSpecs!$A$6, FilterSpecs!$B$6,MouserListTable12[[#This Row],[Supplier]]=FilterSpecs!$A$7,FilterSpecs!$B$7,MouserListTable12[[#This Row],[Supplier]]=FilterSpecs!$A$8,FilterSpecs!$B$8,MouserListTable12[[#This Row],[Supplier]]=FilterSpecs!$A$9,FilterSpecs!$B$9)</f>
        <v>474-</v>
      </c>
      <c r="T21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474-DEV-14050</v>
      </c>
      <c r="U210" s="121">
        <v>1</v>
      </c>
      <c r="V210" s="121">
        <v>0</v>
      </c>
      <c r="W210" s="121">
        <v>0</v>
      </c>
      <c r="X210" s="121">
        <f>MouserListTable12[[#This Row],['#/Unit]]*FilterSpecs!$C$3+MouserListTable12[[#This Row],[Extra]]</f>
        <v>5</v>
      </c>
      <c r="Y210" s="121">
        <f>IF(MouserListTable12[[#This Row],[Tag]]=FilterSpecs!$F$7,MouserListTable12[[#This Row],[Price (USD)]],0)</f>
        <v>6.95</v>
      </c>
      <c r="Z210" s="121">
        <f>MouserListTable12[[#This Row],[Tot '#]]*MouserListTable12[[#This Row],[Price (USD)]]</f>
        <v>34.75</v>
      </c>
    </row>
    <row r="211" spans="1:26" s="146" customFormat="1" x14ac:dyDescent="0.3">
      <c r="A211" s="103" t="s">
        <v>895</v>
      </c>
      <c r="B211" s="103" t="s">
        <v>1604</v>
      </c>
      <c r="C211" s="103" t="s">
        <v>8</v>
      </c>
      <c r="D211" s="106" t="str">
        <f>IF(MouserListTable12[[#This Row],[Vendor]]=FilterSpecs!$A$8,MouserListTable12[[#This Row],[Mouser SKU]], MouserListTable12[[#This Row],[SKU2]])</f>
        <v>BOB-13830</v>
      </c>
      <c r="E211" s="121">
        <f>MouserListTable12[[#This Row],[Tot '#]]-MouserListTable12[[#This Row],['# Initial]]</f>
        <v>0</v>
      </c>
      <c r="F211" s="121">
        <f>MouserListTable12[[#This Row],['#/Unit]]*FilterSpecs!$B$3+MouserListTable12[[#This Row],[Extra Initial]]</f>
        <v>5</v>
      </c>
      <c r="G211" s="103" t="s">
        <v>284</v>
      </c>
      <c r="H211" s="103" t="s">
        <v>285</v>
      </c>
      <c r="I211" s="103" t="s">
        <v>210</v>
      </c>
      <c r="J211" s="103">
        <v>1</v>
      </c>
      <c r="K211" s="171">
        <v>12.95</v>
      </c>
      <c r="L211" s="103" t="s">
        <v>1911</v>
      </c>
      <c r="M211" s="103"/>
      <c r="N211" s="171">
        <f>MouserListTable12[[#This Row],['# Initial]]*MouserListTable12[[#This Row],[Price (USD)]]</f>
        <v>64.75</v>
      </c>
      <c r="O211" s="106" t="s">
        <v>283</v>
      </c>
      <c r="P211" s="103">
        <f t="shared" ref="P211:P274" si="5">IF($P210="List #",1,$P210+1)</f>
        <v>193</v>
      </c>
      <c r="Q211" s="103">
        <f>IF($D211=$O211,1,0)</f>
        <v>1</v>
      </c>
      <c r="R211" s="103" t="s">
        <v>8</v>
      </c>
      <c r="S211" s="103" t="str">
        <f>_xlfn.IFS(MouserListTable12[[#This Row],[Supplier]]=FilterSpecs!$A$6, FilterSpecs!$B$6,MouserListTable12[[#This Row],[Supplier]]=FilterSpecs!$A$7,FilterSpecs!$B$7,MouserListTable12[[#This Row],[Supplier]]=FilterSpecs!$A$8,FilterSpecs!$B$8,MouserListTable12[[#This Row],[Supplier]]=FilterSpecs!$A$9,FilterSpecs!$B$9)</f>
        <v>474-</v>
      </c>
      <c r="T21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474-BOB-13830</v>
      </c>
      <c r="U211" s="121">
        <v>1</v>
      </c>
      <c r="V211" s="121">
        <v>0</v>
      </c>
      <c r="W211" s="121">
        <v>0</v>
      </c>
      <c r="X211" s="121">
        <f>MouserListTable12[[#This Row],['#/Unit]]*FilterSpecs!$C$3+MouserListTable12[[#This Row],[Extra]]</f>
        <v>5</v>
      </c>
      <c r="Y211" s="121">
        <f>IF(MouserListTable12[[#This Row],[Tag]]=FilterSpecs!$F$7,MouserListTable12[[#This Row],[Price (USD)]],0)</f>
        <v>12.95</v>
      </c>
      <c r="Z211" s="121">
        <f>MouserListTable12[[#This Row],[Tot '#]]*MouserListTable12[[#This Row],[Price (USD)]]</f>
        <v>64.75</v>
      </c>
    </row>
    <row r="212" spans="1:26" s="146" customFormat="1" hidden="1" x14ac:dyDescent="0.3">
      <c r="A212" s="126" t="s">
        <v>895</v>
      </c>
      <c r="B212" s="126" t="s">
        <v>1604</v>
      </c>
      <c r="C212" s="126" t="s">
        <v>8</v>
      </c>
      <c r="D212" s="106" t="str">
        <f>IF(MouserListTable12[[#This Row],[Vendor]]=FilterSpecs!$A$8,MouserListTable12[[#This Row],[Mouser SKU]], MouserListTable12[[#This Row],[SKU2]])</f>
        <v>BOB-12731</v>
      </c>
      <c r="E212" s="121">
        <f>MouserListTable12[[#This Row],[Tot '#]]-MouserListTable12[[#This Row],['# Initial]]</f>
        <v>0</v>
      </c>
      <c r="F212" s="121">
        <f>MouserListTable12[[#This Row],['#/Unit]]*FilterSpecs!$B$3+MouserListTable12[[#This Row],[Extra Initial]]</f>
        <v>0</v>
      </c>
      <c r="G212" s="103" t="s">
        <v>930</v>
      </c>
      <c r="H212" s="103" t="s">
        <v>931</v>
      </c>
      <c r="I212" s="103" t="s">
        <v>932</v>
      </c>
      <c r="J212" s="103">
        <v>1</v>
      </c>
      <c r="K212" s="171">
        <v>14.95</v>
      </c>
      <c r="L212" s="103" t="s">
        <v>1910</v>
      </c>
      <c r="M212" s="103"/>
      <c r="N212" s="171">
        <f>MouserListTable12[[#This Row],['# Initial]]*MouserListTable12[[#This Row],[Price (USD)]]</f>
        <v>0</v>
      </c>
      <c r="O212" s="106" t="s">
        <v>929</v>
      </c>
      <c r="P212" s="103">
        <f t="shared" si="5"/>
        <v>194</v>
      </c>
      <c r="Q212" s="103">
        <f>IF($D212=$O212,1,0)</f>
        <v>1</v>
      </c>
      <c r="R212" s="103" t="s">
        <v>8</v>
      </c>
      <c r="S212" s="103" t="str">
        <f>_xlfn.IFS(MouserListTable12[[#This Row],[Supplier]]=FilterSpecs!$A$6, FilterSpecs!$B$6,MouserListTable12[[#This Row],[Supplier]]=FilterSpecs!$A$7,FilterSpecs!$B$7,MouserListTable12[[#This Row],[Supplier]]=FilterSpecs!$A$8,FilterSpecs!$B$8,MouserListTable12[[#This Row],[Supplier]]=FilterSpecs!$A$9,FilterSpecs!$B$9)</f>
        <v>474-</v>
      </c>
      <c r="T21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474-BOB-12731</v>
      </c>
      <c r="U212" s="121">
        <v>0</v>
      </c>
      <c r="V212" s="121">
        <v>0</v>
      </c>
      <c r="W212" s="121">
        <v>0</v>
      </c>
      <c r="X212" s="121">
        <f>MouserListTable12[[#This Row],['#/Unit]]*FilterSpecs!$C$3+MouserListTable12[[#This Row],[Extra]]</f>
        <v>0</v>
      </c>
      <c r="Y212" s="121">
        <f>IF(MouserListTable12[[#This Row],[Tag]]=FilterSpecs!$F$7,MouserListTable12[[#This Row],[Price (USD)]],0)</f>
        <v>0</v>
      </c>
      <c r="Z212" s="121">
        <f>MouserListTable12[[#This Row],[Tot '#]]*MouserListTable12[[#This Row],[Price (USD)]]</f>
        <v>0</v>
      </c>
    </row>
    <row r="213" spans="1:26" s="146" customFormat="1" x14ac:dyDescent="0.3">
      <c r="A213" s="103" t="s">
        <v>895</v>
      </c>
      <c r="B213" s="103" t="s">
        <v>1604</v>
      </c>
      <c r="C213" s="103" t="s">
        <v>8</v>
      </c>
      <c r="D213" s="106" t="str">
        <f>IF(MouserListTable12[[#This Row],[Vendor]]=FilterSpecs!$A$8,MouserListTable12[[#This Row],[Mouser SKU]], MouserListTable12[[#This Row],[SKU2]])</f>
        <v>BOB-13263</v>
      </c>
      <c r="E213" s="121">
        <f>MouserListTable12[[#This Row],[Tot '#]]-MouserListTable12[[#This Row],['# Initial]]</f>
        <v>0</v>
      </c>
      <c r="F213" s="121">
        <f>MouserListTable12[[#This Row],['#/Unit]]*FilterSpecs!$B$3+MouserListTable12[[#This Row],[Extra Initial]]</f>
        <v>1</v>
      </c>
      <c r="G213" s="103" t="s">
        <v>1016</v>
      </c>
      <c r="H213" s="103" t="s">
        <v>1017</v>
      </c>
      <c r="I213" s="103" t="s">
        <v>1018</v>
      </c>
      <c r="J213" s="103">
        <v>1</v>
      </c>
      <c r="K213" s="171">
        <v>11.95</v>
      </c>
      <c r="L213" s="103" t="s">
        <v>1910</v>
      </c>
      <c r="M213" s="103"/>
      <c r="N213" s="171">
        <f>MouserListTable12[[#This Row],['# Initial]]*MouserListTable12[[#This Row],[Price (USD)]]</f>
        <v>11.95</v>
      </c>
      <c r="O213" s="106" t="s">
        <v>1015</v>
      </c>
      <c r="P213" s="103">
        <f t="shared" si="5"/>
        <v>195</v>
      </c>
      <c r="Q213" s="103">
        <f>IF($D213=$O213,1,0)</f>
        <v>1</v>
      </c>
      <c r="R213" s="103" t="s">
        <v>8</v>
      </c>
      <c r="S213" s="103" t="str">
        <f>_xlfn.IFS(MouserListTable12[[#This Row],[Supplier]]=FilterSpecs!$A$6, FilterSpecs!$B$6,MouserListTable12[[#This Row],[Supplier]]=FilterSpecs!$A$7,FilterSpecs!$B$7,MouserListTable12[[#This Row],[Supplier]]=FilterSpecs!$A$8,FilterSpecs!$B$8,MouserListTable12[[#This Row],[Supplier]]=FilterSpecs!$A$9,FilterSpecs!$B$9)</f>
        <v>474-</v>
      </c>
      <c r="T21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474-BOB-13263</v>
      </c>
      <c r="U213" s="121">
        <v>0</v>
      </c>
      <c r="V213" s="121">
        <v>1</v>
      </c>
      <c r="W213" s="121">
        <v>1</v>
      </c>
      <c r="X213" s="121">
        <f>MouserListTable12[[#This Row],['#/Unit]]*FilterSpecs!$C$3+MouserListTable12[[#This Row],[Extra]]</f>
        <v>1</v>
      </c>
      <c r="Y213" s="121">
        <f>IF(MouserListTable12[[#This Row],[Tag]]=FilterSpecs!$F$7,MouserListTable12[[#This Row],[Price (USD)]],0)</f>
        <v>0</v>
      </c>
      <c r="Z213" s="121">
        <f>MouserListTable12[[#This Row],[Tot '#]]*MouserListTable12[[#This Row],[Price (USD)]]</f>
        <v>11.95</v>
      </c>
    </row>
    <row r="214" spans="1:26" s="146" customFormat="1" x14ac:dyDescent="0.3">
      <c r="A214" s="103" t="s">
        <v>895</v>
      </c>
      <c r="B214" s="103" t="s">
        <v>1604</v>
      </c>
      <c r="C214" s="103" t="s">
        <v>8</v>
      </c>
      <c r="D214" s="106" t="str">
        <f>IF(MouserListTable12[[#This Row],[Vendor]]=FilterSpecs!$A$8,MouserListTable12[[#This Row],[Mouser SKU]], MouserListTable12[[#This Row],[SKU2]])</f>
        <v>DEV-12935</v>
      </c>
      <c r="E214" s="121">
        <f>MouserListTable12[[#This Row],[Tot '#]]-MouserListTable12[[#This Row],['# Initial]]</f>
        <v>0</v>
      </c>
      <c r="F214" s="121">
        <f>MouserListTable12[[#This Row],['#/Unit]]*FilterSpecs!$B$3+MouserListTable12[[#This Row],[Extra Initial]]</f>
        <v>1</v>
      </c>
      <c r="G214" s="103" t="s">
        <v>1020</v>
      </c>
      <c r="H214" s="103" t="s">
        <v>1021</v>
      </c>
      <c r="I214" s="103" t="s">
        <v>1022</v>
      </c>
      <c r="J214" s="103">
        <v>1</v>
      </c>
      <c r="K214" s="171">
        <v>19.95</v>
      </c>
      <c r="L214" s="103" t="s">
        <v>1910</v>
      </c>
      <c r="M214" s="103"/>
      <c r="N214" s="171">
        <f>MouserListTable12[[#This Row],['# Initial]]*MouserListTable12[[#This Row],[Price (USD)]]</f>
        <v>19.95</v>
      </c>
      <c r="O214" s="106" t="s">
        <v>1019</v>
      </c>
      <c r="P214" s="103">
        <f t="shared" si="5"/>
        <v>196</v>
      </c>
      <c r="Q214" s="103">
        <f>IF($D214=$O214,1,0)</f>
        <v>1</v>
      </c>
      <c r="R214" s="103" t="s">
        <v>8</v>
      </c>
      <c r="S214" s="103" t="str">
        <f>_xlfn.IFS(MouserListTable12[[#This Row],[Supplier]]=FilterSpecs!$A$6, FilterSpecs!$B$6,MouserListTable12[[#This Row],[Supplier]]=FilterSpecs!$A$7,FilterSpecs!$B$7,MouserListTable12[[#This Row],[Supplier]]=FilterSpecs!$A$8,FilterSpecs!$B$8,MouserListTable12[[#This Row],[Supplier]]=FilterSpecs!$A$9,FilterSpecs!$B$9)</f>
        <v>474-</v>
      </c>
      <c r="T21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474-DEV-12935</v>
      </c>
      <c r="U214" s="121">
        <v>0</v>
      </c>
      <c r="V214" s="121">
        <v>1</v>
      </c>
      <c r="W214" s="121">
        <v>1</v>
      </c>
      <c r="X214" s="121">
        <f>MouserListTable12[[#This Row],['#/Unit]]*FilterSpecs!$C$3+MouserListTable12[[#This Row],[Extra]]</f>
        <v>1</v>
      </c>
      <c r="Y214" s="121">
        <f>IF(MouserListTable12[[#This Row],[Tag]]=FilterSpecs!$F$7,MouserListTable12[[#This Row],[Price (USD)]],0)</f>
        <v>0</v>
      </c>
      <c r="Z214" s="121">
        <f>MouserListTable12[[#This Row],[Tot '#]]*MouserListTable12[[#This Row],[Price (USD)]]</f>
        <v>19.95</v>
      </c>
    </row>
    <row r="215" spans="1:26" s="146" customFormat="1" hidden="1" x14ac:dyDescent="0.3">
      <c r="A215" s="103" t="s">
        <v>1070</v>
      </c>
      <c r="B215" s="103" t="s">
        <v>1603</v>
      </c>
      <c r="C215" s="103" t="s">
        <v>8</v>
      </c>
      <c r="D215" s="106" t="str">
        <f>IF(MouserListTable12[[#This Row],[Vendor]]=FilterSpecs!$A$8,MouserListTable12[[#This Row],[Mouser SKU]], MouserListTable12[[#This Row],[SKU2]])</f>
        <v>PRT-12885</v>
      </c>
      <c r="E215" s="121">
        <f>MouserListTable12[[#This Row],[Tot '#]]-MouserListTable12[[#This Row],['# Initial]]</f>
        <v>1</v>
      </c>
      <c r="F215" s="121">
        <f>MouserListTable12[[#This Row],['#/Unit]]*FilterSpecs!$B$3+MouserListTable12[[#This Row],[Extra Initial]]</f>
        <v>0</v>
      </c>
      <c r="G215" s="103" t="s">
        <v>1528</v>
      </c>
      <c r="H215" s="103" t="s">
        <v>1529</v>
      </c>
      <c r="I215" s="103" t="s">
        <v>1530</v>
      </c>
      <c r="J215" s="103">
        <v>1</v>
      </c>
      <c r="K215" s="171">
        <v>24.95</v>
      </c>
      <c r="L215" s="103" t="s">
        <v>1914</v>
      </c>
      <c r="M215" s="106"/>
      <c r="N215" s="171">
        <f>MouserListTable12[[#This Row],['# Initial]]*MouserListTable12[[#This Row],[Price (USD)]]</f>
        <v>0</v>
      </c>
      <c r="O215" s="106" t="s">
        <v>1527</v>
      </c>
      <c r="P215" s="103">
        <f t="shared" si="5"/>
        <v>197</v>
      </c>
      <c r="Q215" s="103">
        <f>IF($D215=$O215,1,0)</f>
        <v>1</v>
      </c>
      <c r="R215" s="103" t="s">
        <v>8</v>
      </c>
      <c r="S215" s="103" t="str">
        <f>_xlfn.IFS(MouserListTable12[[#This Row],[Supplier]]=FilterSpecs!$A$6, FilterSpecs!$B$6,MouserListTable12[[#This Row],[Supplier]]=FilterSpecs!$A$7,FilterSpecs!$B$7,MouserListTable12[[#This Row],[Supplier]]=FilterSpecs!$A$8,FilterSpecs!$B$8,MouserListTable12[[#This Row],[Supplier]]=FilterSpecs!$A$9,FilterSpecs!$B$9)</f>
        <v>474-</v>
      </c>
      <c r="T21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474-PRT-12885</v>
      </c>
      <c r="U215" s="121">
        <v>0</v>
      </c>
      <c r="V215" s="121">
        <v>1</v>
      </c>
      <c r="W215" s="121">
        <v>0</v>
      </c>
      <c r="X215" s="121">
        <f>MouserListTable12[[#This Row],['#/Unit]]*FilterSpecs!$C$3+MouserListTable12[[#This Row],[Extra]]</f>
        <v>1</v>
      </c>
      <c r="Y215" s="121">
        <f>IF(MouserListTable12[[#This Row],[Tag]]=FilterSpecs!$F$7,MouserListTable12[[#This Row],[Price (USD)]],0)</f>
        <v>0</v>
      </c>
      <c r="Z215" s="121">
        <f>MouserListTable12[[#This Row],[Tot '#]]*MouserListTable12[[#This Row],[Price (USD)]]</f>
        <v>24.95</v>
      </c>
    </row>
    <row r="216" spans="1:26" s="146" customFormat="1" hidden="1" x14ac:dyDescent="0.3">
      <c r="A216" s="103" t="s">
        <v>1070</v>
      </c>
      <c r="B216" s="103" t="s">
        <v>1013</v>
      </c>
      <c r="C216" s="103" t="s">
        <v>8</v>
      </c>
      <c r="D216" s="106" t="str">
        <f>IF(MouserListTable12[[#This Row],[Vendor]]=FilterSpecs!$A$8,MouserListTable12[[#This Row],[Mouser SKU]], MouserListTable12[[#This Row],[SKU2]])</f>
        <v>GPS-00177</v>
      </c>
      <c r="E216" s="121">
        <f>MouserListTable12[[#This Row],[Tot '#]]-MouserListTable12[[#This Row],['# Initial]]</f>
        <v>1</v>
      </c>
      <c r="F216" s="121">
        <f>MouserListTable12[[#This Row],['#/Unit]]*FilterSpecs!$B$3+MouserListTable12[[#This Row],[Extra Initial]]</f>
        <v>0</v>
      </c>
      <c r="G216" s="103" t="s">
        <v>950</v>
      </c>
      <c r="H216" s="103" t="s">
        <v>951</v>
      </c>
      <c r="I216" s="103" t="s">
        <v>952</v>
      </c>
      <c r="J216" s="103"/>
      <c r="K216" s="171">
        <v>11.95</v>
      </c>
      <c r="L216" s="103" t="s">
        <v>1914</v>
      </c>
      <c r="M216" s="103" t="s">
        <v>1063</v>
      </c>
      <c r="N216" s="171">
        <f>MouserListTable12[[#This Row],['# Initial]]*MouserListTable12[[#This Row],[Price (USD)]]</f>
        <v>0</v>
      </c>
      <c r="O216" s="106" t="s">
        <v>949</v>
      </c>
      <c r="P216" s="103">
        <f t="shared" si="5"/>
        <v>198</v>
      </c>
      <c r="Q216" s="103">
        <f>IF($D216=$O216,1,0)</f>
        <v>1</v>
      </c>
      <c r="R216" s="103" t="s">
        <v>8</v>
      </c>
      <c r="S216" s="103" t="str">
        <f>_xlfn.IFS(MouserListTable12[[#This Row],[Supplier]]=FilterSpecs!$A$6, FilterSpecs!$B$6,MouserListTable12[[#This Row],[Supplier]]=FilterSpecs!$A$7,FilterSpecs!$B$7,MouserListTable12[[#This Row],[Supplier]]=FilterSpecs!$A$8,FilterSpecs!$B$8,MouserListTable12[[#This Row],[Supplier]]=FilterSpecs!$A$9,FilterSpecs!$B$9)</f>
        <v>474-</v>
      </c>
      <c r="T21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474-GPS-00177</v>
      </c>
      <c r="U216" s="121">
        <v>0</v>
      </c>
      <c r="V216" s="121">
        <v>1</v>
      </c>
      <c r="W216" s="121">
        <v>0</v>
      </c>
      <c r="X216" s="121">
        <f>MouserListTable12[[#This Row],['#/Unit]]*FilterSpecs!$C$3+MouserListTable12[[#This Row],[Extra]]</f>
        <v>1</v>
      </c>
      <c r="Y216" s="121">
        <f>IF(MouserListTable12[[#This Row],[Tag]]=FilterSpecs!$F$7,MouserListTable12[[#This Row],[Price (USD)]],0)</f>
        <v>0</v>
      </c>
      <c r="Z216" s="121">
        <f>MouserListTable12[[#This Row],[Tot '#]]*MouserListTable12[[#This Row],[Price (USD)]]</f>
        <v>11.95</v>
      </c>
    </row>
    <row r="217" spans="1:26" s="153" customFormat="1" hidden="1" x14ac:dyDescent="0.3">
      <c r="A217" s="103" t="s">
        <v>1070</v>
      </c>
      <c r="B217" s="103" t="s">
        <v>1013</v>
      </c>
      <c r="C217" s="103" t="s">
        <v>8</v>
      </c>
      <c r="D217" s="106" t="str">
        <f>IF(MouserListTable12[[#This Row],[Vendor]]=FilterSpecs!$A$8,MouserListTable12[[#This Row],[Mouser SKU]], MouserListTable12[[#This Row],[SKU2]])</f>
        <v>SPX-14416</v>
      </c>
      <c r="E217" s="121">
        <f>MouserListTable12[[#This Row],[Tot '#]]-MouserListTable12[[#This Row],['# Initial]]</f>
        <v>1</v>
      </c>
      <c r="F217" s="121">
        <f>MouserListTable12[[#This Row],['#/Unit]]*FilterSpecs!$B$3+MouserListTable12[[#This Row],[Extra Initial]]</f>
        <v>0</v>
      </c>
      <c r="G217" s="103" t="s">
        <v>970</v>
      </c>
      <c r="H217" s="103" t="s">
        <v>971</v>
      </c>
      <c r="I217" s="103" t="s">
        <v>972</v>
      </c>
      <c r="J217" s="103">
        <v>1</v>
      </c>
      <c r="K217" s="171">
        <v>49.95</v>
      </c>
      <c r="L217" s="103" t="s">
        <v>1914</v>
      </c>
      <c r="M217" s="103" t="s">
        <v>1056</v>
      </c>
      <c r="N217" s="171">
        <f>MouserListTable12[[#This Row],['# Initial]]*MouserListTable12[[#This Row],[Price (USD)]]</f>
        <v>0</v>
      </c>
      <c r="O217" s="106" t="s">
        <v>969</v>
      </c>
      <c r="P217" s="103">
        <f t="shared" si="5"/>
        <v>199</v>
      </c>
      <c r="Q217" s="103">
        <f>IF($D217=$O217,1,0)</f>
        <v>1</v>
      </c>
      <c r="R217" s="103" t="s">
        <v>8</v>
      </c>
      <c r="S217" s="103" t="str">
        <f>_xlfn.IFS(MouserListTable12[[#This Row],[Supplier]]=FilterSpecs!$A$6, FilterSpecs!$B$6,MouserListTable12[[#This Row],[Supplier]]=FilterSpecs!$A$7,FilterSpecs!$B$7,MouserListTable12[[#This Row],[Supplier]]=FilterSpecs!$A$8,FilterSpecs!$B$8,MouserListTable12[[#This Row],[Supplier]]=FilterSpecs!$A$9,FilterSpecs!$B$9)</f>
        <v>474-</v>
      </c>
      <c r="T21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474-SPX-14416</v>
      </c>
      <c r="U217" s="121">
        <v>0</v>
      </c>
      <c r="V217" s="121">
        <v>1</v>
      </c>
      <c r="W217" s="121">
        <v>0</v>
      </c>
      <c r="X217" s="121">
        <f>MouserListTable12[[#This Row],['#/Unit]]*FilterSpecs!$C$3+MouserListTable12[[#This Row],[Extra]]</f>
        <v>1</v>
      </c>
      <c r="Y217" s="121">
        <f>IF(MouserListTable12[[#This Row],[Tag]]=FilterSpecs!$F$7,MouserListTable12[[#This Row],[Price (USD)]],0)</f>
        <v>0</v>
      </c>
      <c r="Z217" s="121">
        <f>MouserListTable12[[#This Row],[Tot '#]]*MouserListTable12[[#This Row],[Price (USD)]]</f>
        <v>49.95</v>
      </c>
    </row>
    <row r="218" spans="1:26" s="153" customFormat="1" hidden="1" x14ac:dyDescent="0.3">
      <c r="A218" s="126" t="s">
        <v>1070</v>
      </c>
      <c r="B218" s="157" t="s">
        <v>1013</v>
      </c>
      <c r="C218" s="157" t="s">
        <v>8</v>
      </c>
      <c r="D218" s="106" t="str">
        <f>IF(MouserListTable12[[#This Row],[Vendor]]=FilterSpecs!$A$8,MouserListTable12[[#This Row],[Mouser SKU]], MouserListTable12[[#This Row],[SKU2]])</f>
        <v>GPS-13750</v>
      </c>
      <c r="E218" s="121">
        <f>MouserListTable12[[#This Row],[Tot '#]]-MouserListTable12[[#This Row],['# Initial]]</f>
        <v>0</v>
      </c>
      <c r="F218" s="121">
        <f>MouserListTable12[[#This Row],['#/Unit]]*FilterSpecs!$B$3+MouserListTable12[[#This Row],[Extra Initial]]</f>
        <v>0</v>
      </c>
      <c r="G218" s="103" t="s">
        <v>990</v>
      </c>
      <c r="H218" s="103" t="s">
        <v>991</v>
      </c>
      <c r="I218" s="103" t="s">
        <v>992</v>
      </c>
      <c r="J218" s="103">
        <v>1</v>
      </c>
      <c r="K218" s="171">
        <v>44.95</v>
      </c>
      <c r="L218" s="103" t="s">
        <v>1914</v>
      </c>
      <c r="M218" s="103" t="s">
        <v>1057</v>
      </c>
      <c r="N218" s="171">
        <f>MouserListTable12[[#This Row],['# Initial]]*MouserListTable12[[#This Row],[Price (USD)]]</f>
        <v>0</v>
      </c>
      <c r="O218" s="106" t="s">
        <v>989</v>
      </c>
      <c r="P218" s="103">
        <f t="shared" si="5"/>
        <v>200</v>
      </c>
      <c r="Q218" s="103">
        <f>IF($D218=$O218,1,0)</f>
        <v>1</v>
      </c>
      <c r="R218" s="154" t="s">
        <v>8</v>
      </c>
      <c r="S218" s="103" t="str">
        <f>_xlfn.IFS(MouserListTable12[[#This Row],[Supplier]]=FilterSpecs!$A$6, FilterSpecs!$B$6,MouserListTable12[[#This Row],[Supplier]]=FilterSpecs!$A$7,FilterSpecs!$B$7,MouserListTable12[[#This Row],[Supplier]]=FilterSpecs!$A$8,FilterSpecs!$B$8,MouserListTable12[[#This Row],[Supplier]]=FilterSpecs!$A$9,FilterSpecs!$B$9)</f>
        <v>474-</v>
      </c>
      <c r="T21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474-GPS-13750</v>
      </c>
      <c r="U218" s="121">
        <v>0</v>
      </c>
      <c r="V218" s="121">
        <v>0</v>
      </c>
      <c r="W218" s="121">
        <v>0</v>
      </c>
      <c r="X218" s="121">
        <f>MouserListTable12[[#This Row],['#/Unit]]*FilterSpecs!$C$3+MouserListTable12[[#This Row],[Extra]]</f>
        <v>0</v>
      </c>
      <c r="Y218" s="121">
        <f>IF(MouserListTable12[[#This Row],[Tag]]=FilterSpecs!$F$7,MouserListTable12[[#This Row],[Price (USD)]],0)</f>
        <v>0</v>
      </c>
      <c r="Z218" s="121">
        <f>MouserListTable12[[#This Row],[Tot '#]]*MouserListTable12[[#This Row],[Price (USD)]]</f>
        <v>0</v>
      </c>
    </row>
    <row r="219" spans="1:26" s="153" customFormat="1" hidden="1" x14ac:dyDescent="0.3">
      <c r="A219" s="103" t="s">
        <v>1070</v>
      </c>
      <c r="B219" s="103" t="s">
        <v>1013</v>
      </c>
      <c r="C219" s="103" t="s">
        <v>8</v>
      </c>
      <c r="D219" s="106" t="str">
        <f>IF(MouserListTable12[[#This Row],[Vendor]]=FilterSpecs!$A$8,MouserListTable12[[#This Row],[Mouser SKU]], MouserListTable12[[#This Row],[SKU2]])</f>
        <v>GPS-10920</v>
      </c>
      <c r="E219" s="121">
        <f>MouserListTable12[[#This Row],[Tot '#]]-MouserListTable12[[#This Row],['# Initial]]</f>
        <v>1</v>
      </c>
      <c r="F219" s="121">
        <f>MouserListTable12[[#This Row],['#/Unit]]*FilterSpecs!$B$3+MouserListTable12[[#This Row],[Extra Initial]]</f>
        <v>0</v>
      </c>
      <c r="G219" s="103" t="s">
        <v>954</v>
      </c>
      <c r="H219" s="103" t="s">
        <v>955</v>
      </c>
      <c r="I219" s="103" t="s">
        <v>956</v>
      </c>
      <c r="J219" s="103">
        <v>1</v>
      </c>
      <c r="K219" s="171">
        <v>59.95</v>
      </c>
      <c r="L219" s="103" t="s">
        <v>1914</v>
      </c>
      <c r="M219" s="103" t="s">
        <v>1057</v>
      </c>
      <c r="N219" s="171">
        <f>MouserListTable12[[#This Row],['# Initial]]*MouserListTable12[[#This Row],[Price (USD)]]</f>
        <v>0</v>
      </c>
      <c r="O219" s="106" t="s">
        <v>953</v>
      </c>
      <c r="P219" s="103">
        <f t="shared" si="5"/>
        <v>201</v>
      </c>
      <c r="Q219" s="103">
        <f>IF($D219=$O219,1,0)</f>
        <v>1</v>
      </c>
      <c r="R219" s="103" t="s">
        <v>8</v>
      </c>
      <c r="S219" s="103" t="str">
        <f>_xlfn.IFS(MouserListTable12[[#This Row],[Supplier]]=FilterSpecs!$A$6, FilterSpecs!$B$6,MouserListTable12[[#This Row],[Supplier]]=FilterSpecs!$A$7,FilterSpecs!$B$7,MouserListTable12[[#This Row],[Supplier]]=FilterSpecs!$A$8,FilterSpecs!$B$8,MouserListTable12[[#This Row],[Supplier]]=FilterSpecs!$A$9,FilterSpecs!$B$9)</f>
        <v>474-</v>
      </c>
      <c r="T21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474-GPS-10920</v>
      </c>
      <c r="U219" s="121">
        <v>0</v>
      </c>
      <c r="V219" s="121">
        <v>1</v>
      </c>
      <c r="W219" s="121">
        <v>0</v>
      </c>
      <c r="X219" s="121">
        <f>MouserListTable12[[#This Row],['#/Unit]]*FilterSpecs!$C$3+MouserListTable12[[#This Row],[Extra]]</f>
        <v>1</v>
      </c>
      <c r="Y219" s="121">
        <f>IF(MouserListTable12[[#This Row],[Tag]]=FilterSpecs!$F$7,MouserListTable12[[#This Row],[Price (USD)]],0)</f>
        <v>0</v>
      </c>
      <c r="Z219" s="121">
        <f>MouserListTable12[[#This Row],[Tot '#]]*MouserListTable12[[#This Row],[Price (USD)]]</f>
        <v>59.95</v>
      </c>
    </row>
    <row r="220" spans="1:26" s="144" customFormat="1" hidden="1" x14ac:dyDescent="0.3">
      <c r="A220" s="103" t="s">
        <v>1070</v>
      </c>
      <c r="B220" s="103" t="s">
        <v>1013</v>
      </c>
      <c r="C220" s="103" t="s">
        <v>1898</v>
      </c>
      <c r="D220" s="106" t="str">
        <f>IF(MouserListTable12[[#This Row],[Vendor]]=FilterSpecs!$A$8,MouserListTable12[[#This Row],[Mouser SKU]], MouserListTable12[[#This Row],[SKU2]])</f>
        <v>1272</v>
      </c>
      <c r="E220" s="121">
        <f>MouserListTable12[[#This Row],[Tot '#]]-MouserListTable12[[#This Row],['# Initial]]</f>
        <v>0</v>
      </c>
      <c r="F220" s="121">
        <f>MouserListTable12[[#This Row],['#/Unit]]*FilterSpecs!$B$3+MouserListTable12[[#This Row],[Extra Initial]]</f>
        <v>0</v>
      </c>
      <c r="G220" s="103"/>
      <c r="H220" s="103"/>
      <c r="I220" s="103" t="s">
        <v>2095</v>
      </c>
      <c r="J220" s="103"/>
      <c r="K220" s="171">
        <v>44.95</v>
      </c>
      <c r="L220" s="103" t="s">
        <v>1910</v>
      </c>
      <c r="M220" s="146"/>
      <c r="N220" s="171">
        <f>MouserListTable12[[#This Row],['# Initial]]*MouserListTable12[[#This Row],[Price (USD)]]</f>
        <v>0</v>
      </c>
      <c r="O220" s="106" t="s">
        <v>2094</v>
      </c>
      <c r="P220" s="103">
        <f t="shared" si="5"/>
        <v>202</v>
      </c>
      <c r="Q220" s="103">
        <f>IF($D220=$O220,1,0)</f>
        <v>1</v>
      </c>
      <c r="R220" s="103" t="s">
        <v>1898</v>
      </c>
      <c r="S220" s="103" t="str">
        <f>_xlfn.IFS(MouserListTable12[[#This Row],[Supplier]]=FilterSpecs!$A$6, FilterSpecs!$B$6,MouserListTable12[[#This Row],[Supplier]]=FilterSpecs!$A$7,FilterSpecs!$B$7,MouserListTable12[[#This Row],[Supplier]]=FilterSpecs!$A$8,FilterSpecs!$B$8,MouserListTable12[[#This Row],[Supplier]]=FilterSpecs!$A$9,FilterSpecs!$B$9)</f>
        <v>485-</v>
      </c>
      <c r="T22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485-1272</v>
      </c>
      <c r="U220" s="121">
        <v>0</v>
      </c>
      <c r="V220" s="121">
        <v>0</v>
      </c>
      <c r="W220" s="121">
        <v>0</v>
      </c>
      <c r="X220" s="121">
        <f>MouserListTable12[[#This Row],['#/Unit]]*FilterSpecs!$C$3+MouserListTable12[[#This Row],[Extra]]</f>
        <v>0</v>
      </c>
      <c r="Y220" s="121">
        <f>IF(MouserListTable12[[#This Row],[Tag]]=FilterSpecs!$F$7,MouserListTable12[[#This Row],[Price (USD)]],0)</f>
        <v>0</v>
      </c>
      <c r="Z220" s="121">
        <f>MouserListTable12[[#This Row],[Tot '#]]*MouserListTable12[[#This Row],[Price (USD)]]</f>
        <v>0</v>
      </c>
    </row>
    <row r="221" spans="1:26" s="144" customFormat="1" hidden="1" x14ac:dyDescent="0.3">
      <c r="A221" s="103" t="s">
        <v>1070</v>
      </c>
      <c r="B221" s="103" t="s">
        <v>2065</v>
      </c>
      <c r="C221" s="103" t="s">
        <v>1898</v>
      </c>
      <c r="D221" s="106" t="str">
        <f>IF(MouserListTable12[[#This Row],[Vendor]]=FilterSpecs!$A$8,MouserListTable12[[#This Row],[Mouser SKU]], MouserListTable12[[#This Row],[SKU2]])</f>
        <v>2468</v>
      </c>
      <c r="E221" s="121">
        <f>MouserListTable12[[#This Row],[Tot '#]]-MouserListTable12[[#This Row],['# Initial]]</f>
        <v>1</v>
      </c>
      <c r="F221" s="121">
        <f>MouserListTable12[[#This Row],['#/Unit]]*FilterSpecs!$B$3+MouserListTable12[[#This Row],[Extra Initial]]</f>
        <v>0</v>
      </c>
      <c r="G221" s="103"/>
      <c r="H221" s="103"/>
      <c r="I221" s="103" t="s">
        <v>2072</v>
      </c>
      <c r="J221" s="103"/>
      <c r="K221" s="171">
        <v>39.950000000000003</v>
      </c>
      <c r="L221" s="103" t="s">
        <v>1910</v>
      </c>
      <c r="M221" s="106"/>
      <c r="N221" s="171">
        <f>MouserListTable12[[#This Row],['# Initial]]*MouserListTable12[[#This Row],[Price (USD)]]</f>
        <v>0</v>
      </c>
      <c r="O221" s="106" t="s">
        <v>2073</v>
      </c>
      <c r="P221" s="103">
        <f t="shared" si="5"/>
        <v>203</v>
      </c>
      <c r="Q221" s="103">
        <f>IF($D221=$O221,1,0)</f>
        <v>1</v>
      </c>
      <c r="R221" s="103" t="s">
        <v>1898</v>
      </c>
      <c r="S221" s="103" t="str">
        <f>_xlfn.IFS(MouserListTable12[[#This Row],[Supplier]]=FilterSpecs!$A$6, FilterSpecs!$B$6,MouserListTable12[[#This Row],[Supplier]]=FilterSpecs!$A$7,FilterSpecs!$B$7,MouserListTable12[[#This Row],[Supplier]]=FilterSpecs!$A$8,FilterSpecs!$B$8,MouserListTable12[[#This Row],[Supplier]]=FilterSpecs!$A$9,FilterSpecs!$B$9)</f>
        <v>485-</v>
      </c>
      <c r="T22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485-2468</v>
      </c>
      <c r="U221" s="121">
        <v>0</v>
      </c>
      <c r="V221" s="121">
        <v>1</v>
      </c>
      <c r="W221" s="121">
        <v>0</v>
      </c>
      <c r="X221" s="121">
        <f>MouserListTable12[[#This Row],['#/Unit]]*FilterSpecs!$C$3+MouserListTable12[[#This Row],[Extra]]</f>
        <v>1</v>
      </c>
      <c r="Y221" s="121">
        <f>IF(MouserListTable12[[#This Row],[Tag]]=FilterSpecs!$F$7,MouserListTable12[[#This Row],[Price (USD)]],0)</f>
        <v>0</v>
      </c>
      <c r="Z221" s="121">
        <f>MouserListTable12[[#This Row],[Tot '#]]*MouserListTable12[[#This Row],[Price (USD)]]</f>
        <v>39.950000000000003</v>
      </c>
    </row>
    <row r="222" spans="1:26" s="144" customFormat="1" hidden="1" x14ac:dyDescent="0.3">
      <c r="A222" s="103" t="s">
        <v>1070</v>
      </c>
      <c r="B222" s="103" t="s">
        <v>2065</v>
      </c>
      <c r="C222" s="103" t="s">
        <v>1898</v>
      </c>
      <c r="D222" s="106" t="str">
        <f>IF(MouserListTable12[[#This Row],[Vendor]]=FilterSpecs!$A$8,MouserListTable12[[#This Row],[Mouser SKU]], MouserListTable12[[#This Row],[SKU2]])</f>
        <v>2505</v>
      </c>
      <c r="E222" s="121">
        <f>MouserListTable12[[#This Row],[Tot '#]]-MouserListTable12[[#This Row],['# Initial]]</f>
        <v>1</v>
      </c>
      <c r="F222" s="121">
        <f>MouserListTable12[[#This Row],['#/Unit]]*FilterSpecs!$B$3+MouserListTable12[[#This Row],[Extra Initial]]</f>
        <v>0</v>
      </c>
      <c r="G222" s="103"/>
      <c r="H222" s="103"/>
      <c r="I222" s="103" t="s">
        <v>2070</v>
      </c>
      <c r="J222" s="146"/>
      <c r="K222" s="171">
        <v>9</v>
      </c>
      <c r="L222" s="103" t="s">
        <v>1910</v>
      </c>
      <c r="M222" s="106"/>
      <c r="N222" s="171">
        <f>MouserListTable12[[#This Row],['# Initial]]*MouserListTable12[[#This Row],[Price (USD)]]</f>
        <v>0</v>
      </c>
      <c r="O222" s="106" t="s">
        <v>2071</v>
      </c>
      <c r="P222" s="103">
        <f t="shared" si="5"/>
        <v>204</v>
      </c>
      <c r="Q222" s="103">
        <f>IF($D222=$O222,1,0)</f>
        <v>1</v>
      </c>
      <c r="R222" s="103" t="s">
        <v>1898</v>
      </c>
      <c r="S222" s="103" t="str">
        <f>_xlfn.IFS(MouserListTable12[[#This Row],[Supplier]]=FilterSpecs!$A$6, FilterSpecs!$B$6,MouserListTable12[[#This Row],[Supplier]]=FilterSpecs!$A$7,FilterSpecs!$B$7,MouserListTable12[[#This Row],[Supplier]]=FilterSpecs!$A$8,FilterSpecs!$B$8,MouserListTable12[[#This Row],[Supplier]]=FilterSpecs!$A$9,FilterSpecs!$B$9)</f>
        <v>485-</v>
      </c>
      <c r="T22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485-2505</v>
      </c>
      <c r="U222" s="121">
        <v>0</v>
      </c>
      <c r="V222" s="121">
        <v>1</v>
      </c>
      <c r="W222" s="121">
        <v>0</v>
      </c>
      <c r="X222" s="121">
        <f>MouserListTable12[[#This Row],['#/Unit]]*FilterSpecs!$C$3+MouserListTable12[[#This Row],[Extra]]</f>
        <v>1</v>
      </c>
      <c r="Y222" s="121">
        <f>IF(MouserListTable12[[#This Row],[Tag]]=FilterSpecs!$F$7,MouserListTable12[[#This Row],[Price (USD)]],0)</f>
        <v>0</v>
      </c>
      <c r="Z222" s="121">
        <f>MouserListTable12[[#This Row],[Tot '#]]*MouserListTable12[[#This Row],[Price (USD)]]</f>
        <v>9</v>
      </c>
    </row>
    <row r="223" spans="1:26" s="144" customFormat="1" hidden="1" x14ac:dyDescent="0.3">
      <c r="A223" s="103" t="s">
        <v>1070</v>
      </c>
      <c r="B223" s="103" t="s">
        <v>2065</v>
      </c>
      <c r="C223" s="103" t="s">
        <v>1898</v>
      </c>
      <c r="D223" s="106" t="str">
        <f>IF(MouserListTable12[[#This Row],[Vendor]]=FilterSpecs!$A$8,MouserListTable12[[#This Row],[Mouser SKU]], MouserListTable12[[#This Row],[SKU2]])</f>
        <v>1991</v>
      </c>
      <c r="E223" s="121">
        <f>MouserListTable12[[#This Row],[Tot '#]]-MouserListTable12[[#This Row],['# Initial]]</f>
        <v>1</v>
      </c>
      <c r="F223" s="121">
        <f>MouserListTable12[[#This Row],['#/Unit]]*FilterSpecs!$B$3+MouserListTable12[[#This Row],[Extra Initial]]</f>
        <v>0</v>
      </c>
      <c r="G223" s="103"/>
      <c r="H223" s="103"/>
      <c r="I223" s="103" t="s">
        <v>2068</v>
      </c>
      <c r="J223" s="146"/>
      <c r="K223" s="171">
        <v>2.95</v>
      </c>
      <c r="L223" s="103" t="s">
        <v>1910</v>
      </c>
      <c r="M223" s="106"/>
      <c r="N223" s="171">
        <f>MouserListTable12[[#This Row],['# Initial]]*MouserListTable12[[#This Row],[Price (USD)]]</f>
        <v>0</v>
      </c>
      <c r="O223" s="106" t="s">
        <v>2069</v>
      </c>
      <c r="P223" s="103">
        <f t="shared" si="5"/>
        <v>205</v>
      </c>
      <c r="Q223" s="103">
        <f>IF($D223=$O223,1,0)</f>
        <v>1</v>
      </c>
      <c r="R223" s="103" t="s">
        <v>1898</v>
      </c>
      <c r="S223" s="103" t="str">
        <f>_xlfn.IFS(MouserListTable12[[#This Row],[Supplier]]=FilterSpecs!$A$6, FilterSpecs!$B$6,MouserListTable12[[#This Row],[Supplier]]=FilterSpecs!$A$7,FilterSpecs!$B$7,MouserListTable12[[#This Row],[Supplier]]=FilterSpecs!$A$8,FilterSpecs!$B$8,MouserListTable12[[#This Row],[Supplier]]=FilterSpecs!$A$9,FilterSpecs!$B$9)</f>
        <v>485-</v>
      </c>
      <c r="T22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485-1991</v>
      </c>
      <c r="U223" s="121">
        <v>0</v>
      </c>
      <c r="V223" s="121">
        <v>1</v>
      </c>
      <c r="W223" s="121">
        <v>0</v>
      </c>
      <c r="X223" s="121">
        <f>MouserListTable12[[#This Row],['#/Unit]]*FilterSpecs!$C$3+MouserListTable12[[#This Row],[Extra]]</f>
        <v>1</v>
      </c>
      <c r="Y223" s="121">
        <f>IF(MouserListTable12[[#This Row],[Tag]]=FilterSpecs!$F$7,MouserListTable12[[#This Row],[Price (USD)]],0)</f>
        <v>0</v>
      </c>
      <c r="Z223" s="121">
        <f>MouserListTable12[[#This Row],[Tot '#]]*MouserListTable12[[#This Row],[Price (USD)]]</f>
        <v>2.95</v>
      </c>
    </row>
    <row r="224" spans="1:26" s="153" customFormat="1" hidden="1" x14ac:dyDescent="0.3">
      <c r="A224" s="103" t="s">
        <v>1070</v>
      </c>
      <c r="B224" s="103" t="s">
        <v>1439</v>
      </c>
      <c r="C224" s="103" t="s">
        <v>8</v>
      </c>
      <c r="D224" s="106" t="str">
        <f>IF(MouserListTable12[[#This Row],[Vendor]]=FilterSpecs!$A$8,MouserListTable12[[#This Row],[Mouser SKU]], MouserListTable12[[#This Row],[SKU2]])</f>
        <v>SEN-12916</v>
      </c>
      <c r="E224" s="121">
        <f>MouserListTable12[[#This Row],[Tot '#]]-MouserListTable12[[#This Row],['# Initial]]</f>
        <v>1</v>
      </c>
      <c r="F224" s="121">
        <f>MouserListTable12[[#This Row],['#/Unit]]*FilterSpecs!$B$3+MouserListTable12[[#This Row],[Extra Initial]]</f>
        <v>0</v>
      </c>
      <c r="G224" s="103" t="s">
        <v>1406</v>
      </c>
      <c r="H224" s="103" t="s">
        <v>1407</v>
      </c>
      <c r="I224" s="103" t="s">
        <v>1408</v>
      </c>
      <c r="J224" s="103"/>
      <c r="K224" s="171">
        <v>149.94999999999999</v>
      </c>
      <c r="L224" s="103" t="s">
        <v>1914</v>
      </c>
      <c r="M224" s="106"/>
      <c r="N224" s="171">
        <f>MouserListTable12[[#This Row],['# Initial]]*MouserListTable12[[#This Row],[Price (USD)]]</f>
        <v>0</v>
      </c>
      <c r="O224" s="106" t="s">
        <v>1405</v>
      </c>
      <c r="P224" s="103">
        <f t="shared" si="5"/>
        <v>206</v>
      </c>
      <c r="Q224" s="103">
        <f>IF($D224=$O224,1,0)</f>
        <v>1</v>
      </c>
      <c r="R224" s="103" t="s">
        <v>8</v>
      </c>
      <c r="S224" s="103" t="str">
        <f>_xlfn.IFS(MouserListTable12[[#This Row],[Supplier]]=FilterSpecs!$A$6, FilterSpecs!$B$6,MouserListTable12[[#This Row],[Supplier]]=FilterSpecs!$A$7,FilterSpecs!$B$7,MouserListTable12[[#This Row],[Supplier]]=FilterSpecs!$A$8,FilterSpecs!$B$8,MouserListTable12[[#This Row],[Supplier]]=FilterSpecs!$A$9,FilterSpecs!$B$9)</f>
        <v>474-</v>
      </c>
      <c r="T22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474-SEN-12916</v>
      </c>
      <c r="U224" s="121">
        <v>0</v>
      </c>
      <c r="V224" s="121">
        <v>1</v>
      </c>
      <c r="W224" s="121">
        <v>0</v>
      </c>
      <c r="X224" s="121">
        <f>MouserListTable12[[#This Row],['#/Unit]]*FilterSpecs!$C$3+MouserListTable12[[#This Row],[Extra]]</f>
        <v>1</v>
      </c>
      <c r="Y224" s="121">
        <f>IF(MouserListTable12[[#This Row],[Tag]]=FilterSpecs!$F$7,MouserListTable12[[#This Row],[Price (USD)]],0)</f>
        <v>0</v>
      </c>
      <c r="Z224" s="121">
        <f>MouserListTable12[[#This Row],[Tot '#]]*MouserListTable12[[#This Row],[Price (USD)]]</f>
        <v>149.94999999999999</v>
      </c>
    </row>
    <row r="225" spans="1:26" s="153" customFormat="1" hidden="1" x14ac:dyDescent="0.3">
      <c r="A225" s="103" t="s">
        <v>1070</v>
      </c>
      <c r="B225" s="154" t="s">
        <v>1014</v>
      </c>
      <c r="C225" s="154" t="s">
        <v>8</v>
      </c>
      <c r="D225" s="106" t="str">
        <f>IF(MouserListTable12[[#This Row],[Vendor]]=FilterSpecs!$A$8,MouserListTable12[[#This Row],[Mouser SKU]], MouserListTable12[[#This Row],[SKU2]])</f>
        <v>CAB-14043</v>
      </c>
      <c r="E225" s="121">
        <f>MouserListTable12[[#This Row],[Tot '#]]-MouserListTable12[[#This Row],['# Initial]]</f>
        <v>1</v>
      </c>
      <c r="F225" s="121">
        <f>MouserListTable12[[#This Row],['#/Unit]]*FilterSpecs!$B$3+MouserListTable12[[#This Row],[Extra Initial]]</f>
        <v>0</v>
      </c>
      <c r="G225" s="103" t="s">
        <v>958</v>
      </c>
      <c r="H225" s="103" t="s">
        <v>959</v>
      </c>
      <c r="I225" s="103" t="s">
        <v>960</v>
      </c>
      <c r="J225" s="103">
        <v>1</v>
      </c>
      <c r="K225" s="171">
        <v>4.95</v>
      </c>
      <c r="L225" s="103" t="s">
        <v>1913</v>
      </c>
      <c r="M225" s="103" t="s">
        <v>1065</v>
      </c>
      <c r="N225" s="171">
        <f>MouserListTable12[[#This Row],['# Initial]]*MouserListTable12[[#This Row],[Price (USD)]]</f>
        <v>0</v>
      </c>
      <c r="O225" s="106" t="s">
        <v>957</v>
      </c>
      <c r="P225" s="103">
        <f t="shared" si="5"/>
        <v>207</v>
      </c>
      <c r="Q225" s="103">
        <f>IF($D225=$O225,1,0)</f>
        <v>1</v>
      </c>
      <c r="R225" s="154" t="s">
        <v>8</v>
      </c>
      <c r="S225" s="103" t="str">
        <f>_xlfn.IFS(MouserListTable12[[#This Row],[Supplier]]=FilterSpecs!$A$6, FilterSpecs!$B$6,MouserListTable12[[#This Row],[Supplier]]=FilterSpecs!$A$7,FilterSpecs!$B$7,MouserListTable12[[#This Row],[Supplier]]=FilterSpecs!$A$8,FilterSpecs!$B$8,MouserListTable12[[#This Row],[Supplier]]=FilterSpecs!$A$9,FilterSpecs!$B$9)</f>
        <v>474-</v>
      </c>
      <c r="T22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474-CAB-14043</v>
      </c>
      <c r="U225" s="121">
        <v>0</v>
      </c>
      <c r="V225" s="121">
        <v>1</v>
      </c>
      <c r="W225" s="121">
        <v>0</v>
      </c>
      <c r="X225" s="121">
        <f>MouserListTable12[[#This Row],['#/Unit]]*FilterSpecs!$C$3+MouserListTable12[[#This Row],[Extra]]</f>
        <v>1</v>
      </c>
      <c r="Y225" s="121">
        <f>IF(MouserListTable12[[#This Row],[Tag]]=FilterSpecs!$F$7,MouserListTable12[[#This Row],[Price (USD)]],0)</f>
        <v>0</v>
      </c>
      <c r="Z225" s="121">
        <f>MouserListTable12[[#This Row],[Tot '#]]*MouserListTable12[[#This Row],[Price (USD)]]</f>
        <v>4.95</v>
      </c>
    </row>
    <row r="226" spans="1:26" s="153" customFormat="1" hidden="1" x14ac:dyDescent="0.3">
      <c r="A226" s="103" t="s">
        <v>1070</v>
      </c>
      <c r="B226" s="154" t="s">
        <v>1014</v>
      </c>
      <c r="C226" s="154" t="s">
        <v>8</v>
      </c>
      <c r="D226" s="106" t="str">
        <f>IF(MouserListTable12[[#This Row],[Vendor]]=FilterSpecs!$A$8,MouserListTable12[[#This Row],[Mouser SKU]], MouserListTable12[[#This Row],[SKU2]])</f>
        <v>SEN-14117</v>
      </c>
      <c r="E226" s="121">
        <f>MouserListTable12[[#This Row],[Tot '#]]-MouserListTable12[[#This Row],['# Initial]]</f>
        <v>1</v>
      </c>
      <c r="F226" s="121">
        <f>MouserListTable12[[#This Row],['#/Unit]]*FilterSpecs!$B$3+MouserListTable12[[#This Row],[Extra Initial]]</f>
        <v>0</v>
      </c>
      <c r="G226" s="103" t="s">
        <v>974</v>
      </c>
      <c r="H226" s="103" t="s">
        <v>975</v>
      </c>
      <c r="I226" s="103" t="s">
        <v>976</v>
      </c>
      <c r="J226" s="103">
        <v>1</v>
      </c>
      <c r="K226" s="171">
        <v>349</v>
      </c>
      <c r="L226" s="103" t="s">
        <v>1914</v>
      </c>
      <c r="M226" s="103" t="s">
        <v>1058</v>
      </c>
      <c r="N226" s="171">
        <f>MouserListTable12[[#This Row],['# Initial]]*MouserListTable12[[#This Row],[Price (USD)]]</f>
        <v>0</v>
      </c>
      <c r="O226" s="106" t="s">
        <v>973</v>
      </c>
      <c r="P226" s="103">
        <f t="shared" si="5"/>
        <v>208</v>
      </c>
      <c r="Q226" s="103">
        <f>IF($D226=$O226,1,0)</f>
        <v>1</v>
      </c>
      <c r="R226" s="154" t="s">
        <v>8</v>
      </c>
      <c r="S226" s="103" t="str">
        <f>_xlfn.IFS(MouserListTable12[[#This Row],[Supplier]]=FilterSpecs!$A$6, FilterSpecs!$B$6,MouserListTable12[[#This Row],[Supplier]]=FilterSpecs!$A$7,FilterSpecs!$B$7,MouserListTable12[[#This Row],[Supplier]]=FilterSpecs!$A$8,FilterSpecs!$B$8,MouserListTable12[[#This Row],[Supplier]]=FilterSpecs!$A$9,FilterSpecs!$B$9)</f>
        <v>474-</v>
      </c>
      <c r="T22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474-SEN-14117</v>
      </c>
      <c r="U226" s="121">
        <v>0</v>
      </c>
      <c r="V226" s="121">
        <v>1</v>
      </c>
      <c r="W226" s="121">
        <v>0</v>
      </c>
      <c r="X226" s="121">
        <f>MouserListTable12[[#This Row],['#/Unit]]*FilterSpecs!$C$3+MouserListTable12[[#This Row],[Extra]]</f>
        <v>1</v>
      </c>
      <c r="Y226" s="121">
        <f>IF(MouserListTable12[[#This Row],[Tag]]=FilterSpecs!$F$7,MouserListTable12[[#This Row],[Price (USD)]],0)</f>
        <v>0</v>
      </c>
      <c r="Z226" s="121">
        <f>MouserListTable12[[#This Row],[Tot '#]]*MouserListTable12[[#This Row],[Price (USD)]]</f>
        <v>349</v>
      </c>
    </row>
    <row r="227" spans="1:26" s="144" customFormat="1" hidden="1" x14ac:dyDescent="0.3">
      <c r="A227" s="103" t="s">
        <v>1070</v>
      </c>
      <c r="B227" s="154" t="s">
        <v>1014</v>
      </c>
      <c r="C227" s="154" t="s">
        <v>8</v>
      </c>
      <c r="D227" s="106" t="str">
        <f>IF(MouserListTable12[[#This Row],[Vendor]]=FilterSpecs!$A$8,MouserListTable12[[#This Row],[Mouser SKU]], MouserListTable12[[#This Row],[SKU2]])</f>
        <v>ROB-13064</v>
      </c>
      <c r="E227" s="121">
        <f>MouserListTable12[[#This Row],[Tot '#]]-MouserListTable12[[#This Row],['# Initial]]</f>
        <v>1</v>
      </c>
      <c r="F227" s="121">
        <f>MouserListTable12[[#This Row],['#/Unit]]*FilterSpecs!$B$3+MouserListTable12[[#This Row],[Extra Initial]]</f>
        <v>0</v>
      </c>
      <c r="G227" s="103" t="s">
        <v>1034</v>
      </c>
      <c r="H227" s="103" t="s">
        <v>1033</v>
      </c>
      <c r="I227" s="103" t="s">
        <v>1031</v>
      </c>
      <c r="J227" s="103">
        <v>1</v>
      </c>
      <c r="K227" s="171">
        <v>14.95</v>
      </c>
      <c r="L227" s="103" t="s">
        <v>1914</v>
      </c>
      <c r="M227" s="103" t="s">
        <v>1064</v>
      </c>
      <c r="N227" s="171">
        <f>MouserListTable12[[#This Row],['# Initial]]*MouserListTable12[[#This Row],[Price (USD)]]</f>
        <v>0</v>
      </c>
      <c r="O227" s="106" t="s">
        <v>1032</v>
      </c>
      <c r="P227" s="103">
        <f t="shared" si="5"/>
        <v>209</v>
      </c>
      <c r="Q227" s="103">
        <f>IF($D227=$O227,1,0)</f>
        <v>1</v>
      </c>
      <c r="R227" s="154" t="s">
        <v>8</v>
      </c>
      <c r="S227" s="103" t="str">
        <f>_xlfn.IFS(MouserListTable12[[#This Row],[Supplier]]=FilterSpecs!$A$6, FilterSpecs!$B$6,MouserListTable12[[#This Row],[Supplier]]=FilterSpecs!$A$7,FilterSpecs!$B$7,MouserListTable12[[#This Row],[Supplier]]=FilterSpecs!$A$8,FilterSpecs!$B$8,MouserListTable12[[#This Row],[Supplier]]=FilterSpecs!$A$9,FilterSpecs!$B$9)</f>
        <v>474-</v>
      </c>
      <c r="T22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474-ROB-13064</v>
      </c>
      <c r="U227" s="121">
        <v>0</v>
      </c>
      <c r="V227" s="121">
        <v>1</v>
      </c>
      <c r="W227" s="121">
        <v>0</v>
      </c>
      <c r="X227" s="121">
        <f>MouserListTable12[[#This Row],['#/Unit]]*FilterSpecs!$C$3+MouserListTable12[[#This Row],[Extra]]</f>
        <v>1</v>
      </c>
      <c r="Y227" s="121">
        <f>IF(MouserListTable12[[#This Row],[Tag]]=FilterSpecs!$F$7,MouserListTable12[[#This Row],[Price (USD)]],0)</f>
        <v>0</v>
      </c>
      <c r="Z227" s="121">
        <f>MouserListTable12[[#This Row],[Tot '#]]*MouserListTable12[[#This Row],[Price (USD)]]</f>
        <v>14.95</v>
      </c>
    </row>
    <row r="228" spans="1:26" s="153" customFormat="1" hidden="1" x14ac:dyDescent="0.3">
      <c r="A228" s="103" t="s">
        <v>1070</v>
      </c>
      <c r="B228" s="103" t="s">
        <v>993</v>
      </c>
      <c r="C228" s="103" t="s">
        <v>8</v>
      </c>
      <c r="D228" s="106" t="str">
        <f>IF(MouserListTable12[[#This Row],[Vendor]]=FilterSpecs!$A$8,MouserListTable12[[#This Row],[Mouser SKU]], MouserListTable12[[#This Row],[SKU2]])</f>
        <v>SEN-13284</v>
      </c>
      <c r="E228" s="121">
        <f>MouserListTable12[[#This Row],[Tot '#]]-MouserListTable12[[#This Row],['# Initial]]</f>
        <v>1</v>
      </c>
      <c r="F228" s="121">
        <f>MouserListTable12[[#This Row],['#/Unit]]*FilterSpecs!$B$3+MouserListTable12[[#This Row],[Extra Initial]]</f>
        <v>0</v>
      </c>
      <c r="G228" s="103" t="s">
        <v>918</v>
      </c>
      <c r="H228" s="103" t="s">
        <v>919</v>
      </c>
      <c r="I228" s="103" t="s">
        <v>920</v>
      </c>
      <c r="J228" s="103">
        <v>1</v>
      </c>
      <c r="K228" s="171">
        <v>24.95</v>
      </c>
      <c r="L228" s="103" t="s">
        <v>1914</v>
      </c>
      <c r="M228" s="103" t="s">
        <v>1059</v>
      </c>
      <c r="N228" s="171">
        <f>MouserListTable12[[#This Row],['# Initial]]*MouserListTable12[[#This Row],[Price (USD)]]</f>
        <v>0</v>
      </c>
      <c r="O228" s="106" t="s">
        <v>917</v>
      </c>
      <c r="P228" s="103">
        <f t="shared" si="5"/>
        <v>210</v>
      </c>
      <c r="Q228" s="103">
        <f>IF($D228=$O228,1,0)</f>
        <v>1</v>
      </c>
      <c r="R228" s="103" t="s">
        <v>8</v>
      </c>
      <c r="S228" s="103" t="str">
        <f>_xlfn.IFS(MouserListTable12[[#This Row],[Supplier]]=FilterSpecs!$A$6, FilterSpecs!$B$6,MouserListTable12[[#This Row],[Supplier]]=FilterSpecs!$A$7,FilterSpecs!$B$7,MouserListTable12[[#This Row],[Supplier]]=FilterSpecs!$A$8,FilterSpecs!$B$8,MouserListTable12[[#This Row],[Supplier]]=FilterSpecs!$A$9,FilterSpecs!$B$9)</f>
        <v>474-</v>
      </c>
      <c r="T22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474-SEN-13284</v>
      </c>
      <c r="U228" s="121">
        <v>0</v>
      </c>
      <c r="V228" s="121">
        <v>1</v>
      </c>
      <c r="W228" s="121">
        <v>0</v>
      </c>
      <c r="X228" s="121">
        <f>MouserListTable12[[#This Row],['#/Unit]]*FilterSpecs!$C$3+MouserListTable12[[#This Row],[Extra]]</f>
        <v>1</v>
      </c>
      <c r="Y228" s="121">
        <f>IF(MouserListTable12[[#This Row],[Tag]]=FilterSpecs!$F$7,MouserListTable12[[#This Row],[Price (USD)]],0)</f>
        <v>0</v>
      </c>
      <c r="Z228" s="121">
        <f>MouserListTable12[[#This Row],[Tot '#]]*MouserListTable12[[#This Row],[Price (USD)]]</f>
        <v>24.95</v>
      </c>
    </row>
    <row r="229" spans="1:26" s="153" customFormat="1" hidden="1" x14ac:dyDescent="0.3">
      <c r="A229" s="103" t="s">
        <v>1070</v>
      </c>
      <c r="B229" s="103" t="s">
        <v>993</v>
      </c>
      <c r="C229" s="103" t="s">
        <v>8</v>
      </c>
      <c r="D229" s="106" t="str">
        <f>IF(MouserListTable12[[#This Row],[Vendor]]=FilterSpecs!$A$8,MouserListTable12[[#This Row],[Mouser SKU]], MouserListTable12[[#This Row],[SKU2]])</f>
        <v>SEN-13762</v>
      </c>
      <c r="E229" s="121">
        <f>MouserListTable12[[#This Row],[Tot '#]]-MouserListTable12[[#This Row],['# Initial]]</f>
        <v>1</v>
      </c>
      <c r="F229" s="121">
        <f>MouserListTable12[[#This Row],['#/Unit]]*FilterSpecs!$B$3+MouserListTable12[[#This Row],[Extra Initial]]</f>
        <v>0</v>
      </c>
      <c r="G229" s="103" t="s">
        <v>922</v>
      </c>
      <c r="H229" s="103" t="s">
        <v>923</v>
      </c>
      <c r="I229" s="103" t="s">
        <v>924</v>
      </c>
      <c r="J229" s="103">
        <v>1</v>
      </c>
      <c r="K229" s="171">
        <v>14.95</v>
      </c>
      <c r="L229" s="103" t="s">
        <v>1914</v>
      </c>
      <c r="M229" s="103" t="s">
        <v>1059</v>
      </c>
      <c r="N229" s="171">
        <f>MouserListTable12[[#This Row],['# Initial]]*MouserListTable12[[#This Row],[Price (USD)]]</f>
        <v>0</v>
      </c>
      <c r="O229" s="106" t="s">
        <v>921</v>
      </c>
      <c r="P229" s="103">
        <f t="shared" si="5"/>
        <v>211</v>
      </c>
      <c r="Q229" s="103">
        <f>IF($D229=$O229,1,0)</f>
        <v>1</v>
      </c>
      <c r="R229" s="103" t="s">
        <v>8</v>
      </c>
      <c r="S229" s="103" t="str">
        <f>_xlfn.IFS(MouserListTable12[[#This Row],[Supplier]]=FilterSpecs!$A$6, FilterSpecs!$B$6,MouserListTable12[[#This Row],[Supplier]]=FilterSpecs!$A$7,FilterSpecs!$B$7,MouserListTable12[[#This Row],[Supplier]]=FilterSpecs!$A$8,FilterSpecs!$B$8,MouserListTable12[[#This Row],[Supplier]]=FilterSpecs!$A$9,FilterSpecs!$B$9)</f>
        <v>474-</v>
      </c>
      <c r="T22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474-SEN-13762</v>
      </c>
      <c r="U229" s="121">
        <v>0</v>
      </c>
      <c r="V229" s="121">
        <v>1</v>
      </c>
      <c r="W229" s="121">
        <v>0</v>
      </c>
      <c r="X229" s="121">
        <f>MouserListTable12[[#This Row],['#/Unit]]*FilterSpecs!$C$3+MouserListTable12[[#This Row],[Extra]]</f>
        <v>1</v>
      </c>
      <c r="Y229" s="121">
        <f>IF(MouserListTable12[[#This Row],[Tag]]=FilterSpecs!$F$7,MouserListTable12[[#This Row],[Price (USD)]],0)</f>
        <v>0</v>
      </c>
      <c r="Z229" s="121">
        <f>MouserListTable12[[#This Row],[Tot '#]]*MouserListTable12[[#This Row],[Price (USD)]]</f>
        <v>14.95</v>
      </c>
    </row>
    <row r="230" spans="1:26" s="153" customFormat="1" hidden="1" x14ac:dyDescent="0.3">
      <c r="A230" s="126" t="s">
        <v>1070</v>
      </c>
      <c r="B230" s="157" t="s">
        <v>2028</v>
      </c>
      <c r="C230" s="157" t="s">
        <v>8</v>
      </c>
      <c r="D230" s="106" t="str">
        <f>IF(MouserListTable12[[#This Row],[Vendor]]=FilterSpecs!$A$8,MouserListTable12[[#This Row],[Mouser SKU]], MouserListTable12[[#This Row],[SKU2]])</f>
        <v>LCD-12725</v>
      </c>
      <c r="E230" s="121">
        <f>MouserListTable12[[#This Row],[Tot '#]]-MouserListTable12[[#This Row],['# Initial]]</f>
        <v>0</v>
      </c>
      <c r="F230" s="121">
        <f>MouserListTable12[[#This Row],['#/Unit]]*FilterSpecs!$B$3+MouserListTable12[[#This Row],[Extra Initial]]</f>
        <v>0</v>
      </c>
      <c r="G230" s="103" t="s">
        <v>986</v>
      </c>
      <c r="H230" s="103" t="s">
        <v>987</v>
      </c>
      <c r="I230" s="103" t="s">
        <v>988</v>
      </c>
      <c r="J230" s="103">
        <v>1</v>
      </c>
      <c r="K230" s="171">
        <v>179.95</v>
      </c>
      <c r="L230" s="103" t="s">
        <v>1914</v>
      </c>
      <c r="M230" s="103" t="s">
        <v>1060</v>
      </c>
      <c r="N230" s="171">
        <f>MouserListTable12[[#This Row],['# Initial]]*MouserListTable12[[#This Row],[Price (USD)]]</f>
        <v>0</v>
      </c>
      <c r="O230" s="106" t="s">
        <v>985</v>
      </c>
      <c r="P230" s="103">
        <f t="shared" si="5"/>
        <v>212</v>
      </c>
      <c r="Q230" s="103">
        <f>IF($D230=$O230,1,0)</f>
        <v>1</v>
      </c>
      <c r="R230" s="154" t="s">
        <v>8</v>
      </c>
      <c r="S230" s="103" t="str">
        <f>_xlfn.IFS(MouserListTable12[[#This Row],[Supplier]]=FilterSpecs!$A$6, FilterSpecs!$B$6,MouserListTable12[[#This Row],[Supplier]]=FilterSpecs!$A$7,FilterSpecs!$B$7,MouserListTable12[[#This Row],[Supplier]]=FilterSpecs!$A$8,FilterSpecs!$B$8,MouserListTable12[[#This Row],[Supplier]]=FilterSpecs!$A$9,FilterSpecs!$B$9)</f>
        <v>474-</v>
      </c>
      <c r="T23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474-LCD-12725</v>
      </c>
      <c r="U230" s="121">
        <v>0</v>
      </c>
      <c r="V230" s="121">
        <v>0</v>
      </c>
      <c r="W230" s="121">
        <v>0</v>
      </c>
      <c r="X230" s="121">
        <f>MouserListTable12[[#This Row],['#/Unit]]*FilterSpecs!$C$3+MouserListTable12[[#This Row],[Extra]]</f>
        <v>0</v>
      </c>
      <c r="Y230" s="121">
        <f>IF(MouserListTable12[[#This Row],[Tag]]=FilterSpecs!$F$7,MouserListTable12[[#This Row],[Price (USD)]],0)</f>
        <v>0</v>
      </c>
      <c r="Z230" s="121">
        <f>MouserListTable12[[#This Row],[Tot '#]]*MouserListTable12[[#This Row],[Price (USD)]]</f>
        <v>0</v>
      </c>
    </row>
    <row r="231" spans="1:26" s="144" customFormat="1" hidden="1" x14ac:dyDescent="0.3">
      <c r="A231" s="103" t="s">
        <v>1070</v>
      </c>
      <c r="B231" s="154" t="s">
        <v>2028</v>
      </c>
      <c r="C231" s="154" t="s">
        <v>8</v>
      </c>
      <c r="D231" s="106" t="str">
        <f>IF(MouserListTable12[[#This Row],[Vendor]]=FilterSpecs!$A$8,MouserListTable12[[#This Row],[Mouser SKU]], MouserListTable12[[#This Row],[SKU2]])</f>
        <v>LCD-11741</v>
      </c>
      <c r="E231" s="121">
        <f>MouserListTable12[[#This Row],[Tot '#]]-MouserListTable12[[#This Row],['# Initial]]</f>
        <v>1</v>
      </c>
      <c r="F231" s="121">
        <f>MouserListTable12[[#This Row],['#/Unit]]*FilterSpecs!$B$3+MouserListTable12[[#This Row],[Extra Initial]]</f>
        <v>0</v>
      </c>
      <c r="G231" s="103" t="s">
        <v>1784</v>
      </c>
      <c r="H231" s="103" t="s">
        <v>1785</v>
      </c>
      <c r="I231" s="103" t="s">
        <v>1786</v>
      </c>
      <c r="J231" s="103"/>
      <c r="K231" s="171">
        <v>84.95</v>
      </c>
      <c r="L231" s="103" t="s">
        <v>1914</v>
      </c>
      <c r="M231" s="106"/>
      <c r="N231" s="171">
        <f>MouserListTable12[[#This Row],['# Initial]]*MouserListTable12[[#This Row],[Price (USD)]]</f>
        <v>0</v>
      </c>
      <c r="O231" s="106" t="s">
        <v>1783</v>
      </c>
      <c r="P231" s="103">
        <f t="shared" si="5"/>
        <v>213</v>
      </c>
      <c r="Q231" s="103">
        <f>IF($D231=$O231,1,0)</f>
        <v>1</v>
      </c>
      <c r="R231" s="154" t="s">
        <v>8</v>
      </c>
      <c r="S231" s="103" t="str">
        <f>_xlfn.IFS(MouserListTable12[[#This Row],[Supplier]]=FilterSpecs!$A$6, FilterSpecs!$B$6,MouserListTable12[[#This Row],[Supplier]]=FilterSpecs!$A$7,FilterSpecs!$B$7,MouserListTable12[[#This Row],[Supplier]]=FilterSpecs!$A$8,FilterSpecs!$B$8,MouserListTable12[[#This Row],[Supplier]]=FilterSpecs!$A$9,FilterSpecs!$B$9)</f>
        <v>474-</v>
      </c>
      <c r="T23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474-LCD-11741</v>
      </c>
      <c r="U231" s="121">
        <v>0</v>
      </c>
      <c r="V231" s="121">
        <v>1</v>
      </c>
      <c r="W231" s="121">
        <v>0</v>
      </c>
      <c r="X231" s="121">
        <f>MouserListTable12[[#This Row],['#/Unit]]*FilterSpecs!$C$3+MouserListTable12[[#This Row],[Extra]]</f>
        <v>1</v>
      </c>
      <c r="Y231" s="121">
        <f>IF(MouserListTable12[[#This Row],[Tag]]=FilterSpecs!$F$7,MouserListTable12[[#This Row],[Price (USD)]],0)</f>
        <v>0</v>
      </c>
      <c r="Z231" s="121">
        <f>MouserListTable12[[#This Row],[Tot '#]]*MouserListTable12[[#This Row],[Price (USD)]]</f>
        <v>84.95</v>
      </c>
    </row>
    <row r="232" spans="1:26" s="144" customFormat="1" hidden="1" x14ac:dyDescent="0.3">
      <c r="A232" s="126" t="s">
        <v>1070</v>
      </c>
      <c r="B232" s="157" t="s">
        <v>2028</v>
      </c>
      <c r="C232" s="157" t="s">
        <v>8</v>
      </c>
      <c r="D232" s="106" t="str">
        <f>IF(MouserListTable12[[#This Row],[Vendor]]=FilterSpecs!$A$8,MouserListTable12[[#This Row],[Mouser SKU]], MouserListTable12[[#This Row],[SKU2]])</f>
        <v>LCD-11677</v>
      </c>
      <c r="E232" s="121">
        <f>MouserListTable12[[#This Row],[Tot '#]]-MouserListTable12[[#This Row],['# Initial]]</f>
        <v>0</v>
      </c>
      <c r="F232" s="121">
        <f>MouserListTable12[[#This Row],['#/Unit]]*FilterSpecs!$B$3+MouserListTable12[[#This Row],[Extra Initial]]</f>
        <v>0</v>
      </c>
      <c r="G232" s="103" t="s">
        <v>1748</v>
      </c>
      <c r="H232" s="103" t="s">
        <v>1749</v>
      </c>
      <c r="I232" s="103" t="s">
        <v>1750</v>
      </c>
      <c r="J232" s="103">
        <v>1</v>
      </c>
      <c r="K232" s="171">
        <v>84.95</v>
      </c>
      <c r="L232" s="103" t="s">
        <v>1914</v>
      </c>
      <c r="M232" s="146"/>
      <c r="N232" s="171">
        <f>MouserListTable12[[#This Row],['# Initial]]*MouserListTable12[[#This Row],[Price (USD)]]</f>
        <v>0</v>
      </c>
      <c r="O232" s="106" t="s">
        <v>1747</v>
      </c>
      <c r="P232" s="103">
        <f t="shared" si="5"/>
        <v>214</v>
      </c>
      <c r="Q232" s="103">
        <f>IF($D232=$O232,1,0)</f>
        <v>1</v>
      </c>
      <c r="R232" s="154" t="s">
        <v>8</v>
      </c>
      <c r="S232" s="103" t="str">
        <f>_xlfn.IFS(MouserListTable12[[#This Row],[Supplier]]=FilterSpecs!$A$6, FilterSpecs!$B$6,MouserListTable12[[#This Row],[Supplier]]=FilterSpecs!$A$7,FilterSpecs!$B$7,MouserListTable12[[#This Row],[Supplier]]=FilterSpecs!$A$8,FilterSpecs!$B$8,MouserListTable12[[#This Row],[Supplier]]=FilterSpecs!$A$9,FilterSpecs!$B$9)</f>
        <v>474-</v>
      </c>
      <c r="T23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474-LCD-11677</v>
      </c>
      <c r="U232" s="121">
        <v>0</v>
      </c>
      <c r="V232" s="121">
        <v>0</v>
      </c>
      <c r="W232" s="121">
        <v>0</v>
      </c>
      <c r="X232" s="121">
        <f>MouserListTable12[[#This Row],['#/Unit]]*FilterSpecs!$C$3+MouserListTable12[[#This Row],[Extra]]</f>
        <v>0</v>
      </c>
      <c r="Y232" s="121">
        <f>IF(MouserListTable12[[#This Row],[Tag]]=FilterSpecs!$F$7,MouserListTable12[[#This Row],[Price (USD)]],0)</f>
        <v>0</v>
      </c>
      <c r="Z232" s="121">
        <f>MouserListTable12[[#This Row],[Tot '#]]*MouserListTable12[[#This Row],[Price (USD)]]</f>
        <v>0</v>
      </c>
    </row>
    <row r="233" spans="1:26" s="144" customFormat="1" hidden="1" x14ac:dyDescent="0.3">
      <c r="A233" s="126" t="s">
        <v>1070</v>
      </c>
      <c r="B233" s="157" t="s">
        <v>2028</v>
      </c>
      <c r="C233" s="157" t="s">
        <v>1898</v>
      </c>
      <c r="D233" s="106" t="str">
        <f>IF(MouserListTable12[[#This Row],[Vendor]]=FilterSpecs!$A$8,MouserListTable12[[#This Row],[Mouser SKU]], MouserListTable12[[#This Row],[SKU2]])</f>
        <v>2090</v>
      </c>
      <c r="E233" s="121">
        <f>MouserListTable12[[#This Row],[Tot '#]]-MouserListTable12[[#This Row],['# Initial]]</f>
        <v>0</v>
      </c>
      <c r="F233" s="121">
        <f>MouserListTable12[[#This Row],['#/Unit]]*FilterSpecs!$B$3+MouserListTable12[[#This Row],[Extra Initial]]</f>
        <v>0</v>
      </c>
      <c r="G233" s="103"/>
      <c r="H233" s="103"/>
      <c r="I233" s="103" t="s">
        <v>2097</v>
      </c>
      <c r="J233" s="103"/>
      <c r="K233" s="171">
        <v>39.950000000000003</v>
      </c>
      <c r="L233" s="103" t="s">
        <v>1910</v>
      </c>
      <c r="M233" s="146"/>
      <c r="N233" s="171">
        <f>MouserListTable12[[#This Row],['# Initial]]*MouserListTable12[[#This Row],[Price (USD)]]</f>
        <v>0</v>
      </c>
      <c r="O233" s="106" t="s">
        <v>2096</v>
      </c>
      <c r="P233" s="103">
        <f t="shared" si="5"/>
        <v>215</v>
      </c>
      <c r="Q233" s="103">
        <f>IF($D233=$O233,1,0)</f>
        <v>1</v>
      </c>
      <c r="R233" s="154" t="s">
        <v>1898</v>
      </c>
      <c r="S233" s="103" t="str">
        <f>_xlfn.IFS(MouserListTable12[[#This Row],[Supplier]]=FilterSpecs!$A$6, FilterSpecs!$B$6,MouserListTable12[[#This Row],[Supplier]]=FilterSpecs!$A$7,FilterSpecs!$B$7,MouserListTable12[[#This Row],[Supplier]]=FilterSpecs!$A$8,FilterSpecs!$B$8,MouserListTable12[[#This Row],[Supplier]]=FilterSpecs!$A$9,FilterSpecs!$B$9)</f>
        <v>485-</v>
      </c>
      <c r="T23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485-2090</v>
      </c>
      <c r="U233" s="121">
        <v>0</v>
      </c>
      <c r="V233" s="121">
        <v>0</v>
      </c>
      <c r="W233" s="121">
        <v>0</v>
      </c>
      <c r="X233" s="121">
        <f>MouserListTable12[[#This Row],['#/Unit]]*FilterSpecs!$C$3+MouserListTable12[[#This Row],[Extra]]</f>
        <v>0</v>
      </c>
      <c r="Y233" s="121">
        <f>IF(MouserListTable12[[#This Row],[Tag]]=FilterSpecs!$F$7,MouserListTable12[[#This Row],[Price (USD)]],0)</f>
        <v>0</v>
      </c>
      <c r="Z233" s="121">
        <f>MouserListTable12[[#This Row],[Tot '#]]*MouserListTable12[[#This Row],[Price (USD)]]</f>
        <v>0</v>
      </c>
    </row>
    <row r="234" spans="1:26" s="144" customFormat="1" hidden="1" x14ac:dyDescent="0.3">
      <c r="A234" s="103" t="s">
        <v>1070</v>
      </c>
      <c r="B234" s="157" t="s">
        <v>2028</v>
      </c>
      <c r="C234" s="103" t="s">
        <v>1898</v>
      </c>
      <c r="D234" s="106" t="str">
        <f>IF(MouserListTable12[[#This Row],[Vendor]]=FilterSpecs!$A$8,MouserListTable12[[#This Row],[Mouser SKU]], MouserListTable12[[#This Row],[SKU2]])</f>
        <v>1947</v>
      </c>
      <c r="E234" s="121">
        <f>MouserListTable12[[#This Row],[Tot '#]]-MouserListTable12[[#This Row],['# Initial]]</f>
        <v>0</v>
      </c>
      <c r="F234" s="121">
        <f>MouserListTable12[[#This Row],['#/Unit]]*FilterSpecs!$B$3+MouserListTable12[[#This Row],[Extra Initial]]</f>
        <v>0</v>
      </c>
      <c r="G234" s="103"/>
      <c r="H234" s="103"/>
      <c r="I234" s="126" t="s">
        <v>2099</v>
      </c>
      <c r="J234" s="146"/>
      <c r="K234" s="172">
        <v>44.95</v>
      </c>
      <c r="L234" s="126" t="s">
        <v>1910</v>
      </c>
      <c r="M234" s="146"/>
      <c r="N234" s="171">
        <f>MouserListTable12[[#This Row],['# Initial]]*MouserListTable12[[#This Row],[Price (USD)]]</f>
        <v>0</v>
      </c>
      <c r="O234" s="106" t="s">
        <v>2098</v>
      </c>
      <c r="P234" s="103">
        <f t="shared" si="5"/>
        <v>216</v>
      </c>
      <c r="Q234" s="103">
        <f>IF($D234=$O234,1,0)</f>
        <v>1</v>
      </c>
      <c r="R234" s="103" t="s">
        <v>1898</v>
      </c>
      <c r="S234" s="103" t="str">
        <f>_xlfn.IFS(MouserListTable12[[#This Row],[Supplier]]=FilterSpecs!$A$6, FilterSpecs!$B$6,MouserListTable12[[#This Row],[Supplier]]=FilterSpecs!$A$7,FilterSpecs!$B$7,MouserListTable12[[#This Row],[Supplier]]=FilterSpecs!$A$8,FilterSpecs!$B$8,MouserListTable12[[#This Row],[Supplier]]=FilterSpecs!$A$9,FilterSpecs!$B$9)</f>
        <v>485-</v>
      </c>
      <c r="T23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485-1947</v>
      </c>
      <c r="U234" s="121">
        <v>0</v>
      </c>
      <c r="V234" s="121">
        <v>0</v>
      </c>
      <c r="W234" s="121">
        <v>0</v>
      </c>
      <c r="X234" s="121">
        <f>MouserListTable12[[#This Row],['#/Unit]]*FilterSpecs!$C$3+MouserListTable12[[#This Row],[Extra]]</f>
        <v>0</v>
      </c>
      <c r="Y234" s="121">
        <f>IF(MouserListTable12[[#This Row],[Tag]]=FilterSpecs!$F$7,MouserListTable12[[#This Row],[Price (USD)]],0)</f>
        <v>0</v>
      </c>
      <c r="Z234" s="121">
        <f>MouserListTable12[[#This Row],[Tot '#]]*MouserListTable12[[#This Row],[Price (USD)]]</f>
        <v>0</v>
      </c>
    </row>
    <row r="235" spans="1:26" s="146" customFormat="1" hidden="1" x14ac:dyDescent="0.3">
      <c r="A235" s="103" t="s">
        <v>1070</v>
      </c>
      <c r="B235" s="154" t="s">
        <v>2028</v>
      </c>
      <c r="C235" s="103" t="s">
        <v>8</v>
      </c>
      <c r="D235" s="106" t="str">
        <f>IF(MouserListTable12[[#This Row],[Vendor]]=FilterSpecs!$A$8,MouserListTable12[[#This Row],[Mouser SKU]], MouserListTable12[[#This Row],[SKU2]])</f>
        <v>DEV-11814</v>
      </c>
      <c r="E235" s="121">
        <f>MouserListTable12[[#This Row],[Tot '#]]-MouserListTable12[[#This Row],['# Initial]]</f>
        <v>1</v>
      </c>
      <c r="F235" s="121">
        <f>MouserListTable12[[#This Row],['#/Unit]]*FilterSpecs!$B$3+MouserListTable12[[#This Row],[Extra Initial]]</f>
        <v>0</v>
      </c>
      <c r="G235" s="103" t="s">
        <v>1744</v>
      </c>
      <c r="H235" s="103" t="s">
        <v>1745</v>
      </c>
      <c r="I235" s="103" t="s">
        <v>1746</v>
      </c>
      <c r="J235" s="146">
        <v>1</v>
      </c>
      <c r="K235" s="171">
        <v>24.95</v>
      </c>
      <c r="L235" s="103" t="s">
        <v>1914</v>
      </c>
      <c r="M235" s="106"/>
      <c r="N235" s="171">
        <f>MouserListTable12[[#This Row],['# Initial]]*MouserListTable12[[#This Row],[Price (USD)]]</f>
        <v>0</v>
      </c>
      <c r="O235" s="106" t="s">
        <v>1743</v>
      </c>
      <c r="P235" s="103">
        <f t="shared" si="5"/>
        <v>217</v>
      </c>
      <c r="Q235" s="103">
        <f>IF($D235=$O235,1,0)</f>
        <v>1</v>
      </c>
      <c r="R235" s="103" t="s">
        <v>8</v>
      </c>
      <c r="S235" s="103" t="str">
        <f>_xlfn.IFS(MouserListTable12[[#This Row],[Supplier]]=FilterSpecs!$A$6, FilterSpecs!$B$6,MouserListTable12[[#This Row],[Supplier]]=FilterSpecs!$A$7,FilterSpecs!$B$7,MouserListTable12[[#This Row],[Supplier]]=FilterSpecs!$A$8,FilterSpecs!$B$8,MouserListTable12[[#This Row],[Supplier]]=FilterSpecs!$A$9,FilterSpecs!$B$9)</f>
        <v>474-</v>
      </c>
      <c r="T23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474-DEV-11814</v>
      </c>
      <c r="U235" s="121">
        <v>0</v>
      </c>
      <c r="V235" s="121">
        <v>1</v>
      </c>
      <c r="W235" s="121">
        <v>0</v>
      </c>
      <c r="X235" s="121">
        <f>MouserListTable12[[#This Row],['#/Unit]]*FilterSpecs!$C$3+MouserListTable12[[#This Row],[Extra]]</f>
        <v>1</v>
      </c>
      <c r="Y235" s="121">
        <f>IF(MouserListTable12[[#This Row],[Tag]]=FilterSpecs!$F$7,MouserListTable12[[#This Row],[Price (USD)]],0)</f>
        <v>0</v>
      </c>
      <c r="Z235" s="121">
        <f>MouserListTable12[[#This Row],[Tot '#]]*MouserListTable12[[#This Row],[Price (USD)]]</f>
        <v>24.95</v>
      </c>
    </row>
    <row r="236" spans="1:26" s="146" customFormat="1" hidden="1" x14ac:dyDescent="0.3">
      <c r="A236" s="103" t="s">
        <v>1070</v>
      </c>
      <c r="B236" s="154" t="s">
        <v>1071</v>
      </c>
      <c r="C236" s="154" t="s">
        <v>8</v>
      </c>
      <c r="D236" s="106" t="str">
        <f>IF(MouserListTable12[[#This Row],[Vendor]]=FilterSpecs!$A$8,MouserListTable12[[#This Row],[Mouser SKU]], MouserListTable12[[#This Row],[SKU2]])</f>
        <v>DEV-14022</v>
      </c>
      <c r="E236" s="121">
        <f>MouserListTable12[[#This Row],[Tot '#]]-MouserListTable12[[#This Row],['# Initial]]</f>
        <v>1</v>
      </c>
      <c r="F236" s="121">
        <f>MouserListTable12[[#This Row],['#/Unit]]*FilterSpecs!$B$3+MouserListTable12[[#This Row],[Extra Initial]]</f>
        <v>0</v>
      </c>
      <c r="G236" s="103" t="s">
        <v>982</v>
      </c>
      <c r="H236" s="103" t="s">
        <v>983</v>
      </c>
      <c r="I236" s="103" t="s">
        <v>984</v>
      </c>
      <c r="J236" s="103"/>
      <c r="K236" s="171">
        <v>209.95</v>
      </c>
      <c r="L236" s="103" t="s">
        <v>1914</v>
      </c>
      <c r="M236" s="103" t="s">
        <v>1062</v>
      </c>
      <c r="N236" s="171">
        <f>MouserListTable12[[#This Row],['# Initial]]*MouserListTable12[[#This Row],[Price (USD)]]</f>
        <v>0</v>
      </c>
      <c r="O236" s="106" t="s">
        <v>981</v>
      </c>
      <c r="P236" s="103">
        <f t="shared" si="5"/>
        <v>218</v>
      </c>
      <c r="Q236" s="103">
        <f>IF($D236=$O236,1,0)</f>
        <v>1</v>
      </c>
      <c r="R236" s="154" t="s">
        <v>8</v>
      </c>
      <c r="S236" s="103" t="str">
        <f>_xlfn.IFS(MouserListTable12[[#This Row],[Supplier]]=FilterSpecs!$A$6, FilterSpecs!$B$6,MouserListTable12[[#This Row],[Supplier]]=FilterSpecs!$A$7,FilterSpecs!$B$7,MouserListTable12[[#This Row],[Supplier]]=FilterSpecs!$A$8,FilterSpecs!$B$8,MouserListTable12[[#This Row],[Supplier]]=FilterSpecs!$A$9,FilterSpecs!$B$9)</f>
        <v>474-</v>
      </c>
      <c r="T23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474-DEV-14022</v>
      </c>
      <c r="U236" s="121">
        <v>0</v>
      </c>
      <c r="V236" s="121">
        <v>1</v>
      </c>
      <c r="W236" s="121">
        <v>0</v>
      </c>
      <c r="X236" s="121">
        <f>MouserListTable12[[#This Row],['#/Unit]]*FilterSpecs!$C$3+MouserListTable12[[#This Row],[Extra]]</f>
        <v>1</v>
      </c>
      <c r="Y236" s="121">
        <f>IF(MouserListTable12[[#This Row],[Tag]]=FilterSpecs!$F$7,MouserListTable12[[#This Row],[Price (USD)]],0)</f>
        <v>0</v>
      </c>
      <c r="Z236" s="121">
        <f>MouserListTable12[[#This Row],[Tot '#]]*MouserListTable12[[#This Row],[Price (USD)]]</f>
        <v>209.95</v>
      </c>
    </row>
    <row r="237" spans="1:26" s="146" customFormat="1" hidden="1" x14ac:dyDescent="0.3">
      <c r="A237" s="103" t="s">
        <v>1070</v>
      </c>
      <c r="B237" s="154" t="s">
        <v>1437</v>
      </c>
      <c r="C237" s="154" t="s">
        <v>8</v>
      </c>
      <c r="D237" s="106" t="str">
        <f>IF(MouserListTable12[[#This Row],[Vendor]]=FilterSpecs!$A$8,MouserListTable12[[#This Row],[Mouser SKU]], MouserListTable12[[#This Row],[SKU2]])</f>
        <v>COM-13316</v>
      </c>
      <c r="E237" s="121">
        <f>MouserListTable12[[#This Row],[Tot '#]]-MouserListTable12[[#This Row],['# Initial]]</f>
        <v>1</v>
      </c>
      <c r="F237" s="121">
        <f>MouserListTable12[[#This Row],['#/Unit]]*FilterSpecs!$B$3+MouserListTable12[[#This Row],[Extra Initial]]</f>
        <v>0</v>
      </c>
      <c r="G237" s="103" t="s">
        <v>978</v>
      </c>
      <c r="H237" s="103" t="s">
        <v>979</v>
      </c>
      <c r="I237" s="103" t="s">
        <v>980</v>
      </c>
      <c r="J237" s="103">
        <v>1</v>
      </c>
      <c r="K237" s="171">
        <v>49.95</v>
      </c>
      <c r="L237" s="103" t="s">
        <v>1910</v>
      </c>
      <c r="M237" s="103" t="s">
        <v>1061</v>
      </c>
      <c r="N237" s="171">
        <f>MouserListTable12[[#This Row],['# Initial]]*MouserListTable12[[#This Row],[Price (USD)]]</f>
        <v>0</v>
      </c>
      <c r="O237" s="106" t="s">
        <v>977</v>
      </c>
      <c r="P237" s="103">
        <f t="shared" si="5"/>
        <v>219</v>
      </c>
      <c r="Q237" s="103">
        <f>IF($D237=$O237,1,0)</f>
        <v>1</v>
      </c>
      <c r="R237" s="154" t="s">
        <v>8</v>
      </c>
      <c r="S237" s="103" t="str">
        <f>_xlfn.IFS(MouserListTable12[[#This Row],[Supplier]]=FilterSpecs!$A$6, FilterSpecs!$B$6,MouserListTable12[[#This Row],[Supplier]]=FilterSpecs!$A$7,FilterSpecs!$B$7,MouserListTable12[[#This Row],[Supplier]]=FilterSpecs!$A$8,FilterSpecs!$B$8,MouserListTable12[[#This Row],[Supplier]]=FilterSpecs!$A$9,FilterSpecs!$B$9)</f>
        <v>474-</v>
      </c>
      <c r="T23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474-COM-13316</v>
      </c>
      <c r="U237" s="121">
        <v>0</v>
      </c>
      <c r="V237" s="121">
        <v>1</v>
      </c>
      <c r="W237" s="121">
        <v>0</v>
      </c>
      <c r="X237" s="121">
        <f>MouserListTable12[[#This Row],['#/Unit]]*FilterSpecs!$C$3+MouserListTable12[[#This Row],[Extra]]</f>
        <v>1</v>
      </c>
      <c r="Y237" s="121">
        <f>IF(MouserListTable12[[#This Row],[Tag]]=FilterSpecs!$F$7,MouserListTable12[[#This Row],[Price (USD)]],0)</f>
        <v>0</v>
      </c>
      <c r="Z237" s="121">
        <f>MouserListTable12[[#This Row],[Tot '#]]*MouserListTable12[[#This Row],[Price (USD)]]</f>
        <v>49.95</v>
      </c>
    </row>
    <row r="238" spans="1:26" s="146" customFormat="1" hidden="1" x14ac:dyDescent="0.3">
      <c r="A238" s="103" t="s">
        <v>1070</v>
      </c>
      <c r="B238" s="103" t="s">
        <v>2023</v>
      </c>
      <c r="C238" s="103" t="s">
        <v>1898</v>
      </c>
      <c r="D238" s="106" t="str">
        <f>IF(MouserListTable12[[#This Row],[Vendor]]=FilterSpecs!$A$8,MouserListTable12[[#This Row],[Mouser SKU]], MouserListTable12[[#This Row],[SKU2]])</f>
        <v>1407</v>
      </c>
      <c r="E238" s="121">
        <f>MouserListTable12[[#This Row],[Tot '#]]-MouserListTable12[[#This Row],['# Initial]]</f>
        <v>0</v>
      </c>
      <c r="F238" s="121">
        <f>MouserListTable12[[#This Row],['#/Unit]]*FilterSpecs!$B$3+MouserListTable12[[#This Row],[Extra Initial]]</f>
        <v>0</v>
      </c>
      <c r="G238" s="103"/>
      <c r="H238" s="103"/>
      <c r="I238" s="126" t="s">
        <v>2349</v>
      </c>
      <c r="K238" s="172">
        <v>9.9499999999999993</v>
      </c>
      <c r="L238" s="126" t="s">
        <v>1910</v>
      </c>
      <c r="N238" s="171">
        <f>MouserListTable12[[#This Row],['# Initial]]*MouserListTable12[[#This Row],[Price (USD)]]</f>
        <v>0</v>
      </c>
      <c r="O238" s="106" t="s">
        <v>2348</v>
      </c>
      <c r="P238" s="103">
        <f t="shared" si="5"/>
        <v>220</v>
      </c>
      <c r="Q238" s="103">
        <f>IF($D238=$O238,1,0)</f>
        <v>1</v>
      </c>
      <c r="R238" s="103" t="s">
        <v>1898</v>
      </c>
      <c r="S238" s="103" t="str">
        <f>_xlfn.IFS(MouserListTable12[[#This Row],[Supplier]]=FilterSpecs!$A$6, FilterSpecs!$B$6,MouserListTable12[[#This Row],[Supplier]]=FilterSpecs!$A$7,FilterSpecs!$B$7,MouserListTable12[[#This Row],[Supplier]]=FilterSpecs!$A$8,FilterSpecs!$B$8,MouserListTable12[[#This Row],[Supplier]]=FilterSpecs!$A$9,FilterSpecs!$B$9)</f>
        <v>485-</v>
      </c>
      <c r="T23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485-1407</v>
      </c>
      <c r="U238" s="121">
        <v>0</v>
      </c>
      <c r="V238" s="121">
        <v>0</v>
      </c>
      <c r="W238" s="121">
        <v>0</v>
      </c>
      <c r="X238" s="121">
        <f>MouserListTable12[[#This Row],['#/Unit]]*FilterSpecs!$C$3+MouserListTable12[[#This Row],[Extra]]</f>
        <v>0</v>
      </c>
      <c r="Y238" s="121">
        <f>IF(MouserListTable12[[#This Row],[Tag]]=FilterSpecs!$F$7,MouserListTable12[[#This Row],[Price (USD)]],0)</f>
        <v>0</v>
      </c>
      <c r="Z238" s="121">
        <f>MouserListTable12[[#This Row],[Tot '#]]*MouserListTable12[[#This Row],[Price (USD)]]</f>
        <v>0</v>
      </c>
    </row>
    <row r="239" spans="1:26" s="146" customFormat="1" hidden="1" x14ac:dyDescent="0.3">
      <c r="A239" s="103" t="s">
        <v>1070</v>
      </c>
      <c r="B239" s="103" t="s">
        <v>2023</v>
      </c>
      <c r="C239" s="103" t="s">
        <v>1898</v>
      </c>
      <c r="D239" s="106" t="str">
        <f>IF(MouserListTable12[[#This Row],[Vendor]]=FilterSpecs!$A$8,MouserListTable12[[#This Row],[Mouser SKU]], MouserListTable12[[#This Row],[SKU2]])</f>
        <v>2116</v>
      </c>
      <c r="E239" s="121">
        <f>MouserListTable12[[#This Row],[Tot '#]]-MouserListTable12[[#This Row],['# Initial]]</f>
        <v>0</v>
      </c>
      <c r="F239" s="121">
        <f>MouserListTable12[[#This Row],['#/Unit]]*FilterSpecs!$B$3+MouserListTable12[[#This Row],[Extra Initial]]</f>
        <v>0</v>
      </c>
      <c r="G239" s="103"/>
      <c r="H239" s="103"/>
      <c r="I239" s="126" t="s">
        <v>2351</v>
      </c>
      <c r="K239" s="172">
        <v>24.95</v>
      </c>
      <c r="L239" s="126" t="s">
        <v>1910</v>
      </c>
      <c r="N239" s="171">
        <f>MouserListTable12[[#This Row],['# Initial]]*MouserListTable12[[#This Row],[Price (USD)]]</f>
        <v>0</v>
      </c>
      <c r="O239" s="106" t="s">
        <v>2350</v>
      </c>
      <c r="P239" s="103">
        <f t="shared" si="5"/>
        <v>221</v>
      </c>
      <c r="Q239" s="103">
        <f>IF($D239=$O239,1,0)</f>
        <v>1</v>
      </c>
      <c r="R239" s="103" t="s">
        <v>1898</v>
      </c>
      <c r="S239" s="103" t="str">
        <f>_xlfn.IFS(MouserListTable12[[#This Row],[Supplier]]=FilterSpecs!$A$6, FilterSpecs!$B$6,MouserListTable12[[#This Row],[Supplier]]=FilterSpecs!$A$7,FilterSpecs!$B$7,MouserListTable12[[#This Row],[Supplier]]=FilterSpecs!$A$8,FilterSpecs!$B$8,MouserListTable12[[#This Row],[Supplier]]=FilterSpecs!$A$9,FilterSpecs!$B$9)</f>
        <v>485-</v>
      </c>
      <c r="T23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485-2116</v>
      </c>
      <c r="U239" s="121">
        <v>0</v>
      </c>
      <c r="V239" s="121">
        <v>0</v>
      </c>
      <c r="W239" s="121">
        <v>0</v>
      </c>
      <c r="X239" s="121">
        <f>MouserListTable12[[#This Row],['#/Unit]]*FilterSpecs!$C$3+MouserListTable12[[#This Row],[Extra]]</f>
        <v>0</v>
      </c>
      <c r="Y239" s="121">
        <f>IF(MouserListTable12[[#This Row],[Tag]]=FilterSpecs!$F$7,MouserListTable12[[#This Row],[Price (USD)]],0)</f>
        <v>0</v>
      </c>
      <c r="Z239" s="121">
        <f>MouserListTable12[[#This Row],[Tot '#]]*MouserListTable12[[#This Row],[Price (USD)]]</f>
        <v>0</v>
      </c>
    </row>
    <row r="240" spans="1:26" s="146" customFormat="1" hidden="1" x14ac:dyDescent="0.3">
      <c r="A240" s="103" t="s">
        <v>1070</v>
      </c>
      <c r="B240" s="103" t="s">
        <v>2023</v>
      </c>
      <c r="C240" s="103" t="s">
        <v>1898</v>
      </c>
      <c r="D240" s="106" t="str">
        <f>IF(MouserListTable12[[#This Row],[Vendor]]=FilterSpecs!$A$8,MouserListTable12[[#This Row],[Mouser SKU]], MouserListTable12[[#This Row],[SKU2]])</f>
        <v>2162</v>
      </c>
      <c r="E240" s="121">
        <f>MouserListTable12[[#This Row],[Tot '#]]-MouserListTable12[[#This Row],['# Initial]]</f>
        <v>0</v>
      </c>
      <c r="F240" s="121">
        <f>MouserListTable12[[#This Row],['#/Unit]]*FilterSpecs!$B$3+MouserListTable12[[#This Row],[Extra Initial]]</f>
        <v>0</v>
      </c>
      <c r="G240" s="103"/>
      <c r="H240" s="103"/>
      <c r="I240" s="126" t="s">
        <v>2353</v>
      </c>
      <c r="K240" s="172">
        <v>26.95</v>
      </c>
      <c r="L240" s="126" t="s">
        <v>1913</v>
      </c>
      <c r="N240" s="171">
        <f>MouserListTable12[[#This Row],['# Initial]]*MouserListTable12[[#This Row],[Price (USD)]]</f>
        <v>0</v>
      </c>
      <c r="O240" s="106" t="s">
        <v>2352</v>
      </c>
      <c r="P240" s="103">
        <f t="shared" si="5"/>
        <v>222</v>
      </c>
      <c r="Q240" s="103">
        <f>IF($D240=$O240,1,0)</f>
        <v>1</v>
      </c>
      <c r="R240" s="103" t="s">
        <v>1898</v>
      </c>
      <c r="S240" s="103" t="str">
        <f>_xlfn.IFS(MouserListTable12[[#This Row],[Supplier]]=FilterSpecs!$A$6, FilterSpecs!$B$6,MouserListTable12[[#This Row],[Supplier]]=FilterSpecs!$A$7,FilterSpecs!$B$7,MouserListTable12[[#This Row],[Supplier]]=FilterSpecs!$A$8,FilterSpecs!$B$8,MouserListTable12[[#This Row],[Supplier]]=FilterSpecs!$A$9,FilterSpecs!$B$9)</f>
        <v>485-</v>
      </c>
      <c r="T24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485-2162</v>
      </c>
      <c r="U240" s="121">
        <v>0</v>
      </c>
      <c r="V240" s="121">
        <v>0</v>
      </c>
      <c r="W240" s="121">
        <v>0</v>
      </c>
      <c r="X240" s="121">
        <f>MouserListTable12[[#This Row],['#/Unit]]*FilterSpecs!$C$3+MouserListTable12[[#This Row],[Extra]]</f>
        <v>0</v>
      </c>
      <c r="Y240" s="121">
        <f>IF(MouserListTable12[[#This Row],[Tag]]=FilterSpecs!$F$7,MouserListTable12[[#This Row],[Price (USD)]],0)</f>
        <v>0</v>
      </c>
      <c r="Z240" s="121">
        <f>MouserListTable12[[#This Row],[Tot '#]]*MouserListTable12[[#This Row],[Price (USD)]]</f>
        <v>0</v>
      </c>
    </row>
    <row r="241" spans="1:26" s="146" customFormat="1" hidden="1" x14ac:dyDescent="0.3">
      <c r="A241" s="103" t="s">
        <v>1070</v>
      </c>
      <c r="B241" s="103" t="s">
        <v>2023</v>
      </c>
      <c r="C241" s="103" t="s">
        <v>1898</v>
      </c>
      <c r="D241" s="106" t="str">
        <f>IF(MouserListTable12[[#This Row],[Vendor]]=FilterSpecs!$A$8,MouserListTable12[[#This Row],[Mouser SKU]], MouserListTable12[[#This Row],[SKU2]])</f>
        <v>1901</v>
      </c>
      <c r="E241" s="121">
        <f>MouserListTable12[[#This Row],[Tot '#]]-MouserListTable12[[#This Row],['# Initial]]</f>
        <v>0</v>
      </c>
      <c r="F241" s="121">
        <f>MouserListTable12[[#This Row],['#/Unit]]*FilterSpecs!$B$3+MouserListTable12[[#This Row],[Extra Initial]]</f>
        <v>0</v>
      </c>
      <c r="G241" s="103"/>
      <c r="H241" s="103"/>
      <c r="I241" s="126" t="s">
        <v>2355</v>
      </c>
      <c r="K241" s="172">
        <v>14.95</v>
      </c>
      <c r="L241" s="126" t="s">
        <v>1910</v>
      </c>
      <c r="N241" s="171">
        <f>MouserListTable12[[#This Row],['# Initial]]*MouserListTable12[[#This Row],[Price (USD)]]</f>
        <v>0</v>
      </c>
      <c r="O241" s="106" t="s">
        <v>2354</v>
      </c>
      <c r="P241" s="103">
        <f t="shared" si="5"/>
        <v>223</v>
      </c>
      <c r="Q241" s="103">
        <f>IF($D241=$O241,1,0)</f>
        <v>1</v>
      </c>
      <c r="R241" s="103" t="s">
        <v>1898</v>
      </c>
      <c r="S241" s="103" t="str">
        <f>_xlfn.IFS(MouserListTable12[[#This Row],[Supplier]]=FilterSpecs!$A$6, FilterSpecs!$B$6,MouserListTable12[[#This Row],[Supplier]]=FilterSpecs!$A$7,FilterSpecs!$B$7,MouserListTable12[[#This Row],[Supplier]]=FilterSpecs!$A$8,FilterSpecs!$B$8,MouserListTable12[[#This Row],[Supplier]]=FilterSpecs!$A$9,FilterSpecs!$B$9)</f>
        <v>485-</v>
      </c>
      <c r="T24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485-1901</v>
      </c>
      <c r="U241" s="121">
        <v>0</v>
      </c>
      <c r="V241" s="121">
        <v>0</v>
      </c>
      <c r="W241" s="121">
        <v>0</v>
      </c>
      <c r="X241" s="121">
        <f>MouserListTable12[[#This Row],['#/Unit]]*FilterSpecs!$C$3+MouserListTable12[[#This Row],[Extra]]</f>
        <v>0</v>
      </c>
      <c r="Y241" s="121">
        <f>IF(MouserListTable12[[#This Row],[Tag]]=FilterSpecs!$F$7,MouserListTable12[[#This Row],[Price (USD)]],0)</f>
        <v>0</v>
      </c>
      <c r="Z241" s="121">
        <f>MouserListTable12[[#This Row],[Tot '#]]*MouserListTable12[[#This Row],[Price (USD)]]</f>
        <v>0</v>
      </c>
    </row>
    <row r="242" spans="1:26" s="146" customFormat="1" hidden="1" x14ac:dyDescent="0.3">
      <c r="A242" s="103" t="s">
        <v>1046</v>
      </c>
      <c r="B242" s="103" t="s">
        <v>1068</v>
      </c>
      <c r="C242" s="103" t="s">
        <v>8</v>
      </c>
      <c r="D242" s="106" t="str">
        <f>IF(MouserListTable12[[#This Row],[Vendor]]=FilterSpecs!$A$8,MouserListTable12[[#This Row],[Mouser SKU]], MouserListTable12[[#This Row],[SKU2]])</f>
        <v>DEV-14135</v>
      </c>
      <c r="E242" s="121">
        <f>MouserListTable12[[#This Row],[Tot '#]]-MouserListTable12[[#This Row],['# Initial]]</f>
        <v>1</v>
      </c>
      <c r="F242" s="121">
        <f>MouserListTable12[[#This Row],['#/Unit]]*FilterSpecs!$B$3+MouserListTable12[[#This Row],[Extra Initial]]</f>
        <v>0</v>
      </c>
      <c r="G242" s="103" t="s">
        <v>360</v>
      </c>
      <c r="H242" s="103" t="s">
        <v>361</v>
      </c>
      <c r="I242" s="103" t="s">
        <v>362</v>
      </c>
      <c r="J242" s="103">
        <v>1</v>
      </c>
      <c r="K242" s="171">
        <v>94.95</v>
      </c>
      <c r="L242" s="103" t="s">
        <v>1913</v>
      </c>
      <c r="M242" s="103" t="s">
        <v>1054</v>
      </c>
      <c r="N242" s="171">
        <f>MouserListTable12[[#This Row],['# Initial]]*MouserListTable12[[#This Row],[Price (USD)]]</f>
        <v>0</v>
      </c>
      <c r="O242" s="106" t="s">
        <v>359</v>
      </c>
      <c r="P242" s="103">
        <f t="shared" si="5"/>
        <v>224</v>
      </c>
      <c r="Q242" s="103">
        <f>IF($D242=$O242,1,0)</f>
        <v>1</v>
      </c>
      <c r="R242" s="103" t="s">
        <v>8</v>
      </c>
      <c r="S242" s="103" t="str">
        <f>_xlfn.IFS(MouserListTable12[[#This Row],[Supplier]]=FilterSpecs!$A$6, FilterSpecs!$B$6,MouserListTable12[[#This Row],[Supplier]]=FilterSpecs!$A$7,FilterSpecs!$B$7,MouserListTable12[[#This Row],[Supplier]]=FilterSpecs!$A$8,FilterSpecs!$B$8,MouserListTable12[[#This Row],[Supplier]]=FilterSpecs!$A$9,FilterSpecs!$B$9)</f>
        <v>474-</v>
      </c>
      <c r="T24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474-DEV-14135</v>
      </c>
      <c r="U242" s="121">
        <v>0</v>
      </c>
      <c r="V242" s="121">
        <v>1</v>
      </c>
      <c r="W242" s="121">
        <v>0</v>
      </c>
      <c r="X242" s="121">
        <f>MouserListTable12[[#This Row],['#/Unit]]*FilterSpecs!$C$3+MouserListTable12[[#This Row],[Extra]]</f>
        <v>1</v>
      </c>
      <c r="Y242" s="121">
        <f>IF(MouserListTable12[[#This Row],[Tag]]=FilterSpecs!$F$7,MouserListTable12[[#This Row],[Price (USD)]],0)</f>
        <v>0</v>
      </c>
      <c r="Z242" s="121">
        <f>MouserListTable12[[#This Row],[Tot '#]]*MouserListTable12[[#This Row],[Price (USD)]]</f>
        <v>94.95</v>
      </c>
    </row>
    <row r="243" spans="1:26" s="146" customFormat="1" hidden="1" x14ac:dyDescent="0.3">
      <c r="A243" s="103" t="s">
        <v>1046</v>
      </c>
      <c r="B243" s="103" t="s">
        <v>1409</v>
      </c>
      <c r="C243" s="103" t="s">
        <v>8</v>
      </c>
      <c r="D243" s="106" t="str">
        <f>IF(MouserListTable12[[#This Row],[Vendor]]=FilterSpecs!$A$8,MouserListTable12[[#This Row],[Mouser SKU]], MouserListTable12[[#This Row],[SKU2]])</f>
        <v>DEV-14162</v>
      </c>
      <c r="E243" s="121">
        <f>MouserListTable12[[#This Row],[Tot '#]]-MouserListTable12[[#This Row],['# Initial]]</f>
        <v>1</v>
      </c>
      <c r="F243" s="121">
        <f>MouserListTable12[[#This Row],['#/Unit]]*FilterSpecs!$B$3+MouserListTable12[[#This Row],[Extra Initial]]</f>
        <v>0</v>
      </c>
      <c r="G243" s="103" t="s">
        <v>1331</v>
      </c>
      <c r="H243" s="103" t="s">
        <v>1332</v>
      </c>
      <c r="I243" s="103" t="s">
        <v>1333</v>
      </c>
      <c r="J243" s="103">
        <v>1</v>
      </c>
      <c r="K243" s="171">
        <v>69.95</v>
      </c>
      <c r="L243" s="103" t="s">
        <v>1914</v>
      </c>
      <c r="M243" s="103" t="s">
        <v>1350</v>
      </c>
      <c r="N243" s="171">
        <f>MouserListTable12[[#This Row],['# Initial]]*MouserListTable12[[#This Row],[Price (USD)]]</f>
        <v>0</v>
      </c>
      <c r="O243" s="106" t="s">
        <v>1330</v>
      </c>
      <c r="P243" s="103">
        <f t="shared" si="5"/>
        <v>225</v>
      </c>
      <c r="Q243" s="103">
        <f>IF($D243=$O243,1,0)</f>
        <v>1</v>
      </c>
      <c r="R243" s="103" t="s">
        <v>8</v>
      </c>
      <c r="S243" s="103" t="str">
        <f>_xlfn.IFS(MouserListTable12[[#This Row],[Supplier]]=FilterSpecs!$A$6, FilterSpecs!$B$6,MouserListTable12[[#This Row],[Supplier]]=FilterSpecs!$A$7,FilterSpecs!$B$7,MouserListTable12[[#This Row],[Supplier]]=FilterSpecs!$A$8,FilterSpecs!$B$8,MouserListTable12[[#This Row],[Supplier]]=FilterSpecs!$A$9,FilterSpecs!$B$9)</f>
        <v>474-</v>
      </c>
      <c r="T24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474-DEV-14162</v>
      </c>
      <c r="U243" s="121">
        <v>0</v>
      </c>
      <c r="V243" s="121">
        <v>1</v>
      </c>
      <c r="W243" s="121">
        <v>0</v>
      </c>
      <c r="X243" s="121">
        <f>MouserListTable12[[#This Row],['#/Unit]]*FilterSpecs!$C$3+MouserListTable12[[#This Row],[Extra]]</f>
        <v>1</v>
      </c>
      <c r="Y243" s="121">
        <f>IF(MouserListTable12[[#This Row],[Tag]]=FilterSpecs!$F$7,MouserListTable12[[#This Row],[Price (USD)]],0)</f>
        <v>0</v>
      </c>
      <c r="Z243" s="121">
        <f>MouserListTable12[[#This Row],[Tot '#]]*MouserListTable12[[#This Row],[Price (USD)]]</f>
        <v>69.95</v>
      </c>
    </row>
    <row r="244" spans="1:26" s="146" customFormat="1" hidden="1" x14ac:dyDescent="0.3">
      <c r="A244" s="126" t="s">
        <v>1046</v>
      </c>
      <c r="B244" s="126" t="s">
        <v>1409</v>
      </c>
      <c r="C244" s="126" t="s">
        <v>8</v>
      </c>
      <c r="D244" s="106" t="str">
        <f>IF(MouserListTable12[[#This Row],[Vendor]]=FilterSpecs!$A$8,MouserListTable12[[#This Row],[Mouser SKU]], MouserListTable12[[#This Row],[SKU2]])</f>
        <v>DEV-12774</v>
      </c>
      <c r="E244" s="121">
        <f>MouserListTable12[[#This Row],[Tot '#]]-MouserListTable12[[#This Row],['# Initial]]</f>
        <v>0</v>
      </c>
      <c r="F244" s="121">
        <f>MouserListTable12[[#This Row],['#/Unit]]*FilterSpecs!$B$3+MouserListTable12[[#This Row],[Extra Initial]]</f>
        <v>0</v>
      </c>
      <c r="G244" s="103" t="s">
        <v>1319</v>
      </c>
      <c r="H244" s="103" t="s">
        <v>1320</v>
      </c>
      <c r="I244" s="103" t="s">
        <v>1321</v>
      </c>
      <c r="J244" s="103"/>
      <c r="K244" s="171">
        <v>9.9499999999999993</v>
      </c>
      <c r="L244" s="103" t="s">
        <v>1914</v>
      </c>
      <c r="M244" s="103" t="s">
        <v>1350</v>
      </c>
      <c r="N244" s="171">
        <f>MouserListTable12[[#This Row],['# Initial]]*MouserListTable12[[#This Row],[Price (USD)]]</f>
        <v>0</v>
      </c>
      <c r="O244" s="106" t="s">
        <v>1318</v>
      </c>
      <c r="P244" s="103">
        <f t="shared" si="5"/>
        <v>226</v>
      </c>
      <c r="Q244" s="103">
        <f>IF($D244=$O244,1,0)</f>
        <v>1</v>
      </c>
      <c r="R244" s="103" t="s">
        <v>8</v>
      </c>
      <c r="S244" s="103" t="str">
        <f>_xlfn.IFS(MouserListTable12[[#This Row],[Supplier]]=FilterSpecs!$A$6, FilterSpecs!$B$6,MouserListTable12[[#This Row],[Supplier]]=FilterSpecs!$A$7,FilterSpecs!$B$7,MouserListTable12[[#This Row],[Supplier]]=FilterSpecs!$A$8,FilterSpecs!$B$8,MouserListTable12[[#This Row],[Supplier]]=FilterSpecs!$A$9,FilterSpecs!$B$9)</f>
        <v>474-</v>
      </c>
      <c r="T24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474-DEV-12774</v>
      </c>
      <c r="U244" s="121">
        <v>0</v>
      </c>
      <c r="V244" s="121">
        <v>0</v>
      </c>
      <c r="W244" s="121">
        <v>0</v>
      </c>
      <c r="X244" s="121">
        <f>MouserListTable12[[#This Row],['#/Unit]]*FilterSpecs!$C$3+MouserListTable12[[#This Row],[Extra]]</f>
        <v>0</v>
      </c>
      <c r="Y244" s="121">
        <f>IF(MouserListTable12[[#This Row],[Tag]]=FilterSpecs!$F$7,MouserListTable12[[#This Row],[Price (USD)]],0)</f>
        <v>0</v>
      </c>
      <c r="Z244" s="121">
        <f>MouserListTable12[[#This Row],[Tot '#]]*MouserListTable12[[#This Row],[Price (USD)]]</f>
        <v>0</v>
      </c>
    </row>
    <row r="245" spans="1:26" s="146" customFormat="1" hidden="1" x14ac:dyDescent="0.3">
      <c r="A245" s="126" t="s">
        <v>1046</v>
      </c>
      <c r="B245" s="126" t="s">
        <v>1409</v>
      </c>
      <c r="C245" s="126" t="s">
        <v>8</v>
      </c>
      <c r="D245" s="106" t="str">
        <f>IF(MouserListTable12[[#This Row],[Vendor]]=FilterSpecs!$A$8,MouserListTable12[[#This Row],[Mouser SKU]], MouserListTable12[[#This Row],[SKU2]])</f>
        <v>DEV-12086</v>
      </c>
      <c r="E245" s="121">
        <f>MouserListTable12[[#This Row],[Tot '#]]-MouserListTable12[[#This Row],['# Initial]]</f>
        <v>0</v>
      </c>
      <c r="F245" s="121">
        <f>MouserListTable12[[#This Row],['#/Unit]]*FilterSpecs!$B$3+MouserListTable12[[#This Row],[Extra Initial]]</f>
        <v>0</v>
      </c>
      <c r="G245" s="103" t="s">
        <v>1323</v>
      </c>
      <c r="H245" s="103" t="s">
        <v>1324</v>
      </c>
      <c r="I245" s="103" t="s">
        <v>1325</v>
      </c>
      <c r="J245" s="103">
        <v>1</v>
      </c>
      <c r="K245" s="171">
        <v>99.95</v>
      </c>
      <c r="L245" s="103" t="s">
        <v>1914</v>
      </c>
      <c r="M245" s="103" t="s">
        <v>1350</v>
      </c>
      <c r="N245" s="171">
        <f>MouserListTable12[[#This Row],['# Initial]]*MouserListTable12[[#This Row],[Price (USD)]]</f>
        <v>0</v>
      </c>
      <c r="O245" s="106" t="s">
        <v>1322</v>
      </c>
      <c r="P245" s="103">
        <f t="shared" si="5"/>
        <v>227</v>
      </c>
      <c r="Q245" s="103">
        <f>IF($D245=$O245,1,0)</f>
        <v>1</v>
      </c>
      <c r="R245" s="103" t="s">
        <v>8</v>
      </c>
      <c r="S245" s="103" t="str">
        <f>_xlfn.IFS(MouserListTable12[[#This Row],[Supplier]]=FilterSpecs!$A$6, FilterSpecs!$B$6,MouserListTable12[[#This Row],[Supplier]]=FilterSpecs!$A$7,FilterSpecs!$B$7,MouserListTable12[[#This Row],[Supplier]]=FilterSpecs!$A$8,FilterSpecs!$B$8,MouserListTable12[[#This Row],[Supplier]]=FilterSpecs!$A$9,FilterSpecs!$B$9)</f>
        <v>474-</v>
      </c>
      <c r="T24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474-DEV-12086</v>
      </c>
      <c r="U245" s="121">
        <v>0</v>
      </c>
      <c r="V245" s="121">
        <v>0</v>
      </c>
      <c r="W245" s="121">
        <v>0</v>
      </c>
      <c r="X245" s="121">
        <f>MouserListTable12[[#This Row],['#/Unit]]*FilterSpecs!$C$3+MouserListTable12[[#This Row],[Extra]]</f>
        <v>0</v>
      </c>
      <c r="Y245" s="121">
        <f>IF(MouserListTable12[[#This Row],[Tag]]=FilterSpecs!$F$7,MouserListTable12[[#This Row],[Price (USD)]],0)</f>
        <v>0</v>
      </c>
      <c r="Z245" s="121">
        <f>MouserListTable12[[#This Row],[Tot '#]]*MouserListTable12[[#This Row],[Price (USD)]]</f>
        <v>0</v>
      </c>
    </row>
    <row r="246" spans="1:26" s="146" customFormat="1" hidden="1" x14ac:dyDescent="0.3">
      <c r="A246" s="126" t="s">
        <v>1046</v>
      </c>
      <c r="B246" s="126" t="s">
        <v>1409</v>
      </c>
      <c r="C246" s="126" t="s">
        <v>8</v>
      </c>
      <c r="D246" s="106" t="str">
        <f>IF(MouserListTable12[[#This Row],[Vendor]]=FilterSpecs!$A$8,MouserListTable12[[#This Row],[Mouser SKU]], MouserListTable12[[#This Row],[SKU2]])</f>
        <v>DEV-12085</v>
      </c>
      <c r="E246" s="121">
        <f>MouserListTable12[[#This Row],[Tot '#]]-MouserListTable12[[#This Row],['# Initial]]</f>
        <v>0</v>
      </c>
      <c r="F246" s="121">
        <f>MouserListTable12[[#This Row],['#/Unit]]*FilterSpecs!$B$3+MouserListTable12[[#This Row],[Extra Initial]]</f>
        <v>0</v>
      </c>
      <c r="G246" s="103" t="s">
        <v>1327</v>
      </c>
      <c r="H246" s="103" t="s">
        <v>1328</v>
      </c>
      <c r="I246" s="103" t="s">
        <v>1329</v>
      </c>
      <c r="J246" s="103">
        <v>1</v>
      </c>
      <c r="K246" s="171">
        <v>65.95</v>
      </c>
      <c r="L246" s="103" t="s">
        <v>1914</v>
      </c>
      <c r="M246" s="103" t="s">
        <v>1350</v>
      </c>
      <c r="N246" s="171">
        <f>MouserListTable12[[#This Row],['# Initial]]*MouserListTable12[[#This Row],[Price (USD)]]</f>
        <v>0</v>
      </c>
      <c r="O246" s="106" t="s">
        <v>1326</v>
      </c>
      <c r="P246" s="103">
        <f t="shared" si="5"/>
        <v>228</v>
      </c>
      <c r="Q246" s="103">
        <f>IF($D246=$O246,1,0)</f>
        <v>1</v>
      </c>
      <c r="R246" s="103" t="s">
        <v>8</v>
      </c>
      <c r="S246" s="103" t="str">
        <f>_xlfn.IFS(MouserListTable12[[#This Row],[Supplier]]=FilterSpecs!$A$6, FilterSpecs!$B$6,MouserListTable12[[#This Row],[Supplier]]=FilterSpecs!$A$7,FilterSpecs!$B$7,MouserListTable12[[#This Row],[Supplier]]=FilterSpecs!$A$8,FilterSpecs!$B$8,MouserListTable12[[#This Row],[Supplier]]=FilterSpecs!$A$9,FilterSpecs!$B$9)</f>
        <v>474-</v>
      </c>
      <c r="T24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474-DEV-12085</v>
      </c>
      <c r="U246" s="121">
        <v>0</v>
      </c>
      <c r="V246" s="121">
        <v>0</v>
      </c>
      <c r="W246" s="121">
        <v>0</v>
      </c>
      <c r="X246" s="121">
        <f>MouserListTable12[[#This Row],['#/Unit]]*FilterSpecs!$C$3+MouserListTable12[[#This Row],[Extra]]</f>
        <v>0</v>
      </c>
      <c r="Y246" s="121">
        <f>IF(MouserListTable12[[#This Row],[Tag]]=FilterSpecs!$F$7,MouserListTable12[[#This Row],[Price (USD)]],0)</f>
        <v>0</v>
      </c>
      <c r="Z246" s="121">
        <f>MouserListTable12[[#This Row],[Tot '#]]*MouserListTable12[[#This Row],[Price (USD)]]</f>
        <v>0</v>
      </c>
    </row>
    <row r="247" spans="1:26" s="146" customFormat="1" hidden="1" x14ac:dyDescent="0.3">
      <c r="A247" s="126" t="s">
        <v>1046</v>
      </c>
      <c r="B247" s="126" t="s">
        <v>1409</v>
      </c>
      <c r="C247" s="126" t="s">
        <v>8</v>
      </c>
      <c r="D247" s="106" t="str">
        <f>IF(MouserListTable12[[#This Row],[Vendor]]=FilterSpecs!$A$8,MouserListTable12[[#This Row],[Mouser SKU]], MouserListTable12[[#This Row],[SKU2]])</f>
        <v>PRT-12842</v>
      </c>
      <c r="E247" s="121">
        <f>MouserListTable12[[#This Row],[Tot '#]]-MouserListTable12[[#This Row],['# Initial]]</f>
        <v>0</v>
      </c>
      <c r="F247" s="121">
        <f>MouserListTable12[[#This Row],['#/Unit]]*FilterSpecs!$B$3+MouserListTable12[[#This Row],[Extra Initial]]</f>
        <v>0</v>
      </c>
      <c r="G247" s="103" t="s">
        <v>1315</v>
      </c>
      <c r="H247" s="103" t="s">
        <v>1316</v>
      </c>
      <c r="I247" s="103" t="s">
        <v>1317</v>
      </c>
      <c r="J247" s="103"/>
      <c r="K247" s="171">
        <v>7.95</v>
      </c>
      <c r="L247" s="103" t="s">
        <v>1914</v>
      </c>
      <c r="M247" s="103" t="s">
        <v>1350</v>
      </c>
      <c r="N247" s="171">
        <f>MouserListTable12[[#This Row],['# Initial]]*MouserListTable12[[#This Row],[Price (USD)]]</f>
        <v>0</v>
      </c>
      <c r="O247" s="106" t="s">
        <v>1314</v>
      </c>
      <c r="P247" s="103">
        <f t="shared" si="5"/>
        <v>229</v>
      </c>
      <c r="Q247" s="103">
        <f>IF($D247=$O247,1,0)</f>
        <v>1</v>
      </c>
      <c r="R247" s="103" t="s">
        <v>8</v>
      </c>
      <c r="S247" s="103" t="str">
        <f>_xlfn.IFS(MouserListTable12[[#This Row],[Supplier]]=FilterSpecs!$A$6, FilterSpecs!$B$6,MouserListTable12[[#This Row],[Supplier]]=FilterSpecs!$A$7,FilterSpecs!$B$7,MouserListTable12[[#This Row],[Supplier]]=FilterSpecs!$A$8,FilterSpecs!$B$8,MouserListTable12[[#This Row],[Supplier]]=FilterSpecs!$A$9,FilterSpecs!$B$9)</f>
        <v>474-</v>
      </c>
      <c r="T24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474-PRT-12842</v>
      </c>
      <c r="U247" s="121">
        <v>0</v>
      </c>
      <c r="V247" s="121">
        <v>0</v>
      </c>
      <c r="W247" s="121">
        <v>0</v>
      </c>
      <c r="X247" s="121">
        <f>MouserListTable12[[#This Row],['#/Unit]]*FilterSpecs!$C$3+MouserListTable12[[#This Row],[Extra]]</f>
        <v>0</v>
      </c>
      <c r="Y247" s="121">
        <f>IF(MouserListTable12[[#This Row],[Tag]]=FilterSpecs!$F$7,MouserListTable12[[#This Row],[Price (USD)]],0)</f>
        <v>0</v>
      </c>
      <c r="Z247" s="121">
        <f>MouserListTable12[[#This Row],[Tot '#]]*MouserListTable12[[#This Row],[Price (USD)]]</f>
        <v>0</v>
      </c>
    </row>
    <row r="248" spans="1:26" s="146" customFormat="1" hidden="1" x14ac:dyDescent="0.3">
      <c r="A248" s="103" t="s">
        <v>1046</v>
      </c>
      <c r="B248" s="103" t="s">
        <v>1409</v>
      </c>
      <c r="C248" s="103" t="s">
        <v>1898</v>
      </c>
      <c r="D248" s="106" t="str">
        <f>IF(MouserListTable12[[#This Row],[Vendor]]=FilterSpecs!$A$8,MouserListTable12[[#This Row],[Mouser SKU]], MouserListTable12[[#This Row],[SKU2]])</f>
        <v>3396</v>
      </c>
      <c r="E248" s="121">
        <f>MouserListTable12[[#This Row],[Tot '#]]-MouserListTable12[[#This Row],['# Initial]]</f>
        <v>1</v>
      </c>
      <c r="F248" s="121">
        <f>MouserListTable12[[#This Row],['#/Unit]]*FilterSpecs!$B$3+MouserListTable12[[#This Row],[Extra Initial]]</f>
        <v>0</v>
      </c>
      <c r="G248" s="103"/>
      <c r="H248" s="103"/>
      <c r="I248" s="103" t="s">
        <v>2377</v>
      </c>
      <c r="K248" s="171">
        <v>49.95</v>
      </c>
      <c r="L248" s="103" t="s">
        <v>1914</v>
      </c>
      <c r="M248" s="106"/>
      <c r="N248" s="171">
        <f>MouserListTable12[[#This Row],['# Initial]]*MouserListTable12[[#This Row],[Price (USD)]]</f>
        <v>0</v>
      </c>
      <c r="O248" s="106" t="s">
        <v>2376</v>
      </c>
      <c r="P248" s="103">
        <f t="shared" si="5"/>
        <v>230</v>
      </c>
      <c r="Q248" s="103">
        <f>IF($D248=$O248,1,0)</f>
        <v>1</v>
      </c>
      <c r="R248" s="103" t="s">
        <v>1898</v>
      </c>
      <c r="S248" s="103" t="str">
        <f>_xlfn.IFS(MouserListTable12[[#This Row],[Supplier]]=FilterSpecs!$A$6, FilterSpecs!$B$6,MouserListTable12[[#This Row],[Supplier]]=FilterSpecs!$A$7,FilterSpecs!$B$7,MouserListTable12[[#This Row],[Supplier]]=FilterSpecs!$A$8,FilterSpecs!$B$8,MouserListTable12[[#This Row],[Supplier]]=FilterSpecs!$A$9,FilterSpecs!$B$9)</f>
        <v>485-</v>
      </c>
      <c r="T24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485-3396</v>
      </c>
      <c r="U248" s="121">
        <v>0</v>
      </c>
      <c r="V248" s="121">
        <v>1</v>
      </c>
      <c r="W248" s="121">
        <v>0</v>
      </c>
      <c r="X248" s="121">
        <f>MouserListTable12[[#This Row],['#/Unit]]*FilterSpecs!$C$3+MouserListTable12[[#This Row],[Extra]]</f>
        <v>1</v>
      </c>
      <c r="Y248" s="121">
        <f>IF(MouserListTable12[[#This Row],[Tag]]=FilterSpecs!$F$7,MouserListTable12[[#This Row],[Price (USD)]],0)</f>
        <v>0</v>
      </c>
      <c r="Z248" s="121">
        <f>MouserListTable12[[#This Row],[Tot '#]]*MouserListTable12[[#This Row],[Price (USD)]]</f>
        <v>49.95</v>
      </c>
    </row>
    <row r="249" spans="1:26" s="146" customFormat="1" hidden="1" x14ac:dyDescent="0.3">
      <c r="A249" s="103" t="s">
        <v>1046</v>
      </c>
      <c r="B249" s="103" t="s">
        <v>1409</v>
      </c>
      <c r="C249" s="103" t="s">
        <v>1898</v>
      </c>
      <c r="D249" s="106" t="str">
        <f>IF(MouserListTable12[[#This Row],[Vendor]]=FilterSpecs!$A$8,MouserListTable12[[#This Row],[Mouser SKU]], MouserListTable12[[#This Row],[SKU2]])</f>
        <v>1555</v>
      </c>
      <c r="E249" s="121">
        <f>MouserListTable12[[#This Row],[Tot '#]]-MouserListTable12[[#This Row],['# Initial]]</f>
        <v>0</v>
      </c>
      <c r="F249" s="121">
        <f>MouserListTable12[[#This Row],['#/Unit]]*FilterSpecs!$B$3+MouserListTable12[[#This Row],[Extra Initial]]</f>
        <v>0</v>
      </c>
      <c r="G249" s="103"/>
      <c r="H249" s="103"/>
      <c r="I249" s="126" t="s">
        <v>2379</v>
      </c>
      <c r="K249" s="172">
        <v>9.9499999999999993</v>
      </c>
      <c r="L249" s="126" t="s">
        <v>1914</v>
      </c>
      <c r="N249" s="171">
        <f>MouserListTable12[[#This Row],['# Initial]]*MouserListTable12[[#This Row],[Price (USD)]]</f>
        <v>0</v>
      </c>
      <c r="O249" s="106" t="s">
        <v>2378</v>
      </c>
      <c r="P249" s="103">
        <f t="shared" si="5"/>
        <v>231</v>
      </c>
      <c r="Q249" s="103">
        <f>IF($D249=$O249,1,0)</f>
        <v>1</v>
      </c>
      <c r="R249" s="103" t="s">
        <v>1898</v>
      </c>
      <c r="S249" s="103" t="str">
        <f>_xlfn.IFS(MouserListTable12[[#This Row],[Supplier]]=FilterSpecs!$A$6, FilterSpecs!$B$6,MouserListTable12[[#This Row],[Supplier]]=FilterSpecs!$A$7,FilterSpecs!$B$7,MouserListTable12[[#This Row],[Supplier]]=FilterSpecs!$A$8,FilterSpecs!$B$8,MouserListTable12[[#This Row],[Supplier]]=FilterSpecs!$A$9,FilterSpecs!$B$9)</f>
        <v>485-</v>
      </c>
      <c r="T24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485-1555</v>
      </c>
      <c r="U249" s="121">
        <v>0</v>
      </c>
      <c r="V249" s="121">
        <v>0</v>
      </c>
      <c r="W249" s="121">
        <v>0</v>
      </c>
      <c r="X249" s="121">
        <f>MouserListTable12[[#This Row],['#/Unit]]*FilterSpecs!$C$3+MouserListTable12[[#This Row],[Extra]]</f>
        <v>0</v>
      </c>
      <c r="Y249" s="121">
        <f>IF(MouserListTable12[[#This Row],[Tag]]=FilterSpecs!$F$7,MouserListTable12[[#This Row],[Price (USD)]],0)</f>
        <v>0</v>
      </c>
      <c r="Z249" s="121">
        <f>MouserListTable12[[#This Row],[Tot '#]]*MouserListTable12[[#This Row],[Price (USD)]]</f>
        <v>0</v>
      </c>
    </row>
    <row r="250" spans="1:26" s="146" customFormat="1" hidden="1" x14ac:dyDescent="0.3">
      <c r="A250" s="103" t="s">
        <v>1046</v>
      </c>
      <c r="B250" s="103" t="s">
        <v>1409</v>
      </c>
      <c r="C250" s="103" t="s">
        <v>1898</v>
      </c>
      <c r="D250" s="106" t="str">
        <f>IF(MouserListTable12[[#This Row],[Vendor]]=FilterSpecs!$A$8,MouserListTable12[[#This Row],[Mouser SKU]], MouserListTable12[[#This Row],[SKU2]])</f>
        <v>699</v>
      </c>
      <c r="E250" s="121">
        <f>MouserListTable12[[#This Row],[Tot '#]]-MouserListTable12[[#This Row],['# Initial]]</f>
        <v>0</v>
      </c>
      <c r="F250" s="121">
        <f>MouserListTable12[[#This Row],['#/Unit]]*FilterSpecs!$B$3+MouserListTable12[[#This Row],[Extra Initial]]</f>
        <v>0</v>
      </c>
      <c r="G250" s="103"/>
      <c r="H250" s="103"/>
      <c r="I250" s="126" t="s">
        <v>2381</v>
      </c>
      <c r="K250" s="172">
        <v>19.95</v>
      </c>
      <c r="L250" s="126" t="s">
        <v>1914</v>
      </c>
      <c r="N250" s="171">
        <f>MouserListTable12[[#This Row],['# Initial]]*MouserListTable12[[#This Row],[Price (USD)]]</f>
        <v>0</v>
      </c>
      <c r="O250" s="106" t="s">
        <v>2380</v>
      </c>
      <c r="P250" s="103">
        <f t="shared" si="5"/>
        <v>232</v>
      </c>
      <c r="Q250" s="103">
        <f>IF($D250=$O250,1,0)</f>
        <v>1</v>
      </c>
      <c r="R250" s="103" t="s">
        <v>1898</v>
      </c>
      <c r="S250" s="103" t="str">
        <f>_xlfn.IFS(MouserListTable12[[#This Row],[Supplier]]=FilterSpecs!$A$6, FilterSpecs!$B$6,MouserListTable12[[#This Row],[Supplier]]=FilterSpecs!$A$7,FilterSpecs!$B$7,MouserListTable12[[#This Row],[Supplier]]=FilterSpecs!$A$8,FilterSpecs!$B$8,MouserListTable12[[#This Row],[Supplier]]=FilterSpecs!$A$9,FilterSpecs!$B$9)</f>
        <v>485-</v>
      </c>
      <c r="T25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485-699</v>
      </c>
      <c r="U250" s="121">
        <v>0</v>
      </c>
      <c r="V250" s="121">
        <v>0</v>
      </c>
      <c r="W250" s="121">
        <v>0</v>
      </c>
      <c r="X250" s="121">
        <f>MouserListTable12[[#This Row],['#/Unit]]*FilterSpecs!$C$3+MouserListTable12[[#This Row],[Extra]]</f>
        <v>0</v>
      </c>
      <c r="Y250" s="121">
        <f>IF(MouserListTable12[[#This Row],[Tag]]=FilterSpecs!$F$7,MouserListTable12[[#This Row],[Price (USD)]],0)</f>
        <v>0</v>
      </c>
      <c r="Z250" s="121">
        <f>MouserListTable12[[#This Row],[Tot '#]]*MouserListTable12[[#This Row],[Price (USD)]]</f>
        <v>0</v>
      </c>
    </row>
    <row r="251" spans="1:26" s="146" customFormat="1" hidden="1" x14ac:dyDescent="0.3">
      <c r="A251" s="103" t="s">
        <v>1046</v>
      </c>
      <c r="B251" s="103" t="s">
        <v>1409</v>
      </c>
      <c r="C251" s="103" t="s">
        <v>1898</v>
      </c>
      <c r="D251" s="106" t="str">
        <f>IF(MouserListTable12[[#This Row],[Vendor]]=FilterSpecs!$A$8,MouserListTable12[[#This Row],[Mouser SKU]], MouserListTable12[[#This Row],[SKU2]])</f>
        <v>572</v>
      </c>
      <c r="E251" s="121">
        <f>MouserListTable12[[#This Row],[Tot '#]]-MouserListTable12[[#This Row],['# Initial]]</f>
        <v>1</v>
      </c>
      <c r="F251" s="121">
        <f>MouserListTable12[[#This Row],['#/Unit]]*FilterSpecs!$B$3+MouserListTable12[[#This Row],[Extra Initial]]</f>
        <v>0</v>
      </c>
      <c r="G251" s="103"/>
      <c r="H251" s="103"/>
      <c r="I251" s="103" t="s">
        <v>2383</v>
      </c>
      <c r="K251" s="171">
        <v>9.9499999999999993</v>
      </c>
      <c r="L251" s="103" t="s">
        <v>1914</v>
      </c>
      <c r="M251" s="106"/>
      <c r="N251" s="171">
        <f>MouserListTable12[[#This Row],['# Initial]]*MouserListTable12[[#This Row],[Price (USD)]]</f>
        <v>0</v>
      </c>
      <c r="O251" s="106" t="s">
        <v>2382</v>
      </c>
      <c r="P251" s="103">
        <f t="shared" si="5"/>
        <v>233</v>
      </c>
      <c r="Q251" s="103">
        <f>IF($D251=$O251,1,0)</f>
        <v>1</v>
      </c>
      <c r="R251" s="103" t="s">
        <v>1898</v>
      </c>
      <c r="S251" s="103" t="str">
        <f>_xlfn.IFS(MouserListTable12[[#This Row],[Supplier]]=FilterSpecs!$A$6, FilterSpecs!$B$6,MouserListTable12[[#This Row],[Supplier]]=FilterSpecs!$A$7,FilterSpecs!$B$7,MouserListTable12[[#This Row],[Supplier]]=FilterSpecs!$A$8,FilterSpecs!$B$8,MouserListTable12[[#This Row],[Supplier]]=FilterSpecs!$A$9,FilterSpecs!$B$9)</f>
        <v>485-</v>
      </c>
      <c r="T25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485-572</v>
      </c>
      <c r="U251" s="121">
        <v>0</v>
      </c>
      <c r="V251" s="121">
        <v>1</v>
      </c>
      <c r="W251" s="121">
        <v>0</v>
      </c>
      <c r="X251" s="121">
        <f>MouserListTable12[[#This Row],['#/Unit]]*FilterSpecs!$C$3+MouserListTable12[[#This Row],[Extra]]</f>
        <v>1</v>
      </c>
      <c r="Y251" s="121">
        <f>IF(MouserListTable12[[#This Row],[Tag]]=FilterSpecs!$F$7,MouserListTable12[[#This Row],[Price (USD)]],0)</f>
        <v>0</v>
      </c>
      <c r="Z251" s="121">
        <f>MouserListTable12[[#This Row],[Tot '#]]*MouserListTable12[[#This Row],[Price (USD)]]</f>
        <v>9.9499999999999993</v>
      </c>
    </row>
    <row r="252" spans="1:26" s="146" customFormat="1" hidden="1" x14ac:dyDescent="0.3">
      <c r="A252" s="103" t="s">
        <v>1046</v>
      </c>
      <c r="B252" s="103" t="s">
        <v>1409</v>
      </c>
      <c r="C252" s="103" t="s">
        <v>1898</v>
      </c>
      <c r="D252" s="106" t="str">
        <f>IF(MouserListTable12[[#This Row],[Vendor]]=FilterSpecs!$A$8,MouserListTable12[[#This Row],[Mouser SKU]], MouserListTable12[[#This Row],[SKU2]])</f>
        <v>702</v>
      </c>
      <c r="E252" s="121">
        <f>MouserListTable12[[#This Row],[Tot '#]]-MouserListTable12[[#This Row],['# Initial]]</f>
        <v>0</v>
      </c>
      <c r="F252" s="121">
        <f>MouserListTable12[[#This Row],['#/Unit]]*FilterSpecs!$B$3+MouserListTable12[[#This Row],[Extra Initial]]</f>
        <v>0</v>
      </c>
      <c r="G252" s="103"/>
      <c r="H252" s="103"/>
      <c r="I252" s="126" t="s">
        <v>2385</v>
      </c>
      <c r="K252" s="172">
        <v>7.95</v>
      </c>
      <c r="L252" s="126" t="s">
        <v>1914</v>
      </c>
      <c r="N252" s="171">
        <f>MouserListTable12[[#This Row],['# Initial]]*MouserListTable12[[#This Row],[Price (USD)]]</f>
        <v>0</v>
      </c>
      <c r="O252" s="106" t="s">
        <v>2384</v>
      </c>
      <c r="P252" s="103">
        <f t="shared" si="5"/>
        <v>234</v>
      </c>
      <c r="Q252" s="103">
        <f>IF($D252=$O252,1,0)</f>
        <v>1</v>
      </c>
      <c r="R252" s="103" t="s">
        <v>1898</v>
      </c>
      <c r="S252" s="103" t="str">
        <f>_xlfn.IFS(MouserListTable12[[#This Row],[Supplier]]=FilterSpecs!$A$6, FilterSpecs!$B$6,MouserListTable12[[#This Row],[Supplier]]=FilterSpecs!$A$7,FilterSpecs!$B$7,MouserListTable12[[#This Row],[Supplier]]=FilterSpecs!$A$8,FilterSpecs!$B$8,MouserListTable12[[#This Row],[Supplier]]=FilterSpecs!$A$9,FilterSpecs!$B$9)</f>
        <v>485-</v>
      </c>
      <c r="T25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485-702</v>
      </c>
      <c r="U252" s="121">
        <v>0</v>
      </c>
      <c r="V252" s="121">
        <v>0</v>
      </c>
      <c r="W252" s="121">
        <v>0</v>
      </c>
      <c r="X252" s="121">
        <f>MouserListTable12[[#This Row],['#/Unit]]*FilterSpecs!$C$3+MouserListTable12[[#This Row],[Extra]]</f>
        <v>0</v>
      </c>
      <c r="Y252" s="121">
        <f>IF(MouserListTable12[[#This Row],[Tag]]=FilterSpecs!$F$7,MouserListTable12[[#This Row],[Price (USD)]],0)</f>
        <v>0</v>
      </c>
      <c r="Z252" s="121">
        <f>MouserListTable12[[#This Row],[Tot '#]]*MouserListTable12[[#This Row],[Price (USD)]]</f>
        <v>0</v>
      </c>
    </row>
    <row r="253" spans="1:26" s="146" customFormat="1" hidden="1" x14ac:dyDescent="0.3">
      <c r="A253" s="103" t="s">
        <v>1046</v>
      </c>
      <c r="B253" s="103" t="s">
        <v>1409</v>
      </c>
      <c r="C253" s="103" t="s">
        <v>1898</v>
      </c>
      <c r="D253" s="106" t="str">
        <f>IF(MouserListTable12[[#This Row],[Vendor]]=FilterSpecs!$A$8,MouserListTable12[[#This Row],[Mouser SKU]], MouserListTable12[[#This Row],[SKU2]])</f>
        <v>2627</v>
      </c>
      <c r="E253" s="121">
        <f>MouserListTable12[[#This Row],[Tot '#]]-MouserListTable12[[#This Row],['# Initial]]</f>
        <v>1</v>
      </c>
      <c r="F253" s="121">
        <f>MouserListTable12[[#This Row],['#/Unit]]*FilterSpecs!$B$3+MouserListTable12[[#This Row],[Extra Initial]]</f>
        <v>0</v>
      </c>
      <c r="G253" s="103"/>
      <c r="H253" s="103"/>
      <c r="I253" s="103" t="s">
        <v>2387</v>
      </c>
      <c r="K253" s="171">
        <v>39.950000000000003</v>
      </c>
      <c r="L253" s="103" t="s">
        <v>1914</v>
      </c>
      <c r="M253" s="106"/>
      <c r="N253" s="171">
        <f>MouserListTable12[[#This Row],['# Initial]]*MouserListTable12[[#This Row],[Price (USD)]]</f>
        <v>0</v>
      </c>
      <c r="O253" s="106" t="s">
        <v>2386</v>
      </c>
      <c r="P253" s="103">
        <f t="shared" si="5"/>
        <v>235</v>
      </c>
      <c r="Q253" s="103">
        <f>IF($D253=$O253,1,0)</f>
        <v>1</v>
      </c>
      <c r="R253" s="103" t="s">
        <v>1898</v>
      </c>
      <c r="S253" s="103" t="str">
        <f>_xlfn.IFS(MouserListTable12[[#This Row],[Supplier]]=FilterSpecs!$A$6, FilterSpecs!$B$6,MouserListTable12[[#This Row],[Supplier]]=FilterSpecs!$A$7,FilterSpecs!$B$7,MouserListTable12[[#This Row],[Supplier]]=FilterSpecs!$A$8,FilterSpecs!$B$8,MouserListTable12[[#This Row],[Supplier]]=FilterSpecs!$A$9,FilterSpecs!$B$9)</f>
        <v>485-</v>
      </c>
      <c r="T25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485-2627</v>
      </c>
      <c r="U253" s="121">
        <v>0</v>
      </c>
      <c r="V253" s="121">
        <v>1</v>
      </c>
      <c r="W253" s="121">
        <v>0</v>
      </c>
      <c r="X253" s="121">
        <f>MouserListTable12[[#This Row],['#/Unit]]*FilterSpecs!$C$3+MouserListTable12[[#This Row],[Extra]]</f>
        <v>1</v>
      </c>
      <c r="Y253" s="121">
        <f>IF(MouserListTable12[[#This Row],[Tag]]=FilterSpecs!$F$7,MouserListTable12[[#This Row],[Price (USD)]],0)</f>
        <v>0</v>
      </c>
      <c r="Z253" s="121">
        <f>MouserListTable12[[#This Row],[Tot '#]]*MouserListTable12[[#This Row],[Price (USD)]]</f>
        <v>39.950000000000003</v>
      </c>
    </row>
    <row r="254" spans="1:26" s="146" customFormat="1" hidden="1" x14ac:dyDescent="0.3">
      <c r="A254" s="103" t="s">
        <v>1046</v>
      </c>
      <c r="B254" s="103" t="s">
        <v>1409</v>
      </c>
      <c r="C254" s="103" t="s">
        <v>1898</v>
      </c>
      <c r="D254" s="106" t="str">
        <f>IF(MouserListTable12[[#This Row],[Vendor]]=FilterSpecs!$A$8,MouserListTable12[[#This Row],[Mouser SKU]], MouserListTable12[[#This Row],[SKU2]])</f>
        <v>2628</v>
      </c>
      <c r="E254" s="121">
        <f>MouserListTable12[[#This Row],[Tot '#]]-MouserListTable12[[#This Row],['# Initial]]</f>
        <v>0</v>
      </c>
      <c r="F254" s="121">
        <f>MouserListTable12[[#This Row],['#/Unit]]*FilterSpecs!$B$3+MouserListTable12[[#This Row],[Extra Initial]]</f>
        <v>0</v>
      </c>
      <c r="G254" s="103"/>
      <c r="H254" s="103"/>
      <c r="I254" s="126" t="s">
        <v>2389</v>
      </c>
      <c r="K254" s="172">
        <v>39.950000000000003</v>
      </c>
      <c r="L254" s="126" t="s">
        <v>1914</v>
      </c>
      <c r="N254" s="171">
        <f>MouserListTable12[[#This Row],['# Initial]]*MouserListTable12[[#This Row],[Price (USD)]]</f>
        <v>0</v>
      </c>
      <c r="O254" s="106" t="s">
        <v>2388</v>
      </c>
      <c r="P254" s="103">
        <f t="shared" si="5"/>
        <v>236</v>
      </c>
      <c r="Q254" s="103">
        <f>IF($D254=$O254,1,0)</f>
        <v>1</v>
      </c>
      <c r="R254" s="103" t="s">
        <v>1898</v>
      </c>
      <c r="S254" s="103" t="str">
        <f>_xlfn.IFS(MouserListTable12[[#This Row],[Supplier]]=FilterSpecs!$A$6, FilterSpecs!$B$6,MouserListTable12[[#This Row],[Supplier]]=FilterSpecs!$A$7,FilterSpecs!$B$7,MouserListTable12[[#This Row],[Supplier]]=FilterSpecs!$A$8,FilterSpecs!$B$8,MouserListTable12[[#This Row],[Supplier]]=FilterSpecs!$A$9,FilterSpecs!$B$9)</f>
        <v>485-</v>
      </c>
      <c r="T25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485-2628</v>
      </c>
      <c r="U254" s="121">
        <v>0</v>
      </c>
      <c r="V254" s="121">
        <v>0</v>
      </c>
      <c r="W254" s="121">
        <v>0</v>
      </c>
      <c r="X254" s="121">
        <f>MouserListTable12[[#This Row],['#/Unit]]*FilterSpecs!$C$3+MouserListTable12[[#This Row],[Extra]]</f>
        <v>0</v>
      </c>
      <c r="Y254" s="121">
        <f>IF(MouserListTable12[[#This Row],[Tag]]=FilterSpecs!$F$7,MouserListTable12[[#This Row],[Price (USD)]],0)</f>
        <v>0</v>
      </c>
      <c r="Z254" s="121">
        <f>MouserListTable12[[#This Row],[Tot '#]]*MouserListTable12[[#This Row],[Price (USD)]]</f>
        <v>0</v>
      </c>
    </row>
    <row r="255" spans="1:26" s="146" customFormat="1" hidden="1" x14ac:dyDescent="0.3">
      <c r="A255" s="103" t="s">
        <v>1046</v>
      </c>
      <c r="B255" s="103" t="s">
        <v>1409</v>
      </c>
      <c r="C255" s="103" t="s">
        <v>1898</v>
      </c>
      <c r="D255" s="106" t="str">
        <f>IF(MouserListTable12[[#This Row],[Vendor]]=FilterSpecs!$A$8,MouserListTable12[[#This Row],[Mouser SKU]], MouserListTable12[[#This Row],[SKU2]])</f>
        <v>1810</v>
      </c>
      <c r="E255" s="121">
        <f>MouserListTable12[[#This Row],[Tot '#]]-MouserListTable12[[#This Row],['# Initial]]</f>
        <v>0</v>
      </c>
      <c r="F255" s="121">
        <f>MouserListTable12[[#This Row],['#/Unit]]*FilterSpecs!$B$3+MouserListTable12[[#This Row],[Extra Initial]]</f>
        <v>0</v>
      </c>
      <c r="G255" s="103"/>
      <c r="H255" s="103"/>
      <c r="I255" s="126" t="s">
        <v>2391</v>
      </c>
      <c r="K255" s="172">
        <v>49.95</v>
      </c>
      <c r="L255" s="126" t="s">
        <v>1914</v>
      </c>
      <c r="N255" s="171">
        <f>MouserListTable12[[#This Row],['# Initial]]*MouserListTable12[[#This Row],[Price (USD)]]</f>
        <v>0</v>
      </c>
      <c r="O255" s="106" t="s">
        <v>2390</v>
      </c>
      <c r="P255" s="103">
        <f t="shared" si="5"/>
        <v>237</v>
      </c>
      <c r="Q255" s="103">
        <f>IF($D255=$O255,1,0)</f>
        <v>1</v>
      </c>
      <c r="R255" s="103" t="s">
        <v>1898</v>
      </c>
      <c r="S255" s="103" t="str">
        <f>_xlfn.IFS(MouserListTable12[[#This Row],[Supplier]]=FilterSpecs!$A$6, FilterSpecs!$B$6,MouserListTable12[[#This Row],[Supplier]]=FilterSpecs!$A$7,FilterSpecs!$B$7,MouserListTable12[[#This Row],[Supplier]]=FilterSpecs!$A$8,FilterSpecs!$B$8,MouserListTable12[[#This Row],[Supplier]]=FilterSpecs!$A$9,FilterSpecs!$B$9)</f>
        <v>485-</v>
      </c>
      <c r="T25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485-1810</v>
      </c>
      <c r="U255" s="121">
        <v>0</v>
      </c>
      <c r="V255" s="121">
        <v>0</v>
      </c>
      <c r="W255" s="121">
        <v>0</v>
      </c>
      <c r="X255" s="121">
        <f>MouserListTable12[[#This Row],['#/Unit]]*FilterSpecs!$C$3+MouserListTable12[[#This Row],[Extra]]</f>
        <v>0</v>
      </c>
      <c r="Y255" s="121">
        <f>IF(MouserListTable12[[#This Row],[Tag]]=FilterSpecs!$F$7,MouserListTable12[[#This Row],[Price (USD)]],0)</f>
        <v>0</v>
      </c>
      <c r="Z255" s="121">
        <f>MouserListTable12[[#This Row],[Tot '#]]*MouserListTable12[[#This Row],[Price (USD)]]</f>
        <v>0</v>
      </c>
    </row>
    <row r="256" spans="1:26" s="146" customFormat="1" hidden="1" x14ac:dyDescent="0.3">
      <c r="A256" s="103" t="s">
        <v>1046</v>
      </c>
      <c r="B256" s="103" t="s">
        <v>1042</v>
      </c>
      <c r="C256" s="103" t="s">
        <v>8</v>
      </c>
      <c r="D256" s="106" t="str">
        <f>IF(MouserListTable12[[#This Row],[Vendor]]=FilterSpecs!$A$8,MouserListTable12[[#This Row],[Mouser SKU]], MouserListTable12[[#This Row],[SKU2]])</f>
        <v>DEV-09564</v>
      </c>
      <c r="E256" s="121">
        <f>MouserListTable12[[#This Row],[Tot '#]]-MouserListTable12[[#This Row],['# Initial]]</f>
        <v>1</v>
      </c>
      <c r="F256" s="121">
        <f>MouserListTable12[[#This Row],['#/Unit]]*FilterSpecs!$B$3+MouserListTable12[[#This Row],[Extra Initial]]</f>
        <v>0</v>
      </c>
      <c r="G256" s="103" t="s">
        <v>341</v>
      </c>
      <c r="H256" s="103" t="s">
        <v>342</v>
      </c>
      <c r="I256" s="103" t="s">
        <v>343</v>
      </c>
      <c r="J256" s="103">
        <v>1</v>
      </c>
      <c r="K256" s="171">
        <v>54.95</v>
      </c>
      <c r="L256" s="103" t="s">
        <v>1914</v>
      </c>
      <c r="M256" s="103" t="s">
        <v>1045</v>
      </c>
      <c r="N256" s="171">
        <f>MouserListTable12[[#This Row],['# Initial]]*MouserListTable12[[#This Row],[Price (USD)]]</f>
        <v>0</v>
      </c>
      <c r="O256" s="106" t="s">
        <v>340</v>
      </c>
      <c r="P256" s="103">
        <f t="shared" si="5"/>
        <v>238</v>
      </c>
      <c r="Q256" s="103">
        <f>IF($D256=$O256,1,0)</f>
        <v>1</v>
      </c>
      <c r="R256" s="103" t="s">
        <v>8</v>
      </c>
      <c r="S256" s="103" t="str">
        <f>_xlfn.IFS(MouserListTable12[[#This Row],[Supplier]]=FilterSpecs!$A$6, FilterSpecs!$B$6,MouserListTable12[[#This Row],[Supplier]]=FilterSpecs!$A$7,FilterSpecs!$B$7,MouserListTable12[[#This Row],[Supplier]]=FilterSpecs!$A$8,FilterSpecs!$B$8,MouserListTable12[[#This Row],[Supplier]]=FilterSpecs!$A$9,FilterSpecs!$B$9)</f>
        <v>474-</v>
      </c>
      <c r="T25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474-DEV-09564</v>
      </c>
      <c r="U256" s="121">
        <v>0</v>
      </c>
      <c r="V256" s="121">
        <v>1</v>
      </c>
      <c r="W256" s="121">
        <v>0</v>
      </c>
      <c r="X256" s="121">
        <f>MouserListTable12[[#This Row],['#/Unit]]*FilterSpecs!$C$3+MouserListTable12[[#This Row],[Extra]]</f>
        <v>1</v>
      </c>
      <c r="Y256" s="121">
        <f>IF(MouserListTable12[[#This Row],[Tag]]=FilterSpecs!$F$7,MouserListTable12[[#This Row],[Price (USD)]],0)</f>
        <v>0</v>
      </c>
      <c r="Z256" s="121">
        <f>MouserListTable12[[#This Row],[Tot '#]]*MouserListTable12[[#This Row],[Price (USD)]]</f>
        <v>54.95</v>
      </c>
    </row>
    <row r="257" spans="1:26" s="146" customFormat="1" hidden="1" x14ac:dyDescent="0.3">
      <c r="A257" s="126" t="s">
        <v>1046</v>
      </c>
      <c r="B257" s="126" t="s">
        <v>1042</v>
      </c>
      <c r="C257" s="126" t="s">
        <v>8</v>
      </c>
      <c r="D257" s="106" t="str">
        <f>IF(MouserListTable12[[#This Row],[Vendor]]=FilterSpecs!$A$8,MouserListTable12[[#This Row],[Mouser SKU]], MouserListTable12[[#This Row],[SKU2]])</f>
        <v>DEV-11695</v>
      </c>
      <c r="E257" s="121">
        <f>MouserListTable12[[#This Row],[Tot '#]]-MouserListTable12[[#This Row],['# Initial]]</f>
        <v>0</v>
      </c>
      <c r="F257" s="121">
        <f>MouserListTable12[[#This Row],['#/Unit]]*FilterSpecs!$B$3+MouserListTable12[[#This Row],[Extra Initial]]</f>
        <v>0</v>
      </c>
      <c r="G257" s="103" t="s">
        <v>337</v>
      </c>
      <c r="H257" s="103" t="s">
        <v>338</v>
      </c>
      <c r="I257" s="103" t="s">
        <v>339</v>
      </c>
      <c r="J257" s="103"/>
      <c r="K257" s="171">
        <v>59.95</v>
      </c>
      <c r="L257" s="103" t="s">
        <v>1913</v>
      </c>
      <c r="M257" s="103" t="s">
        <v>1045</v>
      </c>
      <c r="N257" s="171">
        <f>MouserListTable12[[#This Row],['# Initial]]*MouserListTable12[[#This Row],[Price (USD)]]</f>
        <v>0</v>
      </c>
      <c r="O257" s="106" t="s">
        <v>336</v>
      </c>
      <c r="P257" s="103">
        <f t="shared" si="5"/>
        <v>239</v>
      </c>
      <c r="Q257" s="103">
        <f>IF($D257=$O257,1,0)</f>
        <v>1</v>
      </c>
      <c r="R257" s="103" t="s">
        <v>8</v>
      </c>
      <c r="S257" s="103" t="str">
        <f>_xlfn.IFS(MouserListTable12[[#This Row],[Supplier]]=FilterSpecs!$A$6, FilterSpecs!$B$6,MouserListTable12[[#This Row],[Supplier]]=FilterSpecs!$A$7,FilterSpecs!$B$7,MouserListTable12[[#This Row],[Supplier]]=FilterSpecs!$A$8,FilterSpecs!$B$8,MouserListTable12[[#This Row],[Supplier]]=FilterSpecs!$A$9,FilterSpecs!$B$9)</f>
        <v>474-</v>
      </c>
      <c r="T25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474-DEV-11695</v>
      </c>
      <c r="U257" s="121">
        <v>0</v>
      </c>
      <c r="V257" s="121">
        <v>0</v>
      </c>
      <c r="W257" s="121">
        <v>0</v>
      </c>
      <c r="X257" s="121">
        <f>MouserListTable12[[#This Row],['#/Unit]]*FilterSpecs!$C$3+MouserListTable12[[#This Row],[Extra]]</f>
        <v>0</v>
      </c>
      <c r="Y257" s="121">
        <f>IF(MouserListTable12[[#This Row],[Tag]]=FilterSpecs!$F$7,MouserListTable12[[#This Row],[Price (USD)]],0)</f>
        <v>0</v>
      </c>
      <c r="Z257" s="121">
        <f>MouserListTable12[[#This Row],[Tot '#]]*MouserListTable12[[#This Row],[Price (USD)]]</f>
        <v>0</v>
      </c>
    </row>
    <row r="258" spans="1:26" s="146" customFormat="1" hidden="1" x14ac:dyDescent="0.3">
      <c r="A258" s="103" t="s">
        <v>1046</v>
      </c>
      <c r="B258" s="103" t="s">
        <v>1043</v>
      </c>
      <c r="C258" s="103" t="s">
        <v>8</v>
      </c>
      <c r="D258" s="106" t="str">
        <f>IF(MouserListTable12[[#This Row],[Vendor]]=FilterSpecs!$A$8,MouserListTable12[[#This Row],[Mouser SKU]], MouserListTable12[[#This Row],[SKU2]])</f>
        <v>DEV-13097</v>
      </c>
      <c r="E258" s="121">
        <f>MouserListTable12[[#This Row],[Tot '#]]-MouserListTable12[[#This Row],['# Initial]]</f>
        <v>1</v>
      </c>
      <c r="F258" s="121">
        <f>MouserListTable12[[#This Row],['#/Unit]]*FilterSpecs!$B$3+MouserListTable12[[#This Row],[Extra Initial]]</f>
        <v>0</v>
      </c>
      <c r="G258" s="103" t="s">
        <v>301</v>
      </c>
      <c r="H258" s="103" t="s">
        <v>302</v>
      </c>
      <c r="I258" s="103" t="s">
        <v>303</v>
      </c>
      <c r="J258" s="103">
        <v>1</v>
      </c>
      <c r="K258" s="171">
        <v>99.95</v>
      </c>
      <c r="L258" s="103" t="s">
        <v>1914</v>
      </c>
      <c r="M258" s="103" t="s">
        <v>1052</v>
      </c>
      <c r="N258" s="171">
        <f>MouserListTable12[[#This Row],['# Initial]]*MouserListTable12[[#This Row],[Price (USD)]]</f>
        <v>0</v>
      </c>
      <c r="O258" s="106" t="s">
        <v>300</v>
      </c>
      <c r="P258" s="103">
        <f t="shared" si="5"/>
        <v>240</v>
      </c>
      <c r="Q258" s="103">
        <f>IF($D258=$O258,1,0)</f>
        <v>1</v>
      </c>
      <c r="R258" s="103" t="s">
        <v>8</v>
      </c>
      <c r="S258" s="103" t="str">
        <f>_xlfn.IFS(MouserListTable12[[#This Row],[Supplier]]=FilterSpecs!$A$6, FilterSpecs!$B$6,MouserListTable12[[#This Row],[Supplier]]=FilterSpecs!$A$7,FilterSpecs!$B$7,MouserListTable12[[#This Row],[Supplier]]=FilterSpecs!$A$8,FilterSpecs!$B$8,MouserListTable12[[#This Row],[Supplier]]=FilterSpecs!$A$9,FilterSpecs!$B$9)</f>
        <v>474-</v>
      </c>
      <c r="T25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474-DEV-13097</v>
      </c>
      <c r="U258" s="121">
        <v>0</v>
      </c>
      <c r="V258" s="121">
        <v>1</v>
      </c>
      <c r="W258" s="121">
        <v>0</v>
      </c>
      <c r="X258" s="121">
        <f>MouserListTable12[[#This Row],['#/Unit]]*FilterSpecs!$C$3+MouserListTable12[[#This Row],[Extra]]</f>
        <v>1</v>
      </c>
      <c r="Y258" s="121">
        <f>IF(MouserListTable12[[#This Row],[Tag]]=FilterSpecs!$F$7,MouserListTable12[[#This Row],[Price (USD)]],0)</f>
        <v>0</v>
      </c>
      <c r="Z258" s="121">
        <f>MouserListTable12[[#This Row],[Tot '#]]*MouserListTable12[[#This Row],[Price (USD)]]</f>
        <v>99.95</v>
      </c>
    </row>
    <row r="259" spans="1:26" s="146" customFormat="1" hidden="1" x14ac:dyDescent="0.3">
      <c r="A259" s="103" t="s">
        <v>1046</v>
      </c>
      <c r="B259" s="103" t="s">
        <v>1043</v>
      </c>
      <c r="C259" s="103" t="s">
        <v>8</v>
      </c>
      <c r="D259" s="106" t="str">
        <f>IF(MouserListTable12[[#This Row],[Vendor]]=FilterSpecs!$A$8,MouserListTable12[[#This Row],[Mouser SKU]], MouserListTable12[[#This Row],[SKU2]])</f>
        <v>DEV-13045</v>
      </c>
      <c r="E259" s="121">
        <f>MouserListTable12[[#This Row],[Tot '#]]-MouserListTable12[[#This Row],['# Initial]]</f>
        <v>1</v>
      </c>
      <c r="F259" s="121">
        <f>MouserListTable12[[#This Row],['#/Unit]]*FilterSpecs!$B$3+MouserListTable12[[#This Row],[Extra Initial]]</f>
        <v>0</v>
      </c>
      <c r="G259" s="103" t="s">
        <v>321</v>
      </c>
      <c r="H259" s="103" t="s">
        <v>322</v>
      </c>
      <c r="I259" s="103" t="s">
        <v>323</v>
      </c>
      <c r="J259" s="103">
        <v>1</v>
      </c>
      <c r="K259" s="171">
        <v>19.95</v>
      </c>
      <c r="L259" s="103" t="s">
        <v>1914</v>
      </c>
      <c r="M259" s="103" t="s">
        <v>1052</v>
      </c>
      <c r="N259" s="171">
        <f>MouserListTable12[[#This Row],['# Initial]]*MouserListTable12[[#This Row],[Price (USD)]]</f>
        <v>0</v>
      </c>
      <c r="O259" s="106" t="s">
        <v>320</v>
      </c>
      <c r="P259" s="103">
        <f t="shared" si="5"/>
        <v>241</v>
      </c>
      <c r="Q259" s="103">
        <f>IF($D259=$O259,1,0)</f>
        <v>1</v>
      </c>
      <c r="R259" s="103" t="s">
        <v>8</v>
      </c>
      <c r="S259" s="103" t="str">
        <f>_xlfn.IFS(MouserListTable12[[#This Row],[Supplier]]=FilterSpecs!$A$6, FilterSpecs!$B$6,MouserListTable12[[#This Row],[Supplier]]=FilterSpecs!$A$7,FilterSpecs!$B$7,MouserListTable12[[#This Row],[Supplier]]=FilterSpecs!$A$8,FilterSpecs!$B$8,MouserListTable12[[#This Row],[Supplier]]=FilterSpecs!$A$9,FilterSpecs!$B$9)</f>
        <v>474-</v>
      </c>
      <c r="T25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474-DEV-13045</v>
      </c>
      <c r="U259" s="121">
        <v>0</v>
      </c>
      <c r="V259" s="121">
        <v>1</v>
      </c>
      <c r="W259" s="121">
        <v>0</v>
      </c>
      <c r="X259" s="121">
        <f>MouserListTable12[[#This Row],['#/Unit]]*FilterSpecs!$C$3+MouserListTable12[[#This Row],[Extra]]</f>
        <v>1</v>
      </c>
      <c r="Y259" s="121">
        <f>IF(MouserListTable12[[#This Row],[Tag]]=FilterSpecs!$F$7,MouserListTable12[[#This Row],[Price (USD)]],0)</f>
        <v>0</v>
      </c>
      <c r="Z259" s="121">
        <f>MouserListTable12[[#This Row],[Tot '#]]*MouserListTable12[[#This Row],[Price (USD)]]</f>
        <v>19.95</v>
      </c>
    </row>
    <row r="260" spans="1:26" s="146" customFormat="1" hidden="1" x14ac:dyDescent="0.3">
      <c r="A260" s="103" t="s">
        <v>1046</v>
      </c>
      <c r="B260" s="103" t="s">
        <v>1043</v>
      </c>
      <c r="C260" s="103" t="s">
        <v>8</v>
      </c>
      <c r="D260" s="106" t="str">
        <f>IF(MouserListTable12[[#This Row],[Vendor]]=FilterSpecs!$A$8,MouserListTable12[[#This Row],[Mouser SKU]], MouserListTable12[[#This Row],[SKU2]])</f>
        <v>DEV-13038</v>
      </c>
      <c r="E260" s="121">
        <f>MouserListTable12[[#This Row],[Tot '#]]-MouserListTable12[[#This Row],['# Initial]]</f>
        <v>1</v>
      </c>
      <c r="F260" s="121">
        <f>MouserListTable12[[#This Row],['#/Unit]]*FilterSpecs!$B$3+MouserListTable12[[#This Row],[Extra Initial]]</f>
        <v>0</v>
      </c>
      <c r="G260" s="103" t="s">
        <v>309</v>
      </c>
      <c r="H260" s="103" t="s">
        <v>310</v>
      </c>
      <c r="I260" s="103" t="s">
        <v>311</v>
      </c>
      <c r="J260" s="103">
        <v>1</v>
      </c>
      <c r="K260" s="171">
        <v>9.9499999999999993</v>
      </c>
      <c r="L260" s="103" t="s">
        <v>1914</v>
      </c>
      <c r="M260" s="103" t="s">
        <v>1052</v>
      </c>
      <c r="N260" s="171">
        <f>MouserListTable12[[#This Row],['# Initial]]*MouserListTable12[[#This Row],[Price (USD)]]</f>
        <v>0</v>
      </c>
      <c r="O260" s="106" t="s">
        <v>308</v>
      </c>
      <c r="P260" s="103">
        <f t="shared" si="5"/>
        <v>242</v>
      </c>
      <c r="Q260" s="103">
        <f>IF($D260=$O260,1,0)</f>
        <v>1</v>
      </c>
      <c r="R260" s="103" t="s">
        <v>8</v>
      </c>
      <c r="S260" s="103" t="str">
        <f>_xlfn.IFS(MouserListTable12[[#This Row],[Supplier]]=FilterSpecs!$A$6, FilterSpecs!$B$6,MouserListTable12[[#This Row],[Supplier]]=FilterSpecs!$A$7,FilterSpecs!$B$7,MouserListTable12[[#This Row],[Supplier]]=FilterSpecs!$A$8,FilterSpecs!$B$8,MouserListTable12[[#This Row],[Supplier]]=FilterSpecs!$A$9,FilterSpecs!$B$9)</f>
        <v>474-</v>
      </c>
      <c r="T26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474-DEV-13038</v>
      </c>
      <c r="U260" s="121">
        <v>0</v>
      </c>
      <c r="V260" s="121">
        <v>1</v>
      </c>
      <c r="W260" s="121">
        <v>0</v>
      </c>
      <c r="X260" s="121">
        <f>MouserListTable12[[#This Row],['#/Unit]]*FilterSpecs!$C$3+MouserListTable12[[#This Row],[Extra]]</f>
        <v>1</v>
      </c>
      <c r="Y260" s="121">
        <f>IF(MouserListTable12[[#This Row],[Tag]]=FilterSpecs!$F$7,MouserListTable12[[#This Row],[Price (USD)]],0)</f>
        <v>0</v>
      </c>
      <c r="Z260" s="121">
        <f>MouserListTable12[[#This Row],[Tot '#]]*MouserListTable12[[#This Row],[Price (USD)]]</f>
        <v>9.9499999999999993</v>
      </c>
    </row>
    <row r="261" spans="1:26" s="146" customFormat="1" hidden="1" x14ac:dyDescent="0.3">
      <c r="A261" s="103" t="s">
        <v>1046</v>
      </c>
      <c r="B261" s="103" t="s">
        <v>1043</v>
      </c>
      <c r="C261" s="103" t="s">
        <v>8</v>
      </c>
      <c r="D261" s="106" t="str">
        <f>IF(MouserListTable12[[#This Row],[Vendor]]=FilterSpecs!$A$8,MouserListTable12[[#This Row],[Mouser SKU]], MouserListTable12[[#This Row],[SKU2]])</f>
        <v>DEV-13034</v>
      </c>
      <c r="E261" s="121">
        <f>MouserListTable12[[#This Row],[Tot '#]]-MouserListTable12[[#This Row],['# Initial]]</f>
        <v>1</v>
      </c>
      <c r="F261" s="121">
        <f>MouserListTable12[[#This Row],['#/Unit]]*FilterSpecs!$B$3+MouserListTable12[[#This Row],[Extra Initial]]</f>
        <v>0</v>
      </c>
      <c r="G261" s="103" t="s">
        <v>313</v>
      </c>
      <c r="H261" s="103" t="s">
        <v>314</v>
      </c>
      <c r="I261" s="103" t="s">
        <v>315</v>
      </c>
      <c r="J261" s="103">
        <v>1</v>
      </c>
      <c r="K261" s="171">
        <v>9.9499999999999993</v>
      </c>
      <c r="L261" s="103" t="s">
        <v>1914</v>
      </c>
      <c r="M261" s="103" t="s">
        <v>1052</v>
      </c>
      <c r="N261" s="171">
        <f>MouserListTable12[[#This Row],['# Initial]]*MouserListTable12[[#This Row],[Price (USD)]]</f>
        <v>0</v>
      </c>
      <c r="O261" s="106" t="s">
        <v>312</v>
      </c>
      <c r="P261" s="103">
        <f t="shared" si="5"/>
        <v>243</v>
      </c>
      <c r="Q261" s="103">
        <f>IF($D261=$O261,1,0)</f>
        <v>1</v>
      </c>
      <c r="R261" s="103" t="s">
        <v>8</v>
      </c>
      <c r="S261" s="103" t="str">
        <f>_xlfn.IFS(MouserListTable12[[#This Row],[Supplier]]=FilterSpecs!$A$6, FilterSpecs!$B$6,MouserListTable12[[#This Row],[Supplier]]=FilterSpecs!$A$7,FilterSpecs!$B$7,MouserListTable12[[#This Row],[Supplier]]=FilterSpecs!$A$8,FilterSpecs!$B$8,MouserListTable12[[#This Row],[Supplier]]=FilterSpecs!$A$9,FilterSpecs!$B$9)</f>
        <v>474-</v>
      </c>
      <c r="T26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474-DEV-13034</v>
      </c>
      <c r="U261" s="121">
        <v>0</v>
      </c>
      <c r="V261" s="121">
        <v>1</v>
      </c>
      <c r="W261" s="121">
        <v>0</v>
      </c>
      <c r="X261" s="121">
        <f>MouserListTable12[[#This Row],['#/Unit]]*FilterSpecs!$C$3+MouserListTable12[[#This Row],[Extra]]</f>
        <v>1</v>
      </c>
      <c r="Y261" s="121">
        <f>IF(MouserListTable12[[#This Row],[Tag]]=FilterSpecs!$F$7,MouserListTable12[[#This Row],[Price (USD)]],0)</f>
        <v>0</v>
      </c>
      <c r="Z261" s="121">
        <f>MouserListTable12[[#This Row],[Tot '#]]*MouserListTable12[[#This Row],[Price (USD)]]</f>
        <v>9.9499999999999993</v>
      </c>
    </row>
    <row r="262" spans="1:26" s="153" customFormat="1" hidden="1" x14ac:dyDescent="0.3">
      <c r="A262" s="103" t="s">
        <v>1046</v>
      </c>
      <c r="B262" s="103" t="s">
        <v>1043</v>
      </c>
      <c r="C262" s="103" t="s">
        <v>8</v>
      </c>
      <c r="D262" s="106" t="str">
        <f>IF(MouserListTable12[[#This Row],[Vendor]]=FilterSpecs!$A$8,MouserListTable12[[#This Row],[Mouser SKU]], MouserListTable12[[#This Row],[SKU2]])</f>
        <v>DEV-13041</v>
      </c>
      <c r="E262" s="121">
        <f>MouserListTable12[[#This Row],[Tot '#]]-MouserListTable12[[#This Row],['# Initial]]</f>
        <v>1</v>
      </c>
      <c r="F262" s="121">
        <f>MouserListTable12[[#This Row],['#/Unit]]*FilterSpecs!$B$3+MouserListTable12[[#This Row],[Extra Initial]]</f>
        <v>0</v>
      </c>
      <c r="G262" s="103" t="s">
        <v>317</v>
      </c>
      <c r="H262" s="103" t="s">
        <v>318</v>
      </c>
      <c r="I262" s="103" t="s">
        <v>319</v>
      </c>
      <c r="J262" s="103">
        <v>1</v>
      </c>
      <c r="K262" s="171">
        <v>9.9499999999999993</v>
      </c>
      <c r="L262" s="103" t="s">
        <v>1914</v>
      </c>
      <c r="M262" s="103" t="s">
        <v>1052</v>
      </c>
      <c r="N262" s="171">
        <f>MouserListTable12[[#This Row],['# Initial]]*MouserListTable12[[#This Row],[Price (USD)]]</f>
        <v>0</v>
      </c>
      <c r="O262" s="106" t="s">
        <v>316</v>
      </c>
      <c r="P262" s="103">
        <f t="shared" si="5"/>
        <v>244</v>
      </c>
      <c r="Q262" s="103">
        <f>IF($D262=$O262,1,0)</f>
        <v>1</v>
      </c>
      <c r="R262" s="103" t="s">
        <v>8</v>
      </c>
      <c r="S262" s="103" t="str">
        <f>_xlfn.IFS(MouserListTable12[[#This Row],[Supplier]]=FilterSpecs!$A$6, FilterSpecs!$B$6,MouserListTable12[[#This Row],[Supplier]]=FilterSpecs!$A$7,FilterSpecs!$B$7,MouserListTable12[[#This Row],[Supplier]]=FilterSpecs!$A$8,FilterSpecs!$B$8,MouserListTable12[[#This Row],[Supplier]]=FilterSpecs!$A$9,FilterSpecs!$B$9)</f>
        <v>474-</v>
      </c>
      <c r="T26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474-DEV-13041</v>
      </c>
      <c r="U262" s="121">
        <v>0</v>
      </c>
      <c r="V262" s="121">
        <v>1</v>
      </c>
      <c r="W262" s="121">
        <v>0</v>
      </c>
      <c r="X262" s="121">
        <f>MouserListTable12[[#This Row],['#/Unit]]*FilterSpecs!$C$3+MouserListTable12[[#This Row],[Extra]]</f>
        <v>1</v>
      </c>
      <c r="Y262" s="121">
        <f>IF(MouserListTable12[[#This Row],[Tag]]=FilterSpecs!$F$7,MouserListTable12[[#This Row],[Price (USD)]],0)</f>
        <v>0</v>
      </c>
      <c r="Z262" s="121">
        <f>MouserListTable12[[#This Row],[Tot '#]]*MouserListTable12[[#This Row],[Price (USD)]]</f>
        <v>9.9499999999999993</v>
      </c>
    </row>
    <row r="263" spans="1:26" s="153" customFormat="1" hidden="1" x14ac:dyDescent="0.3">
      <c r="A263" s="103" t="s">
        <v>1046</v>
      </c>
      <c r="B263" s="103" t="s">
        <v>1043</v>
      </c>
      <c r="C263" s="103" t="s">
        <v>8</v>
      </c>
      <c r="D263" s="106" t="str">
        <f>IF(MouserListTable12[[#This Row],[Vendor]]=FilterSpecs!$A$8,MouserListTable12[[#This Row],[Mouser SKU]], MouserListTable12[[#This Row],[SKU2]])</f>
        <v>DEV-13727</v>
      </c>
      <c r="E263" s="121">
        <f>MouserListTable12[[#This Row],[Tot '#]]-MouserListTable12[[#This Row],['# Initial]]</f>
        <v>1</v>
      </c>
      <c r="F263" s="121">
        <f>MouserListTable12[[#This Row],['#/Unit]]*FilterSpecs!$B$3+MouserListTable12[[#This Row],[Extra Initial]]</f>
        <v>0</v>
      </c>
      <c r="G263" s="103" t="s">
        <v>305</v>
      </c>
      <c r="H263" s="103" t="s">
        <v>306</v>
      </c>
      <c r="I263" s="103" t="s">
        <v>307</v>
      </c>
      <c r="J263" s="103">
        <v>1</v>
      </c>
      <c r="K263" s="171">
        <v>9.9499999999999993</v>
      </c>
      <c r="L263" s="103" t="s">
        <v>1914</v>
      </c>
      <c r="M263" s="103" t="s">
        <v>1052</v>
      </c>
      <c r="N263" s="171">
        <f>MouserListTable12[[#This Row],['# Initial]]*MouserListTable12[[#This Row],[Price (USD)]]</f>
        <v>0</v>
      </c>
      <c r="O263" s="106" t="s">
        <v>304</v>
      </c>
      <c r="P263" s="103">
        <f t="shared" si="5"/>
        <v>245</v>
      </c>
      <c r="Q263" s="103">
        <f>IF($D263=$O263,1,0)</f>
        <v>1</v>
      </c>
      <c r="R263" s="103" t="s">
        <v>8</v>
      </c>
      <c r="S263" s="103" t="str">
        <f>_xlfn.IFS(MouserListTable12[[#This Row],[Supplier]]=FilterSpecs!$A$6, FilterSpecs!$B$6,MouserListTable12[[#This Row],[Supplier]]=FilterSpecs!$A$7,FilterSpecs!$B$7,MouserListTable12[[#This Row],[Supplier]]=FilterSpecs!$A$8,FilterSpecs!$B$8,MouserListTable12[[#This Row],[Supplier]]=FilterSpecs!$A$9,FilterSpecs!$B$9)</f>
        <v>474-</v>
      </c>
      <c r="T26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474-DEV-13727</v>
      </c>
      <c r="U263" s="121">
        <v>0</v>
      </c>
      <c r="V263" s="121">
        <v>1</v>
      </c>
      <c r="W263" s="121">
        <v>0</v>
      </c>
      <c r="X263" s="121">
        <f>MouserListTable12[[#This Row],['#/Unit]]*FilterSpecs!$C$3+MouserListTable12[[#This Row],[Extra]]</f>
        <v>1</v>
      </c>
      <c r="Y263" s="121">
        <f>IF(MouserListTable12[[#This Row],[Tag]]=FilterSpecs!$F$7,MouserListTable12[[#This Row],[Price (USD)]],0)</f>
        <v>0</v>
      </c>
      <c r="Z263" s="121">
        <f>MouserListTable12[[#This Row],[Tot '#]]*MouserListTable12[[#This Row],[Price (USD)]]</f>
        <v>9.9499999999999993</v>
      </c>
    </row>
    <row r="264" spans="1:26" s="153" customFormat="1" hidden="1" x14ac:dyDescent="0.3">
      <c r="A264" s="103" t="s">
        <v>1046</v>
      </c>
      <c r="B264" s="103" t="s">
        <v>1043</v>
      </c>
      <c r="C264" s="103" t="s">
        <v>8</v>
      </c>
      <c r="D264" s="106" t="str">
        <f>IF(MouserListTable12[[#This Row],[Vendor]]=FilterSpecs!$A$8,MouserListTable12[[#This Row],[Mouser SKU]], MouserListTable12[[#This Row],[SKU2]])</f>
        <v>DEV-13035</v>
      </c>
      <c r="E264" s="121">
        <f>MouserListTable12[[#This Row],[Tot '#]]-MouserListTable12[[#This Row],['# Initial]]</f>
        <v>1</v>
      </c>
      <c r="F264" s="121">
        <f>MouserListTable12[[#This Row],['#/Unit]]*FilterSpecs!$B$3+MouserListTable12[[#This Row],[Extra Initial]]</f>
        <v>0</v>
      </c>
      <c r="G264" s="103" t="s">
        <v>1129</v>
      </c>
      <c r="H264" s="103" t="s">
        <v>1130</v>
      </c>
      <c r="I264" s="103" t="s">
        <v>1131</v>
      </c>
      <c r="J264" s="103">
        <v>1</v>
      </c>
      <c r="K264" s="171">
        <v>14.95</v>
      </c>
      <c r="L264" s="103" t="s">
        <v>1914</v>
      </c>
      <c r="M264" s="103" t="s">
        <v>1052</v>
      </c>
      <c r="N264" s="171">
        <f>MouserListTable12[[#This Row],['# Initial]]*MouserListTable12[[#This Row],[Price (USD)]]</f>
        <v>0</v>
      </c>
      <c r="O264" s="106" t="s">
        <v>1128</v>
      </c>
      <c r="P264" s="103">
        <f t="shared" si="5"/>
        <v>246</v>
      </c>
      <c r="Q264" s="103">
        <f>IF($D264=$O264,1,0)</f>
        <v>1</v>
      </c>
      <c r="R264" s="103" t="s">
        <v>8</v>
      </c>
      <c r="S264" s="103" t="str">
        <f>_xlfn.IFS(MouserListTable12[[#This Row],[Supplier]]=FilterSpecs!$A$6, FilterSpecs!$B$6,MouserListTable12[[#This Row],[Supplier]]=FilterSpecs!$A$7,FilterSpecs!$B$7,MouserListTable12[[#This Row],[Supplier]]=FilterSpecs!$A$8,FilterSpecs!$B$8,MouserListTable12[[#This Row],[Supplier]]=FilterSpecs!$A$9,FilterSpecs!$B$9)</f>
        <v>474-</v>
      </c>
      <c r="T26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474-DEV-13035</v>
      </c>
      <c r="U264" s="121">
        <v>0</v>
      </c>
      <c r="V264" s="121">
        <v>1</v>
      </c>
      <c r="W264" s="121">
        <v>0</v>
      </c>
      <c r="X264" s="121">
        <f>MouserListTable12[[#This Row],['#/Unit]]*FilterSpecs!$C$3+MouserListTable12[[#This Row],[Extra]]</f>
        <v>1</v>
      </c>
      <c r="Y264" s="121">
        <f>IF(MouserListTable12[[#This Row],[Tag]]=FilterSpecs!$F$7,MouserListTable12[[#This Row],[Price (USD)]],0)</f>
        <v>0</v>
      </c>
      <c r="Z264" s="121">
        <f>MouserListTable12[[#This Row],[Tot '#]]*MouserListTable12[[#This Row],[Price (USD)]]</f>
        <v>14.95</v>
      </c>
    </row>
    <row r="265" spans="1:26" s="153" customFormat="1" hidden="1" x14ac:dyDescent="0.3">
      <c r="A265" s="103" t="s">
        <v>1046</v>
      </c>
      <c r="B265" s="103" t="s">
        <v>1043</v>
      </c>
      <c r="C265" s="103" t="s">
        <v>8</v>
      </c>
      <c r="D265" s="106" t="str">
        <f>IF(MouserListTable12[[#This Row],[Vendor]]=FilterSpecs!$A$8,MouserListTable12[[#This Row],[Mouser SKU]], MouserListTable12[[#This Row],[SKU2]])</f>
        <v>DEV-13770</v>
      </c>
      <c r="E265" s="121">
        <f>MouserListTable12[[#This Row],[Tot '#]]-MouserListTable12[[#This Row],['# Initial]]</f>
        <v>1</v>
      </c>
      <c r="F265" s="121">
        <f>MouserListTable12[[#This Row],['#/Unit]]*FilterSpecs!$B$3+MouserListTable12[[#This Row],[Extra Initial]]</f>
        <v>0</v>
      </c>
      <c r="G265" s="103" t="s">
        <v>1149</v>
      </c>
      <c r="H265" s="103" t="s">
        <v>1150</v>
      </c>
      <c r="I265" s="103" t="s">
        <v>1151</v>
      </c>
      <c r="J265" s="103">
        <v>1</v>
      </c>
      <c r="K265" s="171">
        <v>9.9499999999999993</v>
      </c>
      <c r="L265" s="103" t="s">
        <v>1914</v>
      </c>
      <c r="M265" s="103" t="s">
        <v>1052</v>
      </c>
      <c r="N265" s="171">
        <f>MouserListTable12[[#This Row],['# Initial]]*MouserListTable12[[#This Row],[Price (USD)]]</f>
        <v>0</v>
      </c>
      <c r="O265" s="106" t="s">
        <v>1148</v>
      </c>
      <c r="P265" s="103">
        <f t="shared" si="5"/>
        <v>247</v>
      </c>
      <c r="Q265" s="103">
        <f>IF($D265=$O265,1,0)</f>
        <v>1</v>
      </c>
      <c r="R265" s="103" t="s">
        <v>8</v>
      </c>
      <c r="S265" s="103" t="str">
        <f>_xlfn.IFS(MouserListTable12[[#This Row],[Supplier]]=FilterSpecs!$A$6, FilterSpecs!$B$6,MouserListTable12[[#This Row],[Supplier]]=FilterSpecs!$A$7,FilterSpecs!$B$7,MouserListTable12[[#This Row],[Supplier]]=FilterSpecs!$A$8,FilterSpecs!$B$8,MouserListTable12[[#This Row],[Supplier]]=FilterSpecs!$A$9,FilterSpecs!$B$9)</f>
        <v>474-</v>
      </c>
      <c r="T26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474-DEV-13770</v>
      </c>
      <c r="U265" s="121">
        <v>0</v>
      </c>
      <c r="V265" s="121">
        <v>1</v>
      </c>
      <c r="W265" s="121">
        <v>0</v>
      </c>
      <c r="X265" s="121">
        <f>MouserListTable12[[#This Row],['#/Unit]]*FilterSpecs!$C$3+MouserListTable12[[#This Row],[Extra]]</f>
        <v>1</v>
      </c>
      <c r="Y265" s="121">
        <f>IF(MouserListTable12[[#This Row],[Tag]]=FilterSpecs!$F$7,MouserListTable12[[#This Row],[Price (USD)]],0)</f>
        <v>0</v>
      </c>
      <c r="Z265" s="121">
        <f>MouserListTable12[[#This Row],[Tot '#]]*MouserListTable12[[#This Row],[Price (USD)]]</f>
        <v>9.9499999999999993</v>
      </c>
    </row>
    <row r="266" spans="1:26" s="153" customFormat="1" hidden="1" x14ac:dyDescent="0.3">
      <c r="A266" s="103" t="s">
        <v>1046</v>
      </c>
      <c r="B266" s="103" t="s">
        <v>1043</v>
      </c>
      <c r="C266" s="103" t="s">
        <v>8</v>
      </c>
      <c r="D266" s="106" t="str">
        <f>IF(MouserListTable12[[#This Row],[Vendor]]=FilterSpecs!$A$8,MouserListTable12[[#This Row],[Mouser SKU]], MouserListTable12[[#This Row],[SKU2]])</f>
        <v>COM-13187</v>
      </c>
      <c r="E266" s="121">
        <f>MouserListTable12[[#This Row],[Tot '#]]-MouserListTable12[[#This Row],['# Initial]]</f>
        <v>4</v>
      </c>
      <c r="F266" s="121">
        <f>MouserListTable12[[#This Row],['#/Unit]]*FilterSpecs!$B$3+MouserListTable12[[#This Row],[Extra Initial]]</f>
        <v>0</v>
      </c>
      <c r="G266" s="103" t="s">
        <v>800</v>
      </c>
      <c r="H266" s="103" t="s">
        <v>801</v>
      </c>
      <c r="I266" s="103" t="s">
        <v>802</v>
      </c>
      <c r="J266" s="103">
        <v>1</v>
      </c>
      <c r="K266" s="171">
        <v>2.95</v>
      </c>
      <c r="L266" s="103" t="s">
        <v>1914</v>
      </c>
      <c r="M266" s="103" t="s">
        <v>1052</v>
      </c>
      <c r="N266" s="171">
        <f>MouserListTable12[[#This Row],['# Initial]]*MouserListTable12[[#This Row],[Price (USD)]]</f>
        <v>0</v>
      </c>
      <c r="O266" s="106" t="s">
        <v>799</v>
      </c>
      <c r="P266" s="103">
        <f t="shared" si="5"/>
        <v>248</v>
      </c>
      <c r="Q266" s="103">
        <f>IF($D266=$O266,1,0)</f>
        <v>1</v>
      </c>
      <c r="R266" s="103" t="s">
        <v>8</v>
      </c>
      <c r="S266" s="103" t="str">
        <f>_xlfn.IFS(MouserListTable12[[#This Row],[Supplier]]=FilterSpecs!$A$6, FilterSpecs!$B$6,MouserListTable12[[#This Row],[Supplier]]=FilterSpecs!$A$7,FilterSpecs!$B$7,MouserListTable12[[#This Row],[Supplier]]=FilterSpecs!$A$8,FilterSpecs!$B$8,MouserListTable12[[#This Row],[Supplier]]=FilterSpecs!$A$9,FilterSpecs!$B$9)</f>
        <v>474-</v>
      </c>
      <c r="T26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474-COM-13187</v>
      </c>
      <c r="U266" s="121">
        <v>0</v>
      </c>
      <c r="V266" s="121">
        <v>4</v>
      </c>
      <c r="W266" s="121">
        <v>0</v>
      </c>
      <c r="X266" s="121">
        <f>MouserListTable12[[#This Row],['#/Unit]]*FilterSpecs!$C$3+MouserListTable12[[#This Row],[Extra]]</f>
        <v>4</v>
      </c>
      <c r="Y266" s="121">
        <f>IF(MouserListTable12[[#This Row],[Tag]]=FilterSpecs!$F$7,MouserListTable12[[#This Row],[Price (USD)]],0)</f>
        <v>0</v>
      </c>
      <c r="Z266" s="121">
        <f>MouserListTable12[[#This Row],[Tot '#]]*MouserListTable12[[#This Row],[Price (USD)]]</f>
        <v>11.8</v>
      </c>
    </row>
    <row r="267" spans="1:26" s="153" customFormat="1" ht="16.2" hidden="1" x14ac:dyDescent="0.3">
      <c r="A267" s="103" t="s">
        <v>1046</v>
      </c>
      <c r="B267" s="103" t="s">
        <v>18919</v>
      </c>
      <c r="C267" s="103" t="s">
        <v>8</v>
      </c>
      <c r="D267" s="106" t="str">
        <f>IF(MouserListTable12[[#This Row],[Vendor]]=FilterSpecs!$A$8,MouserListTable12[[#This Row],[Mouser SKU]], MouserListTable12[[#This Row],[SKU2]])</f>
        <v>DEV-14438</v>
      </c>
      <c r="E267" s="121">
        <f>MouserListTable12[[#This Row],[Tot '#]]-MouserListTable12[[#This Row],['# Initial]]</f>
        <v>1</v>
      </c>
      <c r="F267" s="121">
        <f>MouserListTable12[[#This Row],['#/Unit]]*FilterSpecs!$B$3+MouserListTable12[[#This Row],[Extra Initial]]</f>
        <v>0</v>
      </c>
      <c r="G267" s="103" t="s">
        <v>1173</v>
      </c>
      <c r="H267" s="103" t="s">
        <v>1174</v>
      </c>
      <c r="I267" s="103" t="s">
        <v>1175</v>
      </c>
      <c r="J267" s="103"/>
      <c r="K267" s="171">
        <v>20</v>
      </c>
      <c r="L267" s="103" t="s">
        <v>1914</v>
      </c>
      <c r="M267" s="158" t="s">
        <v>1050</v>
      </c>
      <c r="N267" s="171">
        <f>MouserListTable12[[#This Row],['# Initial]]*MouserListTable12[[#This Row],[Price (USD)]]</f>
        <v>0</v>
      </c>
      <c r="O267" s="106" t="s">
        <v>1172</v>
      </c>
      <c r="P267" s="103">
        <f t="shared" si="5"/>
        <v>249</v>
      </c>
      <c r="Q267" s="103">
        <f>IF($D267=$O267,1,0)</f>
        <v>1</v>
      </c>
      <c r="R267" s="103" t="s">
        <v>8</v>
      </c>
      <c r="S267" s="103" t="str">
        <f>_xlfn.IFS(MouserListTable12[[#This Row],[Supplier]]=FilterSpecs!$A$6, FilterSpecs!$B$6,MouserListTable12[[#This Row],[Supplier]]=FilterSpecs!$A$7,FilterSpecs!$B$7,MouserListTable12[[#This Row],[Supplier]]=FilterSpecs!$A$8,FilterSpecs!$B$8,MouserListTable12[[#This Row],[Supplier]]=FilterSpecs!$A$9,FilterSpecs!$B$9)</f>
        <v>474-</v>
      </c>
      <c r="T26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474-DEV-14438</v>
      </c>
      <c r="U267" s="121">
        <v>0</v>
      </c>
      <c r="V267" s="121">
        <v>1</v>
      </c>
      <c r="W267" s="121">
        <v>0</v>
      </c>
      <c r="X267" s="121">
        <f>MouserListTable12[[#This Row],['#/Unit]]*FilterSpecs!$C$3+MouserListTable12[[#This Row],[Extra]]</f>
        <v>1</v>
      </c>
      <c r="Y267" s="121">
        <f>IF(MouserListTable12[[#This Row],[Tag]]=FilterSpecs!$F$7,MouserListTable12[[#This Row],[Price (USD)]],0)</f>
        <v>0</v>
      </c>
      <c r="Z267" s="121">
        <f>MouserListTable12[[#This Row],[Tot '#]]*MouserListTable12[[#This Row],[Price (USD)]]</f>
        <v>20</v>
      </c>
    </row>
    <row r="268" spans="1:26" s="153" customFormat="1" ht="16.2" hidden="1" x14ac:dyDescent="0.3">
      <c r="A268" s="103" t="s">
        <v>1046</v>
      </c>
      <c r="B268" s="103" t="s">
        <v>18919</v>
      </c>
      <c r="C268" s="103" t="s">
        <v>8</v>
      </c>
      <c r="D268" s="106" t="str">
        <f>IF(MouserListTable12[[#This Row],[Vendor]]=FilterSpecs!$A$8,MouserListTable12[[#This Row],[Mouser SKU]], MouserListTable12[[#This Row],[SKU2]])</f>
        <v>DEV-14431</v>
      </c>
      <c r="E268" s="121">
        <f>MouserListTable12[[#This Row],[Tot '#]]-MouserListTable12[[#This Row],['# Initial]]</f>
        <v>1</v>
      </c>
      <c r="F268" s="121">
        <f>MouserListTable12[[#This Row],['#/Unit]]*FilterSpecs!$B$3+MouserListTable12[[#This Row],[Extra Initial]]</f>
        <v>0</v>
      </c>
      <c r="G268" s="103" t="s">
        <v>1153</v>
      </c>
      <c r="H268" s="103" t="s">
        <v>1154</v>
      </c>
      <c r="I268" s="103" t="s">
        <v>1155</v>
      </c>
      <c r="J268" s="103"/>
      <c r="K268" s="171">
        <v>9</v>
      </c>
      <c r="L268" s="103" t="s">
        <v>1914</v>
      </c>
      <c r="M268" s="158" t="s">
        <v>1050</v>
      </c>
      <c r="N268" s="171">
        <f>MouserListTable12[[#This Row],['# Initial]]*MouserListTable12[[#This Row],[Price (USD)]]</f>
        <v>0</v>
      </c>
      <c r="O268" s="106" t="s">
        <v>1152</v>
      </c>
      <c r="P268" s="103">
        <f t="shared" si="5"/>
        <v>250</v>
      </c>
      <c r="Q268" s="103">
        <f>IF($D268=$O268,1,0)</f>
        <v>1</v>
      </c>
      <c r="R268" s="103" t="s">
        <v>8</v>
      </c>
      <c r="S268" s="103" t="str">
        <f>_xlfn.IFS(MouserListTable12[[#This Row],[Supplier]]=FilterSpecs!$A$6, FilterSpecs!$B$6,MouserListTable12[[#This Row],[Supplier]]=FilterSpecs!$A$7,FilterSpecs!$B$7,MouserListTable12[[#This Row],[Supplier]]=FilterSpecs!$A$8,FilterSpecs!$B$8,MouserListTable12[[#This Row],[Supplier]]=FilterSpecs!$A$9,FilterSpecs!$B$9)</f>
        <v>474-</v>
      </c>
      <c r="T26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474-DEV-14431</v>
      </c>
      <c r="U268" s="121">
        <v>0</v>
      </c>
      <c r="V268" s="121">
        <v>1</v>
      </c>
      <c r="W268" s="121">
        <v>0</v>
      </c>
      <c r="X268" s="121">
        <f>MouserListTable12[[#This Row],['#/Unit]]*FilterSpecs!$C$3+MouserListTable12[[#This Row],[Extra]]</f>
        <v>1</v>
      </c>
      <c r="Y268" s="121">
        <f>IF(MouserListTable12[[#This Row],[Tag]]=FilterSpecs!$F$7,MouserListTable12[[#This Row],[Price (USD)]],0)</f>
        <v>0</v>
      </c>
      <c r="Z268" s="121">
        <f>MouserListTable12[[#This Row],[Tot '#]]*MouserListTable12[[#This Row],[Price (USD)]]</f>
        <v>9</v>
      </c>
    </row>
    <row r="269" spans="1:26" s="153" customFormat="1" ht="16.2" hidden="1" x14ac:dyDescent="0.3">
      <c r="A269" s="103" t="s">
        <v>1046</v>
      </c>
      <c r="B269" s="103" t="s">
        <v>18919</v>
      </c>
      <c r="C269" s="103" t="s">
        <v>8</v>
      </c>
      <c r="D269" s="106" t="str">
        <f>IF(MouserListTable12[[#This Row],[Vendor]]=FilterSpecs!$A$8,MouserListTable12[[#This Row],[Mouser SKU]], MouserListTable12[[#This Row],[SKU2]])</f>
        <v>DEV-14443</v>
      </c>
      <c r="E269" s="121">
        <f>MouserListTable12[[#This Row],[Tot '#]]-MouserListTable12[[#This Row],['# Initial]]</f>
        <v>1</v>
      </c>
      <c r="F269" s="121">
        <f>MouserListTable12[[#This Row],['#/Unit]]*FilterSpecs!$B$3+MouserListTable12[[#This Row],[Extra Initial]]</f>
        <v>0</v>
      </c>
      <c r="G269" s="103" t="s">
        <v>1157</v>
      </c>
      <c r="H269" s="103" t="s">
        <v>1158</v>
      </c>
      <c r="I269" s="103" t="s">
        <v>1159</v>
      </c>
      <c r="J269" s="103"/>
      <c r="K269" s="171">
        <v>5</v>
      </c>
      <c r="L269" s="103" t="s">
        <v>1914</v>
      </c>
      <c r="M269" s="158" t="s">
        <v>1050</v>
      </c>
      <c r="N269" s="171">
        <f>MouserListTable12[[#This Row],['# Initial]]*MouserListTable12[[#This Row],[Price (USD)]]</f>
        <v>0</v>
      </c>
      <c r="O269" s="106" t="s">
        <v>1156</v>
      </c>
      <c r="P269" s="103">
        <f t="shared" si="5"/>
        <v>251</v>
      </c>
      <c r="Q269" s="103">
        <f>IF($D269=$O269,1,0)</f>
        <v>1</v>
      </c>
      <c r="R269" s="103" t="s">
        <v>8</v>
      </c>
      <c r="S269" s="103" t="str">
        <f>_xlfn.IFS(MouserListTable12[[#This Row],[Supplier]]=FilterSpecs!$A$6, FilterSpecs!$B$6,MouserListTable12[[#This Row],[Supplier]]=FilterSpecs!$A$7,FilterSpecs!$B$7,MouserListTable12[[#This Row],[Supplier]]=FilterSpecs!$A$8,FilterSpecs!$B$8,MouserListTable12[[#This Row],[Supplier]]=FilterSpecs!$A$9,FilterSpecs!$B$9)</f>
        <v>474-</v>
      </c>
      <c r="T26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474-DEV-14443</v>
      </c>
      <c r="U269" s="121">
        <v>0</v>
      </c>
      <c r="V269" s="121">
        <v>1</v>
      </c>
      <c r="W269" s="121">
        <v>0</v>
      </c>
      <c r="X269" s="121">
        <f>MouserListTable12[[#This Row],['#/Unit]]*FilterSpecs!$C$3+MouserListTable12[[#This Row],[Extra]]</f>
        <v>1</v>
      </c>
      <c r="Y269" s="121">
        <f>IF(MouserListTable12[[#This Row],[Tag]]=FilterSpecs!$F$7,MouserListTable12[[#This Row],[Price (USD)]],0)</f>
        <v>0</v>
      </c>
      <c r="Z269" s="121">
        <f>MouserListTable12[[#This Row],[Tot '#]]*MouserListTable12[[#This Row],[Price (USD)]]</f>
        <v>5</v>
      </c>
    </row>
    <row r="270" spans="1:26" s="153" customFormat="1" ht="16.2" hidden="1" x14ac:dyDescent="0.3">
      <c r="A270" s="103" t="s">
        <v>1046</v>
      </c>
      <c r="B270" s="103" t="s">
        <v>18919</v>
      </c>
      <c r="C270" s="103" t="s">
        <v>8</v>
      </c>
      <c r="D270" s="106" t="str">
        <f>IF(MouserListTable12[[#This Row],[Vendor]]=FilterSpecs!$A$8,MouserListTable12[[#This Row],[Mouser SKU]], MouserListTable12[[#This Row],[SKU2]])</f>
        <v>DEV-14442</v>
      </c>
      <c r="E270" s="121">
        <f>MouserListTable12[[#This Row],[Tot '#]]-MouserListTable12[[#This Row],['# Initial]]</f>
        <v>1</v>
      </c>
      <c r="F270" s="121">
        <f>MouserListTable12[[#This Row],['#/Unit]]*FilterSpecs!$B$3+MouserListTable12[[#This Row],[Extra Initial]]</f>
        <v>0</v>
      </c>
      <c r="G270" s="103" t="s">
        <v>1165</v>
      </c>
      <c r="H270" s="103" t="s">
        <v>1166</v>
      </c>
      <c r="I270" s="103" t="s">
        <v>1167</v>
      </c>
      <c r="J270" s="103"/>
      <c r="K270" s="171">
        <v>15</v>
      </c>
      <c r="L270" s="103" t="s">
        <v>1914</v>
      </c>
      <c r="M270" s="158" t="s">
        <v>1050</v>
      </c>
      <c r="N270" s="171">
        <f>MouserListTable12[[#This Row],['# Initial]]*MouserListTable12[[#This Row],[Price (USD)]]</f>
        <v>0</v>
      </c>
      <c r="O270" s="106" t="s">
        <v>1164</v>
      </c>
      <c r="P270" s="103">
        <f t="shared" si="5"/>
        <v>252</v>
      </c>
      <c r="Q270" s="103">
        <f>IF($D270=$O270,1,0)</f>
        <v>1</v>
      </c>
      <c r="R270" s="103" t="s">
        <v>8</v>
      </c>
      <c r="S270" s="103" t="str">
        <f>_xlfn.IFS(MouserListTable12[[#This Row],[Supplier]]=FilterSpecs!$A$6, FilterSpecs!$B$6,MouserListTable12[[#This Row],[Supplier]]=FilterSpecs!$A$7,FilterSpecs!$B$7,MouserListTable12[[#This Row],[Supplier]]=FilterSpecs!$A$8,FilterSpecs!$B$8,MouserListTable12[[#This Row],[Supplier]]=FilterSpecs!$A$9,FilterSpecs!$B$9)</f>
        <v>474-</v>
      </c>
      <c r="T27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474-DEV-14442</v>
      </c>
      <c r="U270" s="121">
        <v>0</v>
      </c>
      <c r="V270" s="121">
        <v>1</v>
      </c>
      <c r="W270" s="121">
        <v>0</v>
      </c>
      <c r="X270" s="121">
        <f>MouserListTable12[[#This Row],['#/Unit]]*FilterSpecs!$C$3+MouserListTable12[[#This Row],[Extra]]</f>
        <v>1</v>
      </c>
      <c r="Y270" s="121">
        <f>IF(MouserListTable12[[#This Row],[Tag]]=FilterSpecs!$F$7,MouserListTable12[[#This Row],[Price (USD)]],0)</f>
        <v>0</v>
      </c>
      <c r="Z270" s="121">
        <f>MouserListTable12[[#This Row],[Tot '#]]*MouserListTable12[[#This Row],[Price (USD)]]</f>
        <v>15</v>
      </c>
    </row>
    <row r="271" spans="1:26" s="153" customFormat="1" ht="16.2" hidden="1" x14ac:dyDescent="0.3">
      <c r="A271" s="103" t="s">
        <v>1046</v>
      </c>
      <c r="B271" s="103" t="s">
        <v>18919</v>
      </c>
      <c r="C271" s="103" t="s">
        <v>8</v>
      </c>
      <c r="D271" s="106" t="str">
        <f>IF(MouserListTable12[[#This Row],[Vendor]]=FilterSpecs!$A$8,MouserListTable12[[#This Row],[Mouser SKU]], MouserListTable12[[#This Row],[SKU2]])</f>
        <v>DEV-14441</v>
      </c>
      <c r="E271" s="121">
        <f>MouserListTable12[[#This Row],[Tot '#]]-MouserListTable12[[#This Row],['# Initial]]</f>
        <v>1</v>
      </c>
      <c r="F271" s="121">
        <f>MouserListTable12[[#This Row],['#/Unit]]*FilterSpecs!$B$3+MouserListTable12[[#This Row],[Extra Initial]]</f>
        <v>0</v>
      </c>
      <c r="G271" s="103" t="s">
        <v>1169</v>
      </c>
      <c r="H271" s="103" t="s">
        <v>1170</v>
      </c>
      <c r="I271" s="103" t="s">
        <v>1171</v>
      </c>
      <c r="J271" s="103"/>
      <c r="K271" s="171">
        <v>15</v>
      </c>
      <c r="L271" s="103" t="s">
        <v>1914</v>
      </c>
      <c r="M271" s="158" t="s">
        <v>1050</v>
      </c>
      <c r="N271" s="171">
        <f>MouserListTable12[[#This Row],['# Initial]]*MouserListTable12[[#This Row],[Price (USD)]]</f>
        <v>0</v>
      </c>
      <c r="O271" s="106" t="s">
        <v>1168</v>
      </c>
      <c r="P271" s="103">
        <f t="shared" si="5"/>
        <v>253</v>
      </c>
      <c r="Q271" s="103">
        <f>IF($D271=$O271,1,0)</f>
        <v>1</v>
      </c>
      <c r="R271" s="103" t="s">
        <v>8</v>
      </c>
      <c r="S271" s="103" t="str">
        <f>_xlfn.IFS(MouserListTable12[[#This Row],[Supplier]]=FilterSpecs!$A$6, FilterSpecs!$B$6,MouserListTable12[[#This Row],[Supplier]]=FilterSpecs!$A$7,FilterSpecs!$B$7,MouserListTable12[[#This Row],[Supplier]]=FilterSpecs!$A$8,FilterSpecs!$B$8,MouserListTable12[[#This Row],[Supplier]]=FilterSpecs!$A$9,FilterSpecs!$B$9)</f>
        <v>474-</v>
      </c>
      <c r="T27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474-DEV-14441</v>
      </c>
      <c r="U271" s="121">
        <v>0</v>
      </c>
      <c r="V271" s="121">
        <v>1</v>
      </c>
      <c r="W271" s="121">
        <v>0</v>
      </c>
      <c r="X271" s="121">
        <f>MouserListTable12[[#This Row],['#/Unit]]*FilterSpecs!$C$3+MouserListTable12[[#This Row],[Extra]]</f>
        <v>1</v>
      </c>
      <c r="Y271" s="121">
        <f>IF(MouserListTable12[[#This Row],[Tag]]=FilterSpecs!$F$7,MouserListTable12[[#This Row],[Price (USD)]],0)</f>
        <v>0</v>
      </c>
      <c r="Z271" s="121">
        <f>MouserListTable12[[#This Row],[Tot '#]]*MouserListTable12[[#This Row],[Price (USD)]]</f>
        <v>15</v>
      </c>
    </row>
    <row r="272" spans="1:26" s="144" customFormat="1" hidden="1" x14ac:dyDescent="0.3">
      <c r="A272" s="103" t="s">
        <v>1046</v>
      </c>
      <c r="B272" s="103" t="s">
        <v>1180</v>
      </c>
      <c r="C272" s="103" t="s">
        <v>8</v>
      </c>
      <c r="D272" s="106" t="str">
        <f>IF(MouserListTable12[[#This Row],[Vendor]]=FilterSpecs!$A$8,MouserListTable12[[#This Row],[Mouser SKU]], MouserListTable12[[#This Row],[SKU2]])</f>
        <v>DEV-14437</v>
      </c>
      <c r="E272" s="121">
        <f>MouserListTable12[[#This Row],[Tot '#]]-MouserListTable12[[#This Row],['# Initial]]</f>
        <v>1</v>
      </c>
      <c r="F272" s="121">
        <f>MouserListTable12[[#This Row],['#/Unit]]*FilterSpecs!$B$3+MouserListTable12[[#This Row],[Extra Initial]]</f>
        <v>0</v>
      </c>
      <c r="G272" s="103" t="s">
        <v>2438</v>
      </c>
      <c r="H272" s="103" t="s">
        <v>2439</v>
      </c>
      <c r="I272" s="103" t="s">
        <v>2440</v>
      </c>
      <c r="J272" s="103"/>
      <c r="K272" s="171">
        <v>15</v>
      </c>
      <c r="L272" s="103" t="s">
        <v>1914</v>
      </c>
      <c r="M272" s="103" t="s">
        <v>1050</v>
      </c>
      <c r="N272" s="171">
        <f>MouserListTable12[[#This Row],['# Initial]]*MouserListTable12[[#This Row],[Price (USD)]]</f>
        <v>0</v>
      </c>
      <c r="O272" s="106" t="s">
        <v>2437</v>
      </c>
      <c r="P272" s="103">
        <f t="shared" si="5"/>
        <v>254</v>
      </c>
      <c r="Q272" s="103">
        <f>IF($D272=$O272,1,0)</f>
        <v>1</v>
      </c>
      <c r="R272" s="103" t="s">
        <v>8</v>
      </c>
      <c r="S272" s="103" t="str">
        <f>_xlfn.IFS(MouserListTable12[[#This Row],[Supplier]]=FilterSpecs!$A$6, FilterSpecs!$B$6,MouserListTable12[[#This Row],[Supplier]]=FilterSpecs!$A$7,FilterSpecs!$B$7,MouserListTable12[[#This Row],[Supplier]]=FilterSpecs!$A$8,FilterSpecs!$B$8,MouserListTable12[[#This Row],[Supplier]]=FilterSpecs!$A$9,FilterSpecs!$B$9)</f>
        <v>474-</v>
      </c>
      <c r="T27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474-DEV-14437</v>
      </c>
      <c r="U272" s="121">
        <v>0</v>
      </c>
      <c r="V272" s="121">
        <v>1</v>
      </c>
      <c r="W272" s="121">
        <v>0</v>
      </c>
      <c r="X272" s="121">
        <f>MouserListTable12[[#This Row],['#/Unit]]*FilterSpecs!$C$3+MouserListTable12[[#This Row],[Extra]]</f>
        <v>1</v>
      </c>
      <c r="Y272" s="121">
        <f>IF(MouserListTable12[[#This Row],[Tag]]=FilterSpecs!$F$7,MouserListTable12[[#This Row],[Price (USD)]],0)</f>
        <v>0</v>
      </c>
      <c r="Z272" s="121">
        <f>MouserListTable12[[#This Row],[Tot '#]]*MouserListTable12[[#This Row],[Price (USD)]]</f>
        <v>15</v>
      </c>
    </row>
    <row r="273" spans="1:26" s="144" customFormat="1" hidden="1" x14ac:dyDescent="0.3">
      <c r="A273" s="103" t="s">
        <v>1046</v>
      </c>
      <c r="B273" s="103" t="s">
        <v>1180</v>
      </c>
      <c r="C273" s="103" t="s">
        <v>8</v>
      </c>
      <c r="D273" s="106" t="str">
        <f>IF(MouserListTable12[[#This Row],[Vendor]]=FilterSpecs!$A$8,MouserListTable12[[#This Row],[Mouser SKU]], MouserListTable12[[#This Row],[SKU2]])</f>
        <v>DEV-14436</v>
      </c>
      <c r="E273" s="121">
        <f>MouserListTable12[[#This Row],[Tot '#]]-MouserListTable12[[#This Row],['# Initial]]</f>
        <v>1</v>
      </c>
      <c r="F273" s="121">
        <f>MouserListTable12[[#This Row],['#/Unit]]*FilterSpecs!$B$3+MouserListTable12[[#This Row],[Extra Initial]]</f>
        <v>0</v>
      </c>
      <c r="G273" s="103" t="s">
        <v>2442</v>
      </c>
      <c r="H273" s="103" t="s">
        <v>2443</v>
      </c>
      <c r="I273" s="103" t="s">
        <v>2444</v>
      </c>
      <c r="J273" s="103"/>
      <c r="K273" s="171">
        <v>10</v>
      </c>
      <c r="L273" s="103" t="s">
        <v>1914</v>
      </c>
      <c r="M273" s="103" t="s">
        <v>1050</v>
      </c>
      <c r="N273" s="171">
        <f>MouserListTable12[[#This Row],['# Initial]]*MouserListTable12[[#This Row],[Price (USD)]]</f>
        <v>0</v>
      </c>
      <c r="O273" s="106" t="s">
        <v>2441</v>
      </c>
      <c r="P273" s="103">
        <f t="shared" si="5"/>
        <v>255</v>
      </c>
      <c r="Q273" s="103">
        <f>IF($D273=$O273,1,0)</f>
        <v>1</v>
      </c>
      <c r="R273" s="103" t="s">
        <v>8</v>
      </c>
      <c r="S273" s="103" t="str">
        <f>_xlfn.IFS(MouserListTable12[[#This Row],[Supplier]]=FilterSpecs!$A$6, FilterSpecs!$B$6,MouserListTable12[[#This Row],[Supplier]]=FilterSpecs!$A$7,FilterSpecs!$B$7,MouserListTable12[[#This Row],[Supplier]]=FilterSpecs!$A$8,FilterSpecs!$B$8,MouserListTable12[[#This Row],[Supplier]]=FilterSpecs!$A$9,FilterSpecs!$B$9)</f>
        <v>474-</v>
      </c>
      <c r="T27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474-DEV-14436</v>
      </c>
      <c r="U273" s="121">
        <v>0</v>
      </c>
      <c r="V273" s="121">
        <v>1</v>
      </c>
      <c r="W273" s="121">
        <v>0</v>
      </c>
      <c r="X273" s="121">
        <f>MouserListTable12[[#This Row],['#/Unit]]*FilterSpecs!$C$3+MouserListTable12[[#This Row],[Extra]]</f>
        <v>1</v>
      </c>
      <c r="Y273" s="121">
        <f>IF(MouserListTable12[[#This Row],[Tag]]=FilterSpecs!$F$7,MouserListTable12[[#This Row],[Price (USD)]],0)</f>
        <v>0</v>
      </c>
      <c r="Z273" s="121">
        <f>MouserListTable12[[#This Row],[Tot '#]]*MouserListTable12[[#This Row],[Price (USD)]]</f>
        <v>10</v>
      </c>
    </row>
    <row r="274" spans="1:26" s="153" customFormat="1" ht="16.2" hidden="1" x14ac:dyDescent="0.3">
      <c r="A274" s="103" t="s">
        <v>1047</v>
      </c>
      <c r="B274" s="103" t="s">
        <v>18920</v>
      </c>
      <c r="C274" s="103" t="s">
        <v>8</v>
      </c>
      <c r="D274" s="106" t="str">
        <f>IF(MouserListTable12[[#This Row],[Vendor]]=FilterSpecs!$A$8,MouserListTable12[[#This Row],[Mouser SKU]], MouserListTable12[[#This Row],[SKU2]])</f>
        <v>DEV-14439</v>
      </c>
      <c r="E274" s="121">
        <f>MouserListTable12[[#This Row],[Tot '#]]-MouserListTable12[[#This Row],['# Initial]]</f>
        <v>1</v>
      </c>
      <c r="F274" s="121">
        <f>MouserListTable12[[#This Row],['#/Unit]]*FilterSpecs!$B$3+MouserListTable12[[#This Row],[Extra Initial]]</f>
        <v>0</v>
      </c>
      <c r="G274" s="103" t="s">
        <v>1077</v>
      </c>
      <c r="H274" s="103" t="s">
        <v>1078</v>
      </c>
      <c r="I274" s="103" t="s">
        <v>1079</v>
      </c>
      <c r="J274" s="103"/>
      <c r="K274" s="171">
        <v>15</v>
      </c>
      <c r="L274" s="103" t="s">
        <v>1914</v>
      </c>
      <c r="M274" s="158" t="s">
        <v>1050</v>
      </c>
      <c r="N274" s="171">
        <f>MouserListTable12[[#This Row],['# Initial]]*MouserListTable12[[#This Row],[Price (USD)]]</f>
        <v>0</v>
      </c>
      <c r="O274" s="106" t="s">
        <v>1076</v>
      </c>
      <c r="P274" s="103">
        <f t="shared" si="5"/>
        <v>256</v>
      </c>
      <c r="Q274" s="103">
        <f>IF($D274=$O274,1,0)</f>
        <v>1</v>
      </c>
      <c r="R274" s="103" t="s">
        <v>8</v>
      </c>
      <c r="S274" s="103" t="str">
        <f>_xlfn.IFS(MouserListTable12[[#This Row],[Supplier]]=FilterSpecs!$A$6, FilterSpecs!$B$6,MouserListTable12[[#This Row],[Supplier]]=FilterSpecs!$A$7,FilterSpecs!$B$7,MouserListTable12[[#This Row],[Supplier]]=FilterSpecs!$A$8,FilterSpecs!$B$8,MouserListTable12[[#This Row],[Supplier]]=FilterSpecs!$A$9,FilterSpecs!$B$9)</f>
        <v>474-</v>
      </c>
      <c r="T27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474-DEV-14439</v>
      </c>
      <c r="U274" s="121">
        <v>0</v>
      </c>
      <c r="V274" s="121">
        <v>1</v>
      </c>
      <c r="W274" s="121">
        <v>0</v>
      </c>
      <c r="X274" s="121">
        <f>MouserListTable12[[#This Row],['#/Unit]]*FilterSpecs!$C$3+MouserListTable12[[#This Row],[Extra]]</f>
        <v>1</v>
      </c>
      <c r="Y274" s="121">
        <f>IF(MouserListTable12[[#This Row],[Tag]]=FilterSpecs!$F$7,MouserListTable12[[#This Row],[Price (USD)]],0)</f>
        <v>0</v>
      </c>
      <c r="Z274" s="121">
        <f>MouserListTable12[[#This Row],[Tot '#]]*MouserListTable12[[#This Row],[Price (USD)]]</f>
        <v>15</v>
      </c>
    </row>
    <row r="275" spans="1:26" s="153" customFormat="1" ht="16.2" hidden="1" x14ac:dyDescent="0.3">
      <c r="A275" s="103" t="s">
        <v>1047</v>
      </c>
      <c r="B275" s="103" t="s">
        <v>18920</v>
      </c>
      <c r="C275" s="103" t="s">
        <v>8</v>
      </c>
      <c r="D275" s="106" t="str">
        <f>IF(MouserListTable12[[#This Row],[Vendor]]=FilterSpecs!$A$8,MouserListTable12[[#This Row],[Mouser SKU]], MouserListTable12[[#This Row],[SKU2]])</f>
        <v>DEV-14431</v>
      </c>
      <c r="E275" s="121">
        <f>MouserListTable12[[#This Row],[Tot '#]]-MouserListTable12[[#This Row],['# Initial]]</f>
        <v>1</v>
      </c>
      <c r="F275" s="121">
        <f>MouserListTable12[[#This Row],['#/Unit]]*FilterSpecs!$B$3+MouserListTable12[[#This Row],[Extra Initial]]</f>
        <v>0</v>
      </c>
      <c r="G275" s="103" t="s">
        <v>1153</v>
      </c>
      <c r="H275" s="103" t="s">
        <v>1154</v>
      </c>
      <c r="I275" s="103" t="s">
        <v>1155</v>
      </c>
      <c r="J275" s="103"/>
      <c r="K275" s="171">
        <v>9</v>
      </c>
      <c r="L275" s="103" t="s">
        <v>1914</v>
      </c>
      <c r="M275" s="158" t="s">
        <v>1050</v>
      </c>
      <c r="N275" s="171">
        <f>MouserListTable12[[#This Row],['# Initial]]*MouserListTable12[[#This Row],[Price (USD)]]</f>
        <v>0</v>
      </c>
      <c r="O275" s="106" t="s">
        <v>1152</v>
      </c>
      <c r="P275" s="103">
        <f t="shared" ref="P275:P339" si="6">IF($P274="List #",1,$P274+1)</f>
        <v>257</v>
      </c>
      <c r="Q275" s="103">
        <f>IF($D275=$O275,1,0)</f>
        <v>1</v>
      </c>
      <c r="R275" s="103" t="s">
        <v>8</v>
      </c>
      <c r="S275" s="103" t="str">
        <f>_xlfn.IFS(MouserListTable12[[#This Row],[Supplier]]=FilterSpecs!$A$6, FilterSpecs!$B$6,MouserListTable12[[#This Row],[Supplier]]=FilterSpecs!$A$7,FilterSpecs!$B$7,MouserListTable12[[#This Row],[Supplier]]=FilterSpecs!$A$8,FilterSpecs!$B$8,MouserListTable12[[#This Row],[Supplier]]=FilterSpecs!$A$9,FilterSpecs!$B$9)</f>
        <v>474-</v>
      </c>
      <c r="T27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474-DEV-14431</v>
      </c>
      <c r="U275" s="121">
        <v>0</v>
      </c>
      <c r="V275" s="121">
        <v>1</v>
      </c>
      <c r="W275" s="121">
        <v>0</v>
      </c>
      <c r="X275" s="121">
        <f>MouserListTable12[[#This Row],['#/Unit]]*FilterSpecs!$C$3+MouserListTable12[[#This Row],[Extra]]</f>
        <v>1</v>
      </c>
      <c r="Y275" s="121">
        <f>IF(MouserListTable12[[#This Row],[Tag]]=FilterSpecs!$F$7,MouserListTable12[[#This Row],[Price (USD)]],0)</f>
        <v>0</v>
      </c>
      <c r="Z275" s="121">
        <f>MouserListTable12[[#This Row],[Tot '#]]*MouserListTable12[[#This Row],[Price (USD)]]</f>
        <v>9</v>
      </c>
    </row>
    <row r="276" spans="1:26" s="153" customFormat="1" ht="16.2" hidden="1" x14ac:dyDescent="0.3">
      <c r="A276" s="103" t="s">
        <v>1047</v>
      </c>
      <c r="B276" s="103" t="s">
        <v>18920</v>
      </c>
      <c r="C276" s="103" t="s">
        <v>8</v>
      </c>
      <c r="D276" s="106" t="str">
        <f>IF(MouserListTable12[[#This Row],[Vendor]]=FilterSpecs!$A$8,MouserListTable12[[#This Row],[Mouser SKU]], MouserListTable12[[#This Row],[SKU2]])</f>
        <v>DEV-14446</v>
      </c>
      <c r="E276" s="121">
        <f>MouserListTable12[[#This Row],[Tot '#]]-MouserListTable12[[#This Row],['# Initial]]</f>
        <v>1</v>
      </c>
      <c r="F276" s="121">
        <f>MouserListTable12[[#This Row],['#/Unit]]*FilterSpecs!$B$3+MouserListTable12[[#This Row],[Extra Initial]]</f>
        <v>0</v>
      </c>
      <c r="G276" s="103" t="s">
        <v>1161</v>
      </c>
      <c r="H276" s="103" t="s">
        <v>1162</v>
      </c>
      <c r="I276" s="103" t="s">
        <v>1163</v>
      </c>
      <c r="J276" s="103"/>
      <c r="K276" s="171">
        <v>30</v>
      </c>
      <c r="L276" s="103" t="s">
        <v>1914</v>
      </c>
      <c r="M276" s="158" t="s">
        <v>1050</v>
      </c>
      <c r="N276" s="171">
        <f>MouserListTable12[[#This Row],['# Initial]]*MouserListTable12[[#This Row],[Price (USD)]]</f>
        <v>0</v>
      </c>
      <c r="O276" s="106" t="s">
        <v>1160</v>
      </c>
      <c r="P276" s="103">
        <f t="shared" si="6"/>
        <v>258</v>
      </c>
      <c r="Q276" s="103">
        <f>IF($D276=$O276,1,0)</f>
        <v>1</v>
      </c>
      <c r="R276" s="103" t="s">
        <v>8</v>
      </c>
      <c r="S276" s="103" t="str">
        <f>_xlfn.IFS(MouserListTable12[[#This Row],[Supplier]]=FilterSpecs!$A$6, FilterSpecs!$B$6,MouserListTable12[[#This Row],[Supplier]]=FilterSpecs!$A$7,FilterSpecs!$B$7,MouserListTable12[[#This Row],[Supplier]]=FilterSpecs!$A$8,FilterSpecs!$B$8,MouserListTable12[[#This Row],[Supplier]]=FilterSpecs!$A$9,FilterSpecs!$B$9)</f>
        <v>474-</v>
      </c>
      <c r="T27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474-DEV-14446</v>
      </c>
      <c r="U276" s="121">
        <v>0</v>
      </c>
      <c r="V276" s="121">
        <v>1</v>
      </c>
      <c r="W276" s="121">
        <v>0</v>
      </c>
      <c r="X276" s="121">
        <f>MouserListTable12[[#This Row],['#/Unit]]*FilterSpecs!$C$3+MouserListTable12[[#This Row],[Extra]]</f>
        <v>1</v>
      </c>
      <c r="Y276" s="121">
        <f>IF(MouserListTable12[[#This Row],[Tag]]=FilterSpecs!$F$7,MouserListTable12[[#This Row],[Price (USD)]],0)</f>
        <v>0</v>
      </c>
      <c r="Z276" s="121">
        <f>MouserListTable12[[#This Row],[Tot '#]]*MouserListTable12[[#This Row],[Price (USD)]]</f>
        <v>30</v>
      </c>
    </row>
    <row r="277" spans="1:26" s="153" customFormat="1" ht="16.2" hidden="1" x14ac:dyDescent="0.3">
      <c r="A277" s="103" t="s">
        <v>1047</v>
      </c>
      <c r="B277" s="103" t="s">
        <v>18920</v>
      </c>
      <c r="C277" s="103" t="s">
        <v>8</v>
      </c>
      <c r="D277" s="106" t="str">
        <f>IF(MouserListTable12[[#This Row],[Vendor]]=FilterSpecs!$A$8,MouserListTable12[[#This Row],[Mouser SKU]], MouserListTable12[[#This Row],[SKU2]])</f>
        <v>DEV-14443</v>
      </c>
      <c r="E277" s="121">
        <f>MouserListTable12[[#This Row],[Tot '#]]-MouserListTable12[[#This Row],['# Initial]]</f>
        <v>1</v>
      </c>
      <c r="F277" s="121">
        <f>MouserListTable12[[#This Row],['#/Unit]]*FilterSpecs!$B$3+MouserListTable12[[#This Row],[Extra Initial]]</f>
        <v>0</v>
      </c>
      <c r="G277" s="103" t="s">
        <v>1157</v>
      </c>
      <c r="H277" s="103" t="s">
        <v>1158</v>
      </c>
      <c r="I277" s="103" t="s">
        <v>1159</v>
      </c>
      <c r="J277" s="103"/>
      <c r="K277" s="171">
        <v>5</v>
      </c>
      <c r="L277" s="103" t="s">
        <v>1914</v>
      </c>
      <c r="M277" s="158" t="s">
        <v>1050</v>
      </c>
      <c r="N277" s="171">
        <f>MouserListTable12[[#This Row],['# Initial]]*MouserListTable12[[#This Row],[Price (USD)]]</f>
        <v>0</v>
      </c>
      <c r="O277" s="106" t="s">
        <v>1156</v>
      </c>
      <c r="P277" s="103">
        <f t="shared" si="6"/>
        <v>259</v>
      </c>
      <c r="Q277" s="103">
        <f>IF($D277=$O277,1,0)</f>
        <v>1</v>
      </c>
      <c r="R277" s="103" t="s">
        <v>8</v>
      </c>
      <c r="S277" s="103" t="str">
        <f>_xlfn.IFS(MouserListTable12[[#This Row],[Supplier]]=FilterSpecs!$A$6, FilterSpecs!$B$6,MouserListTable12[[#This Row],[Supplier]]=FilterSpecs!$A$7,FilterSpecs!$B$7,MouserListTable12[[#This Row],[Supplier]]=FilterSpecs!$A$8,FilterSpecs!$B$8,MouserListTable12[[#This Row],[Supplier]]=FilterSpecs!$A$9,FilterSpecs!$B$9)</f>
        <v>474-</v>
      </c>
      <c r="T27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474-DEV-14443</v>
      </c>
      <c r="U277" s="121">
        <v>0</v>
      </c>
      <c r="V277" s="121">
        <v>1</v>
      </c>
      <c r="W277" s="121">
        <v>0</v>
      </c>
      <c r="X277" s="121">
        <f>MouserListTable12[[#This Row],['#/Unit]]*FilterSpecs!$C$3+MouserListTable12[[#This Row],[Extra]]</f>
        <v>1</v>
      </c>
      <c r="Y277" s="121">
        <f>IF(MouserListTable12[[#This Row],[Tag]]=FilterSpecs!$F$7,MouserListTable12[[#This Row],[Price (USD)]],0)</f>
        <v>0</v>
      </c>
      <c r="Z277" s="121">
        <f>MouserListTable12[[#This Row],[Tot '#]]*MouserListTable12[[#This Row],[Price (USD)]]</f>
        <v>5</v>
      </c>
    </row>
    <row r="278" spans="1:26" s="153" customFormat="1" ht="16.2" hidden="1" x14ac:dyDescent="0.3">
      <c r="A278" s="103" t="s">
        <v>1047</v>
      </c>
      <c r="B278" s="103" t="s">
        <v>18920</v>
      </c>
      <c r="C278" s="103" t="s">
        <v>8</v>
      </c>
      <c r="D278" s="106" t="str">
        <f>IF(MouserListTable12[[#This Row],[Vendor]]=FilterSpecs!$A$8,MouserListTable12[[#This Row],[Mouser SKU]], MouserListTable12[[#This Row],[SKU2]])</f>
        <v>DEV-14442</v>
      </c>
      <c r="E278" s="121">
        <f>MouserListTable12[[#This Row],[Tot '#]]-MouserListTable12[[#This Row],['# Initial]]</f>
        <v>1</v>
      </c>
      <c r="F278" s="121">
        <f>MouserListTable12[[#This Row],['#/Unit]]*FilterSpecs!$B$3+MouserListTable12[[#This Row],[Extra Initial]]</f>
        <v>0</v>
      </c>
      <c r="G278" s="103" t="s">
        <v>1165</v>
      </c>
      <c r="H278" s="103" t="s">
        <v>1166</v>
      </c>
      <c r="I278" s="103" t="s">
        <v>1167</v>
      </c>
      <c r="J278" s="103"/>
      <c r="K278" s="171">
        <v>15</v>
      </c>
      <c r="L278" s="103" t="s">
        <v>1914</v>
      </c>
      <c r="M278" s="158" t="s">
        <v>1050</v>
      </c>
      <c r="N278" s="171">
        <f>MouserListTable12[[#This Row],['# Initial]]*MouserListTable12[[#This Row],[Price (USD)]]</f>
        <v>0</v>
      </c>
      <c r="O278" s="106" t="s">
        <v>1164</v>
      </c>
      <c r="P278" s="103">
        <f t="shared" si="6"/>
        <v>260</v>
      </c>
      <c r="Q278" s="103">
        <f>IF($D278=$O278,1,0)</f>
        <v>1</v>
      </c>
      <c r="R278" s="103" t="s">
        <v>8</v>
      </c>
      <c r="S278" s="103" t="str">
        <f>_xlfn.IFS(MouserListTable12[[#This Row],[Supplier]]=FilterSpecs!$A$6, FilterSpecs!$B$6,MouserListTable12[[#This Row],[Supplier]]=FilterSpecs!$A$7,FilterSpecs!$B$7,MouserListTable12[[#This Row],[Supplier]]=FilterSpecs!$A$8,FilterSpecs!$B$8,MouserListTable12[[#This Row],[Supplier]]=FilterSpecs!$A$9,FilterSpecs!$B$9)</f>
        <v>474-</v>
      </c>
      <c r="T27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474-DEV-14442</v>
      </c>
      <c r="U278" s="121">
        <v>0</v>
      </c>
      <c r="V278" s="121">
        <v>1</v>
      </c>
      <c r="W278" s="121">
        <v>0</v>
      </c>
      <c r="X278" s="121">
        <f>MouserListTable12[[#This Row],['#/Unit]]*FilterSpecs!$C$3+MouserListTable12[[#This Row],[Extra]]</f>
        <v>1</v>
      </c>
      <c r="Y278" s="121">
        <f>IF(MouserListTable12[[#This Row],[Tag]]=FilterSpecs!$F$7,MouserListTable12[[#This Row],[Price (USD)]],0)</f>
        <v>0</v>
      </c>
      <c r="Z278" s="121">
        <f>MouserListTable12[[#This Row],[Tot '#]]*MouserListTable12[[#This Row],[Price (USD)]]</f>
        <v>15</v>
      </c>
    </row>
    <row r="279" spans="1:26" s="153" customFormat="1" hidden="1" x14ac:dyDescent="0.3">
      <c r="A279" s="103" t="s">
        <v>1047</v>
      </c>
      <c r="B279" s="103" t="s">
        <v>1067</v>
      </c>
      <c r="C279" s="103" t="s">
        <v>8</v>
      </c>
      <c r="D279" s="106" t="str">
        <f>IF(MouserListTable12[[#This Row],[Vendor]]=FilterSpecs!$A$8,MouserListTable12[[#This Row],[Mouser SKU]], MouserListTable12[[#This Row],[SKU2]])</f>
        <v>WRL-14280</v>
      </c>
      <c r="E279" s="121">
        <f>MouserListTable12[[#This Row],[Tot '#]]-MouserListTable12[[#This Row],['# Initial]]</f>
        <v>1</v>
      </c>
      <c r="F279" s="121">
        <f>MouserListTable12[[#This Row],['#/Unit]]*FilterSpecs!$B$3+MouserListTable12[[#This Row],[Extra Initial]]</f>
        <v>0</v>
      </c>
      <c r="G279" s="103" t="s">
        <v>352</v>
      </c>
      <c r="H279" s="103" t="s">
        <v>353</v>
      </c>
      <c r="I279" s="103" t="s">
        <v>354</v>
      </c>
      <c r="J279" s="103"/>
      <c r="K279" s="171">
        <v>24.95</v>
      </c>
      <c r="L279" s="103" t="s">
        <v>1914</v>
      </c>
      <c r="M279" s="103" t="s">
        <v>1051</v>
      </c>
      <c r="N279" s="171">
        <f>MouserListTable12[[#This Row],['# Initial]]*MouserListTable12[[#This Row],[Price (USD)]]</f>
        <v>0</v>
      </c>
      <c r="O279" s="106" t="s">
        <v>351</v>
      </c>
      <c r="P279" s="103">
        <f t="shared" si="6"/>
        <v>261</v>
      </c>
      <c r="Q279" s="103">
        <f>IF($D279=$O279,1,0)</f>
        <v>1</v>
      </c>
      <c r="R279" s="103" t="s">
        <v>8</v>
      </c>
      <c r="S279" s="103" t="str">
        <f>_xlfn.IFS(MouserListTable12[[#This Row],[Supplier]]=FilterSpecs!$A$6, FilterSpecs!$B$6,MouserListTable12[[#This Row],[Supplier]]=FilterSpecs!$A$7,FilterSpecs!$B$7,MouserListTable12[[#This Row],[Supplier]]=FilterSpecs!$A$8,FilterSpecs!$B$8,MouserListTable12[[#This Row],[Supplier]]=FilterSpecs!$A$9,FilterSpecs!$B$9)</f>
        <v>474-</v>
      </c>
      <c r="T27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474-WRL-14280</v>
      </c>
      <c r="U279" s="121">
        <v>0</v>
      </c>
      <c r="V279" s="121">
        <v>1</v>
      </c>
      <c r="W279" s="121">
        <v>0</v>
      </c>
      <c r="X279" s="121">
        <f>MouserListTable12[[#This Row],['#/Unit]]*FilterSpecs!$C$3+MouserListTable12[[#This Row],[Extra]]</f>
        <v>1</v>
      </c>
      <c r="Y279" s="121">
        <f>IF(MouserListTable12[[#This Row],[Tag]]=FilterSpecs!$F$7,MouserListTable12[[#This Row],[Price (USD)]],0)</f>
        <v>0</v>
      </c>
      <c r="Z279" s="121">
        <f>MouserListTable12[[#This Row],[Tot '#]]*MouserListTable12[[#This Row],[Price (USD)]]</f>
        <v>24.95</v>
      </c>
    </row>
    <row r="280" spans="1:26" s="153" customFormat="1" hidden="1" x14ac:dyDescent="0.3">
      <c r="A280" s="103" t="s">
        <v>1047</v>
      </c>
      <c r="B280" s="103" t="s">
        <v>1618</v>
      </c>
      <c r="C280" s="103" t="s">
        <v>8</v>
      </c>
      <c r="D280" s="106" t="str">
        <f>IF(MouserListTable12[[#This Row],[Vendor]]=FilterSpecs!$A$8,MouserListTable12[[#This Row],[Mouser SKU]], MouserListTable12[[#This Row],[SKU2]])</f>
        <v>DEV-13613</v>
      </c>
      <c r="E280" s="121">
        <f>MouserListTable12[[#This Row],[Tot '#]]-MouserListTable12[[#This Row],['# Initial]]</f>
        <v>1</v>
      </c>
      <c r="F280" s="121">
        <f>MouserListTable12[[#This Row],['#/Unit]]*FilterSpecs!$B$3+MouserListTable12[[#This Row],[Extra Initial]]</f>
        <v>0</v>
      </c>
      <c r="G280" s="103" t="s">
        <v>356</v>
      </c>
      <c r="H280" s="103" t="s">
        <v>357</v>
      </c>
      <c r="I280" s="103" t="s">
        <v>358</v>
      </c>
      <c r="J280" s="103">
        <v>1</v>
      </c>
      <c r="K280" s="171">
        <v>39.950000000000003</v>
      </c>
      <c r="L280" s="103" t="s">
        <v>1914</v>
      </c>
      <c r="M280" s="103" t="s">
        <v>1044</v>
      </c>
      <c r="N280" s="171">
        <f>MouserListTable12[[#This Row],['# Initial]]*MouserListTable12[[#This Row],[Price (USD)]]</f>
        <v>0</v>
      </c>
      <c r="O280" s="106" t="s">
        <v>355</v>
      </c>
      <c r="P280" s="103">
        <f t="shared" si="6"/>
        <v>262</v>
      </c>
      <c r="Q280" s="103">
        <f>IF($D280=$O280,1,0)</f>
        <v>1</v>
      </c>
      <c r="R280" s="103" t="s">
        <v>8</v>
      </c>
      <c r="S280" s="103" t="str">
        <f>_xlfn.IFS(MouserListTable12[[#This Row],[Supplier]]=FilterSpecs!$A$6, FilterSpecs!$B$6,MouserListTable12[[#This Row],[Supplier]]=FilterSpecs!$A$7,FilterSpecs!$B$7,MouserListTable12[[#This Row],[Supplier]]=FilterSpecs!$A$8,FilterSpecs!$B$8,MouserListTable12[[#This Row],[Supplier]]=FilterSpecs!$A$9,FilterSpecs!$B$9)</f>
        <v>474-</v>
      </c>
      <c r="T28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474-DEV-13613</v>
      </c>
      <c r="U280" s="121">
        <v>0</v>
      </c>
      <c r="V280" s="121">
        <v>1</v>
      </c>
      <c r="W280" s="121">
        <v>0</v>
      </c>
      <c r="X280" s="121">
        <f>MouserListTable12[[#This Row],['#/Unit]]*FilterSpecs!$C$3+MouserListTable12[[#This Row],[Extra]]</f>
        <v>1</v>
      </c>
      <c r="Y280" s="121">
        <f>IF(MouserListTable12[[#This Row],[Tag]]=FilterSpecs!$F$7,MouserListTable12[[#This Row],[Price (USD)]],0)</f>
        <v>0</v>
      </c>
      <c r="Z280" s="121">
        <f>MouserListTable12[[#This Row],[Tot '#]]*MouserListTable12[[#This Row],[Price (USD)]]</f>
        <v>39.950000000000003</v>
      </c>
    </row>
    <row r="281" spans="1:26" s="153" customFormat="1" hidden="1" x14ac:dyDescent="0.3">
      <c r="A281" s="103" t="s">
        <v>1047</v>
      </c>
      <c r="B281" s="103" t="s">
        <v>1066</v>
      </c>
      <c r="C281" s="103" t="s">
        <v>8</v>
      </c>
      <c r="D281" s="106" t="str">
        <f>IF(MouserListTable12[[#This Row],[Vendor]]=FilterSpecs!$A$8,MouserListTable12[[#This Row],[Mouser SKU]], MouserListTable12[[#This Row],[SKU2]])</f>
        <v>DEV-12923</v>
      </c>
      <c r="E281" s="121">
        <f>MouserListTable12[[#This Row],[Tot '#]]-MouserListTable12[[#This Row],['# Initial]]</f>
        <v>1</v>
      </c>
      <c r="F281" s="121">
        <f>MouserListTable12[[#This Row],['#/Unit]]*FilterSpecs!$B$3+MouserListTable12[[#This Row],[Extra Initial]]</f>
        <v>0</v>
      </c>
      <c r="G281" s="103" t="s">
        <v>325</v>
      </c>
      <c r="H281" s="103" t="s">
        <v>326</v>
      </c>
      <c r="I281" s="103" t="s">
        <v>327</v>
      </c>
      <c r="J281" s="103">
        <v>1</v>
      </c>
      <c r="K281" s="171">
        <v>39.950000000000003</v>
      </c>
      <c r="L281" s="103" t="s">
        <v>1914</v>
      </c>
      <c r="M281" s="103" t="s">
        <v>1055</v>
      </c>
      <c r="N281" s="171">
        <f>MouserListTable12[[#This Row],['# Initial]]*MouserListTable12[[#This Row],[Price (USD)]]</f>
        <v>0</v>
      </c>
      <c r="O281" s="106" t="s">
        <v>324</v>
      </c>
      <c r="P281" s="103">
        <f t="shared" si="6"/>
        <v>263</v>
      </c>
      <c r="Q281" s="103">
        <f>IF($D281=$O281,1,0)</f>
        <v>1</v>
      </c>
      <c r="R281" s="103" t="s">
        <v>8</v>
      </c>
      <c r="S281" s="103" t="str">
        <f>_xlfn.IFS(MouserListTable12[[#This Row],[Supplier]]=FilterSpecs!$A$6, FilterSpecs!$B$6,MouserListTable12[[#This Row],[Supplier]]=FilterSpecs!$A$7,FilterSpecs!$B$7,MouserListTable12[[#This Row],[Supplier]]=FilterSpecs!$A$8,FilterSpecs!$B$8,MouserListTable12[[#This Row],[Supplier]]=FilterSpecs!$A$9,FilterSpecs!$B$9)</f>
        <v>474-</v>
      </c>
      <c r="T28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474-DEV-12923</v>
      </c>
      <c r="U281" s="121">
        <v>0</v>
      </c>
      <c r="V281" s="121">
        <v>1</v>
      </c>
      <c r="W281" s="121">
        <v>0</v>
      </c>
      <c r="X281" s="121">
        <f>MouserListTable12[[#This Row],['#/Unit]]*FilterSpecs!$C$3+MouserListTable12[[#This Row],[Extra]]</f>
        <v>1</v>
      </c>
      <c r="Y281" s="121">
        <f>IF(MouserListTable12[[#This Row],[Tag]]=FilterSpecs!$F$7,MouserListTable12[[#This Row],[Price (USD)]],0)</f>
        <v>0</v>
      </c>
      <c r="Z281" s="121">
        <f>MouserListTable12[[#This Row],[Tot '#]]*MouserListTable12[[#This Row],[Price (USD)]]</f>
        <v>39.950000000000003</v>
      </c>
    </row>
    <row r="282" spans="1:26" s="153" customFormat="1" hidden="1" x14ac:dyDescent="0.3">
      <c r="A282" s="103" t="s">
        <v>1047</v>
      </c>
      <c r="B282" s="103" t="s">
        <v>1066</v>
      </c>
      <c r="C282" s="103" t="s">
        <v>8</v>
      </c>
      <c r="D282" s="106" t="str">
        <f>IF(MouserListTable12[[#This Row],[Vendor]]=FilterSpecs!$A$8,MouserListTable12[[#This Row],[Mouser SKU]], MouserListTable12[[#This Row],[SKU2]])</f>
        <v>DEV-12924</v>
      </c>
      <c r="E282" s="121">
        <f>MouserListTable12[[#This Row],[Tot '#]]-MouserListTable12[[#This Row],['# Initial]]</f>
        <v>1</v>
      </c>
      <c r="F282" s="121">
        <f>MouserListTable12[[#This Row],['#/Unit]]*FilterSpecs!$B$3+MouserListTable12[[#This Row],[Extra Initial]]</f>
        <v>0</v>
      </c>
      <c r="G282" s="103" t="s">
        <v>329</v>
      </c>
      <c r="H282" s="103" t="s">
        <v>330</v>
      </c>
      <c r="I282" s="103" t="s">
        <v>331</v>
      </c>
      <c r="J282" s="103">
        <v>1</v>
      </c>
      <c r="K282" s="171">
        <v>14.95</v>
      </c>
      <c r="L282" s="103" t="s">
        <v>1914</v>
      </c>
      <c r="M282" s="103" t="s">
        <v>1055</v>
      </c>
      <c r="N282" s="171">
        <f>MouserListTable12[[#This Row],['# Initial]]*MouserListTable12[[#This Row],[Price (USD)]]</f>
        <v>0</v>
      </c>
      <c r="O282" s="106" t="s">
        <v>328</v>
      </c>
      <c r="P282" s="103">
        <f t="shared" si="6"/>
        <v>264</v>
      </c>
      <c r="Q282" s="103">
        <f>IF($D282=$O282,1,0)</f>
        <v>1</v>
      </c>
      <c r="R282" s="103" t="s">
        <v>8</v>
      </c>
      <c r="S282" s="103" t="str">
        <f>_xlfn.IFS(MouserListTable12[[#This Row],[Supplier]]=FilterSpecs!$A$6, FilterSpecs!$B$6,MouserListTable12[[#This Row],[Supplier]]=FilterSpecs!$A$7,FilterSpecs!$B$7,MouserListTable12[[#This Row],[Supplier]]=FilterSpecs!$A$8,FilterSpecs!$B$8,MouserListTable12[[#This Row],[Supplier]]=FilterSpecs!$A$9,FilterSpecs!$B$9)</f>
        <v>474-</v>
      </c>
      <c r="T28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474-DEV-12924</v>
      </c>
      <c r="U282" s="121">
        <v>0</v>
      </c>
      <c r="V282" s="121">
        <v>1</v>
      </c>
      <c r="W282" s="121">
        <v>0</v>
      </c>
      <c r="X282" s="121">
        <f>MouserListTable12[[#This Row],['#/Unit]]*FilterSpecs!$C$3+MouserListTable12[[#This Row],[Extra]]</f>
        <v>1</v>
      </c>
      <c r="Y282" s="121">
        <f>IF(MouserListTable12[[#This Row],[Tag]]=FilterSpecs!$F$7,MouserListTable12[[#This Row],[Price (USD)]],0)</f>
        <v>0</v>
      </c>
      <c r="Z282" s="121">
        <f>MouserListTable12[[#This Row],[Tot '#]]*MouserListTable12[[#This Row],[Price (USD)]]</f>
        <v>14.95</v>
      </c>
    </row>
    <row r="283" spans="1:26" s="144" customFormat="1" hidden="1" x14ac:dyDescent="0.3">
      <c r="A283" s="103" t="s">
        <v>896</v>
      </c>
      <c r="B283" s="103" t="s">
        <v>994</v>
      </c>
      <c r="C283" s="103" t="s">
        <v>8</v>
      </c>
      <c r="D283" s="106" t="str">
        <f>IF(MouserListTable12[[#This Row],[Vendor]]=FilterSpecs!$A$8,MouserListTable12[[#This Row],[Mouser SKU]], MouserListTable12[[#This Row],[SKU2]])</f>
        <v>PRT-12614</v>
      </c>
      <c r="E283" s="121">
        <f>MouserListTable12[[#This Row],[Tot '#]]-MouserListTable12[[#This Row],['# Initial]]</f>
        <v>1</v>
      </c>
      <c r="F283" s="121">
        <f>MouserListTable12[[#This Row],['#/Unit]]*FilterSpecs!$B$3+MouserListTable12[[#This Row],[Extra Initial]]</f>
        <v>0</v>
      </c>
      <c r="G283" s="103" t="s">
        <v>788</v>
      </c>
      <c r="H283" s="103" t="s">
        <v>789</v>
      </c>
      <c r="I283" s="103" t="s">
        <v>790</v>
      </c>
      <c r="J283" s="103"/>
      <c r="K283" s="171">
        <v>19.95</v>
      </c>
      <c r="L283" s="103" t="s">
        <v>1910</v>
      </c>
      <c r="M283" s="106"/>
      <c r="N283" s="171">
        <f>MouserListTable12[[#This Row],['# Initial]]*MouserListTable12[[#This Row],[Price (USD)]]</f>
        <v>0</v>
      </c>
      <c r="O283" s="106" t="s">
        <v>787</v>
      </c>
      <c r="P283" s="103">
        <f t="shared" si="6"/>
        <v>265</v>
      </c>
      <c r="Q283" s="103">
        <f>IF($D283=$O283,1,0)</f>
        <v>1</v>
      </c>
      <c r="R283" s="103" t="s">
        <v>8</v>
      </c>
      <c r="S283" s="103" t="str">
        <f>_xlfn.IFS(MouserListTable12[[#This Row],[Supplier]]=FilterSpecs!$A$6, FilterSpecs!$B$6,MouserListTable12[[#This Row],[Supplier]]=FilterSpecs!$A$7,FilterSpecs!$B$7,MouserListTable12[[#This Row],[Supplier]]=FilterSpecs!$A$8,FilterSpecs!$B$8,MouserListTable12[[#This Row],[Supplier]]=FilterSpecs!$A$9,FilterSpecs!$B$9)</f>
        <v>474-</v>
      </c>
      <c r="T28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474-PRT-12614</v>
      </c>
      <c r="U283" s="121">
        <v>0</v>
      </c>
      <c r="V283" s="121">
        <v>1</v>
      </c>
      <c r="W283" s="121">
        <v>0</v>
      </c>
      <c r="X283" s="121">
        <f>MouserListTable12[[#This Row],['#/Unit]]*FilterSpecs!$C$3+MouserListTable12[[#This Row],[Extra]]</f>
        <v>1</v>
      </c>
      <c r="Y283" s="121">
        <f>IF(MouserListTable12[[#This Row],[Tag]]=FilterSpecs!$F$7,MouserListTable12[[#This Row],[Price (USD)]],0)</f>
        <v>0</v>
      </c>
      <c r="Z283" s="121">
        <f>MouserListTable12[[#This Row],[Tot '#]]*MouserListTable12[[#This Row],[Price (USD)]]</f>
        <v>19.95</v>
      </c>
    </row>
    <row r="284" spans="1:26" s="146" customFormat="1" hidden="1" x14ac:dyDescent="0.3">
      <c r="A284" s="126" t="s">
        <v>896</v>
      </c>
      <c r="B284" s="126" t="s">
        <v>994</v>
      </c>
      <c r="C284" s="126" t="s">
        <v>8</v>
      </c>
      <c r="D284" s="106" t="str">
        <f>IF(MouserListTable12[[#This Row],[Vendor]]=FilterSpecs!$A$8,MouserListTable12[[#This Row],[Mouser SKU]], MouserListTable12[[#This Row],[SKU2]])</f>
        <v>PRT-12044</v>
      </c>
      <c r="E284" s="121">
        <f>MouserListTable12[[#This Row],[Tot '#]]-MouserListTable12[[#This Row],['# Initial]]</f>
        <v>0</v>
      </c>
      <c r="F284" s="121">
        <f>MouserListTable12[[#This Row],['#/Unit]]*FilterSpecs!$B$3+MouserListTable12[[#This Row],[Extra Initial]]</f>
        <v>0</v>
      </c>
      <c r="G284" s="103" t="s">
        <v>1101</v>
      </c>
      <c r="H284" s="103" t="s">
        <v>1102</v>
      </c>
      <c r="I284" s="103" t="s">
        <v>1103</v>
      </c>
      <c r="J284" s="103">
        <v>1</v>
      </c>
      <c r="K284" s="171">
        <v>3.95</v>
      </c>
      <c r="L284" s="103" t="s">
        <v>1910</v>
      </c>
      <c r="M284" s="103" t="s">
        <v>1309</v>
      </c>
      <c r="N284" s="171">
        <f>MouserListTable12[[#This Row],['# Initial]]*MouserListTable12[[#This Row],[Price (USD)]]</f>
        <v>0</v>
      </c>
      <c r="O284" s="106" t="s">
        <v>1100</v>
      </c>
      <c r="P284" s="103">
        <f t="shared" si="6"/>
        <v>266</v>
      </c>
      <c r="Q284" s="103">
        <f>IF($D284=$O284,1,0)</f>
        <v>1</v>
      </c>
      <c r="R284" s="103" t="s">
        <v>8</v>
      </c>
      <c r="S284" s="103" t="str">
        <f>_xlfn.IFS(MouserListTable12[[#This Row],[Supplier]]=FilterSpecs!$A$6, FilterSpecs!$B$6,MouserListTable12[[#This Row],[Supplier]]=FilterSpecs!$A$7,FilterSpecs!$B$7,MouserListTable12[[#This Row],[Supplier]]=FilterSpecs!$A$8,FilterSpecs!$B$8,MouserListTable12[[#This Row],[Supplier]]=FilterSpecs!$A$9,FilterSpecs!$B$9)</f>
        <v>474-</v>
      </c>
      <c r="T28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474-PRT-12044</v>
      </c>
      <c r="U284" s="121">
        <v>0</v>
      </c>
      <c r="V284" s="121">
        <v>0</v>
      </c>
      <c r="W284" s="121">
        <v>0</v>
      </c>
      <c r="X284" s="121">
        <f>MouserListTable12[[#This Row],['#/Unit]]*FilterSpecs!$C$3+MouserListTable12[[#This Row],[Extra]]</f>
        <v>0</v>
      </c>
      <c r="Y284" s="121">
        <f>IF(MouserListTable12[[#This Row],[Tag]]=FilterSpecs!$F$7,MouserListTable12[[#This Row],[Price (USD)]],0)</f>
        <v>0</v>
      </c>
      <c r="Z284" s="121">
        <f>MouserListTable12[[#This Row],[Tot '#]]*MouserListTable12[[#This Row],[Price (USD)]]</f>
        <v>0</v>
      </c>
    </row>
    <row r="285" spans="1:26" s="146" customFormat="1" x14ac:dyDescent="0.3">
      <c r="A285" s="103" t="s">
        <v>896</v>
      </c>
      <c r="B285" s="103" t="s">
        <v>994</v>
      </c>
      <c r="C285" s="103" t="s">
        <v>8</v>
      </c>
      <c r="D285" s="106" t="str">
        <f>IF(MouserListTable12[[#This Row],[Vendor]]=FilterSpecs!$A$8,MouserListTable12[[#This Row],[Mouser SKU]], MouserListTable12[[#This Row],[SKU2]])</f>
        <v>PRT-12047</v>
      </c>
      <c r="E285" s="121">
        <f>MouserListTable12[[#This Row],[Tot '#]]-MouserListTable12[[#This Row],['# Initial]]</f>
        <v>0</v>
      </c>
      <c r="F285" s="121">
        <f>MouserListTable12[[#This Row],['#/Unit]]*FilterSpecs!$B$3+MouserListTable12[[#This Row],[Extra Initial]]</f>
        <v>20</v>
      </c>
      <c r="G285" s="103" t="s">
        <v>1311</v>
      </c>
      <c r="H285" s="103" t="s">
        <v>1312</v>
      </c>
      <c r="I285" s="103" t="s">
        <v>1313</v>
      </c>
      <c r="J285" s="103">
        <v>1</v>
      </c>
      <c r="K285" s="171">
        <v>3.95</v>
      </c>
      <c r="L285" s="103" t="s">
        <v>1911</v>
      </c>
      <c r="M285" s="103" t="s">
        <v>1309</v>
      </c>
      <c r="N285" s="171">
        <f>MouserListTable12[[#This Row],['# Initial]]*MouserListTable12[[#This Row],[Price (USD)]]</f>
        <v>79</v>
      </c>
      <c r="O285" s="106" t="s">
        <v>1310</v>
      </c>
      <c r="P285" s="103">
        <f t="shared" si="6"/>
        <v>267</v>
      </c>
      <c r="Q285" s="103">
        <f>IF($D285=$O285,1,0)</f>
        <v>1</v>
      </c>
      <c r="R285" s="103" t="s">
        <v>8</v>
      </c>
      <c r="S285" s="103" t="str">
        <f>_xlfn.IFS(MouserListTable12[[#This Row],[Supplier]]=FilterSpecs!$A$6, FilterSpecs!$B$6,MouserListTable12[[#This Row],[Supplier]]=FilterSpecs!$A$7,FilterSpecs!$B$7,MouserListTable12[[#This Row],[Supplier]]=FilterSpecs!$A$8,FilterSpecs!$B$8,MouserListTable12[[#This Row],[Supplier]]=FilterSpecs!$A$9,FilterSpecs!$B$9)</f>
        <v>474-</v>
      </c>
      <c r="T28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474-PRT-12047</v>
      </c>
      <c r="U285" s="121">
        <v>4</v>
      </c>
      <c r="V285" s="121">
        <v>0</v>
      </c>
      <c r="W285" s="121">
        <v>0</v>
      </c>
      <c r="X285" s="121">
        <f>MouserListTable12[[#This Row],['#/Unit]]*FilterSpecs!$C$3+MouserListTable12[[#This Row],[Extra]]</f>
        <v>20</v>
      </c>
      <c r="Y285" s="121">
        <f>IF(MouserListTable12[[#This Row],[Tag]]=FilterSpecs!$F$7,MouserListTable12[[#This Row],[Price (USD)]],0)</f>
        <v>3.95</v>
      </c>
      <c r="Z285" s="121">
        <f>MouserListTable12[[#This Row],[Tot '#]]*MouserListTable12[[#This Row],[Price (USD)]]</f>
        <v>79</v>
      </c>
    </row>
    <row r="286" spans="1:26" s="146" customFormat="1" hidden="1" x14ac:dyDescent="0.3">
      <c r="A286" s="103" t="s">
        <v>896</v>
      </c>
      <c r="B286" s="103" t="s">
        <v>994</v>
      </c>
      <c r="C286" s="103" t="s">
        <v>1898</v>
      </c>
      <c r="D286" s="106" t="str">
        <f>IF(MouserListTable12[[#This Row],[Vendor]]=FilterSpecs!$A$8,MouserListTable12[[#This Row],[Mouser SKU]], MouserListTable12[[#This Row],[SKU2]])</f>
        <v>65</v>
      </c>
      <c r="E286" s="121">
        <f>MouserListTable12[[#This Row],[Tot '#]]-MouserListTable12[[#This Row],['# Initial]]</f>
        <v>0</v>
      </c>
      <c r="F286" s="121">
        <f>MouserListTable12[[#This Row],['#/Unit]]*FilterSpecs!$B$3+MouserListTable12[[#This Row],[Extra Initial]]</f>
        <v>0</v>
      </c>
      <c r="G286" s="103"/>
      <c r="H286" s="103"/>
      <c r="I286" s="126" t="s">
        <v>2115</v>
      </c>
      <c r="K286" s="172">
        <v>4</v>
      </c>
      <c r="L286" s="126" t="s">
        <v>1910</v>
      </c>
      <c r="N286" s="171">
        <f>MouserListTable12[[#This Row],['# Initial]]*MouserListTable12[[#This Row],[Price (USD)]]</f>
        <v>0</v>
      </c>
      <c r="O286" s="106" t="s">
        <v>2114</v>
      </c>
      <c r="P286" s="103">
        <f t="shared" si="6"/>
        <v>268</v>
      </c>
      <c r="Q286" s="103">
        <f>IF($D286=$O286,1,0)</f>
        <v>1</v>
      </c>
      <c r="R286" s="103" t="s">
        <v>1898</v>
      </c>
      <c r="S286" s="103" t="str">
        <f>_xlfn.IFS(MouserListTable12[[#This Row],[Supplier]]=FilterSpecs!$A$6, FilterSpecs!$B$6,MouserListTable12[[#This Row],[Supplier]]=FilterSpecs!$A$7,FilterSpecs!$B$7,MouserListTable12[[#This Row],[Supplier]]=FilterSpecs!$A$8,FilterSpecs!$B$8,MouserListTable12[[#This Row],[Supplier]]=FilterSpecs!$A$9,FilterSpecs!$B$9)</f>
        <v>485-</v>
      </c>
      <c r="T28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485-65</v>
      </c>
      <c r="U286" s="121">
        <v>0</v>
      </c>
      <c r="V286" s="121">
        <v>0</v>
      </c>
      <c r="W286" s="121">
        <v>0</v>
      </c>
      <c r="X286" s="121">
        <f>MouserListTable12[[#This Row],['#/Unit]]*FilterSpecs!$C$3+MouserListTable12[[#This Row],[Extra]]</f>
        <v>0</v>
      </c>
      <c r="Y286" s="121">
        <f>IF(MouserListTable12[[#This Row],[Tag]]=FilterSpecs!$F$7,MouserListTable12[[#This Row],[Price (USD)]],0)</f>
        <v>0</v>
      </c>
      <c r="Z286" s="121">
        <f>MouserListTable12[[#This Row],[Tot '#]]*MouserListTable12[[#This Row],[Price (USD)]]</f>
        <v>0</v>
      </c>
    </row>
    <row r="287" spans="1:26" s="146" customFormat="1" x14ac:dyDescent="0.3">
      <c r="A287" s="103" t="s">
        <v>896</v>
      </c>
      <c r="B287" s="103" t="s">
        <v>994</v>
      </c>
      <c r="C287" s="103" t="s">
        <v>8</v>
      </c>
      <c r="D287" s="106" t="str">
        <f>IF(MouserListTable12[[#This Row],[Vendor]]=FilterSpecs!$A$8,MouserListTable12[[#This Row],[Mouser SKU]], MouserListTable12[[#This Row],[SKU2]])</f>
        <v>PRT-12699</v>
      </c>
      <c r="E287" s="121">
        <f>MouserListTable12[[#This Row],[Tot '#]]-MouserListTable12[[#This Row],['# Initial]]</f>
        <v>0</v>
      </c>
      <c r="F287" s="121">
        <f>MouserListTable12[[#This Row],['#/Unit]]*FilterSpecs!$B$3+MouserListTable12[[#This Row],[Extra Initial]]</f>
        <v>10</v>
      </c>
      <c r="G287" s="103" t="s">
        <v>934</v>
      </c>
      <c r="H287" s="103" t="s">
        <v>935</v>
      </c>
      <c r="I287" s="103" t="s">
        <v>936</v>
      </c>
      <c r="J287" s="103">
        <v>1</v>
      </c>
      <c r="K287" s="171">
        <v>8.5</v>
      </c>
      <c r="L287" s="103" t="s">
        <v>1911</v>
      </c>
      <c r="M287" s="106"/>
      <c r="N287" s="171">
        <f>MouserListTable12[[#This Row],['# Initial]]*MouserListTable12[[#This Row],[Price (USD)]]</f>
        <v>85</v>
      </c>
      <c r="O287" s="106" t="s">
        <v>933</v>
      </c>
      <c r="P287" s="103">
        <f t="shared" si="6"/>
        <v>269</v>
      </c>
      <c r="Q287" s="103">
        <f>IF($D287=$O287,1,0)</f>
        <v>1</v>
      </c>
      <c r="R287" s="103" t="s">
        <v>8</v>
      </c>
      <c r="S287" s="103" t="str">
        <f>_xlfn.IFS(MouserListTable12[[#This Row],[Supplier]]=FilterSpecs!$A$6, FilterSpecs!$B$6,MouserListTable12[[#This Row],[Supplier]]=FilterSpecs!$A$7,FilterSpecs!$B$7,MouserListTable12[[#This Row],[Supplier]]=FilterSpecs!$A$8,FilterSpecs!$B$8,MouserListTable12[[#This Row],[Supplier]]=FilterSpecs!$A$9,FilterSpecs!$B$9)</f>
        <v>474-</v>
      </c>
      <c r="T28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474-PRT-12699</v>
      </c>
      <c r="U287" s="121">
        <v>2</v>
      </c>
      <c r="V287" s="121">
        <v>0</v>
      </c>
      <c r="W287" s="121">
        <v>0</v>
      </c>
      <c r="X287" s="121">
        <f>MouserListTable12[[#This Row],['#/Unit]]*FilterSpecs!$C$3+MouserListTable12[[#This Row],[Extra]]</f>
        <v>10</v>
      </c>
      <c r="Y287" s="121">
        <f>IF(MouserListTable12[[#This Row],[Tag]]=FilterSpecs!$F$7,MouserListTable12[[#This Row],[Price (USD)]],0)</f>
        <v>8.5</v>
      </c>
      <c r="Z287" s="121">
        <f>MouserListTable12[[#This Row],[Tot '#]]*MouserListTable12[[#This Row],[Price (USD)]]</f>
        <v>85</v>
      </c>
    </row>
    <row r="288" spans="1:26" s="146" customFormat="1" hidden="1" x14ac:dyDescent="0.3">
      <c r="A288" s="103" t="s">
        <v>896</v>
      </c>
      <c r="B288" s="103" t="s">
        <v>994</v>
      </c>
      <c r="C288" s="103" t="s">
        <v>8</v>
      </c>
      <c r="D288" s="106" t="str">
        <f>IF(MouserListTable12[[#This Row],[Vendor]]=FilterSpecs!$A$8,MouserListTable12[[#This Row],[Mouser SKU]], MouserListTable12[[#This Row],[SKU2]])</f>
        <v>PRT-12070</v>
      </c>
      <c r="E288" s="121">
        <f>MouserListTable12[[#This Row],[Tot '#]]-MouserListTable12[[#This Row],['# Initial]]</f>
        <v>1</v>
      </c>
      <c r="F288" s="121">
        <f>MouserListTable12[[#This Row],['#/Unit]]*FilterSpecs!$B$3+MouserListTable12[[#This Row],[Extra Initial]]</f>
        <v>0</v>
      </c>
      <c r="G288" s="103" t="s">
        <v>1840</v>
      </c>
      <c r="H288" s="103" t="s">
        <v>1841</v>
      </c>
      <c r="I288" s="103" t="s">
        <v>1842</v>
      </c>
      <c r="J288" s="103">
        <v>1</v>
      </c>
      <c r="K288" s="171">
        <v>4.95</v>
      </c>
      <c r="L288" s="103" t="s">
        <v>1910</v>
      </c>
      <c r="M288" s="106"/>
      <c r="N288" s="171">
        <f>MouserListTable12[[#This Row],['# Initial]]*MouserListTable12[[#This Row],[Price (USD)]]</f>
        <v>0</v>
      </c>
      <c r="O288" s="106" t="s">
        <v>1839</v>
      </c>
      <c r="P288" s="103">
        <f t="shared" si="6"/>
        <v>270</v>
      </c>
      <c r="Q288" s="103">
        <f>IF($D288=$O288,1,0)</f>
        <v>1</v>
      </c>
      <c r="R288" s="103" t="s">
        <v>8</v>
      </c>
      <c r="S288" s="103" t="str">
        <f>_xlfn.IFS(MouserListTable12[[#This Row],[Supplier]]=FilterSpecs!$A$6, FilterSpecs!$B$6,MouserListTable12[[#This Row],[Supplier]]=FilterSpecs!$A$7,FilterSpecs!$B$7,MouserListTable12[[#This Row],[Supplier]]=FilterSpecs!$A$8,FilterSpecs!$B$8,MouserListTable12[[#This Row],[Supplier]]=FilterSpecs!$A$9,FilterSpecs!$B$9)</f>
        <v>474-</v>
      </c>
      <c r="T28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474-PRT-12070</v>
      </c>
      <c r="U288" s="121">
        <v>0</v>
      </c>
      <c r="V288" s="121">
        <v>1</v>
      </c>
      <c r="W288" s="121">
        <v>0</v>
      </c>
      <c r="X288" s="121">
        <f>MouserListTable12[[#This Row],['#/Unit]]*FilterSpecs!$C$3+MouserListTable12[[#This Row],[Extra]]</f>
        <v>1</v>
      </c>
      <c r="Y288" s="121">
        <f>IF(MouserListTable12[[#This Row],[Tag]]=FilterSpecs!$F$7,MouserListTable12[[#This Row],[Price (USD)]],0)</f>
        <v>0</v>
      </c>
      <c r="Z288" s="121">
        <f>MouserListTable12[[#This Row],[Tot '#]]*MouserListTable12[[#This Row],[Price (USD)]]</f>
        <v>4.95</v>
      </c>
    </row>
    <row r="289" spans="1:26" s="146" customFormat="1" hidden="1" x14ac:dyDescent="0.3">
      <c r="A289" s="126" t="s">
        <v>896</v>
      </c>
      <c r="B289" s="126" t="s">
        <v>994</v>
      </c>
      <c r="C289" s="126" t="s">
        <v>8</v>
      </c>
      <c r="D289" s="106" t="str">
        <f>IF(MouserListTable12[[#This Row],[Vendor]]=FilterSpecs!$A$8,MouserListTable12[[#This Row],[Mouser SKU]], MouserListTable12[[#This Row],[SKU2]])</f>
        <v>PRT-12702</v>
      </c>
      <c r="E289" s="121">
        <f>MouserListTable12[[#This Row],[Tot '#]]-MouserListTable12[[#This Row],['# Initial]]</f>
        <v>0</v>
      </c>
      <c r="F289" s="121">
        <f>MouserListTable12[[#This Row],['#/Unit]]*FilterSpecs!$B$3+MouserListTable12[[#This Row],[Extra Initial]]</f>
        <v>0</v>
      </c>
      <c r="G289" s="103" t="s">
        <v>1848</v>
      </c>
      <c r="H289" s="103" t="s">
        <v>1849</v>
      </c>
      <c r="I289" s="103" t="s">
        <v>1850</v>
      </c>
      <c r="J289" s="103"/>
      <c r="K289" s="171">
        <v>2.95</v>
      </c>
      <c r="L289" s="103" t="s">
        <v>1910</v>
      </c>
      <c r="N289" s="171">
        <f>MouserListTable12[[#This Row],['# Initial]]*MouserListTable12[[#This Row],[Price (USD)]]</f>
        <v>0</v>
      </c>
      <c r="O289" s="106" t="s">
        <v>1847</v>
      </c>
      <c r="P289" s="103">
        <f t="shared" si="6"/>
        <v>271</v>
      </c>
      <c r="Q289" s="103">
        <f>IF($D289=$O289,1,0)</f>
        <v>1</v>
      </c>
      <c r="R289" s="103" t="s">
        <v>8</v>
      </c>
      <c r="S289" s="103" t="str">
        <f>_xlfn.IFS(MouserListTable12[[#This Row],[Supplier]]=FilterSpecs!$A$6, FilterSpecs!$B$6,MouserListTable12[[#This Row],[Supplier]]=FilterSpecs!$A$7,FilterSpecs!$B$7,MouserListTable12[[#This Row],[Supplier]]=FilterSpecs!$A$8,FilterSpecs!$B$8,MouserListTable12[[#This Row],[Supplier]]=FilterSpecs!$A$9,FilterSpecs!$B$9)</f>
        <v>474-</v>
      </c>
      <c r="T28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474-PRT-12702</v>
      </c>
      <c r="U289" s="121">
        <v>0</v>
      </c>
      <c r="V289" s="121">
        <v>0</v>
      </c>
      <c r="W289" s="121">
        <v>0</v>
      </c>
      <c r="X289" s="121">
        <f>MouserListTable12[[#This Row],['#/Unit]]*FilterSpecs!$C$3+MouserListTable12[[#This Row],[Extra]]</f>
        <v>0</v>
      </c>
      <c r="Y289" s="121">
        <f>IF(MouserListTable12[[#This Row],[Tag]]=FilterSpecs!$F$7,MouserListTable12[[#This Row],[Price (USD)]],0)</f>
        <v>0</v>
      </c>
      <c r="Z289" s="121">
        <f>MouserListTable12[[#This Row],[Tot '#]]*MouserListTable12[[#This Row],[Price (USD)]]</f>
        <v>0</v>
      </c>
    </row>
    <row r="290" spans="1:26" s="146" customFormat="1" x14ac:dyDescent="0.3">
      <c r="A290" s="103" t="s">
        <v>896</v>
      </c>
      <c r="B290" s="103" t="s">
        <v>994</v>
      </c>
      <c r="C290" s="103" t="s">
        <v>8</v>
      </c>
      <c r="D290" s="106" t="str">
        <f>IF(MouserListTable12[[#This Row],[Vendor]]=FilterSpecs!$A$8,MouserListTable12[[#This Row],[Mouser SKU]], MouserListTable12[[#This Row],[SKU2]])</f>
        <v>DEV-07914</v>
      </c>
      <c r="E290" s="121">
        <f>MouserListTable12[[#This Row],[Tot '#]]-MouserListTable12[[#This Row],['# Initial]]</f>
        <v>1</v>
      </c>
      <c r="F290" s="121">
        <f>MouserListTable12[[#This Row],['#/Unit]]*FilterSpecs!$B$3+MouserListTable12[[#This Row],[Extra Initial]]</f>
        <v>5</v>
      </c>
      <c r="G290" s="103" t="s">
        <v>1772</v>
      </c>
      <c r="H290" s="103" t="s">
        <v>1773</v>
      </c>
      <c r="I290" s="103" t="s">
        <v>1774</v>
      </c>
      <c r="J290" s="103">
        <v>1</v>
      </c>
      <c r="K290" s="171">
        <v>9.9499999999999993</v>
      </c>
      <c r="L290" s="103" t="s">
        <v>1911</v>
      </c>
      <c r="M290" s="106"/>
      <c r="N290" s="171">
        <f>MouserListTable12[[#This Row],['# Initial]]*MouserListTable12[[#This Row],[Price (USD)]]</f>
        <v>49.75</v>
      </c>
      <c r="O290" s="106" t="s">
        <v>1771</v>
      </c>
      <c r="P290" s="103">
        <f t="shared" si="6"/>
        <v>272</v>
      </c>
      <c r="Q290" s="103">
        <f>IF($D290=$O290,1,0)</f>
        <v>1</v>
      </c>
      <c r="R290" s="103" t="s">
        <v>8</v>
      </c>
      <c r="S290" s="103" t="str">
        <f>_xlfn.IFS(MouserListTable12[[#This Row],[Supplier]]=FilterSpecs!$A$6, FilterSpecs!$B$6,MouserListTable12[[#This Row],[Supplier]]=FilterSpecs!$A$7,FilterSpecs!$B$7,MouserListTable12[[#This Row],[Supplier]]=FilterSpecs!$A$8,FilterSpecs!$B$8,MouserListTable12[[#This Row],[Supplier]]=FilterSpecs!$A$9,FilterSpecs!$B$9)</f>
        <v>474-</v>
      </c>
      <c r="T29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474-DEV-07914</v>
      </c>
      <c r="U290" s="121">
        <v>1</v>
      </c>
      <c r="V290" s="121">
        <v>1</v>
      </c>
      <c r="W290" s="121">
        <v>0</v>
      </c>
      <c r="X290" s="121">
        <f>MouserListTable12[[#This Row],['#/Unit]]*FilterSpecs!$C$3+MouserListTable12[[#This Row],[Extra]]</f>
        <v>6</v>
      </c>
      <c r="Y290" s="121">
        <f>IF(MouserListTable12[[#This Row],[Tag]]=FilterSpecs!$F$7,MouserListTable12[[#This Row],[Price (USD)]],0)</f>
        <v>9.9499999999999993</v>
      </c>
      <c r="Z290" s="121">
        <f>MouserListTable12[[#This Row],[Tot '#]]*MouserListTable12[[#This Row],[Price (USD)]]</f>
        <v>59.699999999999996</v>
      </c>
    </row>
    <row r="291" spans="1:26" s="146" customFormat="1" hidden="1" x14ac:dyDescent="0.3">
      <c r="A291" s="103" t="s">
        <v>896</v>
      </c>
      <c r="B291" s="103" t="s">
        <v>994</v>
      </c>
      <c r="C291" s="103" t="s">
        <v>1898</v>
      </c>
      <c r="D291" s="106" t="str">
        <f>IF(MouserListTable12[[#This Row],[Vendor]]=FilterSpecs!$A$8,MouserListTable12[[#This Row],[Mouser SKU]], MouserListTable12[[#This Row],[SKU2]])</f>
        <v>2077</v>
      </c>
      <c r="E291" s="121">
        <f>MouserListTable12[[#This Row],[Tot '#]]-MouserListTable12[[#This Row],['# Initial]]</f>
        <v>0</v>
      </c>
      <c r="F291" s="121">
        <f>MouserListTable12[[#This Row],['#/Unit]]*FilterSpecs!$B$3+MouserListTable12[[#This Row],[Extra Initial]]</f>
        <v>0</v>
      </c>
      <c r="G291" s="103"/>
      <c r="H291" s="103"/>
      <c r="I291" s="126" t="s">
        <v>2101</v>
      </c>
      <c r="K291" s="172">
        <v>9.9499999999999993</v>
      </c>
      <c r="L291" s="126" t="s">
        <v>1910</v>
      </c>
      <c r="N291" s="171">
        <f>MouserListTable12[[#This Row],['# Initial]]*MouserListTable12[[#This Row],[Price (USD)]]</f>
        <v>0</v>
      </c>
      <c r="O291" s="106" t="s">
        <v>2100</v>
      </c>
      <c r="P291" s="103">
        <f t="shared" si="6"/>
        <v>273</v>
      </c>
      <c r="Q291" s="103">
        <f>IF($D291=$O291,1,0)</f>
        <v>1</v>
      </c>
      <c r="R291" s="103" t="s">
        <v>1898</v>
      </c>
      <c r="S291" s="103" t="str">
        <f>_xlfn.IFS(MouserListTable12[[#This Row],[Supplier]]=FilterSpecs!$A$6, FilterSpecs!$B$6,MouserListTable12[[#This Row],[Supplier]]=FilterSpecs!$A$7,FilterSpecs!$B$7,MouserListTable12[[#This Row],[Supplier]]=FilterSpecs!$A$8,FilterSpecs!$B$8,MouserListTable12[[#This Row],[Supplier]]=FilterSpecs!$A$9,FilterSpecs!$B$9)</f>
        <v>485-</v>
      </c>
      <c r="T29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485-2077</v>
      </c>
      <c r="U291" s="121">
        <v>0</v>
      </c>
      <c r="V291" s="121">
        <v>0</v>
      </c>
      <c r="W291" s="121">
        <v>0</v>
      </c>
      <c r="X291" s="121">
        <f>MouserListTable12[[#This Row],['#/Unit]]*FilterSpecs!$C$3+MouserListTable12[[#This Row],[Extra]]</f>
        <v>0</v>
      </c>
      <c r="Y291" s="121">
        <f>IF(MouserListTable12[[#This Row],[Tag]]=FilterSpecs!$F$7,MouserListTable12[[#This Row],[Price (USD)]],0)</f>
        <v>0</v>
      </c>
      <c r="Z291" s="121">
        <f>MouserListTable12[[#This Row],[Tot '#]]*MouserListTable12[[#This Row],[Price (USD)]]</f>
        <v>0</v>
      </c>
    </row>
    <row r="292" spans="1:26" s="146" customFormat="1" hidden="1" x14ac:dyDescent="0.3">
      <c r="A292" s="103" t="s">
        <v>896</v>
      </c>
      <c r="B292" s="103" t="s">
        <v>994</v>
      </c>
      <c r="C292" s="103" t="s">
        <v>1898</v>
      </c>
      <c r="D292" s="106" t="str">
        <f>IF(MouserListTable12[[#This Row],[Vendor]]=FilterSpecs!$A$8,MouserListTable12[[#This Row],[Mouser SKU]], MouserListTable12[[#This Row],[SKU2]])</f>
        <v>196</v>
      </c>
      <c r="E292" s="121">
        <f>MouserListTable12[[#This Row],[Tot '#]]-MouserListTable12[[#This Row],['# Initial]]</f>
        <v>0</v>
      </c>
      <c r="F292" s="121">
        <f>MouserListTable12[[#This Row],['#/Unit]]*FilterSpecs!$B$3+MouserListTable12[[#This Row],[Extra Initial]]</f>
        <v>0</v>
      </c>
      <c r="G292" s="103"/>
      <c r="H292" s="103"/>
      <c r="I292" s="126" t="s">
        <v>2113</v>
      </c>
      <c r="K292" s="172">
        <v>14.95</v>
      </c>
      <c r="L292" s="126" t="s">
        <v>1910</v>
      </c>
      <c r="N292" s="171">
        <f>MouserListTable12[[#This Row],['# Initial]]*MouserListTable12[[#This Row],[Price (USD)]]</f>
        <v>0</v>
      </c>
      <c r="O292" s="106" t="s">
        <v>2112</v>
      </c>
      <c r="P292" s="103">
        <f t="shared" si="6"/>
        <v>274</v>
      </c>
      <c r="Q292" s="103">
        <f>IF($D292=$O292,1,0)</f>
        <v>1</v>
      </c>
      <c r="R292" s="103" t="s">
        <v>1898</v>
      </c>
      <c r="S292" s="103" t="str">
        <f>_xlfn.IFS(MouserListTable12[[#This Row],[Supplier]]=FilterSpecs!$A$6, FilterSpecs!$B$6,MouserListTable12[[#This Row],[Supplier]]=FilterSpecs!$A$7,FilterSpecs!$B$7,MouserListTable12[[#This Row],[Supplier]]=FilterSpecs!$A$8,FilterSpecs!$B$8,MouserListTable12[[#This Row],[Supplier]]=FilterSpecs!$A$9,FilterSpecs!$B$9)</f>
        <v>485-</v>
      </c>
      <c r="T29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485-196</v>
      </c>
      <c r="U292" s="121">
        <v>0</v>
      </c>
      <c r="V292" s="121">
        <v>0</v>
      </c>
      <c r="W292" s="121">
        <v>0</v>
      </c>
      <c r="X292" s="121">
        <f>MouserListTable12[[#This Row],['#/Unit]]*FilterSpecs!$C$3+MouserListTable12[[#This Row],[Extra]]</f>
        <v>0</v>
      </c>
      <c r="Y292" s="121">
        <f>IF(MouserListTable12[[#This Row],[Tag]]=FilterSpecs!$F$7,MouserListTable12[[#This Row],[Price (USD)]],0)</f>
        <v>0</v>
      </c>
      <c r="Z292" s="121">
        <f>MouserListTable12[[#This Row],[Tot '#]]*MouserListTable12[[#This Row],[Price (USD)]]</f>
        <v>0</v>
      </c>
    </row>
    <row r="293" spans="1:26" s="146" customFormat="1" hidden="1" x14ac:dyDescent="0.3">
      <c r="A293" s="103" t="s">
        <v>896</v>
      </c>
      <c r="B293" s="103" t="s">
        <v>994</v>
      </c>
      <c r="C293" s="103" t="s">
        <v>1898</v>
      </c>
      <c r="D293" s="106" t="str">
        <f>IF(MouserListTable12[[#This Row],[Vendor]]=FilterSpecs!$A$8,MouserListTable12[[#This Row],[Mouser SKU]], MouserListTable12[[#This Row],[SKU2]])</f>
        <v>192</v>
      </c>
      <c r="E293" s="121">
        <f>MouserListTable12[[#This Row],[Tot '#]]-MouserListTable12[[#This Row],['# Initial]]</f>
        <v>0</v>
      </c>
      <c r="F293" s="121">
        <f>MouserListTable12[[#This Row],['#/Unit]]*FilterSpecs!$B$3+MouserListTable12[[#This Row],[Extra Initial]]</f>
        <v>0</v>
      </c>
      <c r="G293" s="103"/>
      <c r="H293" s="103"/>
      <c r="I293" s="126" t="s">
        <v>2105</v>
      </c>
      <c r="K293" s="172">
        <v>14.95</v>
      </c>
      <c r="L293" s="126" t="s">
        <v>1910</v>
      </c>
      <c r="N293" s="171">
        <f>MouserListTable12[[#This Row],['# Initial]]*MouserListTable12[[#This Row],[Price (USD)]]</f>
        <v>0</v>
      </c>
      <c r="O293" s="106" t="s">
        <v>2104</v>
      </c>
      <c r="P293" s="103">
        <f t="shared" si="6"/>
        <v>275</v>
      </c>
      <c r="Q293" s="103">
        <f>IF($D293=$O293,1,0)</f>
        <v>1</v>
      </c>
      <c r="R293" s="103" t="s">
        <v>1898</v>
      </c>
      <c r="S293" s="103" t="str">
        <f>_xlfn.IFS(MouserListTable12[[#This Row],[Supplier]]=FilterSpecs!$A$6, FilterSpecs!$B$6,MouserListTable12[[#This Row],[Supplier]]=FilterSpecs!$A$7,FilterSpecs!$B$7,MouserListTable12[[#This Row],[Supplier]]=FilterSpecs!$A$8,FilterSpecs!$B$8,MouserListTable12[[#This Row],[Supplier]]=FilterSpecs!$A$9,FilterSpecs!$B$9)</f>
        <v>485-</v>
      </c>
      <c r="T29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485-192</v>
      </c>
      <c r="U293" s="121">
        <v>0</v>
      </c>
      <c r="V293" s="121">
        <v>0</v>
      </c>
      <c r="W293" s="121">
        <v>0</v>
      </c>
      <c r="X293" s="121">
        <f>MouserListTable12[[#This Row],['#/Unit]]*FilterSpecs!$C$3+MouserListTable12[[#This Row],[Extra]]</f>
        <v>0</v>
      </c>
      <c r="Y293" s="121">
        <f>IF(MouserListTable12[[#This Row],[Tag]]=FilterSpecs!$F$7,MouserListTable12[[#This Row],[Price (USD)]],0)</f>
        <v>0</v>
      </c>
      <c r="Z293" s="121">
        <f>MouserListTable12[[#This Row],[Tot '#]]*MouserListTable12[[#This Row],[Price (USD)]]</f>
        <v>0</v>
      </c>
    </row>
    <row r="294" spans="1:26" s="146" customFormat="1" hidden="1" x14ac:dyDescent="0.3">
      <c r="A294" s="103" t="s">
        <v>896</v>
      </c>
      <c r="B294" s="103" t="s">
        <v>994</v>
      </c>
      <c r="C294" s="103" t="s">
        <v>1898</v>
      </c>
      <c r="D294" s="106" t="str">
        <f>IF(MouserListTable12[[#This Row],[Vendor]]=FilterSpecs!$A$8,MouserListTable12[[#This Row],[Mouser SKU]], MouserListTable12[[#This Row],[SKU2]])</f>
        <v>443</v>
      </c>
      <c r="E294" s="121">
        <f>MouserListTable12[[#This Row],[Tot '#]]-MouserListTable12[[#This Row],['# Initial]]</f>
        <v>0</v>
      </c>
      <c r="F294" s="121">
        <f>MouserListTable12[[#This Row],['#/Unit]]*FilterSpecs!$B$3+MouserListTable12[[#This Row],[Extra Initial]]</f>
        <v>0</v>
      </c>
      <c r="G294" s="103"/>
      <c r="H294" s="103"/>
      <c r="I294" s="126" t="s">
        <v>2103</v>
      </c>
      <c r="K294" s="172">
        <v>19.95</v>
      </c>
      <c r="L294" s="126" t="s">
        <v>1910</v>
      </c>
      <c r="N294" s="171">
        <f>MouserListTable12[[#This Row],['# Initial]]*MouserListTable12[[#This Row],[Price (USD)]]</f>
        <v>0</v>
      </c>
      <c r="O294" s="106" t="s">
        <v>2102</v>
      </c>
      <c r="P294" s="103">
        <f t="shared" si="6"/>
        <v>276</v>
      </c>
      <c r="Q294" s="103">
        <f>IF($D294=$O294,1,0)</f>
        <v>1</v>
      </c>
      <c r="R294" s="103" t="s">
        <v>1898</v>
      </c>
      <c r="S294" s="103" t="str">
        <f>_xlfn.IFS(MouserListTable12[[#This Row],[Supplier]]=FilterSpecs!$A$6, FilterSpecs!$B$6,MouserListTable12[[#This Row],[Supplier]]=FilterSpecs!$A$7,FilterSpecs!$B$7,MouserListTable12[[#This Row],[Supplier]]=FilterSpecs!$A$8,FilterSpecs!$B$8,MouserListTable12[[#This Row],[Supplier]]=FilterSpecs!$A$9,FilterSpecs!$B$9)</f>
        <v>485-</v>
      </c>
      <c r="T29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485-443</v>
      </c>
      <c r="U294" s="121">
        <v>0</v>
      </c>
      <c r="V294" s="121">
        <v>0</v>
      </c>
      <c r="W294" s="121">
        <v>0</v>
      </c>
      <c r="X294" s="121">
        <f>MouserListTable12[[#This Row],['#/Unit]]*FilterSpecs!$C$3+MouserListTable12[[#This Row],[Extra]]</f>
        <v>0</v>
      </c>
      <c r="Y294" s="121">
        <f>IF(MouserListTable12[[#This Row],[Tag]]=FilterSpecs!$F$7,MouserListTable12[[#This Row],[Price (USD)]],0)</f>
        <v>0</v>
      </c>
      <c r="Z294" s="121">
        <f>MouserListTable12[[#This Row],[Tot '#]]*MouserListTable12[[#This Row],[Price (USD)]]</f>
        <v>0</v>
      </c>
    </row>
    <row r="295" spans="1:26" s="146" customFormat="1" hidden="1" x14ac:dyDescent="0.3">
      <c r="A295" s="103" t="s">
        <v>896</v>
      </c>
      <c r="B295" s="103" t="s">
        <v>994</v>
      </c>
      <c r="C295" s="103" t="s">
        <v>1898</v>
      </c>
      <c r="D295" s="106" t="str">
        <f>IF(MouserListTable12[[#This Row],[Vendor]]=FilterSpecs!$A$8,MouserListTable12[[#This Row],[Mouser SKU]], MouserListTable12[[#This Row],[SKU2]])</f>
        <v>2017</v>
      </c>
      <c r="E295" s="121">
        <f>MouserListTable12[[#This Row],[Tot '#]]-MouserListTable12[[#This Row],['# Initial]]</f>
        <v>0</v>
      </c>
      <c r="F295" s="121">
        <f>MouserListTable12[[#This Row],['#/Unit]]*FilterSpecs!$B$3+MouserListTable12[[#This Row],[Extra Initial]]</f>
        <v>0</v>
      </c>
      <c r="G295" s="103"/>
      <c r="H295" s="103"/>
      <c r="I295" s="126" t="s">
        <v>2107</v>
      </c>
      <c r="K295" s="172">
        <v>0.75</v>
      </c>
      <c r="L295" s="126" t="s">
        <v>1910</v>
      </c>
      <c r="N295" s="171">
        <f>MouserListTable12[[#This Row],['# Initial]]*MouserListTable12[[#This Row],[Price (USD)]]</f>
        <v>0</v>
      </c>
      <c r="O295" s="106" t="s">
        <v>2106</v>
      </c>
      <c r="P295" s="103">
        <f t="shared" si="6"/>
        <v>277</v>
      </c>
      <c r="Q295" s="103">
        <f>IF($D295=$O295,1,0)</f>
        <v>1</v>
      </c>
      <c r="R295" s="103" t="s">
        <v>1898</v>
      </c>
      <c r="S295" s="103" t="str">
        <f>_xlfn.IFS(MouserListTable12[[#This Row],[Supplier]]=FilterSpecs!$A$6, FilterSpecs!$B$6,MouserListTable12[[#This Row],[Supplier]]=FilterSpecs!$A$7,FilterSpecs!$B$7,MouserListTable12[[#This Row],[Supplier]]=FilterSpecs!$A$8,FilterSpecs!$B$8,MouserListTable12[[#This Row],[Supplier]]=FilterSpecs!$A$9,FilterSpecs!$B$9)</f>
        <v>485-</v>
      </c>
      <c r="T29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485-2017</v>
      </c>
      <c r="U295" s="121">
        <v>0</v>
      </c>
      <c r="V295" s="121">
        <v>0</v>
      </c>
      <c r="W295" s="121">
        <v>0</v>
      </c>
      <c r="X295" s="121">
        <f>MouserListTable12[[#This Row],['#/Unit]]*FilterSpecs!$C$3+MouserListTable12[[#This Row],[Extra]]</f>
        <v>0</v>
      </c>
      <c r="Y295" s="121">
        <f>IF(MouserListTable12[[#This Row],[Tag]]=FilterSpecs!$F$7,MouserListTable12[[#This Row],[Price (USD)]],0)</f>
        <v>0</v>
      </c>
      <c r="Z295" s="121">
        <f>MouserListTable12[[#This Row],[Tot '#]]*MouserListTable12[[#This Row],[Price (USD)]]</f>
        <v>0</v>
      </c>
    </row>
    <row r="296" spans="1:26" s="146" customFormat="1" hidden="1" x14ac:dyDescent="0.3">
      <c r="A296" s="103" t="s">
        <v>896</v>
      </c>
      <c r="B296" s="103" t="s">
        <v>994</v>
      </c>
      <c r="C296" s="103" t="s">
        <v>1898</v>
      </c>
      <c r="D296" s="106" t="str">
        <f>IF(MouserListTable12[[#This Row],[Vendor]]=FilterSpecs!$A$8,MouserListTable12[[#This Row],[Mouser SKU]], MouserListTable12[[#This Row],[SKU2]])</f>
        <v>2018</v>
      </c>
      <c r="E296" s="121">
        <f>MouserListTable12[[#This Row],[Tot '#]]-MouserListTable12[[#This Row],['# Initial]]</f>
        <v>0</v>
      </c>
      <c r="F296" s="121">
        <f>MouserListTable12[[#This Row],['#/Unit]]*FilterSpecs!$B$3+MouserListTable12[[#This Row],[Extra Initial]]</f>
        <v>0</v>
      </c>
      <c r="G296" s="103"/>
      <c r="H296" s="103"/>
      <c r="I296" s="126" t="s">
        <v>2109</v>
      </c>
      <c r="K296" s="172">
        <v>0.95</v>
      </c>
      <c r="L296" s="126" t="s">
        <v>1910</v>
      </c>
      <c r="N296" s="171">
        <f>MouserListTable12[[#This Row],['# Initial]]*MouserListTable12[[#This Row],[Price (USD)]]</f>
        <v>0</v>
      </c>
      <c r="O296" s="106" t="s">
        <v>2108</v>
      </c>
      <c r="P296" s="103">
        <f t="shared" si="6"/>
        <v>278</v>
      </c>
      <c r="Q296" s="103">
        <f>IF($D296=$O296,1,0)</f>
        <v>1</v>
      </c>
      <c r="R296" s="103" t="s">
        <v>1898</v>
      </c>
      <c r="S296" s="103" t="str">
        <f>_xlfn.IFS(MouserListTable12[[#This Row],[Supplier]]=FilterSpecs!$A$6, FilterSpecs!$B$6,MouserListTable12[[#This Row],[Supplier]]=FilterSpecs!$A$7,FilterSpecs!$B$7,MouserListTable12[[#This Row],[Supplier]]=FilterSpecs!$A$8,FilterSpecs!$B$8,MouserListTable12[[#This Row],[Supplier]]=FilterSpecs!$A$9,FilterSpecs!$B$9)</f>
        <v>485-</v>
      </c>
      <c r="T29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485-2018</v>
      </c>
      <c r="U296" s="121">
        <v>0</v>
      </c>
      <c r="V296" s="121">
        <v>0</v>
      </c>
      <c r="W296" s="121">
        <v>0</v>
      </c>
      <c r="X296" s="121">
        <f>MouserListTable12[[#This Row],['#/Unit]]*FilterSpecs!$C$3+MouserListTable12[[#This Row],[Extra]]</f>
        <v>0</v>
      </c>
      <c r="Y296" s="121">
        <f>IF(MouserListTable12[[#This Row],[Tag]]=FilterSpecs!$F$7,MouserListTable12[[#This Row],[Price (USD)]],0)</f>
        <v>0</v>
      </c>
      <c r="Z296" s="121">
        <f>MouserListTable12[[#This Row],[Tot '#]]*MouserListTable12[[#This Row],[Price (USD)]]</f>
        <v>0</v>
      </c>
    </row>
    <row r="297" spans="1:26" s="146" customFormat="1" hidden="1" x14ac:dyDescent="0.3">
      <c r="A297" s="103" t="s">
        <v>896</v>
      </c>
      <c r="B297" s="103" t="s">
        <v>994</v>
      </c>
      <c r="C297" s="103" t="s">
        <v>1898</v>
      </c>
      <c r="D297" s="106" t="str">
        <f>IF(MouserListTable12[[#This Row],[Vendor]]=FilterSpecs!$A$8,MouserListTable12[[#This Row],[Mouser SKU]], MouserListTable12[[#This Row],[SKU2]])</f>
        <v>2463</v>
      </c>
      <c r="E297" s="121">
        <f>MouserListTable12[[#This Row],[Tot '#]]-MouserListTable12[[#This Row],['# Initial]]</f>
        <v>0</v>
      </c>
      <c r="F297" s="121">
        <f>MouserListTable12[[#This Row],['#/Unit]]*FilterSpecs!$B$3+MouserListTable12[[#This Row],[Extra Initial]]</f>
        <v>0</v>
      </c>
      <c r="G297" s="103"/>
      <c r="H297" s="103"/>
      <c r="I297" s="126" t="s">
        <v>2111</v>
      </c>
      <c r="K297" s="172">
        <v>0.95</v>
      </c>
      <c r="L297" s="126" t="s">
        <v>1910</v>
      </c>
      <c r="N297" s="171">
        <f>MouserListTable12[[#This Row],['# Initial]]*MouserListTable12[[#This Row],[Price (USD)]]</f>
        <v>0</v>
      </c>
      <c r="O297" s="106" t="s">
        <v>2110</v>
      </c>
      <c r="P297" s="103">
        <f t="shared" si="6"/>
        <v>279</v>
      </c>
      <c r="Q297" s="103">
        <f>IF($D297=$O297,1,0)</f>
        <v>1</v>
      </c>
      <c r="R297" s="103" t="s">
        <v>1898</v>
      </c>
      <c r="S297" s="103" t="str">
        <f>_xlfn.IFS(MouserListTable12[[#This Row],[Supplier]]=FilterSpecs!$A$6, FilterSpecs!$B$6,MouserListTable12[[#This Row],[Supplier]]=FilterSpecs!$A$7,FilterSpecs!$B$7,MouserListTable12[[#This Row],[Supplier]]=FilterSpecs!$A$8,FilterSpecs!$B$8,MouserListTable12[[#This Row],[Supplier]]=FilterSpecs!$A$9,FilterSpecs!$B$9)</f>
        <v>485-</v>
      </c>
      <c r="T29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485-2463</v>
      </c>
      <c r="U297" s="121">
        <v>0</v>
      </c>
      <c r="V297" s="121">
        <v>0</v>
      </c>
      <c r="W297" s="121">
        <v>0</v>
      </c>
      <c r="X297" s="121">
        <f>MouserListTable12[[#This Row],['#/Unit]]*FilterSpecs!$C$3+MouserListTable12[[#This Row],[Extra]]</f>
        <v>0</v>
      </c>
      <c r="Y297" s="121">
        <f>IF(MouserListTable12[[#This Row],[Tag]]=FilterSpecs!$F$7,MouserListTable12[[#This Row],[Price (USD)]],0)</f>
        <v>0</v>
      </c>
      <c r="Z297" s="121">
        <f>MouserListTable12[[#This Row],[Tot '#]]*MouserListTable12[[#This Row],[Price (USD)]]</f>
        <v>0</v>
      </c>
    </row>
    <row r="298" spans="1:26" s="146" customFormat="1" hidden="1" x14ac:dyDescent="0.3">
      <c r="A298" s="103" t="s">
        <v>896</v>
      </c>
      <c r="B298" s="103" t="s">
        <v>994</v>
      </c>
      <c r="C298" s="103" t="s">
        <v>8</v>
      </c>
      <c r="D298" s="106" t="str">
        <f>IF(MouserListTable12[[#This Row],[Vendor]]=FilterSpecs!$A$8,MouserListTable12[[#This Row],[Mouser SKU]], MouserListTable12[[#This Row],[SKU2]])</f>
        <v>PRT-13268</v>
      </c>
      <c r="E298" s="121">
        <f>MouserListTable12[[#This Row],[Tot '#]]-MouserListTable12[[#This Row],['# Initial]]</f>
        <v>5</v>
      </c>
      <c r="F298" s="121">
        <f>MouserListTable12[[#This Row],['#/Unit]]*FilterSpecs!$B$3+MouserListTable12[[#This Row],[Extra Initial]]</f>
        <v>0</v>
      </c>
      <c r="G298" s="103" t="s">
        <v>946</v>
      </c>
      <c r="H298" s="103" t="s">
        <v>947</v>
      </c>
      <c r="I298" s="103" t="s">
        <v>948</v>
      </c>
      <c r="J298" s="103">
        <v>1</v>
      </c>
      <c r="K298" s="171">
        <v>7.95</v>
      </c>
      <c r="L298" s="103" t="s">
        <v>1910</v>
      </c>
      <c r="M298" s="106"/>
      <c r="N298" s="171">
        <f>MouserListTable12[[#This Row],['# Initial]]*MouserListTable12[[#This Row],[Price (USD)]]</f>
        <v>0</v>
      </c>
      <c r="O298" s="106" t="s">
        <v>945</v>
      </c>
      <c r="P298" s="103">
        <f t="shared" si="6"/>
        <v>280</v>
      </c>
      <c r="Q298" s="103">
        <f>IF($D298=$O298,1,0)</f>
        <v>1</v>
      </c>
      <c r="R298" s="103" t="s">
        <v>8</v>
      </c>
      <c r="S298" s="103" t="str">
        <f>_xlfn.IFS(MouserListTable12[[#This Row],[Supplier]]=FilterSpecs!$A$6, FilterSpecs!$B$6,MouserListTable12[[#This Row],[Supplier]]=FilterSpecs!$A$7,FilterSpecs!$B$7,MouserListTable12[[#This Row],[Supplier]]=FilterSpecs!$A$8,FilterSpecs!$B$8,MouserListTable12[[#This Row],[Supplier]]=FilterSpecs!$A$9,FilterSpecs!$B$9)</f>
        <v>474-</v>
      </c>
      <c r="T29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474-PRT-13268</v>
      </c>
      <c r="U298" s="121">
        <v>0</v>
      </c>
      <c r="V298" s="121">
        <v>5</v>
      </c>
      <c r="W298" s="121">
        <v>0</v>
      </c>
      <c r="X298" s="121">
        <f>MouserListTable12[[#This Row],['#/Unit]]*FilterSpecs!$C$3+MouserListTable12[[#This Row],[Extra]]</f>
        <v>5</v>
      </c>
      <c r="Y298" s="121">
        <f>IF(MouserListTable12[[#This Row],[Tag]]=FilterSpecs!$F$7,MouserListTable12[[#This Row],[Price (USD)]],0)</f>
        <v>0</v>
      </c>
      <c r="Z298" s="121">
        <f>MouserListTable12[[#This Row],[Tot '#]]*MouserListTable12[[#This Row],[Price (USD)]]</f>
        <v>39.75</v>
      </c>
    </row>
    <row r="299" spans="1:26" s="146" customFormat="1" x14ac:dyDescent="0.3">
      <c r="A299" s="103" t="s">
        <v>896</v>
      </c>
      <c r="B299" s="103" t="s">
        <v>994</v>
      </c>
      <c r="C299" s="103" t="s">
        <v>8</v>
      </c>
      <c r="D299" s="106" t="str">
        <f>IF(MouserListTable12[[#This Row],[Vendor]]=FilterSpecs!$A$8,MouserListTable12[[#This Row],[Mouser SKU]], MouserListTable12[[#This Row],[SKU2]])</f>
        <v>DEV-13317</v>
      </c>
      <c r="E299" s="121">
        <f>MouserListTable12[[#This Row],[Tot '#]]-MouserListTable12[[#This Row],['# Initial]]</f>
        <v>0</v>
      </c>
      <c r="F299" s="121">
        <f>MouserListTable12[[#This Row],['#/Unit]]*FilterSpecs!$B$3+MouserListTable12[[#This Row],[Extra Initial]]</f>
        <v>10</v>
      </c>
      <c r="G299" s="103" t="s">
        <v>942</v>
      </c>
      <c r="H299" s="103" t="s">
        <v>943</v>
      </c>
      <c r="I299" s="103" t="s">
        <v>944</v>
      </c>
      <c r="J299" s="103">
        <v>1</v>
      </c>
      <c r="K299" s="171">
        <v>7.95</v>
      </c>
      <c r="L299" s="103" t="s">
        <v>1911</v>
      </c>
      <c r="M299" s="106"/>
      <c r="N299" s="171">
        <f>MouserListTable12[[#This Row],['# Initial]]*MouserListTable12[[#This Row],[Price (USD)]]</f>
        <v>79.5</v>
      </c>
      <c r="O299" s="106" t="s">
        <v>941</v>
      </c>
      <c r="P299" s="103">
        <f t="shared" si="6"/>
        <v>281</v>
      </c>
      <c r="Q299" s="103">
        <f>IF($D299=$O299,1,0)</f>
        <v>1</v>
      </c>
      <c r="R299" s="103" t="s">
        <v>8</v>
      </c>
      <c r="S299" s="103" t="str">
        <f>_xlfn.IFS(MouserListTable12[[#This Row],[Supplier]]=FilterSpecs!$A$6, FilterSpecs!$B$6,MouserListTable12[[#This Row],[Supplier]]=FilterSpecs!$A$7,FilterSpecs!$B$7,MouserListTable12[[#This Row],[Supplier]]=FilterSpecs!$A$8,FilterSpecs!$B$8,MouserListTable12[[#This Row],[Supplier]]=FilterSpecs!$A$9,FilterSpecs!$B$9)</f>
        <v>474-</v>
      </c>
      <c r="T29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474-DEV-13317</v>
      </c>
      <c r="U299" s="121">
        <v>2</v>
      </c>
      <c r="V299" s="121">
        <v>0</v>
      </c>
      <c r="W299" s="121">
        <v>0</v>
      </c>
      <c r="X299" s="121">
        <f>MouserListTable12[[#This Row],['#/Unit]]*FilterSpecs!$C$3+MouserListTable12[[#This Row],[Extra]]</f>
        <v>10</v>
      </c>
      <c r="Y299" s="121">
        <f>IF(MouserListTable12[[#This Row],[Tag]]=FilterSpecs!$F$7,MouserListTable12[[#This Row],[Price (USD)]],0)</f>
        <v>7.95</v>
      </c>
      <c r="Z299" s="121">
        <f>MouserListTable12[[#This Row],[Tot '#]]*MouserListTable12[[#This Row],[Price (USD)]]</f>
        <v>79.5</v>
      </c>
    </row>
    <row r="300" spans="1:26" s="146" customFormat="1" x14ac:dyDescent="0.3">
      <c r="A300" s="103" t="s">
        <v>896</v>
      </c>
      <c r="B300" s="103" t="s">
        <v>1301</v>
      </c>
      <c r="C300" s="103" t="s">
        <v>8</v>
      </c>
      <c r="D300" s="106" t="str">
        <f>IF(MouserListTable12[[#This Row],[Vendor]]=FilterSpecs!$A$8,MouserListTable12[[#This Row],[Mouser SKU]], MouserListTable12[[#This Row],[SKU2]])</f>
        <v>PRT-11366</v>
      </c>
      <c r="E300" s="121">
        <f>MouserListTable12[[#This Row],[Tot '#]]-MouserListTable12[[#This Row],['# Initial]]</f>
        <v>0</v>
      </c>
      <c r="F300" s="121">
        <f>MouserListTable12[[#This Row],['#/Unit]]*FilterSpecs!$B$3+MouserListTable12[[#This Row],[Extra Initial]]</f>
        <v>5</v>
      </c>
      <c r="G300" s="103" t="s">
        <v>640</v>
      </c>
      <c r="H300" s="103" t="s">
        <v>641</v>
      </c>
      <c r="I300" s="103" t="s">
        <v>642</v>
      </c>
      <c r="J300" s="103"/>
      <c r="K300" s="171">
        <v>8.9499999999999993</v>
      </c>
      <c r="L300" s="103" t="s">
        <v>1913</v>
      </c>
      <c r="M300" s="106"/>
      <c r="N300" s="171">
        <f>MouserListTable12[[#This Row],['# Initial]]*MouserListTable12[[#This Row],[Price (USD)]]</f>
        <v>44.75</v>
      </c>
      <c r="O300" s="106" t="s">
        <v>639</v>
      </c>
      <c r="P300" s="103">
        <f t="shared" si="6"/>
        <v>282</v>
      </c>
      <c r="Q300" s="103">
        <f>IF($D300=$O300,1,0)</f>
        <v>1</v>
      </c>
      <c r="R300" s="103" t="s">
        <v>8</v>
      </c>
      <c r="S300" s="103" t="str">
        <f>_xlfn.IFS(MouserListTable12[[#This Row],[Supplier]]=FilterSpecs!$A$6, FilterSpecs!$B$6,MouserListTable12[[#This Row],[Supplier]]=FilterSpecs!$A$7,FilterSpecs!$B$7,MouserListTable12[[#This Row],[Supplier]]=FilterSpecs!$A$8,FilterSpecs!$B$8,MouserListTable12[[#This Row],[Supplier]]=FilterSpecs!$A$9,FilterSpecs!$B$9)</f>
        <v>474-</v>
      </c>
      <c r="T30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474-PRT-11366</v>
      </c>
      <c r="U300" s="121">
        <v>1</v>
      </c>
      <c r="V300" s="121">
        <v>0</v>
      </c>
      <c r="W300" s="121">
        <v>0</v>
      </c>
      <c r="X300" s="121">
        <f>MouserListTable12[[#This Row],['#/Unit]]*FilterSpecs!$C$3+MouserListTable12[[#This Row],[Extra]]</f>
        <v>5</v>
      </c>
      <c r="Y300" s="121">
        <f>IF(MouserListTable12[[#This Row],[Tag]]=FilterSpecs!$F$7,MouserListTable12[[#This Row],[Price (USD)]],0)</f>
        <v>0</v>
      </c>
      <c r="Z300" s="121">
        <f>MouserListTable12[[#This Row],[Tot '#]]*MouserListTable12[[#This Row],[Price (USD)]]</f>
        <v>44.75</v>
      </c>
    </row>
    <row r="301" spans="1:26" s="146" customFormat="1" hidden="1" x14ac:dyDescent="0.3">
      <c r="A301" s="103" t="s">
        <v>896</v>
      </c>
      <c r="B301" s="103" t="s">
        <v>1301</v>
      </c>
      <c r="C301" s="103" t="s">
        <v>8</v>
      </c>
      <c r="D301" s="106" t="str">
        <f>IF(MouserListTable12[[#This Row],[Vendor]]=FilterSpecs!$A$8,MouserListTable12[[#This Row],[Mouser SKU]], MouserListTable12[[#This Row],[SKU2]])</f>
        <v>PRT-10088</v>
      </c>
      <c r="E301" s="121">
        <f>MouserListTable12[[#This Row],[Tot '#]]-MouserListTable12[[#This Row],['# Initial]]</f>
        <v>1</v>
      </c>
      <c r="F301" s="121">
        <f>MouserListTable12[[#This Row],['#/Unit]]*FilterSpecs!$B$3+MouserListTable12[[#This Row],[Extra Initial]]</f>
        <v>0</v>
      </c>
      <c r="G301" s="103" t="s">
        <v>660</v>
      </c>
      <c r="H301" s="103" t="s">
        <v>661</v>
      </c>
      <c r="I301" s="103" t="s">
        <v>662</v>
      </c>
      <c r="J301" s="103"/>
      <c r="K301" s="171">
        <v>11.95</v>
      </c>
      <c r="L301" s="103" t="s">
        <v>1911</v>
      </c>
      <c r="M301" s="106"/>
      <c r="N301" s="171">
        <f>MouserListTable12[[#This Row],['# Initial]]*MouserListTable12[[#This Row],[Price (USD)]]</f>
        <v>0</v>
      </c>
      <c r="O301" s="106" t="s">
        <v>659</v>
      </c>
      <c r="P301" s="103">
        <f t="shared" si="6"/>
        <v>283</v>
      </c>
      <c r="Q301" s="103">
        <f>IF($D301=$O301,1,0)</f>
        <v>1</v>
      </c>
      <c r="R301" s="103" t="s">
        <v>8</v>
      </c>
      <c r="S301" s="103" t="str">
        <f>_xlfn.IFS(MouserListTable12[[#This Row],[Supplier]]=FilterSpecs!$A$6, FilterSpecs!$B$6,MouserListTable12[[#This Row],[Supplier]]=FilterSpecs!$A$7,FilterSpecs!$B$7,MouserListTable12[[#This Row],[Supplier]]=FilterSpecs!$A$8,FilterSpecs!$B$8,MouserListTable12[[#This Row],[Supplier]]=FilterSpecs!$A$9,FilterSpecs!$B$9)</f>
        <v>474-</v>
      </c>
      <c r="T30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474-PRT-10088</v>
      </c>
      <c r="U301" s="121">
        <v>0</v>
      </c>
      <c r="V301" s="121">
        <v>1</v>
      </c>
      <c r="W301" s="121">
        <v>0</v>
      </c>
      <c r="X301" s="121">
        <f>MouserListTable12[[#This Row],['#/Unit]]*FilterSpecs!$C$3+MouserListTable12[[#This Row],[Extra]]</f>
        <v>1</v>
      </c>
      <c r="Y301" s="121">
        <f>IF(MouserListTable12[[#This Row],[Tag]]=FilterSpecs!$F$7,MouserListTable12[[#This Row],[Price (USD)]],0)</f>
        <v>11.95</v>
      </c>
      <c r="Z301" s="121">
        <f>MouserListTable12[[#This Row],[Tot '#]]*MouserListTable12[[#This Row],[Price (USD)]]</f>
        <v>11.95</v>
      </c>
    </row>
    <row r="302" spans="1:26" s="146" customFormat="1" hidden="1" x14ac:dyDescent="0.3">
      <c r="A302" s="103" t="s">
        <v>896</v>
      </c>
      <c r="B302" s="103" t="s">
        <v>1301</v>
      </c>
      <c r="C302" s="103" t="s">
        <v>8</v>
      </c>
      <c r="D302" s="106" t="str">
        <f>IF(MouserListTable12[[#This Row],[Vendor]]=FilterSpecs!$A$8,MouserListTable12[[#This Row],[Mouser SKU]], MouserListTable12[[#This Row],[SKU2]])</f>
        <v>DEV-11632</v>
      </c>
      <c r="E302" s="121">
        <f>MouserListTable12[[#This Row],[Tot '#]]-MouserListTable12[[#This Row],['# Initial]]</f>
        <v>1</v>
      </c>
      <c r="F302" s="121">
        <f>MouserListTable12[[#This Row],['#/Unit]]*FilterSpecs!$B$3+MouserListTable12[[#This Row],[Extra Initial]]</f>
        <v>0</v>
      </c>
      <c r="G302" s="103" t="s">
        <v>1105</v>
      </c>
      <c r="H302" s="103" t="s">
        <v>1106</v>
      </c>
      <c r="I302" s="103" t="s">
        <v>1107</v>
      </c>
      <c r="J302" s="103">
        <v>1</v>
      </c>
      <c r="K302" s="171">
        <v>0.1</v>
      </c>
      <c r="L302" s="103" t="s">
        <v>1910</v>
      </c>
      <c r="M302" s="106"/>
      <c r="N302" s="171">
        <f>MouserListTable12[[#This Row],['# Initial]]*MouserListTable12[[#This Row],[Price (USD)]]</f>
        <v>0</v>
      </c>
      <c r="O302" s="106" t="s">
        <v>1104</v>
      </c>
      <c r="P302" s="103">
        <f t="shared" si="6"/>
        <v>284</v>
      </c>
      <c r="Q302" s="103">
        <f>IF($D302=$O302,1,0)</f>
        <v>1</v>
      </c>
      <c r="R302" s="103" t="s">
        <v>8</v>
      </c>
      <c r="S302" s="103" t="str">
        <f>_xlfn.IFS(MouserListTable12[[#This Row],[Supplier]]=FilterSpecs!$A$6, FilterSpecs!$B$6,MouserListTable12[[#This Row],[Supplier]]=FilterSpecs!$A$7,FilterSpecs!$B$7,MouserListTable12[[#This Row],[Supplier]]=FilterSpecs!$A$8,FilterSpecs!$B$8,MouserListTable12[[#This Row],[Supplier]]=FilterSpecs!$A$9,FilterSpecs!$B$9)</f>
        <v>474-</v>
      </c>
      <c r="T30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474-DEV-11632</v>
      </c>
      <c r="U302" s="121">
        <v>0</v>
      </c>
      <c r="V302" s="121">
        <v>1</v>
      </c>
      <c r="W302" s="121">
        <v>0</v>
      </c>
      <c r="X302" s="121">
        <f>MouserListTable12[[#This Row],['#/Unit]]*FilterSpecs!$C$3+MouserListTable12[[#This Row],[Extra]]</f>
        <v>1</v>
      </c>
      <c r="Y302" s="121">
        <f>IF(MouserListTable12[[#This Row],[Tag]]=FilterSpecs!$F$7,MouserListTable12[[#This Row],[Price (USD)]],0)</f>
        <v>0</v>
      </c>
      <c r="Z302" s="121">
        <f>MouserListTable12[[#This Row],[Tot '#]]*MouserListTable12[[#This Row],[Price (USD)]]</f>
        <v>0.1</v>
      </c>
    </row>
    <row r="303" spans="1:26" s="146" customFormat="1" hidden="1" x14ac:dyDescent="0.3">
      <c r="A303" s="103" t="s">
        <v>896</v>
      </c>
      <c r="B303" s="106" t="s">
        <v>1301</v>
      </c>
      <c r="C303" s="106" t="s">
        <v>1898</v>
      </c>
      <c r="D303" s="106" t="str">
        <f>IF(MouserListTable12[[#This Row],[Vendor]]=FilterSpecs!$A$8,MouserListTable12[[#This Row],[Mouser SKU]], MouserListTable12[[#This Row],[SKU2]])</f>
        <v>2229</v>
      </c>
      <c r="E303" s="121">
        <f>MouserListTable12[[#This Row],[Tot '#]]-MouserListTable12[[#This Row],['# Initial]]</f>
        <v>0</v>
      </c>
      <c r="F303" s="121">
        <f>MouserListTable12[[#This Row],['#/Unit]]*FilterSpecs!$B$3+MouserListTable12[[#This Row],[Extra Initial]]</f>
        <v>0</v>
      </c>
      <c r="G303" s="103"/>
      <c r="H303" s="103"/>
      <c r="I303" s="126" t="s">
        <v>2092</v>
      </c>
      <c r="K303" s="172">
        <v>7.5</v>
      </c>
      <c r="L303" s="146" t="s">
        <v>1910</v>
      </c>
      <c r="N303" s="171">
        <f>MouserListTable12[[#This Row],['# Initial]]*MouserListTable12[[#This Row],[Price (USD)]]</f>
        <v>0</v>
      </c>
      <c r="O303" s="106" t="s">
        <v>2093</v>
      </c>
      <c r="P303" s="103">
        <f t="shared" si="6"/>
        <v>285</v>
      </c>
      <c r="Q303" s="103">
        <f>IF($D303=$O303,1,0)</f>
        <v>1</v>
      </c>
      <c r="R303" s="103" t="s">
        <v>1898</v>
      </c>
      <c r="S303" s="103" t="str">
        <f>_xlfn.IFS(MouserListTable12[[#This Row],[Supplier]]=FilterSpecs!$A$6, FilterSpecs!$B$6,MouserListTable12[[#This Row],[Supplier]]=FilterSpecs!$A$7,FilterSpecs!$B$7,MouserListTable12[[#This Row],[Supplier]]=FilterSpecs!$A$8,FilterSpecs!$B$8,MouserListTable12[[#This Row],[Supplier]]=FilterSpecs!$A$9,FilterSpecs!$B$9)</f>
        <v>485-</v>
      </c>
      <c r="T30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485-2229</v>
      </c>
      <c r="U303" s="121">
        <v>0</v>
      </c>
      <c r="V303" s="121">
        <v>0</v>
      </c>
      <c r="W303" s="121">
        <v>0</v>
      </c>
      <c r="X303" s="121">
        <f>MouserListTable12[[#This Row],['#/Unit]]*FilterSpecs!$C$3+MouserListTable12[[#This Row],[Extra]]</f>
        <v>0</v>
      </c>
      <c r="Y303" s="121">
        <f>IF(MouserListTable12[[#This Row],[Tag]]=FilterSpecs!$F$7,MouserListTable12[[#This Row],[Price (USD)]],0)</f>
        <v>0</v>
      </c>
      <c r="Z303" s="121">
        <f>MouserListTable12[[#This Row],[Tot '#]]*MouserListTable12[[#This Row],[Price (USD)]]</f>
        <v>0</v>
      </c>
    </row>
    <row r="304" spans="1:26" s="146" customFormat="1" hidden="1" x14ac:dyDescent="0.3">
      <c r="A304" s="103" t="s">
        <v>896</v>
      </c>
      <c r="B304" s="106" t="s">
        <v>1301</v>
      </c>
      <c r="C304" s="106" t="s">
        <v>1898</v>
      </c>
      <c r="D304" s="106" t="str">
        <f>IF(MouserListTable12[[#This Row],[Vendor]]=FilterSpecs!$A$8,MouserListTable12[[#This Row],[Mouser SKU]], MouserListTable12[[#This Row],[SKU2]])</f>
        <v>2230</v>
      </c>
      <c r="E304" s="121">
        <f>MouserListTable12[[#This Row],[Tot '#]]-MouserListTable12[[#This Row],['# Initial]]</f>
        <v>0</v>
      </c>
      <c r="F304" s="121">
        <f>MouserListTable12[[#This Row],['#/Unit]]*FilterSpecs!$B$3+MouserListTable12[[#This Row],[Extra Initial]]</f>
        <v>0</v>
      </c>
      <c r="G304" s="103"/>
      <c r="H304" s="103"/>
      <c r="I304" s="126" t="s">
        <v>2090</v>
      </c>
      <c r="K304" s="172">
        <v>5.95</v>
      </c>
      <c r="L304" s="146" t="s">
        <v>1910</v>
      </c>
      <c r="N304" s="171">
        <f>MouserListTable12[[#This Row],['# Initial]]*MouserListTable12[[#This Row],[Price (USD)]]</f>
        <v>0</v>
      </c>
      <c r="O304" s="106" t="s">
        <v>2091</v>
      </c>
      <c r="P304" s="103">
        <f t="shared" si="6"/>
        <v>286</v>
      </c>
      <c r="Q304" s="103">
        <f>IF($D304=$O304,1,0)</f>
        <v>1</v>
      </c>
      <c r="R304" s="103" t="s">
        <v>1898</v>
      </c>
      <c r="S304" s="103" t="str">
        <f>_xlfn.IFS(MouserListTable12[[#This Row],[Supplier]]=FilterSpecs!$A$6, FilterSpecs!$B$6,MouserListTable12[[#This Row],[Supplier]]=FilterSpecs!$A$7,FilterSpecs!$B$7,MouserListTable12[[#This Row],[Supplier]]=FilterSpecs!$A$8,FilterSpecs!$B$8,MouserListTable12[[#This Row],[Supplier]]=FilterSpecs!$A$9,FilterSpecs!$B$9)</f>
        <v>485-</v>
      </c>
      <c r="T30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485-2230</v>
      </c>
      <c r="U304" s="121">
        <v>0</v>
      </c>
      <c r="V304" s="121">
        <v>0</v>
      </c>
      <c r="W304" s="121">
        <v>0</v>
      </c>
      <c r="X304" s="121">
        <f>MouserListTable12[[#This Row],['#/Unit]]*FilterSpecs!$C$3+MouserListTable12[[#This Row],[Extra]]</f>
        <v>0</v>
      </c>
      <c r="Y304" s="121">
        <f>IF(MouserListTable12[[#This Row],[Tag]]=FilterSpecs!$F$7,MouserListTable12[[#This Row],[Price (USD)]],0)</f>
        <v>0</v>
      </c>
      <c r="Z304" s="121">
        <f>MouserListTable12[[#This Row],[Tot '#]]*MouserListTable12[[#This Row],[Price (USD)]]</f>
        <v>0</v>
      </c>
    </row>
    <row r="305" spans="1:26" s="146" customFormat="1" x14ac:dyDescent="0.3">
      <c r="A305" s="103" t="s">
        <v>896</v>
      </c>
      <c r="B305" s="103" t="s">
        <v>890</v>
      </c>
      <c r="C305" s="103" t="s">
        <v>8</v>
      </c>
      <c r="D305" s="106" t="str">
        <f>IF(MouserListTable12[[#This Row],[Vendor]]=FilterSpecs!$A$8,MouserListTable12[[#This Row],[Mouser SKU]], MouserListTable12[[#This Row],[SKU2]])</f>
        <v>COM-10594</v>
      </c>
      <c r="E305" s="121">
        <f>MouserListTable12[[#This Row],[Tot '#]]-MouserListTable12[[#This Row],['# Initial]]</f>
        <v>0</v>
      </c>
      <c r="F305" s="121">
        <f>MouserListTable12[[#This Row],['#/Unit]]*FilterSpecs!$B$3+MouserListTable12[[#This Row],[Extra Initial]]</f>
        <v>5</v>
      </c>
      <c r="G305" s="103" t="s">
        <v>648</v>
      </c>
      <c r="H305" s="103" t="s">
        <v>649</v>
      </c>
      <c r="I305" s="103" t="s">
        <v>650</v>
      </c>
      <c r="J305" s="103">
        <v>1</v>
      </c>
      <c r="K305" s="171">
        <v>0.95</v>
      </c>
      <c r="L305" s="103" t="s">
        <v>1911</v>
      </c>
      <c r="M305" s="106"/>
      <c r="N305" s="171">
        <f>MouserListTable12[[#This Row],['# Initial]]*MouserListTable12[[#This Row],[Price (USD)]]</f>
        <v>4.75</v>
      </c>
      <c r="O305" s="106" t="s">
        <v>647</v>
      </c>
      <c r="P305" s="103">
        <f t="shared" si="6"/>
        <v>287</v>
      </c>
      <c r="Q305" s="103">
        <f>IF($D305=$O305,1,0)</f>
        <v>1</v>
      </c>
      <c r="R305" s="103" t="s">
        <v>8</v>
      </c>
      <c r="S305" s="103" t="str">
        <f>_xlfn.IFS(MouserListTable12[[#This Row],[Supplier]]=FilterSpecs!$A$6, FilterSpecs!$B$6,MouserListTable12[[#This Row],[Supplier]]=FilterSpecs!$A$7,FilterSpecs!$B$7,MouserListTable12[[#This Row],[Supplier]]=FilterSpecs!$A$8,FilterSpecs!$B$8,MouserListTable12[[#This Row],[Supplier]]=FilterSpecs!$A$9,FilterSpecs!$B$9)</f>
        <v>474-</v>
      </c>
      <c r="T30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474-COM-10594</v>
      </c>
      <c r="U305" s="121">
        <v>1</v>
      </c>
      <c r="V305" s="121">
        <v>0</v>
      </c>
      <c r="W305" s="121">
        <v>0</v>
      </c>
      <c r="X305" s="121">
        <f>MouserListTable12[[#This Row],['#/Unit]]*FilterSpecs!$C$3+MouserListTable12[[#This Row],[Extra]]</f>
        <v>5</v>
      </c>
      <c r="Y305" s="121">
        <f>IF(MouserListTable12[[#This Row],[Tag]]=FilterSpecs!$F$7,MouserListTable12[[#This Row],[Price (USD)]],0)</f>
        <v>0.95</v>
      </c>
      <c r="Z305" s="121">
        <f>MouserListTable12[[#This Row],[Tot '#]]*MouserListTable12[[#This Row],[Price (USD)]]</f>
        <v>4.75</v>
      </c>
    </row>
    <row r="306" spans="1:26" s="146" customFormat="1" x14ac:dyDescent="0.3">
      <c r="A306" s="103" t="s">
        <v>896</v>
      </c>
      <c r="B306" s="103" t="s">
        <v>890</v>
      </c>
      <c r="C306" s="103" t="s">
        <v>8</v>
      </c>
      <c r="D306" s="106" t="str">
        <f>IF(MouserListTable12[[#This Row],[Vendor]]=FilterSpecs!$A$8,MouserListTable12[[#This Row],[Mouser SKU]], MouserListTable12[[#This Row],[SKU2]])</f>
        <v>PRT-10230</v>
      </c>
      <c r="E306" s="121">
        <f>MouserListTable12[[#This Row],[Tot '#]]-MouserListTable12[[#This Row],['# Initial]]</f>
        <v>0</v>
      </c>
      <c r="F306" s="121">
        <f>MouserListTable12[[#This Row],['#/Unit]]*FilterSpecs!$B$3+MouserListTable12[[#This Row],[Extra Initial]]</f>
        <v>5</v>
      </c>
      <c r="G306" s="103" t="s">
        <v>656</v>
      </c>
      <c r="H306" s="103" t="s">
        <v>657</v>
      </c>
      <c r="I306" s="103" t="s">
        <v>658</v>
      </c>
      <c r="J306" s="103">
        <v>1</v>
      </c>
      <c r="K306" s="171">
        <v>0.95</v>
      </c>
      <c r="L306" s="103" t="s">
        <v>1911</v>
      </c>
      <c r="M306" s="106"/>
      <c r="N306" s="171">
        <f>MouserListTable12[[#This Row],['# Initial]]*MouserListTable12[[#This Row],[Price (USD)]]</f>
        <v>4.75</v>
      </c>
      <c r="O306" s="106" t="s">
        <v>655</v>
      </c>
      <c r="P306" s="103">
        <f t="shared" si="6"/>
        <v>288</v>
      </c>
      <c r="Q306" s="103">
        <f>IF($D306=$O306,1,0)</f>
        <v>1</v>
      </c>
      <c r="R306" s="103" t="s">
        <v>8</v>
      </c>
      <c r="S306" s="103" t="str">
        <f>_xlfn.IFS(MouserListTable12[[#This Row],[Supplier]]=FilterSpecs!$A$6, FilterSpecs!$B$6,MouserListTable12[[#This Row],[Supplier]]=FilterSpecs!$A$7,FilterSpecs!$B$7,MouserListTable12[[#This Row],[Supplier]]=FilterSpecs!$A$8,FilterSpecs!$B$8,MouserListTable12[[#This Row],[Supplier]]=FilterSpecs!$A$9,FilterSpecs!$B$9)</f>
        <v>474-</v>
      </c>
      <c r="T30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474-PRT-10230</v>
      </c>
      <c r="U306" s="121">
        <v>1</v>
      </c>
      <c r="V306" s="121">
        <v>0</v>
      </c>
      <c r="W306" s="121">
        <v>0</v>
      </c>
      <c r="X306" s="121">
        <f>MouserListTable12[[#This Row],['#/Unit]]*FilterSpecs!$C$3+MouserListTable12[[#This Row],[Extra]]</f>
        <v>5</v>
      </c>
      <c r="Y306" s="121">
        <f>IF(MouserListTable12[[#This Row],[Tag]]=FilterSpecs!$F$7,MouserListTable12[[#This Row],[Price (USD)]],0)</f>
        <v>0.95</v>
      </c>
      <c r="Z306" s="121">
        <f>MouserListTable12[[#This Row],[Tot '#]]*MouserListTable12[[#This Row],[Price (USD)]]</f>
        <v>4.75</v>
      </c>
    </row>
    <row r="307" spans="1:26" s="146" customFormat="1" hidden="1" x14ac:dyDescent="0.3">
      <c r="A307" s="103" t="s">
        <v>896</v>
      </c>
      <c r="B307" s="103" t="s">
        <v>890</v>
      </c>
      <c r="C307" s="103" t="s">
        <v>1898</v>
      </c>
      <c r="D307" s="106" t="str">
        <f>IF(MouserListTable12[[#This Row],[Vendor]]=FilterSpecs!$A$8,MouserListTable12[[#This Row],[Mouser SKU]], MouserListTable12[[#This Row],[SKU2]])</f>
        <v>550</v>
      </c>
      <c r="E307" s="121">
        <f>MouserListTable12[[#This Row],[Tot '#]]-MouserListTable12[[#This Row],['# Initial]]</f>
        <v>0</v>
      </c>
      <c r="F307" s="121">
        <f>MouserListTable12[[#This Row],['#/Unit]]*FilterSpecs!$B$3+MouserListTable12[[#This Row],[Extra Initial]]</f>
        <v>0</v>
      </c>
      <c r="G307" s="103"/>
      <c r="H307" s="103"/>
      <c r="I307" s="126" t="s">
        <v>2117</v>
      </c>
      <c r="K307" s="172">
        <v>0.95</v>
      </c>
      <c r="L307" s="126" t="s">
        <v>1910</v>
      </c>
      <c r="N307" s="171">
        <f>MouserListTable12[[#This Row],['# Initial]]*MouserListTable12[[#This Row],[Price (USD)]]</f>
        <v>0</v>
      </c>
      <c r="O307" s="106" t="s">
        <v>2116</v>
      </c>
      <c r="P307" s="103">
        <f t="shared" si="6"/>
        <v>289</v>
      </c>
      <c r="Q307" s="103">
        <f>IF($D307=$O307,1,0)</f>
        <v>1</v>
      </c>
      <c r="R307" s="103" t="s">
        <v>1898</v>
      </c>
      <c r="S307" s="103" t="str">
        <f>_xlfn.IFS(MouserListTable12[[#This Row],[Supplier]]=FilterSpecs!$A$6, FilterSpecs!$B$6,MouserListTable12[[#This Row],[Supplier]]=FilterSpecs!$A$7,FilterSpecs!$B$7,MouserListTable12[[#This Row],[Supplier]]=FilterSpecs!$A$8,FilterSpecs!$B$8,MouserListTable12[[#This Row],[Supplier]]=FilterSpecs!$A$9,FilterSpecs!$B$9)</f>
        <v>485-</v>
      </c>
      <c r="T30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485-550</v>
      </c>
      <c r="U307" s="121">
        <v>0</v>
      </c>
      <c r="V307" s="121">
        <v>0</v>
      </c>
      <c r="W307" s="121">
        <v>0</v>
      </c>
      <c r="X307" s="121">
        <f>MouserListTable12[[#This Row],['#/Unit]]*FilterSpecs!$C$3+MouserListTable12[[#This Row],[Extra]]</f>
        <v>0</v>
      </c>
      <c r="Y307" s="121">
        <f>IF(MouserListTable12[[#This Row],[Tag]]=FilterSpecs!$F$7,MouserListTable12[[#This Row],[Price (USD)]],0)</f>
        <v>0</v>
      </c>
      <c r="Z307" s="121">
        <f>MouserListTable12[[#This Row],[Tot '#]]*MouserListTable12[[#This Row],[Price (USD)]]</f>
        <v>0</v>
      </c>
    </row>
    <row r="308" spans="1:26" s="146" customFormat="1" hidden="1" x14ac:dyDescent="0.3">
      <c r="A308" s="103" t="s">
        <v>896</v>
      </c>
      <c r="B308" s="103" t="s">
        <v>890</v>
      </c>
      <c r="C308" s="103" t="s">
        <v>8</v>
      </c>
      <c r="D308" s="106" t="str">
        <f>IF(MouserListTable12[[#This Row],[Vendor]]=FilterSpecs!$A$8,MouserListTable12[[#This Row],[Mouser SKU]], MouserListTable12[[#This Row],[SKU2]])</f>
        <v>PRT-09353</v>
      </c>
      <c r="E308" s="121">
        <f>MouserListTable12[[#This Row],[Tot '#]]-MouserListTable12[[#This Row],['# Initial]]</f>
        <v>2</v>
      </c>
      <c r="F308" s="121">
        <f>MouserListTable12[[#This Row],['#/Unit]]*FilterSpecs!$B$3+MouserListTable12[[#This Row],[Extra Initial]]</f>
        <v>0</v>
      </c>
      <c r="G308" s="103" t="s">
        <v>1249</v>
      </c>
      <c r="H308" s="103" t="s">
        <v>1250</v>
      </c>
      <c r="I308" s="103" t="s">
        <v>1251</v>
      </c>
      <c r="J308" s="103">
        <v>1</v>
      </c>
      <c r="K308" s="171">
        <v>7.95</v>
      </c>
      <c r="L308" s="103" t="s">
        <v>1910</v>
      </c>
      <c r="M308" s="106"/>
      <c r="N308" s="171">
        <f>MouserListTable12[[#This Row],['# Initial]]*MouserListTable12[[#This Row],[Price (USD)]]</f>
        <v>0</v>
      </c>
      <c r="O308" s="106" t="s">
        <v>1248</v>
      </c>
      <c r="P308" s="103">
        <f t="shared" si="6"/>
        <v>290</v>
      </c>
      <c r="Q308" s="103">
        <f>IF($D308=$O308,1,0)</f>
        <v>1</v>
      </c>
      <c r="R308" s="103" t="s">
        <v>8</v>
      </c>
      <c r="S308" s="103" t="str">
        <f>_xlfn.IFS(MouserListTable12[[#This Row],[Supplier]]=FilterSpecs!$A$6, FilterSpecs!$B$6,MouserListTable12[[#This Row],[Supplier]]=FilterSpecs!$A$7,FilterSpecs!$B$7,MouserListTable12[[#This Row],[Supplier]]=FilterSpecs!$A$8,FilterSpecs!$B$8,MouserListTable12[[#This Row],[Supplier]]=FilterSpecs!$A$9,FilterSpecs!$B$9)</f>
        <v>474-</v>
      </c>
      <c r="T30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474-PRT-09353</v>
      </c>
      <c r="U308" s="121">
        <v>0</v>
      </c>
      <c r="V308" s="121">
        <v>2</v>
      </c>
      <c r="W308" s="121">
        <v>0</v>
      </c>
      <c r="X308" s="121">
        <f>MouserListTable12[[#This Row],['#/Unit]]*FilterSpecs!$C$3+MouserListTable12[[#This Row],[Extra]]</f>
        <v>2</v>
      </c>
      <c r="Y308" s="121">
        <f>IF(MouserListTable12[[#This Row],[Tag]]=FilterSpecs!$F$7,MouserListTable12[[#This Row],[Price (USD)]],0)</f>
        <v>0</v>
      </c>
      <c r="Z308" s="121">
        <f>MouserListTable12[[#This Row],[Tot '#]]*MouserListTable12[[#This Row],[Price (USD)]]</f>
        <v>15.9</v>
      </c>
    </row>
    <row r="309" spans="1:26" s="144" customFormat="1" hidden="1" x14ac:dyDescent="0.3">
      <c r="A309" s="128" t="s">
        <v>896</v>
      </c>
      <c r="B309" s="128" t="s">
        <v>890</v>
      </c>
      <c r="C309" s="128" t="s">
        <v>1898</v>
      </c>
      <c r="D309" s="106" t="str">
        <f>IF(MouserListTable12[[#This Row],[Vendor]]=FilterSpecs!$A$8,MouserListTable12[[#This Row],[Mouser SKU]], MouserListTable12[[#This Row],[SKU2]])</f>
        <v>344</v>
      </c>
      <c r="E309" s="121">
        <f>MouserListTable12[[#This Row],[Tot '#]]-MouserListTable12[[#This Row],['# Initial]]</f>
        <v>0</v>
      </c>
      <c r="F309" s="121">
        <f>MouserListTable12[[#This Row],['#/Unit]]*FilterSpecs!$B$3+MouserListTable12[[#This Row],[Extra Initial]]</f>
        <v>0</v>
      </c>
      <c r="G309" s="146"/>
      <c r="H309" s="146"/>
      <c r="I309" s="128" t="s">
        <v>2478</v>
      </c>
      <c r="J309" s="155">
        <v>115</v>
      </c>
      <c r="K309" s="173">
        <v>4.95</v>
      </c>
      <c r="L309" s="126" t="s">
        <v>1910</v>
      </c>
      <c r="M309" s="146"/>
      <c r="N309" s="171">
        <f>MouserListTable12[[#This Row],['# Initial]]*MouserListTable12[[#This Row],[Price (USD)]]</f>
        <v>0</v>
      </c>
      <c r="O309" s="155" t="s">
        <v>2479</v>
      </c>
      <c r="P309" s="103">
        <f t="shared" si="6"/>
        <v>291</v>
      </c>
      <c r="Q309" s="103">
        <f>IF($D309=$O309,1,0)</f>
        <v>1</v>
      </c>
      <c r="R309" s="103" t="s">
        <v>1898</v>
      </c>
      <c r="S309" s="103" t="str">
        <f>_xlfn.IFS(MouserListTable12[[#This Row],[Supplier]]=FilterSpecs!$A$6, FilterSpecs!$B$6,MouserListTable12[[#This Row],[Supplier]]=FilterSpecs!$A$7,FilterSpecs!$B$7,MouserListTable12[[#This Row],[Supplier]]=FilterSpecs!$A$8,FilterSpecs!$B$8,MouserListTable12[[#This Row],[Supplier]]=FilterSpecs!$A$9,FilterSpecs!$B$9)</f>
        <v>485-</v>
      </c>
      <c r="T30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485-344</v>
      </c>
      <c r="U309" s="121">
        <v>0</v>
      </c>
      <c r="V309" s="121">
        <v>0</v>
      </c>
      <c r="W309" s="121">
        <v>0</v>
      </c>
      <c r="X309" s="121">
        <f>MouserListTable12[[#This Row],['#/Unit]]*FilterSpecs!$C$3+MouserListTable12[[#This Row],[Extra]]</f>
        <v>0</v>
      </c>
      <c r="Y309" s="121">
        <f>IF(MouserListTable12[[#This Row],[Tag]]=FilterSpecs!$F$7,MouserListTable12[[#This Row],[Price (USD)]],0)</f>
        <v>0</v>
      </c>
      <c r="Z309" s="121">
        <f>MouserListTable12[[#This Row],[Tot '#]]*MouserListTable12[[#This Row],[Price (USD)]]</f>
        <v>0</v>
      </c>
    </row>
    <row r="310" spans="1:26" s="144" customFormat="1" hidden="1" x14ac:dyDescent="0.3">
      <c r="A310" s="103" t="s">
        <v>896</v>
      </c>
      <c r="B310" s="103" t="s">
        <v>2026</v>
      </c>
      <c r="C310" s="103" t="s">
        <v>8</v>
      </c>
      <c r="D310" s="106" t="str">
        <f>IF(MouserListTable12[[#This Row],[Vendor]]=FilterSpecs!$A$8,MouserListTable12[[#This Row],[Mouser SKU]], MouserListTable12[[#This Row],[SKU2]])</f>
        <v>TOL-10951</v>
      </c>
      <c r="E310" s="121">
        <f>MouserListTable12[[#This Row],[Tot '#]]-MouserListTable12[[#This Row],['# Initial]]</f>
        <v>1</v>
      </c>
      <c r="F310" s="121">
        <f>MouserListTable12[[#This Row],['#/Unit]]*FilterSpecs!$B$3+MouserListTable12[[#This Row],[Extra Initial]]</f>
        <v>0</v>
      </c>
      <c r="G310" s="103" t="s">
        <v>1257</v>
      </c>
      <c r="H310" s="103" t="s">
        <v>1258</v>
      </c>
      <c r="I310" s="103" t="s">
        <v>1259</v>
      </c>
      <c r="J310" s="103"/>
      <c r="K310" s="171">
        <v>34.950000000000003</v>
      </c>
      <c r="L310" s="103" t="s">
        <v>1913</v>
      </c>
      <c r="M310" s="106"/>
      <c r="N310" s="171">
        <f>MouserListTable12[[#This Row],['# Initial]]*MouserListTable12[[#This Row],[Price (USD)]]</f>
        <v>0</v>
      </c>
      <c r="O310" s="106" t="s">
        <v>1256</v>
      </c>
      <c r="P310" s="103">
        <f t="shared" si="6"/>
        <v>292</v>
      </c>
      <c r="Q310" s="103">
        <f>IF($D310=$O310,1,0)</f>
        <v>1</v>
      </c>
      <c r="R310" s="103" t="s">
        <v>8</v>
      </c>
      <c r="S310" s="103" t="str">
        <f>_xlfn.IFS(MouserListTable12[[#This Row],[Supplier]]=FilterSpecs!$A$6, FilterSpecs!$B$6,MouserListTable12[[#This Row],[Supplier]]=FilterSpecs!$A$7,FilterSpecs!$B$7,MouserListTable12[[#This Row],[Supplier]]=FilterSpecs!$A$8,FilterSpecs!$B$8,MouserListTable12[[#This Row],[Supplier]]=FilterSpecs!$A$9,FilterSpecs!$B$9)</f>
        <v>474-</v>
      </c>
      <c r="T31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474-TOL-10951</v>
      </c>
      <c r="U310" s="121">
        <v>0</v>
      </c>
      <c r="V310" s="121">
        <v>1</v>
      </c>
      <c r="W310" s="121">
        <v>0</v>
      </c>
      <c r="X310" s="121">
        <f>MouserListTable12[[#This Row],['#/Unit]]*FilterSpecs!$C$3+MouserListTable12[[#This Row],[Extra]]</f>
        <v>1</v>
      </c>
      <c r="Y310" s="121">
        <f>IF(MouserListTable12[[#This Row],[Tag]]=FilterSpecs!$F$7,MouserListTable12[[#This Row],[Price (USD)]],0)</f>
        <v>0</v>
      </c>
      <c r="Z310" s="121">
        <f>MouserListTable12[[#This Row],[Tot '#]]*MouserListTable12[[#This Row],[Price (USD)]]</f>
        <v>34.950000000000003</v>
      </c>
    </row>
    <row r="311" spans="1:26" s="144" customFormat="1" x14ac:dyDescent="0.3">
      <c r="A311" s="126" t="s">
        <v>896</v>
      </c>
      <c r="B311" s="126" t="s">
        <v>2026</v>
      </c>
      <c r="C311" s="126" t="s">
        <v>8</v>
      </c>
      <c r="D311" s="106" t="str">
        <f>IF(MouserListTable12[[#This Row],[Vendor]]=FilterSpecs!$A$8,MouserListTable12[[#This Row],[Mouser SKU]], MouserListTable12[[#This Row],[SKU2]])</f>
        <v>TOL-10950</v>
      </c>
      <c r="E311" s="121">
        <f>MouserListTable12[[#This Row],[Tot '#]]-MouserListTable12[[#This Row],['# Initial]]</f>
        <v>0</v>
      </c>
      <c r="F311" s="121">
        <f>MouserListTable12[[#This Row],['#/Unit]]*FilterSpecs!$B$3+MouserListTable12[[#This Row],[Extra Initial]]</f>
        <v>1</v>
      </c>
      <c r="G311" s="103" t="s">
        <v>1261</v>
      </c>
      <c r="H311" s="103" t="s">
        <v>1262</v>
      </c>
      <c r="I311" s="103" t="s">
        <v>1263</v>
      </c>
      <c r="J311" s="103">
        <v>1</v>
      </c>
      <c r="K311" s="171">
        <v>9.9499999999999993</v>
      </c>
      <c r="L311" s="103" t="s">
        <v>1910</v>
      </c>
      <c r="M311" s="146"/>
      <c r="N311" s="171">
        <f>MouserListTable12[[#This Row],['# Initial]]*MouserListTable12[[#This Row],[Price (USD)]]</f>
        <v>9.9499999999999993</v>
      </c>
      <c r="O311" s="106" t="s">
        <v>1260</v>
      </c>
      <c r="P311" s="103">
        <f t="shared" si="6"/>
        <v>293</v>
      </c>
      <c r="Q311" s="103">
        <f>IF($D311=$O311,1,0)</f>
        <v>1</v>
      </c>
      <c r="R311" s="103" t="s">
        <v>8</v>
      </c>
      <c r="S311" s="103" t="str">
        <f>_xlfn.IFS(MouserListTable12[[#This Row],[Supplier]]=FilterSpecs!$A$6, FilterSpecs!$B$6,MouserListTable12[[#This Row],[Supplier]]=FilterSpecs!$A$7,FilterSpecs!$B$7,MouserListTable12[[#This Row],[Supplier]]=FilterSpecs!$A$8,FilterSpecs!$B$8,MouserListTable12[[#This Row],[Supplier]]=FilterSpecs!$A$9,FilterSpecs!$B$9)</f>
        <v>474-</v>
      </c>
      <c r="T31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474-TOL-10950</v>
      </c>
      <c r="U311" s="121">
        <v>0</v>
      </c>
      <c r="V311" s="121">
        <v>1</v>
      </c>
      <c r="W311" s="121">
        <v>1</v>
      </c>
      <c r="X311" s="121">
        <f>MouserListTable12[[#This Row],['#/Unit]]*FilterSpecs!$C$3+MouserListTable12[[#This Row],[Extra]]</f>
        <v>1</v>
      </c>
      <c r="Y311" s="121">
        <f>IF(MouserListTable12[[#This Row],[Tag]]=FilterSpecs!$F$7,MouserListTable12[[#This Row],[Price (USD)]],0)</f>
        <v>0</v>
      </c>
      <c r="Z311" s="121">
        <f>MouserListTable12[[#This Row],[Tot '#]]*MouserListTable12[[#This Row],[Price (USD)]]</f>
        <v>9.9499999999999993</v>
      </c>
    </row>
    <row r="312" spans="1:26" s="144" customFormat="1" x14ac:dyDescent="0.3">
      <c r="A312" s="103" t="s">
        <v>896</v>
      </c>
      <c r="B312" s="103" t="s">
        <v>2026</v>
      </c>
      <c r="C312" s="103" t="s">
        <v>1898</v>
      </c>
      <c r="D312" s="106" t="str">
        <f>IF(MouserListTable12[[#This Row],[Vendor]]=FilterSpecs!$A$8,MouserListTable12[[#This Row],[Mouser SKU]], MouserListTable12[[#This Row],[SKU2]])</f>
        <v>2504</v>
      </c>
      <c r="E312" s="121">
        <f>MouserListTable12[[#This Row],[Tot '#]]-MouserListTable12[[#This Row],['# Initial]]</f>
        <v>0</v>
      </c>
      <c r="F312" s="121">
        <f>MouserListTable12[[#This Row],['#/Unit]]*FilterSpecs!$B$3+MouserListTable12[[#This Row],[Extra Initial]]</f>
        <v>3</v>
      </c>
      <c r="G312" s="103"/>
      <c r="H312" s="103"/>
      <c r="I312" s="103" t="s">
        <v>2121</v>
      </c>
      <c r="J312" s="146"/>
      <c r="K312" s="171">
        <v>4.95</v>
      </c>
      <c r="L312" s="103" t="s">
        <v>1910</v>
      </c>
      <c r="M312" s="106"/>
      <c r="N312" s="171">
        <f>MouserListTable12[[#This Row],['# Initial]]*MouserListTable12[[#This Row],[Price (USD)]]</f>
        <v>14.850000000000001</v>
      </c>
      <c r="O312" s="106" t="s">
        <v>2120</v>
      </c>
      <c r="P312" s="103">
        <f t="shared" si="6"/>
        <v>294</v>
      </c>
      <c r="Q312" s="103">
        <f>IF($D312=$O312,1,0)</f>
        <v>1</v>
      </c>
      <c r="R312" s="103" t="s">
        <v>1898</v>
      </c>
      <c r="S312" s="103" t="str">
        <f>_xlfn.IFS(MouserListTable12[[#This Row],[Supplier]]=FilterSpecs!$A$6, FilterSpecs!$B$6,MouserListTable12[[#This Row],[Supplier]]=FilterSpecs!$A$7,FilterSpecs!$B$7,MouserListTable12[[#This Row],[Supplier]]=FilterSpecs!$A$8,FilterSpecs!$B$8,MouserListTable12[[#This Row],[Supplier]]=FilterSpecs!$A$9,FilterSpecs!$B$9)</f>
        <v>485-</v>
      </c>
      <c r="T31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485-2504</v>
      </c>
      <c r="U312" s="121">
        <v>0</v>
      </c>
      <c r="V312" s="121">
        <v>3</v>
      </c>
      <c r="W312" s="121">
        <v>3</v>
      </c>
      <c r="X312" s="121">
        <f>MouserListTable12[[#This Row],['#/Unit]]*FilterSpecs!$C$3+MouserListTable12[[#This Row],[Extra]]</f>
        <v>3</v>
      </c>
      <c r="Y312" s="121">
        <f>IF(MouserListTable12[[#This Row],[Tag]]=FilterSpecs!$F$7,MouserListTable12[[#This Row],[Price (USD)]],0)</f>
        <v>0</v>
      </c>
      <c r="Z312" s="121">
        <f>MouserListTable12[[#This Row],[Tot '#]]*MouserListTable12[[#This Row],[Price (USD)]]</f>
        <v>14.850000000000001</v>
      </c>
    </row>
    <row r="313" spans="1:26" s="144" customFormat="1" x14ac:dyDescent="0.3">
      <c r="A313" s="103" t="s">
        <v>896</v>
      </c>
      <c r="B313" s="103" t="s">
        <v>2026</v>
      </c>
      <c r="C313" s="103" t="s">
        <v>1898</v>
      </c>
      <c r="D313" s="106" t="str">
        <f>IF(MouserListTable12[[#This Row],[Vendor]]=FilterSpecs!$A$8,MouserListTable12[[#This Row],[Mouser SKU]], MouserListTable12[[#This Row],[SKU2]])</f>
        <v>437</v>
      </c>
      <c r="E313" s="121">
        <f>MouserListTable12[[#This Row],[Tot '#]]-MouserListTable12[[#This Row],['# Initial]]</f>
        <v>0</v>
      </c>
      <c r="F313" s="121">
        <f>MouserListTable12[[#This Row],['#/Unit]]*FilterSpecs!$B$3+MouserListTable12[[#This Row],[Extra Initial]]</f>
        <v>1</v>
      </c>
      <c r="G313" s="103"/>
      <c r="H313" s="103"/>
      <c r="I313" s="103" t="s">
        <v>2123</v>
      </c>
      <c r="J313" s="146"/>
      <c r="K313" s="171">
        <v>17.95</v>
      </c>
      <c r="L313" s="103" t="s">
        <v>1910</v>
      </c>
      <c r="M313" s="106"/>
      <c r="N313" s="171">
        <f>MouserListTable12[[#This Row],['# Initial]]*MouserListTable12[[#This Row],[Price (USD)]]</f>
        <v>17.95</v>
      </c>
      <c r="O313" s="106" t="s">
        <v>2122</v>
      </c>
      <c r="P313" s="103">
        <f t="shared" si="6"/>
        <v>295</v>
      </c>
      <c r="Q313" s="103">
        <f>IF($D313=$O313,1,0)</f>
        <v>1</v>
      </c>
      <c r="R313" s="103" t="s">
        <v>1898</v>
      </c>
      <c r="S313" s="103" t="str">
        <f>_xlfn.IFS(MouserListTable12[[#This Row],[Supplier]]=FilterSpecs!$A$6, FilterSpecs!$B$6,MouserListTable12[[#This Row],[Supplier]]=FilterSpecs!$A$7,FilterSpecs!$B$7,MouserListTable12[[#This Row],[Supplier]]=FilterSpecs!$A$8,FilterSpecs!$B$8,MouserListTable12[[#This Row],[Supplier]]=FilterSpecs!$A$9,FilterSpecs!$B$9)</f>
        <v>485-</v>
      </c>
      <c r="T31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485-437</v>
      </c>
      <c r="U313" s="121">
        <v>0</v>
      </c>
      <c r="V313" s="121">
        <v>1</v>
      </c>
      <c r="W313" s="121">
        <v>1</v>
      </c>
      <c r="X313" s="121">
        <f>MouserListTable12[[#This Row],['#/Unit]]*FilterSpecs!$C$3+MouserListTable12[[#This Row],[Extra]]</f>
        <v>1</v>
      </c>
      <c r="Y313" s="121">
        <f>IF(MouserListTable12[[#This Row],[Tag]]=FilterSpecs!$F$7,MouserListTable12[[#This Row],[Price (USD)]],0)</f>
        <v>0</v>
      </c>
      <c r="Z313" s="121">
        <f>MouserListTable12[[#This Row],[Tot '#]]*MouserListTable12[[#This Row],[Price (USD)]]</f>
        <v>17.95</v>
      </c>
    </row>
    <row r="314" spans="1:26" s="144" customFormat="1" x14ac:dyDescent="0.3">
      <c r="A314" s="103" t="s">
        <v>896</v>
      </c>
      <c r="B314" s="103" t="s">
        <v>1302</v>
      </c>
      <c r="C314" s="103" t="s">
        <v>8</v>
      </c>
      <c r="D314" s="106" t="str">
        <f>IF(MouserListTable12[[#This Row],[Vendor]]=FilterSpecs!$A$8,MouserListTable12[[#This Row],[Mouser SKU]], MouserListTable12[[#This Row],[SKU2]])</f>
        <v>PRT-11510</v>
      </c>
      <c r="E314" s="121">
        <f>MouserListTable12[[#This Row],[Tot '#]]-MouserListTable12[[#This Row],['# Initial]]</f>
        <v>0</v>
      </c>
      <c r="F314" s="121">
        <f>MouserListTable12[[#This Row],['#/Unit]]*FilterSpecs!$B$3+MouserListTable12[[#This Row],[Extra Initial]]</f>
        <v>3</v>
      </c>
      <c r="G314" s="103" t="s">
        <v>1089</v>
      </c>
      <c r="H314" s="103" t="s">
        <v>1090</v>
      </c>
      <c r="I314" s="103" t="s">
        <v>1091</v>
      </c>
      <c r="J314" s="103">
        <v>1</v>
      </c>
      <c r="K314" s="171">
        <v>1.95</v>
      </c>
      <c r="L314" s="103" t="s">
        <v>1910</v>
      </c>
      <c r="M314" s="103" t="s">
        <v>1210</v>
      </c>
      <c r="N314" s="171">
        <f>MouserListTable12[[#This Row],['# Initial]]*MouserListTable12[[#This Row],[Price (USD)]]</f>
        <v>5.85</v>
      </c>
      <c r="O314" s="106" t="s">
        <v>1088</v>
      </c>
      <c r="P314" s="103">
        <f t="shared" si="6"/>
        <v>296</v>
      </c>
      <c r="Q314" s="103">
        <f>IF($D314=$O314,1,0)</f>
        <v>1</v>
      </c>
      <c r="R314" s="103" t="s">
        <v>8</v>
      </c>
      <c r="S314" s="103" t="str">
        <f>_xlfn.IFS(MouserListTable12[[#This Row],[Supplier]]=FilterSpecs!$A$6, FilterSpecs!$B$6,MouserListTable12[[#This Row],[Supplier]]=FilterSpecs!$A$7,FilterSpecs!$B$7,MouserListTable12[[#This Row],[Supplier]]=FilterSpecs!$A$8,FilterSpecs!$B$8,MouserListTable12[[#This Row],[Supplier]]=FilterSpecs!$A$9,FilterSpecs!$B$9)</f>
        <v>474-</v>
      </c>
      <c r="T31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474-PRT-11510</v>
      </c>
      <c r="U314" s="121">
        <v>0</v>
      </c>
      <c r="V314" s="121">
        <v>3</v>
      </c>
      <c r="W314" s="121">
        <v>3</v>
      </c>
      <c r="X314" s="121">
        <f>MouserListTable12[[#This Row],['#/Unit]]*FilterSpecs!$C$3+MouserListTable12[[#This Row],[Extra]]</f>
        <v>3</v>
      </c>
      <c r="Y314" s="121">
        <f>IF(MouserListTable12[[#This Row],[Tag]]=FilterSpecs!$F$7,MouserListTable12[[#This Row],[Price (USD)]],0)</f>
        <v>0</v>
      </c>
      <c r="Z314" s="121">
        <f>MouserListTable12[[#This Row],[Tot '#]]*MouserListTable12[[#This Row],[Price (USD)]]</f>
        <v>5.85</v>
      </c>
    </row>
    <row r="315" spans="1:26" s="144" customFormat="1" x14ac:dyDescent="0.3">
      <c r="A315" s="103" t="s">
        <v>896</v>
      </c>
      <c r="B315" s="103" t="s">
        <v>1302</v>
      </c>
      <c r="C315" s="103" t="s">
        <v>8</v>
      </c>
      <c r="D315" s="106" t="str">
        <f>IF(MouserListTable12[[#This Row],[Vendor]]=FilterSpecs!$A$8,MouserListTable12[[#This Row],[Mouser SKU]], MouserListTable12[[#This Row],[SKU2]])</f>
        <v>PRT-14340</v>
      </c>
      <c r="E315" s="121">
        <f>MouserListTable12[[#This Row],[Tot '#]]-MouserListTable12[[#This Row],['# Initial]]</f>
        <v>0</v>
      </c>
      <c r="F315" s="121">
        <f>MouserListTable12[[#This Row],['#/Unit]]*FilterSpecs!$B$3+MouserListTable12[[#This Row],[Extra Initial]]</f>
        <v>3</v>
      </c>
      <c r="G315" s="103" t="s">
        <v>1269</v>
      </c>
      <c r="H315" s="103" t="s">
        <v>1270</v>
      </c>
      <c r="I315" s="103" t="s">
        <v>1271</v>
      </c>
      <c r="J315" s="103"/>
      <c r="K315" s="171">
        <v>1.5</v>
      </c>
      <c r="L315" s="103" t="s">
        <v>1910</v>
      </c>
      <c r="M315" s="106"/>
      <c r="N315" s="171">
        <f>MouserListTable12[[#This Row],['# Initial]]*MouserListTable12[[#This Row],[Price (USD)]]</f>
        <v>4.5</v>
      </c>
      <c r="O315" s="106" t="s">
        <v>1268</v>
      </c>
      <c r="P315" s="103">
        <f t="shared" si="6"/>
        <v>297</v>
      </c>
      <c r="Q315" s="103">
        <f>IF($D315=$O315,1,0)</f>
        <v>1</v>
      </c>
      <c r="R315" s="103" t="s">
        <v>8</v>
      </c>
      <c r="S315" s="103" t="str">
        <f>_xlfn.IFS(MouserListTable12[[#This Row],[Supplier]]=FilterSpecs!$A$6, FilterSpecs!$B$6,MouserListTable12[[#This Row],[Supplier]]=FilterSpecs!$A$7,FilterSpecs!$B$7,MouserListTable12[[#This Row],[Supplier]]=FilterSpecs!$A$8,FilterSpecs!$B$8,MouserListTable12[[#This Row],[Supplier]]=FilterSpecs!$A$9,FilterSpecs!$B$9)</f>
        <v>474-</v>
      </c>
      <c r="T31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474-PRT-14340</v>
      </c>
      <c r="U315" s="121">
        <v>0</v>
      </c>
      <c r="V315" s="121">
        <v>3</v>
      </c>
      <c r="W315" s="121">
        <v>3</v>
      </c>
      <c r="X315" s="121">
        <f>MouserListTable12[[#This Row],['#/Unit]]*FilterSpecs!$C$3+MouserListTable12[[#This Row],[Extra]]</f>
        <v>3</v>
      </c>
      <c r="Y315" s="121">
        <f>IF(MouserListTable12[[#This Row],[Tag]]=FilterSpecs!$F$7,MouserListTable12[[#This Row],[Price (USD)]],0)</f>
        <v>0</v>
      </c>
      <c r="Z315" s="121">
        <f>MouserListTable12[[#This Row],[Tot '#]]*MouserListTable12[[#This Row],[Price (USD)]]</f>
        <v>4.5</v>
      </c>
    </row>
    <row r="316" spans="1:26" s="144" customFormat="1" x14ac:dyDescent="0.3">
      <c r="A316" s="103" t="s">
        <v>896</v>
      </c>
      <c r="B316" s="103" t="s">
        <v>1302</v>
      </c>
      <c r="C316" s="103" t="s">
        <v>8</v>
      </c>
      <c r="D316" s="106" t="str">
        <f>IF(MouserListTable12[[#This Row],[Vendor]]=FilterSpecs!$A$8,MouserListTable12[[#This Row],[Mouser SKU]], MouserListTable12[[#This Row],[SKU2]])</f>
        <v>PRT-00121</v>
      </c>
      <c r="E316" s="121">
        <f>MouserListTable12[[#This Row],[Tot '#]]-MouserListTable12[[#This Row],['# Initial]]</f>
        <v>0</v>
      </c>
      <c r="F316" s="121">
        <f>MouserListTable12[[#This Row],['#/Unit]]*FilterSpecs!$B$3+MouserListTable12[[#This Row],[Extra Initial]]</f>
        <v>5</v>
      </c>
      <c r="G316" s="103" t="s">
        <v>1085</v>
      </c>
      <c r="H316" s="103" t="s">
        <v>1086</v>
      </c>
      <c r="I316" s="103" t="s">
        <v>1087</v>
      </c>
      <c r="J316" s="103">
        <v>1</v>
      </c>
      <c r="K316" s="171">
        <v>0.95</v>
      </c>
      <c r="L316" s="103" t="s">
        <v>1911</v>
      </c>
      <c r="M316" s="103" t="s">
        <v>1210</v>
      </c>
      <c r="N316" s="171">
        <f>MouserListTable12[[#This Row],['# Initial]]*MouserListTable12[[#This Row],[Price (USD)]]</f>
        <v>4.75</v>
      </c>
      <c r="O316" s="106" t="s">
        <v>1084</v>
      </c>
      <c r="P316" s="103">
        <f t="shared" si="6"/>
        <v>298</v>
      </c>
      <c r="Q316" s="103">
        <f>IF($D316=$O316,1,0)</f>
        <v>1</v>
      </c>
      <c r="R316" s="103" t="s">
        <v>8</v>
      </c>
      <c r="S316" s="103" t="str">
        <f>_xlfn.IFS(MouserListTable12[[#This Row],[Supplier]]=FilterSpecs!$A$6, FilterSpecs!$B$6,MouserListTable12[[#This Row],[Supplier]]=FilterSpecs!$A$7,FilterSpecs!$B$7,MouserListTable12[[#This Row],[Supplier]]=FilterSpecs!$A$8,FilterSpecs!$B$8,MouserListTable12[[#This Row],[Supplier]]=FilterSpecs!$A$9,FilterSpecs!$B$9)</f>
        <v>474-</v>
      </c>
      <c r="T31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474-PRT-00121</v>
      </c>
      <c r="U316" s="121">
        <v>1</v>
      </c>
      <c r="V316" s="121">
        <v>0</v>
      </c>
      <c r="W316" s="121">
        <v>0</v>
      </c>
      <c r="X316" s="121">
        <f>MouserListTable12[[#This Row],['#/Unit]]*FilterSpecs!$C$3+MouserListTable12[[#This Row],[Extra]]</f>
        <v>5</v>
      </c>
      <c r="Y316" s="121">
        <f>IF(MouserListTable12[[#This Row],[Tag]]=FilterSpecs!$F$7,MouserListTable12[[#This Row],[Price (USD)]],0)</f>
        <v>0.95</v>
      </c>
      <c r="Z316" s="121">
        <f>MouserListTable12[[#This Row],[Tot '#]]*MouserListTable12[[#This Row],[Price (USD)]]</f>
        <v>4.75</v>
      </c>
    </row>
    <row r="317" spans="1:26" s="144" customFormat="1" x14ac:dyDescent="0.3">
      <c r="A317" s="103" t="s">
        <v>896</v>
      </c>
      <c r="B317" s="103" t="s">
        <v>1302</v>
      </c>
      <c r="C317" s="103" t="s">
        <v>1898</v>
      </c>
      <c r="D317" s="106" t="str">
        <f>IF(MouserListTable12[[#This Row],[Vendor]]=FilterSpecs!$A$8,MouserListTable12[[#This Row],[Mouser SKU]], MouserListTable12[[#This Row],[SKU2]])</f>
        <v>977</v>
      </c>
      <c r="E317" s="121">
        <f>MouserListTable12[[#This Row],[Tot '#]]-MouserListTable12[[#This Row],['# Initial]]</f>
        <v>0</v>
      </c>
      <c r="F317" s="121">
        <f>MouserListTable12[[#This Row],['#/Unit]]*FilterSpecs!$B$3+MouserListTable12[[#This Row],[Extra Initial]]</f>
        <v>10</v>
      </c>
      <c r="G317" s="103"/>
      <c r="H317" s="103"/>
      <c r="I317" s="103" t="s">
        <v>2119</v>
      </c>
      <c r="J317" s="146"/>
      <c r="K317" s="171">
        <v>0.75</v>
      </c>
      <c r="L317" s="103" t="s">
        <v>1911</v>
      </c>
      <c r="M317" s="106"/>
      <c r="N317" s="171">
        <f>MouserListTable12[[#This Row],['# Initial]]*MouserListTable12[[#This Row],[Price (USD)]]</f>
        <v>7.5</v>
      </c>
      <c r="O317" s="106" t="s">
        <v>2118</v>
      </c>
      <c r="P317" s="103">
        <f t="shared" si="6"/>
        <v>299</v>
      </c>
      <c r="Q317" s="103">
        <f>IF($D317=$O317,1,0)</f>
        <v>1</v>
      </c>
      <c r="R317" s="103" t="s">
        <v>1898</v>
      </c>
      <c r="S317" s="103" t="str">
        <f>_xlfn.IFS(MouserListTable12[[#This Row],[Supplier]]=FilterSpecs!$A$6, FilterSpecs!$B$6,MouserListTable12[[#This Row],[Supplier]]=FilterSpecs!$A$7,FilterSpecs!$B$7,MouserListTable12[[#This Row],[Supplier]]=FilterSpecs!$A$8,FilterSpecs!$B$8,MouserListTable12[[#This Row],[Supplier]]=FilterSpecs!$A$9,FilterSpecs!$B$9)</f>
        <v>485-</v>
      </c>
      <c r="T31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485-977</v>
      </c>
      <c r="U317" s="121">
        <v>2</v>
      </c>
      <c r="V317" s="121">
        <v>0</v>
      </c>
      <c r="W317" s="121">
        <v>0</v>
      </c>
      <c r="X317" s="121">
        <f>MouserListTable12[[#This Row],['#/Unit]]*FilterSpecs!$C$3+MouserListTable12[[#This Row],[Extra]]</f>
        <v>10</v>
      </c>
      <c r="Y317" s="121">
        <f>IF(MouserListTable12[[#This Row],[Tag]]=FilterSpecs!$F$7,MouserListTable12[[#This Row],[Price (USD)]],0)</f>
        <v>0.75</v>
      </c>
      <c r="Z317" s="121">
        <f>MouserListTable12[[#This Row],[Tot '#]]*MouserListTable12[[#This Row],[Price (USD)]]</f>
        <v>7.5</v>
      </c>
    </row>
    <row r="318" spans="1:26" s="144" customFormat="1" hidden="1" x14ac:dyDescent="0.3">
      <c r="A318" s="103" t="s">
        <v>896</v>
      </c>
      <c r="B318" s="103" t="s">
        <v>1302</v>
      </c>
      <c r="C318" s="103" t="s">
        <v>8</v>
      </c>
      <c r="D318" s="106" t="str">
        <f>IF(MouserListTable12[[#This Row],[Vendor]]=FilterSpecs!$A$8,MouserListTable12[[#This Row],[Mouser SKU]], MouserListTable12[[#This Row],[SKU2]])</f>
        <v>PRT-09599</v>
      </c>
      <c r="E318" s="121">
        <f>MouserListTable12[[#This Row],[Tot '#]]-MouserListTable12[[#This Row],['# Initial]]</f>
        <v>2</v>
      </c>
      <c r="F318" s="121">
        <f>MouserListTable12[[#This Row],['#/Unit]]*FilterSpecs!$B$3+MouserListTable12[[#This Row],[Extra Initial]]</f>
        <v>0</v>
      </c>
      <c r="G318" s="103" t="s">
        <v>1265</v>
      </c>
      <c r="H318" s="103" t="s">
        <v>1266</v>
      </c>
      <c r="I318" s="103" t="s">
        <v>1267</v>
      </c>
      <c r="J318" s="103">
        <v>1</v>
      </c>
      <c r="K318" s="171">
        <v>1.95</v>
      </c>
      <c r="L318" s="103" t="s">
        <v>1913</v>
      </c>
      <c r="M318" s="106"/>
      <c r="N318" s="171">
        <f>MouserListTable12[[#This Row],['# Initial]]*MouserListTable12[[#This Row],[Price (USD)]]</f>
        <v>0</v>
      </c>
      <c r="O318" s="106" t="s">
        <v>1264</v>
      </c>
      <c r="P318" s="103">
        <f t="shared" si="6"/>
        <v>300</v>
      </c>
      <c r="Q318" s="103">
        <f>IF($D318=$O318,1,0)</f>
        <v>1</v>
      </c>
      <c r="R318" s="103" t="s">
        <v>8</v>
      </c>
      <c r="S318" s="103" t="str">
        <f>_xlfn.IFS(MouserListTable12[[#This Row],[Supplier]]=FilterSpecs!$A$6, FilterSpecs!$B$6,MouserListTable12[[#This Row],[Supplier]]=FilterSpecs!$A$7,FilterSpecs!$B$7,MouserListTable12[[#This Row],[Supplier]]=FilterSpecs!$A$8,FilterSpecs!$B$8,MouserListTable12[[#This Row],[Supplier]]=FilterSpecs!$A$9,FilterSpecs!$B$9)</f>
        <v>474-</v>
      </c>
      <c r="T31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474-PRT-09599</v>
      </c>
      <c r="U318" s="121">
        <v>0</v>
      </c>
      <c r="V318" s="121">
        <v>2</v>
      </c>
      <c r="W318" s="121">
        <v>0</v>
      </c>
      <c r="X318" s="121">
        <f>MouserListTable12[[#This Row],['#/Unit]]*FilterSpecs!$C$3+MouserListTable12[[#This Row],[Extra]]</f>
        <v>2</v>
      </c>
      <c r="Y318" s="121">
        <f>IF(MouserListTable12[[#This Row],[Tag]]=FilterSpecs!$F$7,MouserListTable12[[#This Row],[Price (USD)]],0)</f>
        <v>0</v>
      </c>
      <c r="Z318" s="121">
        <f>MouserListTable12[[#This Row],[Tot '#]]*MouserListTable12[[#This Row],[Price (USD)]]</f>
        <v>3.9</v>
      </c>
    </row>
    <row r="319" spans="1:26" s="144" customFormat="1" x14ac:dyDescent="0.3">
      <c r="A319" s="103" t="s">
        <v>896</v>
      </c>
      <c r="B319" s="103" t="s">
        <v>1302</v>
      </c>
      <c r="C319" s="103" t="s">
        <v>1906</v>
      </c>
      <c r="D319" s="106" t="str">
        <f>IF(MouserListTable12[[#This Row],[Vendor]]=FilterSpecs!$A$8,MouserListTable12[[#This Row],[Mouser SKU]], MouserListTable12[[#This Row],[SKU2]])</f>
        <v>474-PRT-09599</v>
      </c>
      <c r="E319" s="121">
        <f>MouserListTable12[[#This Row],[Tot '#]]-MouserListTable12[[#This Row],['# Initial]]</f>
        <v>0</v>
      </c>
      <c r="F319" s="121">
        <f>MouserListTable12[[#This Row],['#/Unit]]*FilterSpecs!$B$3+MouserListTable12[[#This Row],[Extra Initial]]</f>
        <v>2</v>
      </c>
      <c r="G319" s="103" t="s">
        <v>1265</v>
      </c>
      <c r="H319" s="103" t="s">
        <v>1266</v>
      </c>
      <c r="I319" s="103" t="s">
        <v>1267</v>
      </c>
      <c r="J319" s="103">
        <v>1</v>
      </c>
      <c r="K319" s="171">
        <v>1.95</v>
      </c>
      <c r="L319" s="103" t="s">
        <v>1910</v>
      </c>
      <c r="M319" s="106"/>
      <c r="N319" s="171">
        <f>MouserListTable12[[#This Row],['# Initial]]*MouserListTable12[[#This Row],[Price (USD)]]</f>
        <v>3.9</v>
      </c>
      <c r="O319" s="106" t="s">
        <v>1264</v>
      </c>
      <c r="P319" s="103">
        <f t="shared" si="6"/>
        <v>301</v>
      </c>
      <c r="Q319" s="103">
        <f>IF($D319=$O319,1,0)</f>
        <v>0</v>
      </c>
      <c r="R319" s="103" t="s">
        <v>8</v>
      </c>
      <c r="S319" s="103" t="str">
        <f>_xlfn.IFS(MouserListTable12[[#This Row],[Supplier]]=FilterSpecs!$A$6, FilterSpecs!$B$6,MouserListTable12[[#This Row],[Supplier]]=FilterSpecs!$A$7,FilterSpecs!$B$7,MouserListTable12[[#This Row],[Supplier]]=FilterSpecs!$A$8,FilterSpecs!$B$8,MouserListTable12[[#This Row],[Supplier]]=FilterSpecs!$A$9,FilterSpecs!$B$9)</f>
        <v>474-</v>
      </c>
      <c r="T31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474-PRT-09599</v>
      </c>
      <c r="U319" s="121">
        <v>0</v>
      </c>
      <c r="V319" s="121">
        <v>2</v>
      </c>
      <c r="W319" s="121">
        <v>2</v>
      </c>
      <c r="X319" s="121">
        <f>MouserListTable12[[#This Row],['#/Unit]]*FilterSpecs!$C$3+MouserListTable12[[#This Row],[Extra]]</f>
        <v>2</v>
      </c>
      <c r="Y319" s="121">
        <f>IF(MouserListTable12[[#This Row],[Tag]]=FilterSpecs!$F$7,MouserListTable12[[#This Row],[Price (USD)]],0)</f>
        <v>0</v>
      </c>
      <c r="Z319" s="121">
        <f>MouserListTable12[[#This Row],[Tot '#]]*MouserListTable12[[#This Row],[Price (USD)]]</f>
        <v>3.9</v>
      </c>
    </row>
    <row r="320" spans="1:26" s="144" customFormat="1" x14ac:dyDescent="0.3">
      <c r="A320" s="103" t="s">
        <v>896</v>
      </c>
      <c r="B320" s="103" t="s">
        <v>1302</v>
      </c>
      <c r="C320" s="103" t="s">
        <v>8</v>
      </c>
      <c r="D320" s="106" t="str">
        <f>IF(MouserListTable12[[#This Row],[Vendor]]=FilterSpecs!$A$8,MouserListTable12[[#This Row],[Mouser SKU]], MouserListTable12[[#This Row],[SKU2]])</f>
        <v>PRT-09771</v>
      </c>
      <c r="E320" s="121">
        <f>MouserListTable12[[#This Row],[Tot '#]]-MouserListTable12[[#This Row],['# Initial]]</f>
        <v>0</v>
      </c>
      <c r="F320" s="121">
        <f>MouserListTable12[[#This Row],['#/Unit]]*FilterSpecs!$B$3+MouserListTable12[[#This Row],[Extra Initial]]</f>
        <v>3</v>
      </c>
      <c r="G320" s="103" t="s">
        <v>1081</v>
      </c>
      <c r="H320" s="103" t="s">
        <v>1082</v>
      </c>
      <c r="I320" s="103" t="s">
        <v>1083</v>
      </c>
      <c r="J320" s="103"/>
      <c r="K320" s="171">
        <v>3.95</v>
      </c>
      <c r="L320" s="103" t="s">
        <v>1910</v>
      </c>
      <c r="M320" s="106"/>
      <c r="N320" s="171">
        <f>MouserListTable12[[#This Row],['# Initial]]*MouserListTable12[[#This Row],[Price (USD)]]</f>
        <v>11.850000000000001</v>
      </c>
      <c r="O320" s="106" t="s">
        <v>1080</v>
      </c>
      <c r="P320" s="103">
        <f>IF($P318="List #",1,$P318+1)</f>
        <v>301</v>
      </c>
      <c r="Q320" s="103">
        <f>IF($D320=$O320,1,0)</f>
        <v>1</v>
      </c>
      <c r="R320" s="103" t="s">
        <v>8</v>
      </c>
      <c r="S320" s="103" t="str">
        <f>_xlfn.IFS(MouserListTable12[[#This Row],[Supplier]]=FilterSpecs!$A$6, FilterSpecs!$B$6,MouserListTable12[[#This Row],[Supplier]]=FilterSpecs!$A$7,FilterSpecs!$B$7,MouserListTable12[[#This Row],[Supplier]]=FilterSpecs!$A$8,FilterSpecs!$B$8,MouserListTable12[[#This Row],[Supplier]]=FilterSpecs!$A$9,FilterSpecs!$B$9)</f>
        <v>474-</v>
      </c>
      <c r="T32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474-PRT-09771</v>
      </c>
      <c r="U320" s="121">
        <v>0</v>
      </c>
      <c r="V320" s="121">
        <v>3</v>
      </c>
      <c r="W320" s="121">
        <v>3</v>
      </c>
      <c r="X320" s="121">
        <f>MouserListTable12[[#This Row],['#/Unit]]*FilterSpecs!$C$3+MouserListTable12[[#This Row],[Extra]]</f>
        <v>3</v>
      </c>
      <c r="Y320" s="121">
        <f>IF(MouserListTable12[[#This Row],[Tag]]=FilterSpecs!$F$7,MouserListTable12[[#This Row],[Price (USD)]],0)</f>
        <v>0</v>
      </c>
      <c r="Z320" s="121">
        <f>MouserListTable12[[#This Row],[Tot '#]]*MouserListTable12[[#This Row],[Price (USD)]]</f>
        <v>11.850000000000001</v>
      </c>
    </row>
    <row r="321" spans="1:26" s="144" customFormat="1" x14ac:dyDescent="0.3">
      <c r="A321" s="103" t="s">
        <v>896</v>
      </c>
      <c r="B321" s="103" t="s">
        <v>995</v>
      </c>
      <c r="C321" s="103" t="s">
        <v>8</v>
      </c>
      <c r="D321" s="106" t="str">
        <f>IF(MouserListTable12[[#This Row],[Vendor]]=FilterSpecs!$A$8,MouserListTable12[[#This Row],[Mouser SKU]], MouserListTable12[[#This Row],[SKU2]])</f>
        <v>PRT-11796</v>
      </c>
      <c r="E321" s="121">
        <f>MouserListTable12[[#This Row],[Tot '#]]-MouserListTable12[[#This Row],['# Initial]]</f>
        <v>0</v>
      </c>
      <c r="F321" s="121">
        <f>MouserListTable12[[#This Row],['#/Unit]]*FilterSpecs!$B$3+MouserListTable12[[#This Row],[Extra Initial]]</f>
        <v>3</v>
      </c>
      <c r="G321" s="103" t="s">
        <v>644</v>
      </c>
      <c r="H321" s="103" t="s">
        <v>645</v>
      </c>
      <c r="I321" s="103" t="s">
        <v>646</v>
      </c>
      <c r="J321" s="103"/>
      <c r="K321" s="171">
        <v>3.95</v>
      </c>
      <c r="L321" s="103" t="s">
        <v>1910</v>
      </c>
      <c r="M321" s="106"/>
      <c r="N321" s="171">
        <f>MouserListTable12[[#This Row],['# Initial]]*MouserListTable12[[#This Row],[Price (USD)]]</f>
        <v>11.850000000000001</v>
      </c>
      <c r="O321" s="106" t="s">
        <v>643</v>
      </c>
      <c r="P321" s="103">
        <f t="shared" si="6"/>
        <v>302</v>
      </c>
      <c r="Q321" s="103">
        <f>IF($D321=$O321,1,0)</f>
        <v>1</v>
      </c>
      <c r="R321" s="103" t="s">
        <v>8</v>
      </c>
      <c r="S321" s="103" t="str">
        <f>_xlfn.IFS(MouserListTable12[[#This Row],[Supplier]]=FilterSpecs!$A$6, FilterSpecs!$B$6,MouserListTable12[[#This Row],[Supplier]]=FilterSpecs!$A$7,FilterSpecs!$B$7,MouserListTable12[[#This Row],[Supplier]]=FilterSpecs!$A$8,FilterSpecs!$B$8,MouserListTable12[[#This Row],[Supplier]]=FilterSpecs!$A$9,FilterSpecs!$B$9)</f>
        <v>474-</v>
      </c>
      <c r="T32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474-PRT-11796</v>
      </c>
      <c r="U321" s="121">
        <v>0</v>
      </c>
      <c r="V321" s="121">
        <v>3</v>
      </c>
      <c r="W321" s="121">
        <v>3</v>
      </c>
      <c r="X321" s="121">
        <f>MouserListTable12[[#This Row],['#/Unit]]*FilterSpecs!$C$3+MouserListTable12[[#This Row],[Extra]]</f>
        <v>3</v>
      </c>
      <c r="Y321" s="121">
        <f>IF(MouserListTable12[[#This Row],[Tag]]=FilterSpecs!$F$7,MouserListTable12[[#This Row],[Price (USD)]],0)</f>
        <v>0</v>
      </c>
      <c r="Z321" s="121">
        <f>MouserListTable12[[#This Row],[Tot '#]]*MouserListTable12[[#This Row],[Price (USD)]]</f>
        <v>11.850000000000001</v>
      </c>
    </row>
    <row r="322" spans="1:26" s="144" customFormat="1" x14ac:dyDescent="0.3">
      <c r="A322" s="103" t="s">
        <v>896</v>
      </c>
      <c r="B322" s="103" t="s">
        <v>995</v>
      </c>
      <c r="C322" s="103" t="s">
        <v>8</v>
      </c>
      <c r="D322" s="106" t="str">
        <f>IF(MouserListTable12[[#This Row],[Vendor]]=FilterSpecs!$A$8,MouserListTable12[[#This Row],[Mouser SKU]], MouserListTable12[[#This Row],[SKU2]])</f>
        <v>PRT-10927</v>
      </c>
      <c r="E322" s="121">
        <f>MouserListTable12[[#This Row],[Tot '#]]-MouserListTable12[[#This Row],['# Initial]]</f>
        <v>0</v>
      </c>
      <c r="F322" s="121">
        <f>MouserListTable12[[#This Row],['#/Unit]]*FilterSpecs!$B$3+MouserListTable12[[#This Row],[Extra Initial]]</f>
        <v>5</v>
      </c>
      <c r="G322" s="103" t="s">
        <v>652</v>
      </c>
      <c r="H322" s="103" t="s">
        <v>653</v>
      </c>
      <c r="I322" s="103" t="s">
        <v>654</v>
      </c>
      <c r="J322" s="103">
        <v>1</v>
      </c>
      <c r="K322" s="171">
        <v>2.95</v>
      </c>
      <c r="L322" s="103" t="s">
        <v>1911</v>
      </c>
      <c r="M322" s="106"/>
      <c r="N322" s="171">
        <f>MouserListTable12[[#This Row],['# Initial]]*MouserListTable12[[#This Row],[Price (USD)]]</f>
        <v>14.75</v>
      </c>
      <c r="O322" s="106" t="s">
        <v>651</v>
      </c>
      <c r="P322" s="103">
        <f t="shared" si="6"/>
        <v>303</v>
      </c>
      <c r="Q322" s="103">
        <f>IF($D322=$O322,1,0)</f>
        <v>1</v>
      </c>
      <c r="R322" s="103" t="s">
        <v>8</v>
      </c>
      <c r="S322" s="103" t="str">
        <f>_xlfn.IFS(MouserListTable12[[#This Row],[Supplier]]=FilterSpecs!$A$6, FilterSpecs!$B$6,MouserListTable12[[#This Row],[Supplier]]=FilterSpecs!$A$7,FilterSpecs!$B$7,MouserListTable12[[#This Row],[Supplier]]=FilterSpecs!$A$8,FilterSpecs!$B$8,MouserListTable12[[#This Row],[Supplier]]=FilterSpecs!$A$9,FilterSpecs!$B$9)</f>
        <v>474-</v>
      </c>
      <c r="T32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474-PRT-10927</v>
      </c>
      <c r="U322" s="121">
        <v>1</v>
      </c>
      <c r="V322" s="121">
        <v>0</v>
      </c>
      <c r="W322" s="121">
        <v>0</v>
      </c>
      <c r="X322" s="121">
        <f>MouserListTable12[[#This Row],['#/Unit]]*FilterSpecs!$C$3+MouserListTable12[[#This Row],[Extra]]</f>
        <v>5</v>
      </c>
      <c r="Y322" s="121">
        <f>IF(MouserListTable12[[#This Row],[Tag]]=FilterSpecs!$F$7,MouserListTable12[[#This Row],[Price (USD)]],0)</f>
        <v>2.95</v>
      </c>
      <c r="Z322" s="121">
        <f>MouserListTable12[[#This Row],[Tot '#]]*MouserListTable12[[#This Row],[Price (USD)]]</f>
        <v>14.75</v>
      </c>
    </row>
    <row r="323" spans="1:26" s="144" customFormat="1" x14ac:dyDescent="0.3">
      <c r="A323" s="103" t="s">
        <v>896</v>
      </c>
      <c r="B323" s="103" t="s">
        <v>995</v>
      </c>
      <c r="C323" s="103" t="s">
        <v>8</v>
      </c>
      <c r="D323" s="106" t="str">
        <f>IF(MouserListTable12[[#This Row],[Vendor]]=FilterSpecs!$A$8,MouserListTable12[[#This Row],[Mouser SKU]], MouserListTable12[[#This Row],[SKU2]])</f>
        <v>PRT-10453</v>
      </c>
      <c r="E323" s="121">
        <f>MouserListTable12[[#This Row],[Tot '#]]-MouserListTable12[[#This Row],['# Initial]]</f>
        <v>0</v>
      </c>
      <c r="F323" s="121">
        <f>MouserListTable12[[#This Row],['#/Unit]]*FilterSpecs!$B$3+MouserListTable12[[#This Row],[Extra Initial]]</f>
        <v>5</v>
      </c>
      <c r="G323" s="103" t="s">
        <v>708</v>
      </c>
      <c r="H323" s="103" t="s">
        <v>709</v>
      </c>
      <c r="I323" s="103" t="s">
        <v>710</v>
      </c>
      <c r="J323" s="103">
        <v>1</v>
      </c>
      <c r="K323" s="171">
        <v>1.5</v>
      </c>
      <c r="L323" s="103" t="s">
        <v>1911</v>
      </c>
      <c r="M323" s="106"/>
      <c r="N323" s="171">
        <f>MouserListTable12[[#This Row],['# Initial]]*MouserListTable12[[#This Row],[Price (USD)]]</f>
        <v>7.5</v>
      </c>
      <c r="O323" s="106" t="s">
        <v>707</v>
      </c>
      <c r="P323" s="103">
        <f t="shared" si="6"/>
        <v>304</v>
      </c>
      <c r="Q323" s="103">
        <f>IF($D323=$O323,1,0)</f>
        <v>1</v>
      </c>
      <c r="R323" s="103" t="s">
        <v>8</v>
      </c>
      <c r="S323" s="103" t="str">
        <f>_xlfn.IFS(MouserListTable12[[#This Row],[Supplier]]=FilterSpecs!$A$6, FilterSpecs!$B$6,MouserListTable12[[#This Row],[Supplier]]=FilterSpecs!$A$7,FilterSpecs!$B$7,MouserListTable12[[#This Row],[Supplier]]=FilterSpecs!$A$8,FilterSpecs!$B$8,MouserListTable12[[#This Row],[Supplier]]=FilterSpecs!$A$9,FilterSpecs!$B$9)</f>
        <v>474-</v>
      </c>
      <c r="T32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474-PRT-10453</v>
      </c>
      <c r="U323" s="121">
        <v>1</v>
      </c>
      <c r="V323" s="121">
        <v>0</v>
      </c>
      <c r="W323" s="121">
        <v>0</v>
      </c>
      <c r="X323" s="121">
        <f>MouserListTable12[[#This Row],['#/Unit]]*FilterSpecs!$C$3+MouserListTable12[[#This Row],[Extra]]</f>
        <v>5</v>
      </c>
      <c r="Y323" s="121">
        <f>IF(MouserListTable12[[#This Row],[Tag]]=FilterSpecs!$F$7,MouserListTable12[[#This Row],[Price (USD)]],0)</f>
        <v>1.5</v>
      </c>
      <c r="Z323" s="121">
        <f>MouserListTable12[[#This Row],[Tot '#]]*MouserListTable12[[#This Row],[Price (USD)]]</f>
        <v>7.5</v>
      </c>
    </row>
    <row r="324" spans="1:26" s="144" customFormat="1" x14ac:dyDescent="0.3">
      <c r="A324" s="103" t="s">
        <v>896</v>
      </c>
      <c r="B324" s="103" t="s">
        <v>995</v>
      </c>
      <c r="C324" s="103" t="s">
        <v>8</v>
      </c>
      <c r="D324" s="106" t="str">
        <f>IF(MouserListTable12[[#This Row],[Vendor]]=FilterSpecs!$A$8,MouserListTable12[[#This Row],[Mouser SKU]], MouserListTable12[[#This Row],[SKU2]])</f>
        <v>PRT-10738</v>
      </c>
      <c r="E324" s="121">
        <f>MouserListTable12[[#This Row],[Tot '#]]-MouserListTable12[[#This Row],['# Initial]]</f>
        <v>0</v>
      </c>
      <c r="F324" s="121">
        <f>MouserListTable12[[#This Row],['#/Unit]]*FilterSpecs!$B$3+MouserListTable12[[#This Row],[Extra Initial]]</f>
        <v>3</v>
      </c>
      <c r="G324" s="103" t="s">
        <v>910</v>
      </c>
      <c r="H324" s="103" t="s">
        <v>911</v>
      </c>
      <c r="I324" s="103" t="s">
        <v>912</v>
      </c>
      <c r="J324" s="103">
        <v>1</v>
      </c>
      <c r="K324" s="171">
        <v>3.95</v>
      </c>
      <c r="L324" s="103" t="s">
        <v>1910</v>
      </c>
      <c r="M324" s="106"/>
      <c r="N324" s="171">
        <f>MouserListTable12[[#This Row],['# Initial]]*MouserListTable12[[#This Row],[Price (USD)]]</f>
        <v>11.850000000000001</v>
      </c>
      <c r="O324" s="106" t="s">
        <v>909</v>
      </c>
      <c r="P324" s="103">
        <f t="shared" si="6"/>
        <v>305</v>
      </c>
      <c r="Q324" s="103">
        <f>IF($D324=$O324,1,0)</f>
        <v>1</v>
      </c>
      <c r="R324" s="103" t="s">
        <v>8</v>
      </c>
      <c r="S324" s="103" t="str">
        <f>_xlfn.IFS(MouserListTable12[[#This Row],[Supplier]]=FilterSpecs!$A$6, FilterSpecs!$B$6,MouserListTable12[[#This Row],[Supplier]]=FilterSpecs!$A$7,FilterSpecs!$B$7,MouserListTable12[[#This Row],[Supplier]]=FilterSpecs!$A$8,FilterSpecs!$B$8,MouserListTable12[[#This Row],[Supplier]]=FilterSpecs!$A$9,FilterSpecs!$B$9)</f>
        <v>474-</v>
      </c>
      <c r="T32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474-PRT-10738</v>
      </c>
      <c r="U324" s="121">
        <v>0</v>
      </c>
      <c r="V324" s="121">
        <v>3</v>
      </c>
      <c r="W324" s="121">
        <v>3</v>
      </c>
      <c r="X324" s="121">
        <f>MouserListTable12[[#This Row],['#/Unit]]*FilterSpecs!$C$3+MouserListTable12[[#This Row],[Extra]]</f>
        <v>3</v>
      </c>
      <c r="Y324" s="121">
        <f>IF(MouserListTable12[[#This Row],[Tag]]=FilterSpecs!$F$7,MouserListTable12[[#This Row],[Price (USD)]],0)</f>
        <v>0</v>
      </c>
      <c r="Z324" s="121">
        <f>MouserListTable12[[#This Row],[Tot '#]]*MouserListTable12[[#This Row],[Price (USD)]]</f>
        <v>11.850000000000001</v>
      </c>
    </row>
    <row r="325" spans="1:26" s="144" customFormat="1" x14ac:dyDescent="0.3">
      <c r="A325" s="103" t="s">
        <v>896</v>
      </c>
      <c r="B325" s="103" t="s">
        <v>995</v>
      </c>
      <c r="C325" s="103" t="s">
        <v>8</v>
      </c>
      <c r="D325" s="106" t="str">
        <f>IF(MouserListTable12[[#This Row],[Vendor]]=FilterSpecs!$A$8,MouserListTable12[[#This Row],[Mouser SKU]], MouserListTable12[[#This Row],[SKU2]])</f>
        <v>PRT-10450</v>
      </c>
      <c r="E325" s="121">
        <f>MouserListTable12[[#This Row],[Tot '#]]-MouserListTable12[[#This Row],['# Initial]]</f>
        <v>0</v>
      </c>
      <c r="F325" s="121">
        <f>MouserListTable12[[#This Row],['#/Unit]]*FilterSpecs!$B$3+MouserListTable12[[#This Row],[Extra Initial]]</f>
        <v>5</v>
      </c>
      <c r="G325" s="103" t="s">
        <v>914</v>
      </c>
      <c r="H325" s="103" t="s">
        <v>915</v>
      </c>
      <c r="I325" s="103" t="s">
        <v>916</v>
      </c>
      <c r="J325" s="103">
        <v>1</v>
      </c>
      <c r="K325" s="171">
        <v>0.46</v>
      </c>
      <c r="L325" s="103" t="s">
        <v>1911</v>
      </c>
      <c r="M325" s="106"/>
      <c r="N325" s="171">
        <f>MouserListTable12[[#This Row],['# Initial]]*MouserListTable12[[#This Row],[Price (USD)]]</f>
        <v>2.3000000000000003</v>
      </c>
      <c r="O325" s="106" t="s">
        <v>913</v>
      </c>
      <c r="P325" s="103">
        <f t="shared" si="6"/>
        <v>306</v>
      </c>
      <c r="Q325" s="103">
        <f>IF($D325=$O325,1,0)</f>
        <v>1</v>
      </c>
      <c r="R325" s="103" t="s">
        <v>8</v>
      </c>
      <c r="S325" s="103" t="str">
        <f>_xlfn.IFS(MouserListTable12[[#This Row],[Supplier]]=FilterSpecs!$A$6, FilterSpecs!$B$6,MouserListTable12[[#This Row],[Supplier]]=FilterSpecs!$A$7,FilterSpecs!$B$7,MouserListTable12[[#This Row],[Supplier]]=FilterSpecs!$A$8,FilterSpecs!$B$8,MouserListTable12[[#This Row],[Supplier]]=FilterSpecs!$A$9,FilterSpecs!$B$9)</f>
        <v>474-</v>
      </c>
      <c r="T32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474-PRT-10450</v>
      </c>
      <c r="U325" s="121">
        <v>1</v>
      </c>
      <c r="V325" s="121">
        <v>0</v>
      </c>
      <c r="W325" s="121">
        <v>0</v>
      </c>
      <c r="X325" s="121">
        <f>MouserListTable12[[#This Row],['#/Unit]]*FilterSpecs!$C$3+MouserListTable12[[#This Row],[Extra]]</f>
        <v>5</v>
      </c>
      <c r="Y325" s="121">
        <f>IF(MouserListTable12[[#This Row],[Tag]]=FilterSpecs!$F$7,MouserListTable12[[#This Row],[Price (USD)]],0)</f>
        <v>0.46</v>
      </c>
      <c r="Z325" s="121">
        <f>MouserListTable12[[#This Row],[Tot '#]]*MouserListTable12[[#This Row],[Price (USD)]]</f>
        <v>2.3000000000000003</v>
      </c>
    </row>
    <row r="326" spans="1:26" s="144" customFormat="1" x14ac:dyDescent="0.3">
      <c r="A326" s="103" t="s">
        <v>896</v>
      </c>
      <c r="B326" s="103" t="s">
        <v>995</v>
      </c>
      <c r="C326" s="103" t="s">
        <v>8</v>
      </c>
      <c r="D326" s="106" t="str">
        <f>IF(MouserListTable12[[#This Row],[Vendor]]=FilterSpecs!$A$8,MouserListTable12[[#This Row],[Mouser SKU]], MouserListTable12[[#This Row],[SKU2]])</f>
        <v>PRT-10463</v>
      </c>
      <c r="E326" s="121">
        <f>MouserListTable12[[#This Row],[Tot '#]]-MouserListTable12[[#This Row],['# Initial]]</f>
        <v>0</v>
      </c>
      <c r="F326" s="121">
        <f>MouserListTable12[[#This Row],['#/Unit]]*FilterSpecs!$B$3+MouserListTable12[[#This Row],[Extra Initial]]</f>
        <v>10</v>
      </c>
      <c r="G326" s="103" t="s">
        <v>938</v>
      </c>
      <c r="H326" s="103" t="s">
        <v>939</v>
      </c>
      <c r="I326" s="103" t="s">
        <v>940</v>
      </c>
      <c r="J326" s="103">
        <v>1</v>
      </c>
      <c r="K326" s="171">
        <v>3.95</v>
      </c>
      <c r="L326" s="103" t="s">
        <v>1911</v>
      </c>
      <c r="M326" s="106"/>
      <c r="N326" s="171">
        <f>MouserListTable12[[#This Row],['# Initial]]*MouserListTable12[[#This Row],[Price (USD)]]</f>
        <v>39.5</v>
      </c>
      <c r="O326" s="106" t="s">
        <v>937</v>
      </c>
      <c r="P326" s="103">
        <f t="shared" si="6"/>
        <v>307</v>
      </c>
      <c r="Q326" s="103">
        <f>IF($D326=$O326,1,0)</f>
        <v>1</v>
      </c>
      <c r="R326" s="103" t="s">
        <v>8</v>
      </c>
      <c r="S326" s="103" t="str">
        <f>_xlfn.IFS(MouserListTable12[[#This Row],[Supplier]]=FilterSpecs!$A$6, FilterSpecs!$B$6,MouserListTable12[[#This Row],[Supplier]]=FilterSpecs!$A$7,FilterSpecs!$B$7,MouserListTable12[[#This Row],[Supplier]]=FilterSpecs!$A$8,FilterSpecs!$B$8,MouserListTable12[[#This Row],[Supplier]]=FilterSpecs!$A$9,FilterSpecs!$B$9)</f>
        <v>474-</v>
      </c>
      <c r="T32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474-PRT-10463</v>
      </c>
      <c r="U326" s="121">
        <v>2</v>
      </c>
      <c r="V326" s="121">
        <v>0</v>
      </c>
      <c r="W326" s="121">
        <v>0</v>
      </c>
      <c r="X326" s="121">
        <f>MouserListTable12[[#This Row],['#/Unit]]*FilterSpecs!$C$3+MouserListTable12[[#This Row],[Extra]]</f>
        <v>10</v>
      </c>
      <c r="Y326" s="121">
        <f>IF(MouserListTable12[[#This Row],[Tag]]=FilterSpecs!$F$7,MouserListTable12[[#This Row],[Price (USD)]],0)</f>
        <v>3.95</v>
      </c>
      <c r="Z326" s="121">
        <f>MouserListTable12[[#This Row],[Tot '#]]*MouserListTable12[[#This Row],[Price (USD)]]</f>
        <v>39.5</v>
      </c>
    </row>
    <row r="327" spans="1:26" s="146" customFormat="1" x14ac:dyDescent="0.3">
      <c r="A327" s="103" t="s">
        <v>896</v>
      </c>
      <c r="B327" s="103" t="s">
        <v>1303</v>
      </c>
      <c r="C327" s="103" t="s">
        <v>8</v>
      </c>
      <c r="D327" s="106" t="str">
        <f>IF(MouserListTable12[[#This Row],[Vendor]]=FilterSpecs!$A$8,MouserListTable12[[#This Row],[Mouser SKU]], MouserListTable12[[#This Row],[SKU2]])</f>
        <v>PRT-10561</v>
      </c>
      <c r="E327" s="121">
        <f>MouserListTable12[[#This Row],[Tot '#]]-MouserListTable12[[#This Row],['# Initial]]</f>
        <v>0</v>
      </c>
      <c r="F327" s="121">
        <f>MouserListTable12[[#This Row],['#/Unit]]*FilterSpecs!$B$3+MouserListTable12[[#This Row],[Extra Initial]]</f>
        <v>1</v>
      </c>
      <c r="G327" s="103" t="s">
        <v>1241</v>
      </c>
      <c r="H327" s="103" t="s">
        <v>1242</v>
      </c>
      <c r="I327" s="103" t="s">
        <v>1243</v>
      </c>
      <c r="J327" s="103">
        <v>1</v>
      </c>
      <c r="K327" s="171">
        <v>2.95</v>
      </c>
      <c r="L327" s="103" t="s">
        <v>1910</v>
      </c>
      <c r="M327" s="106"/>
      <c r="N327" s="171">
        <f>MouserListTable12[[#This Row],['# Initial]]*MouserListTable12[[#This Row],[Price (USD)]]</f>
        <v>2.95</v>
      </c>
      <c r="O327" s="106" t="s">
        <v>1240</v>
      </c>
      <c r="P327" s="103">
        <f t="shared" si="6"/>
        <v>308</v>
      </c>
      <c r="Q327" s="103">
        <f>IF($D327=$O327,1,0)</f>
        <v>1</v>
      </c>
      <c r="R327" s="103" t="s">
        <v>8</v>
      </c>
      <c r="S327" s="103" t="str">
        <f>_xlfn.IFS(MouserListTable12[[#This Row],[Supplier]]=FilterSpecs!$A$6, FilterSpecs!$B$6,MouserListTable12[[#This Row],[Supplier]]=FilterSpecs!$A$7,FilterSpecs!$B$7,MouserListTable12[[#This Row],[Supplier]]=FilterSpecs!$A$8,FilterSpecs!$B$8,MouserListTable12[[#This Row],[Supplier]]=FilterSpecs!$A$9,FilterSpecs!$B$9)</f>
        <v>474-</v>
      </c>
      <c r="T32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474-PRT-10561</v>
      </c>
      <c r="U327" s="121">
        <v>0</v>
      </c>
      <c r="V327" s="121">
        <v>1</v>
      </c>
      <c r="W327" s="121">
        <v>1</v>
      </c>
      <c r="X327" s="121">
        <f>MouserListTable12[[#This Row],['#/Unit]]*FilterSpecs!$C$3+MouserListTable12[[#This Row],[Extra]]</f>
        <v>1</v>
      </c>
      <c r="Y327" s="121">
        <f>IF(MouserListTable12[[#This Row],[Tag]]=FilterSpecs!$F$7,MouserListTable12[[#This Row],[Price (USD)]],0)</f>
        <v>0</v>
      </c>
      <c r="Z327" s="121">
        <f>MouserListTable12[[#This Row],[Tot '#]]*MouserListTable12[[#This Row],[Price (USD)]]</f>
        <v>2.95</v>
      </c>
    </row>
    <row r="328" spans="1:26" s="146" customFormat="1" x14ac:dyDescent="0.3">
      <c r="A328" s="103" t="s">
        <v>896</v>
      </c>
      <c r="B328" s="103" t="s">
        <v>1303</v>
      </c>
      <c r="C328" s="103" t="s">
        <v>8</v>
      </c>
      <c r="D328" s="106" t="str">
        <f>IF(MouserListTable12[[#This Row],[Vendor]]=FilterSpecs!$A$8,MouserListTable12[[#This Row],[Mouser SKU]], MouserListTable12[[#This Row],[SKU2]])</f>
        <v>PRT-13827</v>
      </c>
      <c r="E328" s="121">
        <f>MouserListTable12[[#This Row],[Tot '#]]-MouserListTable12[[#This Row],['# Initial]]</f>
        <v>0</v>
      </c>
      <c r="F328" s="121">
        <f>MouserListTable12[[#This Row],['#/Unit]]*FilterSpecs!$B$3+MouserListTable12[[#This Row],[Extra Initial]]</f>
        <v>1</v>
      </c>
      <c r="G328" s="103" t="s">
        <v>1245</v>
      </c>
      <c r="H328" s="103" t="s">
        <v>1246</v>
      </c>
      <c r="I328" s="103" t="s">
        <v>1247</v>
      </c>
      <c r="J328" s="103">
        <v>1</v>
      </c>
      <c r="K328" s="171">
        <v>3.95</v>
      </c>
      <c r="L328" s="103" t="s">
        <v>1910</v>
      </c>
      <c r="M328" s="106"/>
      <c r="N328" s="171">
        <f>MouserListTable12[[#This Row],['# Initial]]*MouserListTable12[[#This Row],[Price (USD)]]</f>
        <v>3.95</v>
      </c>
      <c r="O328" s="106" t="s">
        <v>1244</v>
      </c>
      <c r="P328" s="103">
        <f t="shared" si="6"/>
        <v>309</v>
      </c>
      <c r="Q328" s="103">
        <f>IF($D328=$O328,1,0)</f>
        <v>1</v>
      </c>
      <c r="R328" s="103" t="s">
        <v>8</v>
      </c>
      <c r="S328" s="103" t="str">
        <f>_xlfn.IFS(MouserListTable12[[#This Row],[Supplier]]=FilterSpecs!$A$6, FilterSpecs!$B$6,MouserListTable12[[#This Row],[Supplier]]=FilterSpecs!$A$7,FilterSpecs!$B$7,MouserListTable12[[#This Row],[Supplier]]=FilterSpecs!$A$8,FilterSpecs!$B$8,MouserListTable12[[#This Row],[Supplier]]=FilterSpecs!$A$9,FilterSpecs!$B$9)</f>
        <v>474-</v>
      </c>
      <c r="T32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474-PRT-13827</v>
      </c>
      <c r="U328" s="121">
        <v>0</v>
      </c>
      <c r="V328" s="121">
        <v>1</v>
      </c>
      <c r="W328" s="121">
        <v>1</v>
      </c>
      <c r="X328" s="121">
        <f>MouserListTable12[[#This Row],['#/Unit]]*FilterSpecs!$C$3+MouserListTable12[[#This Row],[Extra]]</f>
        <v>1</v>
      </c>
      <c r="Y328" s="121">
        <f>IF(MouserListTable12[[#This Row],[Tag]]=FilterSpecs!$F$7,MouserListTable12[[#This Row],[Price (USD)]],0)</f>
        <v>0</v>
      </c>
      <c r="Z328" s="121">
        <f>MouserListTable12[[#This Row],[Tot '#]]*MouserListTable12[[#This Row],[Price (USD)]]</f>
        <v>3.95</v>
      </c>
    </row>
    <row r="329" spans="1:26" s="146" customFormat="1" x14ac:dyDescent="0.3">
      <c r="A329" s="103" t="s">
        <v>897</v>
      </c>
      <c r="B329" s="103" t="s">
        <v>891</v>
      </c>
      <c r="C329" s="103" t="s">
        <v>8</v>
      </c>
      <c r="D329" s="106" t="str">
        <f>IF(MouserListTable12[[#This Row],[Vendor]]=FilterSpecs!$A$8,MouserListTable12[[#This Row],[Mouser SKU]], MouserListTable12[[#This Row],[SKU2]])</f>
        <v>BOB-10467</v>
      </c>
      <c r="E329" s="121">
        <f>MouserListTable12[[#This Row],[Tot '#]]-MouserListTable12[[#This Row],['# Initial]]</f>
        <v>0</v>
      </c>
      <c r="F329" s="121">
        <f>MouserListTable12[[#This Row],['#/Unit]]*FilterSpecs!$B$3+MouserListTable12[[#This Row],[Extra Initial]]</f>
        <v>4</v>
      </c>
      <c r="G329" s="103" t="s">
        <v>1296</v>
      </c>
      <c r="H329" s="103" t="s">
        <v>1297</v>
      </c>
      <c r="I329" s="103" t="s">
        <v>1298</v>
      </c>
      <c r="J329" s="103">
        <v>1</v>
      </c>
      <c r="K329" s="171">
        <v>1.5</v>
      </c>
      <c r="L329" s="106" t="s">
        <v>1911</v>
      </c>
      <c r="M329" s="103"/>
      <c r="N329" s="171">
        <f>MouserListTable12[[#This Row],['# Initial]]*MouserListTable12[[#This Row],[Price (USD)]]</f>
        <v>6</v>
      </c>
      <c r="O329" s="106" t="s">
        <v>1295</v>
      </c>
      <c r="P329" s="103">
        <f t="shared" si="6"/>
        <v>310</v>
      </c>
      <c r="Q329" s="103">
        <f>IF($D329=$O329,1,0)</f>
        <v>1</v>
      </c>
      <c r="R329" s="103" t="s">
        <v>8</v>
      </c>
      <c r="S329" s="103" t="str">
        <f>_xlfn.IFS(MouserListTable12[[#This Row],[Supplier]]=FilterSpecs!$A$6, FilterSpecs!$B$6,MouserListTable12[[#This Row],[Supplier]]=FilterSpecs!$A$7,FilterSpecs!$B$7,MouserListTable12[[#This Row],[Supplier]]=FilterSpecs!$A$8,FilterSpecs!$B$8,MouserListTable12[[#This Row],[Supplier]]=FilterSpecs!$A$9,FilterSpecs!$B$9)</f>
        <v>474-</v>
      </c>
      <c r="T32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474-BOB-10467</v>
      </c>
      <c r="U329" s="121">
        <v>0</v>
      </c>
      <c r="V329" s="121">
        <v>4</v>
      </c>
      <c r="W329" s="121">
        <v>4</v>
      </c>
      <c r="X329" s="121">
        <f>MouserListTable12[[#This Row],['#/Unit]]*FilterSpecs!$C$3+MouserListTable12[[#This Row],[Extra]]</f>
        <v>4</v>
      </c>
      <c r="Y329" s="121">
        <f>IF(MouserListTable12[[#This Row],[Tag]]=FilterSpecs!$F$7,MouserListTable12[[#This Row],[Price (USD)]],0)</f>
        <v>1.5</v>
      </c>
      <c r="Z329" s="121">
        <f>MouserListTable12[[#This Row],[Tot '#]]*MouserListTable12[[#This Row],[Price (USD)]]</f>
        <v>6</v>
      </c>
    </row>
    <row r="330" spans="1:26" s="146" customFormat="1" x14ac:dyDescent="0.3">
      <c r="A330" s="103" t="s">
        <v>897</v>
      </c>
      <c r="B330" s="103" t="s">
        <v>891</v>
      </c>
      <c r="C330" s="103" t="s">
        <v>8</v>
      </c>
      <c r="D330" s="106" t="str">
        <f>IF(MouserListTable12[[#This Row],[Vendor]]=FilterSpecs!$A$8,MouserListTable12[[#This Row],[Mouser SKU]], MouserListTable12[[#This Row],[SKU2]])</f>
        <v>COM-10443</v>
      </c>
      <c r="E330" s="121">
        <f>MouserListTable12[[#This Row],[Tot '#]]-MouserListTable12[[#This Row],['# Initial]]</f>
        <v>0</v>
      </c>
      <c r="F330" s="121">
        <f>MouserListTable12[[#This Row],['#/Unit]]*FilterSpecs!$B$3+MouserListTable12[[#This Row],[Extra Initial]]</f>
        <v>5</v>
      </c>
      <c r="G330" s="103" t="s">
        <v>604</v>
      </c>
      <c r="H330" s="103" t="s">
        <v>605</v>
      </c>
      <c r="I330" s="103" t="s">
        <v>606</v>
      </c>
      <c r="J330" s="103"/>
      <c r="K330" s="171">
        <v>1.95</v>
      </c>
      <c r="L330" s="103" t="s">
        <v>1911</v>
      </c>
      <c r="M330" s="103"/>
      <c r="N330" s="171">
        <f>MouserListTable12[[#This Row],['# Initial]]*MouserListTable12[[#This Row],[Price (USD)]]</f>
        <v>9.75</v>
      </c>
      <c r="O330" s="106" t="s">
        <v>603</v>
      </c>
      <c r="P330" s="103">
        <f t="shared" si="6"/>
        <v>311</v>
      </c>
      <c r="Q330" s="103">
        <f>IF($D330=$O330,1,0)</f>
        <v>1</v>
      </c>
      <c r="R330" s="103" t="s">
        <v>8</v>
      </c>
      <c r="S330" s="103" t="str">
        <f>_xlfn.IFS(MouserListTable12[[#This Row],[Supplier]]=FilterSpecs!$A$6, FilterSpecs!$B$6,MouserListTable12[[#This Row],[Supplier]]=FilterSpecs!$A$7,FilterSpecs!$B$7,MouserListTable12[[#This Row],[Supplier]]=FilterSpecs!$A$8,FilterSpecs!$B$8,MouserListTable12[[#This Row],[Supplier]]=FilterSpecs!$A$9,FilterSpecs!$B$9)</f>
        <v>474-</v>
      </c>
      <c r="T33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474-COM-10443</v>
      </c>
      <c r="U330" s="121">
        <v>1</v>
      </c>
      <c r="V330" s="121">
        <v>0</v>
      </c>
      <c r="W330" s="121">
        <v>0</v>
      </c>
      <c r="X330" s="121">
        <f>MouserListTable12[[#This Row],['#/Unit]]*FilterSpecs!$C$3+MouserListTable12[[#This Row],[Extra]]</f>
        <v>5</v>
      </c>
      <c r="Y330" s="121">
        <f>IF(MouserListTable12[[#This Row],[Tag]]=FilterSpecs!$F$7,MouserListTable12[[#This Row],[Price (USD)]],0)</f>
        <v>1.95</v>
      </c>
      <c r="Z330" s="121">
        <f>MouserListTable12[[#This Row],[Tot '#]]*MouserListTable12[[#This Row],[Price (USD)]]</f>
        <v>9.75</v>
      </c>
    </row>
    <row r="331" spans="1:26" s="146" customFormat="1" x14ac:dyDescent="0.3">
      <c r="A331" s="103" t="s">
        <v>897</v>
      </c>
      <c r="B331" s="103" t="s">
        <v>891</v>
      </c>
      <c r="C331" s="103" t="s">
        <v>8</v>
      </c>
      <c r="D331" s="106" t="str">
        <f>IF(MouserListTable12[[#This Row],[Vendor]]=FilterSpecs!$A$8,MouserListTable12[[#This Row],[Mouser SKU]], MouserListTable12[[#This Row],[SKU2]])</f>
        <v>COM-10440</v>
      </c>
      <c r="E331" s="121">
        <f>MouserListTable12[[#This Row],[Tot '#]]-MouserListTable12[[#This Row],['# Initial]]</f>
        <v>0</v>
      </c>
      <c r="F331" s="121">
        <f>MouserListTable12[[#This Row],['#/Unit]]*FilterSpecs!$B$3+MouserListTable12[[#This Row],[Extra Initial]]</f>
        <v>5</v>
      </c>
      <c r="G331" s="103" t="s">
        <v>608</v>
      </c>
      <c r="H331" s="103" t="s">
        <v>609</v>
      </c>
      <c r="I331" s="103" t="s">
        <v>610</v>
      </c>
      <c r="J331" s="103"/>
      <c r="K331" s="171">
        <v>1.95</v>
      </c>
      <c r="L331" s="103" t="s">
        <v>1911</v>
      </c>
      <c r="M331" s="103"/>
      <c r="N331" s="171">
        <f>MouserListTable12[[#This Row],['# Initial]]*MouserListTable12[[#This Row],[Price (USD)]]</f>
        <v>9.75</v>
      </c>
      <c r="O331" s="106" t="s">
        <v>607</v>
      </c>
      <c r="P331" s="103">
        <f t="shared" si="6"/>
        <v>312</v>
      </c>
      <c r="Q331" s="103">
        <f>IF($D331=$O331,1,0)</f>
        <v>1</v>
      </c>
      <c r="R331" s="103" t="s">
        <v>8</v>
      </c>
      <c r="S331" s="103" t="str">
        <f>_xlfn.IFS(MouserListTable12[[#This Row],[Supplier]]=FilterSpecs!$A$6, FilterSpecs!$B$6,MouserListTable12[[#This Row],[Supplier]]=FilterSpecs!$A$7,FilterSpecs!$B$7,MouserListTable12[[#This Row],[Supplier]]=FilterSpecs!$A$8,FilterSpecs!$B$8,MouserListTable12[[#This Row],[Supplier]]=FilterSpecs!$A$9,FilterSpecs!$B$9)</f>
        <v>474-</v>
      </c>
      <c r="T33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474-COM-10440</v>
      </c>
      <c r="U331" s="121">
        <v>1</v>
      </c>
      <c r="V331" s="121">
        <v>0</v>
      </c>
      <c r="W331" s="121">
        <v>0</v>
      </c>
      <c r="X331" s="121">
        <f>MouserListTable12[[#This Row],['#/Unit]]*FilterSpecs!$C$3+MouserListTable12[[#This Row],[Extra]]</f>
        <v>5</v>
      </c>
      <c r="Y331" s="121">
        <f>IF(MouserListTable12[[#This Row],[Tag]]=FilterSpecs!$F$7,MouserListTable12[[#This Row],[Price (USD)]],0)</f>
        <v>1.95</v>
      </c>
      <c r="Z331" s="121">
        <f>MouserListTable12[[#This Row],[Tot '#]]*MouserListTable12[[#This Row],[Price (USD)]]</f>
        <v>9.75</v>
      </c>
    </row>
    <row r="332" spans="1:26" s="146" customFormat="1" x14ac:dyDescent="0.3">
      <c r="A332" s="103" t="s">
        <v>897</v>
      </c>
      <c r="B332" s="103" t="s">
        <v>891</v>
      </c>
      <c r="C332" s="103" t="s">
        <v>8</v>
      </c>
      <c r="D332" s="106" t="str">
        <f>IF(MouserListTable12[[#This Row],[Vendor]]=FilterSpecs!$A$8,MouserListTable12[[#This Row],[Mouser SKU]], MouserListTable12[[#This Row],[SKU2]])</f>
        <v>COM-10442</v>
      </c>
      <c r="E332" s="121">
        <f>MouserListTable12[[#This Row],[Tot '#]]-MouserListTable12[[#This Row],['# Initial]]</f>
        <v>0</v>
      </c>
      <c r="F332" s="121">
        <f>MouserListTable12[[#This Row],['#/Unit]]*FilterSpecs!$B$3+MouserListTable12[[#This Row],[Extra Initial]]</f>
        <v>5</v>
      </c>
      <c r="G332" s="103" t="s">
        <v>1299</v>
      </c>
      <c r="H332" s="103" t="s">
        <v>1300</v>
      </c>
      <c r="I332" s="103" t="s">
        <v>1294</v>
      </c>
      <c r="J332" s="103"/>
      <c r="K332" s="171">
        <v>1.95</v>
      </c>
      <c r="L332" s="103" t="s">
        <v>1911</v>
      </c>
      <c r="M332" s="103"/>
      <c r="N332" s="171">
        <f>MouserListTable12[[#This Row],['# Initial]]*MouserListTable12[[#This Row],[Price (USD)]]</f>
        <v>9.75</v>
      </c>
      <c r="O332" s="106" t="s">
        <v>1293</v>
      </c>
      <c r="P332" s="103">
        <f t="shared" si="6"/>
        <v>313</v>
      </c>
      <c r="Q332" s="103">
        <f>IF($D332=$O332,1,0)</f>
        <v>1</v>
      </c>
      <c r="R332" s="103" t="s">
        <v>8</v>
      </c>
      <c r="S332" s="103" t="str">
        <f>_xlfn.IFS(MouserListTable12[[#This Row],[Supplier]]=FilterSpecs!$A$6, FilterSpecs!$B$6,MouserListTable12[[#This Row],[Supplier]]=FilterSpecs!$A$7,FilterSpecs!$B$7,MouserListTable12[[#This Row],[Supplier]]=FilterSpecs!$A$8,FilterSpecs!$B$8,MouserListTable12[[#This Row],[Supplier]]=FilterSpecs!$A$9,FilterSpecs!$B$9)</f>
        <v>474-</v>
      </c>
      <c r="T33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474-COM-10442</v>
      </c>
      <c r="U332" s="121">
        <v>1</v>
      </c>
      <c r="V332" s="121">
        <v>0</v>
      </c>
      <c r="W332" s="121">
        <v>0</v>
      </c>
      <c r="X332" s="121">
        <f>MouserListTable12[[#This Row],['#/Unit]]*FilterSpecs!$C$3+MouserListTable12[[#This Row],[Extra]]</f>
        <v>5</v>
      </c>
      <c r="Y332" s="121">
        <f>IF(MouserListTable12[[#This Row],[Tag]]=FilterSpecs!$F$7,MouserListTable12[[#This Row],[Price (USD)]],0)</f>
        <v>1.95</v>
      </c>
      <c r="Z332" s="121">
        <f>MouserListTable12[[#This Row],[Tot '#]]*MouserListTable12[[#This Row],[Price (USD)]]</f>
        <v>9.75</v>
      </c>
    </row>
    <row r="333" spans="1:26" s="144" customFormat="1" hidden="1" x14ac:dyDescent="0.3">
      <c r="A333" s="126" t="s">
        <v>897</v>
      </c>
      <c r="B333" s="126" t="s">
        <v>891</v>
      </c>
      <c r="C333" s="126" t="s">
        <v>8</v>
      </c>
      <c r="D333" s="106" t="str">
        <f>IF(MouserListTable12[[#This Row],[Vendor]]=FilterSpecs!$A$8,MouserListTable12[[#This Row],[Mouser SKU]], MouserListTable12[[#This Row],[SKU2]])</f>
        <v>COM-10441</v>
      </c>
      <c r="E333" s="121">
        <f>MouserListTable12[[#This Row],[Tot '#]]-MouserListTable12[[#This Row],['# Initial]]</f>
        <v>0</v>
      </c>
      <c r="F333" s="121">
        <f>MouserListTable12[[#This Row],['#/Unit]]*FilterSpecs!$B$3+MouserListTable12[[#This Row],[Extra Initial]]</f>
        <v>0</v>
      </c>
      <c r="G333" s="103" t="s">
        <v>1710</v>
      </c>
      <c r="H333" s="103" t="s">
        <v>1711</v>
      </c>
      <c r="I333" s="103" t="s">
        <v>1712</v>
      </c>
      <c r="J333" s="103"/>
      <c r="K333" s="171">
        <v>1.95</v>
      </c>
      <c r="L333" s="103" t="s">
        <v>1910</v>
      </c>
      <c r="M333" s="103"/>
      <c r="N333" s="171">
        <f>MouserListTable12[[#This Row],['# Initial]]*MouserListTable12[[#This Row],[Price (USD)]]</f>
        <v>0</v>
      </c>
      <c r="O333" s="106" t="s">
        <v>1709</v>
      </c>
      <c r="P333" s="103">
        <f t="shared" si="6"/>
        <v>314</v>
      </c>
      <c r="Q333" s="103">
        <f>IF($D333=$O333,1,0)</f>
        <v>1</v>
      </c>
      <c r="R333" s="103" t="s">
        <v>8</v>
      </c>
      <c r="S333" s="103" t="str">
        <f>_xlfn.IFS(MouserListTable12[[#This Row],[Supplier]]=FilterSpecs!$A$6, FilterSpecs!$B$6,MouserListTable12[[#This Row],[Supplier]]=FilterSpecs!$A$7,FilterSpecs!$B$7,MouserListTable12[[#This Row],[Supplier]]=FilterSpecs!$A$8,FilterSpecs!$B$8,MouserListTable12[[#This Row],[Supplier]]=FilterSpecs!$A$9,FilterSpecs!$B$9)</f>
        <v>474-</v>
      </c>
      <c r="T33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474-COM-10441</v>
      </c>
      <c r="U333" s="121">
        <v>0</v>
      </c>
      <c r="V333" s="121">
        <v>0</v>
      </c>
      <c r="W333" s="121">
        <v>0</v>
      </c>
      <c r="X333" s="121">
        <f>MouserListTable12[[#This Row],['#/Unit]]*FilterSpecs!$C$3+MouserListTable12[[#This Row],[Extra]]</f>
        <v>0</v>
      </c>
      <c r="Y333" s="121">
        <f>IF(MouserListTable12[[#This Row],[Tag]]=FilterSpecs!$F$7,MouserListTable12[[#This Row],[Price (USD)]],0)</f>
        <v>0</v>
      </c>
      <c r="Z333" s="121">
        <f>MouserListTable12[[#This Row],[Tot '#]]*MouserListTable12[[#This Row],[Price (USD)]]</f>
        <v>0</v>
      </c>
    </row>
    <row r="334" spans="1:26" s="144" customFormat="1" hidden="1" x14ac:dyDescent="0.3">
      <c r="A334" s="103" t="s">
        <v>897</v>
      </c>
      <c r="B334" s="103" t="s">
        <v>891</v>
      </c>
      <c r="C334" s="103" t="s">
        <v>8</v>
      </c>
      <c r="D334" s="106" t="str">
        <f>IF(MouserListTable12[[#This Row],[Vendor]]=FilterSpecs!$A$8,MouserListTable12[[#This Row],[Mouser SKU]], MouserListTable12[[#This Row],[SKU2]])</f>
        <v>COM-10439</v>
      </c>
      <c r="E334" s="121">
        <f>MouserListTable12[[#This Row],[Tot '#]]-MouserListTable12[[#This Row],['# Initial]]</f>
        <v>1</v>
      </c>
      <c r="F334" s="121">
        <f>MouserListTable12[[#This Row],['#/Unit]]*FilterSpecs!$B$3+MouserListTable12[[#This Row],[Extra Initial]]</f>
        <v>0</v>
      </c>
      <c r="G334" s="103" t="s">
        <v>1714</v>
      </c>
      <c r="H334" s="103" t="s">
        <v>1715</v>
      </c>
      <c r="I334" s="103" t="s">
        <v>1716</v>
      </c>
      <c r="J334" s="103"/>
      <c r="K334" s="171">
        <v>1.95</v>
      </c>
      <c r="L334" s="103" t="s">
        <v>1910</v>
      </c>
      <c r="M334" s="103"/>
      <c r="N334" s="171">
        <f>MouserListTable12[[#This Row],['# Initial]]*MouserListTable12[[#This Row],[Price (USD)]]</f>
        <v>0</v>
      </c>
      <c r="O334" s="106" t="s">
        <v>1713</v>
      </c>
      <c r="P334" s="103">
        <f t="shared" si="6"/>
        <v>315</v>
      </c>
      <c r="Q334" s="103">
        <f>IF($D334=$O334,1,0)</f>
        <v>1</v>
      </c>
      <c r="R334" s="103" t="s">
        <v>8</v>
      </c>
      <c r="S334" s="103" t="str">
        <f>_xlfn.IFS(MouserListTable12[[#This Row],[Supplier]]=FilterSpecs!$A$6, FilterSpecs!$B$6,MouserListTable12[[#This Row],[Supplier]]=FilterSpecs!$A$7,FilterSpecs!$B$7,MouserListTable12[[#This Row],[Supplier]]=FilterSpecs!$A$8,FilterSpecs!$B$8,MouserListTable12[[#This Row],[Supplier]]=FilterSpecs!$A$9,FilterSpecs!$B$9)</f>
        <v>474-</v>
      </c>
      <c r="T33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474-COM-10439</v>
      </c>
      <c r="U334" s="121">
        <v>0</v>
      </c>
      <c r="V334" s="121">
        <v>1</v>
      </c>
      <c r="W334" s="121">
        <v>0</v>
      </c>
      <c r="X334" s="121">
        <f>MouserListTable12[[#This Row],['#/Unit]]*FilterSpecs!$C$3+MouserListTable12[[#This Row],[Extra]]</f>
        <v>1</v>
      </c>
      <c r="Y334" s="121">
        <f>IF(MouserListTable12[[#This Row],[Tag]]=FilterSpecs!$F$7,MouserListTable12[[#This Row],[Price (USD)]],0)</f>
        <v>0</v>
      </c>
      <c r="Z334" s="121">
        <f>MouserListTable12[[#This Row],[Tot '#]]*MouserListTable12[[#This Row],[Price (USD)]]</f>
        <v>1.95</v>
      </c>
    </row>
    <row r="335" spans="1:26" s="144" customFormat="1" hidden="1" x14ac:dyDescent="0.3">
      <c r="A335" s="103" t="s">
        <v>897</v>
      </c>
      <c r="B335" s="103" t="s">
        <v>891</v>
      </c>
      <c r="C335" s="103" t="s">
        <v>1898</v>
      </c>
      <c r="D335" s="106" t="str">
        <f>IF(MouserListTable12[[#This Row],[Vendor]]=FilterSpecs!$A$8,MouserListTable12[[#This Row],[Mouser SKU]], MouserListTable12[[#This Row],[SKU2]])</f>
        <v>1119</v>
      </c>
      <c r="E335" s="121">
        <f>MouserListTable12[[#This Row],[Tot '#]]-MouserListTable12[[#This Row],['# Initial]]</f>
        <v>0</v>
      </c>
      <c r="F335" s="121">
        <f>MouserListTable12[[#This Row],['#/Unit]]*FilterSpecs!$B$3+MouserListTable12[[#This Row],[Extra Initial]]</f>
        <v>0</v>
      </c>
      <c r="G335" s="103"/>
      <c r="H335" s="103"/>
      <c r="I335" s="126" t="s">
        <v>2137</v>
      </c>
      <c r="J335" s="146"/>
      <c r="K335" s="172">
        <v>2.5</v>
      </c>
      <c r="L335" s="126" t="s">
        <v>1910</v>
      </c>
      <c r="M335" s="146"/>
      <c r="N335" s="171">
        <f>MouserListTable12[[#This Row],['# Initial]]*MouserListTable12[[#This Row],[Price (USD)]]</f>
        <v>0</v>
      </c>
      <c r="O335" s="106" t="s">
        <v>2136</v>
      </c>
      <c r="P335" s="103">
        <f t="shared" si="6"/>
        <v>316</v>
      </c>
      <c r="Q335" s="103">
        <f>IF($D335=$O335,1,0)</f>
        <v>1</v>
      </c>
      <c r="R335" s="103" t="s">
        <v>1898</v>
      </c>
      <c r="S335" s="103" t="str">
        <f>_xlfn.IFS(MouserListTable12[[#This Row],[Supplier]]=FilterSpecs!$A$6, FilterSpecs!$B$6,MouserListTable12[[#This Row],[Supplier]]=FilterSpecs!$A$7,FilterSpecs!$B$7,MouserListTable12[[#This Row],[Supplier]]=FilterSpecs!$A$8,FilterSpecs!$B$8,MouserListTable12[[#This Row],[Supplier]]=FilterSpecs!$A$9,FilterSpecs!$B$9)</f>
        <v>485-</v>
      </c>
      <c r="T33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485-1119</v>
      </c>
      <c r="U335" s="121">
        <v>0</v>
      </c>
      <c r="V335" s="121">
        <v>0</v>
      </c>
      <c r="W335" s="121">
        <v>0</v>
      </c>
      <c r="X335" s="121">
        <f>MouserListTable12[[#This Row],['#/Unit]]*FilterSpecs!$C$3+MouserListTable12[[#This Row],[Extra]]</f>
        <v>0</v>
      </c>
      <c r="Y335" s="121">
        <f>IF(MouserListTable12[[#This Row],[Tag]]=FilterSpecs!$F$7,MouserListTable12[[#This Row],[Price (USD)]],0)</f>
        <v>0</v>
      </c>
      <c r="Z335" s="121">
        <f>MouserListTable12[[#This Row],[Tot '#]]*MouserListTable12[[#This Row],[Price (USD)]]</f>
        <v>0</v>
      </c>
    </row>
    <row r="336" spans="1:26" s="144" customFormat="1" x14ac:dyDescent="0.3">
      <c r="A336" s="103" t="s">
        <v>897</v>
      </c>
      <c r="B336" s="103" t="s">
        <v>891</v>
      </c>
      <c r="C336" s="103" t="s">
        <v>8</v>
      </c>
      <c r="D336" s="106" t="str">
        <f>IF(MouserListTable12[[#This Row],[Vendor]]=FilterSpecs!$A$8,MouserListTable12[[#This Row],[Mouser SKU]], MouserListTable12[[#This Row],[SKU2]])</f>
        <v>COM-00097</v>
      </c>
      <c r="E336" s="121">
        <f>MouserListTable12[[#This Row],[Tot '#]]-MouserListTable12[[#This Row],['# Initial]]</f>
        <v>0</v>
      </c>
      <c r="F336" s="121">
        <f>MouserListTable12[[#This Row],['#/Unit]]*FilterSpecs!$B$3+MouserListTable12[[#This Row],[Extra Initial]]</f>
        <v>5</v>
      </c>
      <c r="G336" s="103" t="s">
        <v>616</v>
      </c>
      <c r="H336" s="103" t="s">
        <v>617</v>
      </c>
      <c r="I336" s="103" t="s">
        <v>618</v>
      </c>
      <c r="J336" s="103">
        <v>1</v>
      </c>
      <c r="K336" s="171">
        <v>0.35</v>
      </c>
      <c r="L336" s="103" t="s">
        <v>1911</v>
      </c>
      <c r="M336" s="103"/>
      <c r="N336" s="171">
        <f>MouserListTable12[[#This Row],['# Initial]]*MouserListTable12[[#This Row],[Price (USD)]]</f>
        <v>1.75</v>
      </c>
      <c r="O336" s="106" t="s">
        <v>615</v>
      </c>
      <c r="P336" s="103">
        <f t="shared" si="6"/>
        <v>317</v>
      </c>
      <c r="Q336" s="103">
        <f>IF($D336=$O336,1,0)</f>
        <v>1</v>
      </c>
      <c r="R336" s="103" t="s">
        <v>8</v>
      </c>
      <c r="S336" s="103" t="str">
        <f>_xlfn.IFS(MouserListTable12[[#This Row],[Supplier]]=FilterSpecs!$A$6, FilterSpecs!$B$6,MouserListTable12[[#This Row],[Supplier]]=FilterSpecs!$A$7,FilterSpecs!$B$7,MouserListTable12[[#This Row],[Supplier]]=FilterSpecs!$A$8,FilterSpecs!$B$8,MouserListTable12[[#This Row],[Supplier]]=FilterSpecs!$A$9,FilterSpecs!$B$9)</f>
        <v>474-</v>
      </c>
      <c r="T33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474-COM-00097</v>
      </c>
      <c r="U336" s="121">
        <v>1</v>
      </c>
      <c r="V336" s="121">
        <v>0</v>
      </c>
      <c r="W336" s="121">
        <v>0</v>
      </c>
      <c r="X336" s="121">
        <f>MouserListTable12[[#This Row],['#/Unit]]*FilterSpecs!$C$3+MouserListTable12[[#This Row],[Extra]]</f>
        <v>5</v>
      </c>
      <c r="Y336" s="121">
        <f>IF(MouserListTable12[[#This Row],[Tag]]=FilterSpecs!$F$7,MouserListTable12[[#This Row],[Price (USD)]],0)</f>
        <v>0.35</v>
      </c>
      <c r="Z336" s="121">
        <f>MouserListTable12[[#This Row],[Tot '#]]*MouserListTable12[[#This Row],[Price (USD)]]</f>
        <v>1.75</v>
      </c>
    </row>
    <row r="337" spans="1:26" s="144" customFormat="1" x14ac:dyDescent="0.3">
      <c r="A337" s="103" t="s">
        <v>897</v>
      </c>
      <c r="B337" s="103" t="s">
        <v>891</v>
      </c>
      <c r="C337" s="103" t="s">
        <v>8</v>
      </c>
      <c r="D337" s="106" t="str">
        <f>IF(MouserListTable12[[#This Row],[Vendor]]=FilterSpecs!$A$8,MouserListTable12[[#This Row],[Mouser SKU]], MouserListTable12[[#This Row],[SKU2]])</f>
        <v>COM-08605</v>
      </c>
      <c r="E337" s="121">
        <f>MouserListTable12[[#This Row],[Tot '#]]-MouserListTable12[[#This Row],['# Initial]]</f>
        <v>0</v>
      </c>
      <c r="F337" s="121">
        <f>MouserListTable12[[#This Row],['#/Unit]]*FilterSpecs!$B$3+MouserListTable12[[#This Row],[Extra Initial]]</f>
        <v>5</v>
      </c>
      <c r="G337" s="103" t="s">
        <v>628</v>
      </c>
      <c r="H337" s="103" t="s">
        <v>629</v>
      </c>
      <c r="I337" s="103" t="s">
        <v>630</v>
      </c>
      <c r="J337" s="103">
        <v>1</v>
      </c>
      <c r="K337" s="171">
        <v>0.5</v>
      </c>
      <c r="L337" s="103" t="s">
        <v>1911</v>
      </c>
      <c r="M337" s="103"/>
      <c r="N337" s="171">
        <f>MouserListTable12[[#This Row],['# Initial]]*MouserListTable12[[#This Row],[Price (USD)]]</f>
        <v>2.5</v>
      </c>
      <c r="O337" s="106" t="s">
        <v>627</v>
      </c>
      <c r="P337" s="103">
        <f t="shared" si="6"/>
        <v>318</v>
      </c>
      <c r="Q337" s="103">
        <f>IF($D337=$O337,1,0)</f>
        <v>1</v>
      </c>
      <c r="R337" s="103" t="s">
        <v>8</v>
      </c>
      <c r="S337" s="103" t="str">
        <f>_xlfn.IFS(MouserListTable12[[#This Row],[Supplier]]=FilterSpecs!$A$6, FilterSpecs!$B$6,MouserListTable12[[#This Row],[Supplier]]=FilterSpecs!$A$7,FilterSpecs!$B$7,MouserListTable12[[#This Row],[Supplier]]=FilterSpecs!$A$8,FilterSpecs!$B$8,MouserListTable12[[#This Row],[Supplier]]=FilterSpecs!$A$9,FilterSpecs!$B$9)</f>
        <v>474-</v>
      </c>
      <c r="T33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474-COM-08605</v>
      </c>
      <c r="U337" s="121">
        <v>1</v>
      </c>
      <c r="V337" s="121">
        <v>0</v>
      </c>
      <c r="W337" s="121">
        <v>0</v>
      </c>
      <c r="X337" s="121">
        <f>MouserListTable12[[#This Row],['#/Unit]]*FilterSpecs!$C$3+MouserListTable12[[#This Row],[Extra]]</f>
        <v>5</v>
      </c>
      <c r="Y337" s="121">
        <f>IF(MouserListTable12[[#This Row],[Tag]]=FilterSpecs!$F$7,MouserListTable12[[#This Row],[Price (USD)]],0)</f>
        <v>0.5</v>
      </c>
      <c r="Z337" s="121">
        <f>MouserListTable12[[#This Row],[Tot '#]]*MouserListTable12[[#This Row],[Price (USD)]]</f>
        <v>2.5</v>
      </c>
    </row>
    <row r="338" spans="1:26" s="144" customFormat="1" x14ac:dyDescent="0.3">
      <c r="A338" s="103" t="s">
        <v>897</v>
      </c>
      <c r="B338" s="103" t="s">
        <v>891</v>
      </c>
      <c r="C338" s="103" t="s">
        <v>8</v>
      </c>
      <c r="D338" s="106" t="str">
        <f>IF(MouserListTable12[[#This Row],[Vendor]]=FilterSpecs!$A$8,MouserListTable12[[#This Row],[Mouser SKU]], MouserListTable12[[#This Row],[SKU2]])</f>
        <v>COM-09190</v>
      </c>
      <c r="E338" s="121">
        <f>MouserListTable12[[#This Row],[Tot '#]]-MouserListTable12[[#This Row],['# Initial]]</f>
        <v>0</v>
      </c>
      <c r="F338" s="121">
        <f>MouserListTable12[[#This Row],['#/Unit]]*FilterSpecs!$B$3+MouserListTable12[[#This Row],[Extra Initial]]</f>
        <v>5</v>
      </c>
      <c r="G338" s="103" t="s">
        <v>624</v>
      </c>
      <c r="H338" s="103" t="s">
        <v>625</v>
      </c>
      <c r="I338" s="103" t="s">
        <v>626</v>
      </c>
      <c r="J338" s="103">
        <v>1</v>
      </c>
      <c r="K338" s="171">
        <v>0.5</v>
      </c>
      <c r="L338" s="103" t="s">
        <v>1911</v>
      </c>
      <c r="M338" s="103"/>
      <c r="N338" s="171">
        <f>MouserListTable12[[#This Row],['# Initial]]*MouserListTable12[[#This Row],[Price (USD)]]</f>
        <v>2.5</v>
      </c>
      <c r="O338" s="106" t="s">
        <v>623</v>
      </c>
      <c r="P338" s="103">
        <f t="shared" si="6"/>
        <v>319</v>
      </c>
      <c r="Q338" s="103">
        <f>IF($D338=$O338,1,0)</f>
        <v>1</v>
      </c>
      <c r="R338" s="103" t="s">
        <v>8</v>
      </c>
      <c r="S338" s="103" t="str">
        <f>_xlfn.IFS(MouserListTable12[[#This Row],[Supplier]]=FilterSpecs!$A$6, FilterSpecs!$B$6,MouserListTable12[[#This Row],[Supplier]]=FilterSpecs!$A$7,FilterSpecs!$B$7,MouserListTable12[[#This Row],[Supplier]]=FilterSpecs!$A$8,FilterSpecs!$B$8,MouserListTable12[[#This Row],[Supplier]]=FilterSpecs!$A$9,FilterSpecs!$B$9)</f>
        <v>474-</v>
      </c>
      <c r="T33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474-COM-09190</v>
      </c>
      <c r="U338" s="121">
        <v>1</v>
      </c>
      <c r="V338" s="121">
        <v>0</v>
      </c>
      <c r="W338" s="121">
        <v>0</v>
      </c>
      <c r="X338" s="121">
        <f>MouserListTable12[[#This Row],['#/Unit]]*FilterSpecs!$C$3+MouserListTable12[[#This Row],[Extra]]</f>
        <v>5</v>
      </c>
      <c r="Y338" s="121">
        <f>IF(MouserListTable12[[#This Row],[Tag]]=FilterSpecs!$F$7,MouserListTable12[[#This Row],[Price (USD)]],0)</f>
        <v>0.5</v>
      </c>
      <c r="Z338" s="121">
        <f>MouserListTable12[[#This Row],[Tot '#]]*MouserListTable12[[#This Row],[Price (USD)]]</f>
        <v>2.5</v>
      </c>
    </row>
    <row r="339" spans="1:26" s="144" customFormat="1" hidden="1" x14ac:dyDescent="0.3">
      <c r="A339" s="103" t="s">
        <v>897</v>
      </c>
      <c r="B339" s="103" t="s">
        <v>891</v>
      </c>
      <c r="C339" s="103" t="s">
        <v>1898</v>
      </c>
      <c r="D339" s="106" t="str">
        <f>IF(MouserListTable12[[#This Row],[Vendor]]=FilterSpecs!$A$8,MouserListTable12[[#This Row],[Mouser SKU]], MouserListTable12[[#This Row],[SKU2]])</f>
        <v>3105</v>
      </c>
      <c r="E339" s="121">
        <f>MouserListTable12[[#This Row],[Tot '#]]-MouserListTable12[[#This Row],['# Initial]]</f>
        <v>0</v>
      </c>
      <c r="F339" s="121">
        <f>MouserListTable12[[#This Row],['#/Unit]]*FilterSpecs!$B$3+MouserListTable12[[#This Row],[Extra Initial]]</f>
        <v>0</v>
      </c>
      <c r="G339" s="103"/>
      <c r="H339" s="103"/>
      <c r="I339" s="126" t="s">
        <v>2125</v>
      </c>
      <c r="J339" s="146"/>
      <c r="K339" s="172">
        <v>1.95</v>
      </c>
      <c r="L339" s="126" t="s">
        <v>1910</v>
      </c>
      <c r="M339" s="146"/>
      <c r="N339" s="171">
        <f>MouserListTable12[[#This Row],['# Initial]]*MouserListTable12[[#This Row],[Price (USD)]]</f>
        <v>0</v>
      </c>
      <c r="O339" s="106" t="s">
        <v>2124</v>
      </c>
      <c r="P339" s="103">
        <f t="shared" si="6"/>
        <v>320</v>
      </c>
      <c r="Q339" s="103">
        <f>IF($D339=$O339,1,0)</f>
        <v>1</v>
      </c>
      <c r="R339" s="103" t="s">
        <v>1898</v>
      </c>
      <c r="S339" s="103" t="str">
        <f>_xlfn.IFS(MouserListTable12[[#This Row],[Supplier]]=FilterSpecs!$A$6, FilterSpecs!$B$6,MouserListTable12[[#This Row],[Supplier]]=FilterSpecs!$A$7,FilterSpecs!$B$7,MouserListTable12[[#This Row],[Supplier]]=FilterSpecs!$A$8,FilterSpecs!$B$8,MouserListTable12[[#This Row],[Supplier]]=FilterSpecs!$A$9,FilterSpecs!$B$9)</f>
        <v>485-</v>
      </c>
      <c r="T33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485-3105</v>
      </c>
      <c r="U339" s="121">
        <v>0</v>
      </c>
      <c r="V339" s="121">
        <v>0</v>
      </c>
      <c r="W339" s="121">
        <v>0</v>
      </c>
      <c r="X339" s="121">
        <f>MouserListTable12[[#This Row],['#/Unit]]*FilterSpecs!$C$3+MouserListTable12[[#This Row],[Extra]]</f>
        <v>0</v>
      </c>
      <c r="Y339" s="121">
        <f>IF(MouserListTable12[[#This Row],[Tag]]=FilterSpecs!$F$7,MouserListTable12[[#This Row],[Price (USD)]],0)</f>
        <v>0</v>
      </c>
      <c r="Z339" s="121">
        <f>MouserListTable12[[#This Row],[Tot '#]]*MouserListTable12[[#This Row],[Price (USD)]]</f>
        <v>0</v>
      </c>
    </row>
    <row r="340" spans="1:26" s="146" customFormat="1" hidden="1" x14ac:dyDescent="0.3">
      <c r="A340" s="103" t="s">
        <v>897</v>
      </c>
      <c r="B340" s="103" t="s">
        <v>891</v>
      </c>
      <c r="C340" s="103" t="s">
        <v>1898</v>
      </c>
      <c r="D340" s="106" t="str">
        <f>IF(MouserListTable12[[#This Row],[Vendor]]=FilterSpecs!$A$8,MouserListTable12[[#This Row],[Mouser SKU]], MouserListTable12[[#This Row],[SKU2]])</f>
        <v>3104</v>
      </c>
      <c r="E340" s="121">
        <f>MouserListTable12[[#This Row],[Tot '#]]-MouserListTable12[[#This Row],['# Initial]]</f>
        <v>0</v>
      </c>
      <c r="F340" s="121">
        <f>MouserListTable12[[#This Row],['#/Unit]]*FilterSpecs!$B$3+MouserListTable12[[#This Row],[Extra Initial]]</f>
        <v>0</v>
      </c>
      <c r="G340" s="103"/>
      <c r="H340" s="103"/>
      <c r="I340" s="126" t="s">
        <v>2127</v>
      </c>
      <c r="K340" s="172">
        <v>1.95</v>
      </c>
      <c r="L340" s="126" t="s">
        <v>1910</v>
      </c>
      <c r="N340" s="171">
        <f>MouserListTable12[[#This Row],['# Initial]]*MouserListTable12[[#This Row],[Price (USD)]]</f>
        <v>0</v>
      </c>
      <c r="O340" s="106" t="s">
        <v>2126</v>
      </c>
      <c r="P340" s="103">
        <f t="shared" ref="P340:P403" si="7">IF($P339="List #",1,$P339+1)</f>
        <v>321</v>
      </c>
      <c r="Q340" s="103">
        <f>IF($D340=$O340,1,0)</f>
        <v>1</v>
      </c>
      <c r="R340" s="103" t="s">
        <v>1898</v>
      </c>
      <c r="S340" s="103" t="str">
        <f>_xlfn.IFS(MouserListTable12[[#This Row],[Supplier]]=FilterSpecs!$A$6, FilterSpecs!$B$6,MouserListTable12[[#This Row],[Supplier]]=FilterSpecs!$A$7,FilterSpecs!$B$7,MouserListTable12[[#This Row],[Supplier]]=FilterSpecs!$A$8,FilterSpecs!$B$8,MouserListTable12[[#This Row],[Supplier]]=FilterSpecs!$A$9,FilterSpecs!$B$9)</f>
        <v>485-</v>
      </c>
      <c r="T34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485-3104</v>
      </c>
      <c r="U340" s="121">
        <v>0</v>
      </c>
      <c r="V340" s="121">
        <v>0</v>
      </c>
      <c r="W340" s="121">
        <v>0</v>
      </c>
      <c r="X340" s="121">
        <f>MouserListTable12[[#This Row],['#/Unit]]*FilterSpecs!$C$3+MouserListTable12[[#This Row],[Extra]]</f>
        <v>0</v>
      </c>
      <c r="Y340" s="121">
        <f>IF(MouserListTable12[[#This Row],[Tag]]=FilterSpecs!$F$7,MouserListTable12[[#This Row],[Price (USD)]],0)</f>
        <v>0</v>
      </c>
      <c r="Z340" s="121">
        <f>MouserListTable12[[#This Row],[Tot '#]]*MouserListTable12[[#This Row],[Price (USD)]]</f>
        <v>0</v>
      </c>
    </row>
    <row r="341" spans="1:26" s="146" customFormat="1" x14ac:dyDescent="0.3">
      <c r="A341" s="103" t="s">
        <v>897</v>
      </c>
      <c r="B341" s="103" t="s">
        <v>891</v>
      </c>
      <c r="C341" s="103" t="s">
        <v>8</v>
      </c>
      <c r="D341" s="106" t="str">
        <f>IF(MouserListTable12[[#This Row],[Vendor]]=FilterSpecs!$A$8,MouserListTable12[[#This Row],[Mouser SKU]], MouserListTable12[[#This Row],[SKU2]])</f>
        <v>COM-10791</v>
      </c>
      <c r="E341" s="121">
        <f>MouserListTable12[[#This Row],[Tot '#]]-MouserListTable12[[#This Row],['# Initial]]</f>
        <v>0</v>
      </c>
      <c r="F341" s="121">
        <f>MouserListTable12[[#This Row],['#/Unit]]*FilterSpecs!$B$3+MouserListTable12[[#This Row],[Extra Initial]]</f>
        <v>5</v>
      </c>
      <c r="G341" s="103" t="s">
        <v>620</v>
      </c>
      <c r="H341" s="103" t="s">
        <v>621</v>
      </c>
      <c r="I341" s="103" t="s">
        <v>622</v>
      </c>
      <c r="J341" s="103">
        <v>1</v>
      </c>
      <c r="K341" s="171">
        <v>0.5</v>
      </c>
      <c r="L341" s="103" t="s">
        <v>1911</v>
      </c>
      <c r="M341" s="103"/>
      <c r="N341" s="171">
        <f>MouserListTable12[[#This Row],['# Initial]]*MouserListTable12[[#This Row],[Price (USD)]]</f>
        <v>2.5</v>
      </c>
      <c r="O341" s="106" t="s">
        <v>619</v>
      </c>
      <c r="P341" s="103">
        <f t="shared" si="7"/>
        <v>322</v>
      </c>
      <c r="Q341" s="103">
        <f>IF($D341=$O341,1,0)</f>
        <v>1</v>
      </c>
      <c r="R341" s="103" t="s">
        <v>8</v>
      </c>
      <c r="S341" s="103" t="str">
        <f>_xlfn.IFS(MouserListTable12[[#This Row],[Supplier]]=FilterSpecs!$A$6, FilterSpecs!$B$6,MouserListTable12[[#This Row],[Supplier]]=FilterSpecs!$A$7,FilterSpecs!$B$7,MouserListTable12[[#This Row],[Supplier]]=FilterSpecs!$A$8,FilterSpecs!$B$8,MouserListTable12[[#This Row],[Supplier]]=FilterSpecs!$A$9,FilterSpecs!$B$9)</f>
        <v>474-</v>
      </c>
      <c r="T34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474-COM-10791</v>
      </c>
      <c r="U341" s="121">
        <v>1</v>
      </c>
      <c r="V341" s="121">
        <v>0</v>
      </c>
      <c r="W341" s="121">
        <v>0</v>
      </c>
      <c r="X341" s="121">
        <f>MouserListTable12[[#This Row],['#/Unit]]*FilterSpecs!$C$3+MouserListTable12[[#This Row],[Extra]]</f>
        <v>5</v>
      </c>
      <c r="Y341" s="121">
        <f>IF(MouserListTable12[[#This Row],[Tag]]=FilterSpecs!$F$7,MouserListTable12[[#This Row],[Price (USD)]],0)</f>
        <v>0.5</v>
      </c>
      <c r="Z341" s="121">
        <f>MouserListTable12[[#This Row],[Tot '#]]*MouserListTable12[[#This Row],[Price (USD)]]</f>
        <v>2.5</v>
      </c>
    </row>
    <row r="342" spans="1:26" s="146" customFormat="1" x14ac:dyDescent="0.3">
      <c r="A342" s="103" t="s">
        <v>897</v>
      </c>
      <c r="B342" s="103" t="s">
        <v>891</v>
      </c>
      <c r="C342" s="103" t="s">
        <v>8</v>
      </c>
      <c r="D342" s="106" t="str">
        <f>IF(MouserListTable12[[#This Row],[Vendor]]=FilterSpecs!$A$8,MouserListTable12[[#This Row],[Mouser SKU]], MouserListTable12[[#This Row],[SKU2]])</f>
        <v>COM-08837</v>
      </c>
      <c r="E342" s="121">
        <f>MouserListTable12[[#This Row],[Tot '#]]-MouserListTable12[[#This Row],['# Initial]]</f>
        <v>2</v>
      </c>
      <c r="F342" s="121">
        <f>MouserListTable12[[#This Row],['#/Unit]]*FilterSpecs!$B$3+MouserListTable12[[#This Row],[Extra Initial]]</f>
        <v>5</v>
      </c>
      <c r="G342" s="103" t="s">
        <v>532</v>
      </c>
      <c r="H342" s="103" t="s">
        <v>533</v>
      </c>
      <c r="I342" s="103" t="s">
        <v>534</v>
      </c>
      <c r="J342" s="103">
        <v>1</v>
      </c>
      <c r="K342" s="171">
        <v>0.95</v>
      </c>
      <c r="L342" s="106" t="s">
        <v>1911</v>
      </c>
      <c r="M342" s="103"/>
      <c r="N342" s="171">
        <f>MouserListTable12[[#This Row],['# Initial]]*MouserListTable12[[#This Row],[Price (USD)]]</f>
        <v>4.75</v>
      </c>
      <c r="O342" s="106" t="s">
        <v>531</v>
      </c>
      <c r="P342" s="103">
        <f t="shared" si="7"/>
        <v>323</v>
      </c>
      <c r="Q342" s="103">
        <f>IF($D342=$O342,1,0)</f>
        <v>1</v>
      </c>
      <c r="R342" s="103" t="s">
        <v>8</v>
      </c>
      <c r="S342" s="103" t="str">
        <f>_xlfn.IFS(MouserListTable12[[#This Row],[Supplier]]=FilterSpecs!$A$6, FilterSpecs!$B$6,MouserListTable12[[#This Row],[Supplier]]=FilterSpecs!$A$7,FilterSpecs!$B$7,MouserListTable12[[#This Row],[Supplier]]=FilterSpecs!$A$8,FilterSpecs!$B$8,MouserListTable12[[#This Row],[Supplier]]=FilterSpecs!$A$9,FilterSpecs!$B$9)</f>
        <v>474-</v>
      </c>
      <c r="T34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474-COM-08837</v>
      </c>
      <c r="U342" s="121">
        <v>1</v>
      </c>
      <c r="V342" s="121">
        <v>2</v>
      </c>
      <c r="W342" s="121">
        <v>0</v>
      </c>
      <c r="X342" s="121">
        <f>MouserListTable12[[#This Row],['#/Unit]]*FilterSpecs!$C$3+MouserListTable12[[#This Row],[Extra]]</f>
        <v>7</v>
      </c>
      <c r="Y342" s="121">
        <f>IF(MouserListTable12[[#This Row],[Tag]]=FilterSpecs!$F$7,MouserListTable12[[#This Row],[Price (USD)]],0)</f>
        <v>0.95</v>
      </c>
      <c r="Z342" s="121">
        <f>MouserListTable12[[#This Row],[Tot '#]]*MouserListTable12[[#This Row],[Price (USD)]]</f>
        <v>6.6499999999999995</v>
      </c>
    </row>
    <row r="343" spans="1:26" s="146" customFormat="1" x14ac:dyDescent="0.3">
      <c r="A343" s="103" t="s">
        <v>897</v>
      </c>
      <c r="B343" s="103" t="s">
        <v>891</v>
      </c>
      <c r="C343" s="103" t="s">
        <v>8</v>
      </c>
      <c r="D343" s="106" t="str">
        <f>IF(MouserListTable12[[#This Row],[Vendor]]=FilterSpecs!$A$8,MouserListTable12[[#This Row],[Mouser SKU]], MouserListTable12[[#This Row],[SKU2]])</f>
        <v>COM-00102</v>
      </c>
      <c r="E343" s="121">
        <f>MouserListTable12[[#This Row],[Tot '#]]-MouserListTable12[[#This Row],['# Initial]]</f>
        <v>0</v>
      </c>
      <c r="F343" s="121">
        <f>MouserListTable12[[#This Row],['#/Unit]]*FilterSpecs!$B$3+MouserListTable12[[#This Row],[Extra Initial]]</f>
        <v>5</v>
      </c>
      <c r="G343" s="103" t="s">
        <v>632</v>
      </c>
      <c r="H343" s="103" t="s">
        <v>633</v>
      </c>
      <c r="I343" s="103" t="s">
        <v>18939</v>
      </c>
      <c r="J343" s="103">
        <v>1</v>
      </c>
      <c r="K343" s="171">
        <v>1.5</v>
      </c>
      <c r="L343" s="103" t="s">
        <v>1911</v>
      </c>
      <c r="M343" s="103"/>
      <c r="N343" s="171">
        <f>MouserListTable12[[#This Row],['# Initial]]*MouserListTable12[[#This Row],[Price (USD)]]</f>
        <v>7.5</v>
      </c>
      <c r="O343" s="106" t="s">
        <v>631</v>
      </c>
      <c r="P343" s="103">
        <f t="shared" si="7"/>
        <v>324</v>
      </c>
      <c r="Q343" s="103">
        <f>IF($D343=$O343,1,0)</f>
        <v>1</v>
      </c>
      <c r="R343" s="103" t="s">
        <v>8</v>
      </c>
      <c r="S343" s="103" t="str">
        <f>_xlfn.IFS(MouserListTable12[[#This Row],[Supplier]]=FilterSpecs!$A$6, FilterSpecs!$B$6,MouserListTable12[[#This Row],[Supplier]]=FilterSpecs!$A$7,FilterSpecs!$B$7,MouserListTable12[[#This Row],[Supplier]]=FilterSpecs!$A$8,FilterSpecs!$B$8,MouserListTable12[[#This Row],[Supplier]]=FilterSpecs!$A$9,FilterSpecs!$B$9)</f>
        <v>474-</v>
      </c>
      <c r="T34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474-COM-00102</v>
      </c>
      <c r="U343" s="121">
        <v>1</v>
      </c>
      <c r="V343" s="121">
        <v>0</v>
      </c>
      <c r="W343" s="121">
        <v>0</v>
      </c>
      <c r="X343" s="121">
        <f>MouserListTable12[[#This Row],['#/Unit]]*FilterSpecs!$C$3+MouserListTable12[[#This Row],[Extra]]</f>
        <v>5</v>
      </c>
      <c r="Y343" s="121">
        <f>IF(MouserListTable12[[#This Row],[Tag]]=FilterSpecs!$F$7,MouserListTable12[[#This Row],[Price (USD)]],0)</f>
        <v>1.5</v>
      </c>
      <c r="Z343" s="121">
        <f>MouserListTable12[[#This Row],[Tot '#]]*MouserListTable12[[#This Row],[Price (USD)]]</f>
        <v>7.5</v>
      </c>
    </row>
    <row r="344" spans="1:26" s="146" customFormat="1" hidden="1" x14ac:dyDescent="0.3">
      <c r="A344" s="103" t="s">
        <v>897</v>
      </c>
      <c r="B344" s="103" t="s">
        <v>891</v>
      </c>
      <c r="C344" s="103" t="s">
        <v>8</v>
      </c>
      <c r="D344" s="106" t="str">
        <f>IF(MouserListTable12[[#This Row],[Vendor]]=FilterSpecs!$A$8,MouserListTable12[[#This Row],[Mouser SKU]], MouserListTable12[[#This Row],[SKU2]])</f>
        <v>COM-09609</v>
      </c>
      <c r="E344" s="121">
        <f>MouserListTable12[[#This Row],[Tot '#]]-MouserListTable12[[#This Row],['# Initial]]</f>
        <v>0</v>
      </c>
      <c r="F344" s="121">
        <f>MouserListTable12[[#This Row],['#/Unit]]*FilterSpecs!$B$3+MouserListTable12[[#This Row],[Extra Initial]]</f>
        <v>0</v>
      </c>
      <c r="G344" s="103" t="s">
        <v>1335</v>
      </c>
      <c r="H344" s="103" t="s">
        <v>1336</v>
      </c>
      <c r="I344" s="103" t="s">
        <v>1337</v>
      </c>
      <c r="J344" s="103">
        <v>1</v>
      </c>
      <c r="K344" s="171">
        <v>0.75</v>
      </c>
      <c r="L344" s="103" t="s">
        <v>1913</v>
      </c>
      <c r="M344" s="103"/>
      <c r="N344" s="171">
        <f>MouserListTable12[[#This Row],['# Initial]]*MouserListTable12[[#This Row],[Price (USD)]]</f>
        <v>0</v>
      </c>
      <c r="O344" s="106" t="s">
        <v>1334</v>
      </c>
      <c r="P344" s="103">
        <f t="shared" si="7"/>
        <v>325</v>
      </c>
      <c r="Q344" s="103">
        <f>IF($D344=$O344,1,0)</f>
        <v>1</v>
      </c>
      <c r="R344" s="103" t="s">
        <v>8</v>
      </c>
      <c r="S344" s="103" t="str">
        <f>_xlfn.IFS(MouserListTable12[[#This Row],[Supplier]]=FilterSpecs!$A$6, FilterSpecs!$B$6,MouserListTable12[[#This Row],[Supplier]]=FilterSpecs!$A$7,FilterSpecs!$B$7,MouserListTable12[[#This Row],[Supplier]]=FilterSpecs!$A$8,FilterSpecs!$B$8,MouserListTable12[[#This Row],[Supplier]]=FilterSpecs!$A$9,FilterSpecs!$B$9)</f>
        <v>474-</v>
      </c>
      <c r="T34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474-COM-09609</v>
      </c>
      <c r="U344" s="121">
        <v>0</v>
      </c>
      <c r="V344" s="121">
        <v>0</v>
      </c>
      <c r="W344" s="121">
        <v>0</v>
      </c>
      <c r="X344" s="121">
        <f>MouserListTable12[[#This Row],['#/Unit]]*FilterSpecs!$C$3+MouserListTable12[[#This Row],[Extra]]</f>
        <v>0</v>
      </c>
      <c r="Y344" s="121">
        <f>IF(MouserListTable12[[#This Row],[Tag]]=FilterSpecs!$F$7,MouserListTable12[[#This Row],[Price (USD)]],0)</f>
        <v>0</v>
      </c>
      <c r="Z344" s="121">
        <f>MouserListTable12[[#This Row],[Tot '#]]*MouserListTable12[[#This Row],[Price (USD)]]</f>
        <v>0</v>
      </c>
    </row>
    <row r="345" spans="1:26" s="144" customFormat="1" hidden="1" x14ac:dyDescent="0.3">
      <c r="A345" s="103" t="s">
        <v>897</v>
      </c>
      <c r="B345" s="103" t="s">
        <v>891</v>
      </c>
      <c r="C345" s="103" t="s">
        <v>8</v>
      </c>
      <c r="D345" s="106" t="str">
        <f>IF(MouserListTable12[[#This Row],[Vendor]]=FilterSpecs!$A$8,MouserListTable12[[#This Row],[Mouser SKU]], MouserListTable12[[#This Row],[SKU2]])</f>
        <v>COM-13834</v>
      </c>
      <c r="E345" s="121">
        <f>MouserListTable12[[#This Row],[Tot '#]]-MouserListTable12[[#This Row],['# Initial]]</f>
        <v>1</v>
      </c>
      <c r="F345" s="121">
        <f>MouserListTable12[[#This Row],['#/Unit]]*FilterSpecs!$B$3+MouserListTable12[[#This Row],[Extra Initial]]</f>
        <v>0</v>
      </c>
      <c r="G345" s="103" t="s">
        <v>1678</v>
      </c>
      <c r="H345" s="103" t="s">
        <v>1679</v>
      </c>
      <c r="I345" s="103" t="s">
        <v>1680</v>
      </c>
      <c r="J345" s="103">
        <v>1</v>
      </c>
      <c r="K345" s="171">
        <v>0.95</v>
      </c>
      <c r="L345" s="103" t="s">
        <v>1910</v>
      </c>
      <c r="M345" s="103"/>
      <c r="N345" s="171">
        <f>MouserListTable12[[#This Row],['# Initial]]*MouserListTable12[[#This Row],[Price (USD)]]</f>
        <v>0</v>
      </c>
      <c r="O345" s="106" t="s">
        <v>1677</v>
      </c>
      <c r="P345" s="103">
        <f t="shared" si="7"/>
        <v>326</v>
      </c>
      <c r="Q345" s="103">
        <f>IF($D345=$O345,1,0)</f>
        <v>1</v>
      </c>
      <c r="R345" s="103" t="s">
        <v>8</v>
      </c>
      <c r="S345" s="103" t="str">
        <f>_xlfn.IFS(MouserListTable12[[#This Row],[Supplier]]=FilterSpecs!$A$6, FilterSpecs!$B$6,MouserListTable12[[#This Row],[Supplier]]=FilterSpecs!$A$7,FilterSpecs!$B$7,MouserListTable12[[#This Row],[Supplier]]=FilterSpecs!$A$8,FilterSpecs!$B$8,MouserListTable12[[#This Row],[Supplier]]=FilterSpecs!$A$9,FilterSpecs!$B$9)</f>
        <v>474-</v>
      </c>
      <c r="T34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474-COM-13834</v>
      </c>
      <c r="U345" s="121">
        <v>0</v>
      </c>
      <c r="V345" s="121">
        <v>1</v>
      </c>
      <c r="W345" s="121">
        <v>0</v>
      </c>
      <c r="X345" s="121">
        <f>MouserListTable12[[#This Row],['#/Unit]]*FilterSpecs!$C$3+MouserListTable12[[#This Row],[Extra]]</f>
        <v>1</v>
      </c>
      <c r="Y345" s="121">
        <f>IF(MouserListTable12[[#This Row],[Tag]]=FilterSpecs!$F$7,MouserListTable12[[#This Row],[Price (USD)]],0)</f>
        <v>0</v>
      </c>
      <c r="Z345" s="121">
        <f>MouserListTable12[[#This Row],[Tot '#]]*MouserListTable12[[#This Row],[Price (USD)]]</f>
        <v>0.95</v>
      </c>
    </row>
    <row r="346" spans="1:26" s="144" customFormat="1" hidden="1" x14ac:dyDescent="0.3">
      <c r="A346" s="103" t="s">
        <v>897</v>
      </c>
      <c r="B346" s="103" t="s">
        <v>891</v>
      </c>
      <c r="C346" s="103" t="s">
        <v>8</v>
      </c>
      <c r="D346" s="106" t="str">
        <f>IF(MouserListTable12[[#This Row],[Vendor]]=FilterSpecs!$A$8,MouserListTable12[[#This Row],[Mouser SKU]], MouserListTable12[[#This Row],[SKU2]])</f>
        <v>COM-10063</v>
      </c>
      <c r="E346" s="121">
        <f>MouserListTable12[[#This Row],[Tot '#]]-MouserListTable12[[#This Row],['# Initial]]</f>
        <v>1</v>
      </c>
      <c r="F346" s="121">
        <f>MouserListTable12[[#This Row],['#/Unit]]*FilterSpecs!$B$3+MouserListTable12[[#This Row],[Extra Initial]]</f>
        <v>0</v>
      </c>
      <c r="G346" s="103" t="s">
        <v>1694</v>
      </c>
      <c r="H346" s="103" t="s">
        <v>1695</v>
      </c>
      <c r="I346" s="103" t="s">
        <v>1696</v>
      </c>
      <c r="J346" s="103">
        <v>1</v>
      </c>
      <c r="K346" s="171">
        <v>1.95</v>
      </c>
      <c r="L346" s="103" t="s">
        <v>1910</v>
      </c>
      <c r="M346" s="103"/>
      <c r="N346" s="171">
        <f>MouserListTable12[[#This Row],['# Initial]]*MouserListTable12[[#This Row],[Price (USD)]]</f>
        <v>0</v>
      </c>
      <c r="O346" s="106" t="s">
        <v>1693</v>
      </c>
      <c r="P346" s="103">
        <f t="shared" si="7"/>
        <v>327</v>
      </c>
      <c r="Q346" s="103">
        <f>IF($D346=$O346,1,0)</f>
        <v>1</v>
      </c>
      <c r="R346" s="103" t="s">
        <v>8</v>
      </c>
      <c r="S346" s="103" t="str">
        <f>_xlfn.IFS(MouserListTable12[[#This Row],[Supplier]]=FilterSpecs!$A$6, FilterSpecs!$B$6,MouserListTable12[[#This Row],[Supplier]]=FilterSpecs!$A$7,FilterSpecs!$B$7,MouserListTable12[[#This Row],[Supplier]]=FilterSpecs!$A$8,FilterSpecs!$B$8,MouserListTable12[[#This Row],[Supplier]]=FilterSpecs!$A$9,FilterSpecs!$B$9)</f>
        <v>474-</v>
      </c>
      <c r="T34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474-COM-10063</v>
      </c>
      <c r="U346" s="121">
        <v>0</v>
      </c>
      <c r="V346" s="121">
        <v>1</v>
      </c>
      <c r="W346" s="121">
        <v>0</v>
      </c>
      <c r="X346" s="121">
        <f>MouserListTable12[[#This Row],['#/Unit]]*FilterSpecs!$C$3+MouserListTable12[[#This Row],[Extra]]</f>
        <v>1</v>
      </c>
      <c r="Y346" s="121">
        <f>IF(MouserListTable12[[#This Row],[Tag]]=FilterSpecs!$F$7,MouserListTable12[[#This Row],[Price (USD)]],0)</f>
        <v>0</v>
      </c>
      <c r="Z346" s="121">
        <f>MouserListTable12[[#This Row],[Tot '#]]*MouserListTable12[[#This Row],[Price (USD)]]</f>
        <v>1.95</v>
      </c>
    </row>
    <row r="347" spans="1:26" s="144" customFormat="1" hidden="1" x14ac:dyDescent="0.3">
      <c r="A347" s="103" t="s">
        <v>897</v>
      </c>
      <c r="B347" s="103" t="s">
        <v>891</v>
      </c>
      <c r="C347" s="103" t="s">
        <v>8</v>
      </c>
      <c r="D347" s="106" t="str">
        <f>IF(MouserListTable12[[#This Row],[Vendor]]=FilterSpecs!$A$8,MouserListTable12[[#This Row],[Mouser SKU]], MouserListTable12[[#This Row],[SKU2]])</f>
        <v>COM-09426</v>
      </c>
      <c r="E347" s="121">
        <f>MouserListTable12[[#This Row],[Tot '#]]-MouserListTable12[[#This Row],['# Initial]]</f>
        <v>1</v>
      </c>
      <c r="F347" s="121">
        <f>MouserListTable12[[#This Row],['#/Unit]]*FilterSpecs!$B$3+MouserListTable12[[#This Row],[Extra Initial]]</f>
        <v>0</v>
      </c>
      <c r="G347" s="103" t="s">
        <v>1690</v>
      </c>
      <c r="H347" s="103" t="s">
        <v>1691</v>
      </c>
      <c r="I347" s="103" t="s">
        <v>1692</v>
      </c>
      <c r="J347" s="103">
        <v>1</v>
      </c>
      <c r="K347" s="171">
        <v>3.5</v>
      </c>
      <c r="L347" s="103" t="s">
        <v>1913</v>
      </c>
      <c r="M347" s="103"/>
      <c r="N347" s="171">
        <f>MouserListTable12[[#This Row],['# Initial]]*MouserListTable12[[#This Row],[Price (USD)]]</f>
        <v>0</v>
      </c>
      <c r="O347" s="106" t="s">
        <v>1689</v>
      </c>
      <c r="P347" s="103">
        <f t="shared" si="7"/>
        <v>328</v>
      </c>
      <c r="Q347" s="103">
        <f>IF($D347=$O347,1,0)</f>
        <v>1</v>
      </c>
      <c r="R347" s="103" t="s">
        <v>8</v>
      </c>
      <c r="S347" s="103" t="str">
        <f>_xlfn.IFS(MouserListTable12[[#This Row],[Supplier]]=FilterSpecs!$A$6, FilterSpecs!$B$6,MouserListTable12[[#This Row],[Supplier]]=FilterSpecs!$A$7,FilterSpecs!$B$7,MouserListTable12[[#This Row],[Supplier]]=FilterSpecs!$A$8,FilterSpecs!$B$8,MouserListTable12[[#This Row],[Supplier]]=FilterSpecs!$A$9,FilterSpecs!$B$9)</f>
        <v>474-</v>
      </c>
      <c r="T34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474-COM-09426</v>
      </c>
      <c r="U347" s="121">
        <v>0</v>
      </c>
      <c r="V347" s="121">
        <v>1</v>
      </c>
      <c r="W347" s="121">
        <v>0</v>
      </c>
      <c r="X347" s="121">
        <f>MouserListTable12[[#This Row],['#/Unit]]*FilterSpecs!$C$3+MouserListTable12[[#This Row],[Extra]]</f>
        <v>1</v>
      </c>
      <c r="Y347" s="121">
        <f>IF(MouserListTable12[[#This Row],[Tag]]=FilterSpecs!$F$7,MouserListTable12[[#This Row],[Price (USD)]],0)</f>
        <v>0</v>
      </c>
      <c r="Z347" s="121">
        <f>MouserListTable12[[#This Row],[Tot '#]]*MouserListTable12[[#This Row],[Price (USD)]]</f>
        <v>3.5</v>
      </c>
    </row>
    <row r="348" spans="1:26" s="146" customFormat="1" hidden="1" x14ac:dyDescent="0.3">
      <c r="A348" s="103" t="s">
        <v>897</v>
      </c>
      <c r="B348" s="103" t="s">
        <v>891</v>
      </c>
      <c r="C348" s="103" t="s">
        <v>8</v>
      </c>
      <c r="D348" s="106" t="str">
        <f>IF(MouserListTable12[[#This Row],[Vendor]]=FilterSpecs!$A$8,MouserListTable12[[#This Row],[Mouser SKU]], MouserListTable12[[#This Row],[SKU2]])</f>
        <v>COM-10002</v>
      </c>
      <c r="E348" s="121">
        <f>MouserListTable12[[#This Row],[Tot '#]]-MouserListTable12[[#This Row],['# Initial]]</f>
        <v>3</v>
      </c>
      <c r="F348" s="121">
        <f>MouserListTable12[[#This Row],['#/Unit]]*FilterSpecs!$B$3+MouserListTable12[[#This Row],[Extra Initial]]</f>
        <v>0</v>
      </c>
      <c r="G348" s="103" t="s">
        <v>732</v>
      </c>
      <c r="H348" s="103" t="s">
        <v>733</v>
      </c>
      <c r="I348" s="103" t="s">
        <v>734</v>
      </c>
      <c r="J348" s="103"/>
      <c r="K348" s="171">
        <v>1.5</v>
      </c>
      <c r="L348" s="103" t="s">
        <v>1910</v>
      </c>
      <c r="M348" s="106"/>
      <c r="N348" s="171">
        <f>MouserListTable12[[#This Row],['# Initial]]*MouserListTable12[[#This Row],[Price (USD)]]</f>
        <v>0</v>
      </c>
      <c r="O348" s="106" t="s">
        <v>731</v>
      </c>
      <c r="P348" s="103">
        <f t="shared" si="7"/>
        <v>329</v>
      </c>
      <c r="Q348" s="103">
        <f>IF($D348=$O348,1,0)</f>
        <v>1</v>
      </c>
      <c r="R348" s="103" t="s">
        <v>8</v>
      </c>
      <c r="S348" s="103" t="str">
        <f>_xlfn.IFS(MouserListTable12[[#This Row],[Supplier]]=FilterSpecs!$A$6, FilterSpecs!$B$6,MouserListTable12[[#This Row],[Supplier]]=FilterSpecs!$A$7,FilterSpecs!$B$7,MouserListTable12[[#This Row],[Supplier]]=FilterSpecs!$A$8,FilterSpecs!$B$8,MouserListTable12[[#This Row],[Supplier]]=FilterSpecs!$A$9,FilterSpecs!$B$9)</f>
        <v>474-</v>
      </c>
      <c r="T34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474-COM-10002</v>
      </c>
      <c r="U348" s="121">
        <v>0</v>
      </c>
      <c r="V348" s="121">
        <v>3</v>
      </c>
      <c r="W348" s="121">
        <v>0</v>
      </c>
      <c r="X348" s="121">
        <f>MouserListTable12[[#This Row],['#/Unit]]*FilterSpecs!$C$3+MouserListTable12[[#This Row],[Extra]]</f>
        <v>3</v>
      </c>
      <c r="Y348" s="121">
        <f>IF(MouserListTable12[[#This Row],[Tag]]=FilterSpecs!$F$7,MouserListTable12[[#This Row],[Price (USD)]],0)</f>
        <v>0</v>
      </c>
      <c r="Z348" s="121">
        <f>MouserListTable12[[#This Row],[Tot '#]]*MouserListTable12[[#This Row],[Price (USD)]]</f>
        <v>4.5</v>
      </c>
    </row>
    <row r="349" spans="1:26" s="146" customFormat="1" hidden="1" x14ac:dyDescent="0.3">
      <c r="A349" s="103" t="s">
        <v>897</v>
      </c>
      <c r="B349" s="103" t="s">
        <v>891</v>
      </c>
      <c r="C349" s="126" t="s">
        <v>8</v>
      </c>
      <c r="D349" s="106" t="str">
        <f>IF(MouserListTable12[[#This Row],[Vendor]]=FilterSpecs!$A$8,MouserListTable12[[#This Row],[Mouser SKU]], MouserListTable12[[#This Row],[SKU2]])</f>
        <v>COM-10001</v>
      </c>
      <c r="E349" s="121">
        <f>MouserListTable12[[#This Row],[Tot '#]]-MouserListTable12[[#This Row],['# Initial]]</f>
        <v>0</v>
      </c>
      <c r="F349" s="121">
        <f>MouserListTable12[[#This Row],['#/Unit]]*FilterSpecs!$B$3+MouserListTable12[[#This Row],[Extra Initial]]</f>
        <v>0</v>
      </c>
      <c r="G349" s="103" t="s">
        <v>732</v>
      </c>
      <c r="H349" s="103" t="s">
        <v>733</v>
      </c>
      <c r="I349" s="103" t="s">
        <v>1667</v>
      </c>
      <c r="J349" s="103"/>
      <c r="K349" s="171">
        <v>1.5</v>
      </c>
      <c r="L349" s="103" t="s">
        <v>1913</v>
      </c>
      <c r="N349" s="171">
        <f>MouserListTable12[[#This Row],['# Initial]]*MouserListTable12[[#This Row],[Price (USD)]]</f>
        <v>0</v>
      </c>
      <c r="O349" s="106" t="s">
        <v>1668</v>
      </c>
      <c r="P349" s="103">
        <f t="shared" si="7"/>
        <v>330</v>
      </c>
      <c r="Q349" s="103">
        <f>IF($D349=$O349,1,0)</f>
        <v>1</v>
      </c>
      <c r="R349" s="103" t="s">
        <v>8</v>
      </c>
      <c r="S349" s="103" t="str">
        <f>_xlfn.IFS(MouserListTable12[[#This Row],[Supplier]]=FilterSpecs!$A$6, FilterSpecs!$B$6,MouserListTable12[[#This Row],[Supplier]]=FilterSpecs!$A$7,FilterSpecs!$B$7,MouserListTable12[[#This Row],[Supplier]]=FilterSpecs!$A$8,FilterSpecs!$B$8,MouserListTable12[[#This Row],[Supplier]]=FilterSpecs!$A$9,FilterSpecs!$B$9)</f>
        <v>474-</v>
      </c>
      <c r="T34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474-COM-10001</v>
      </c>
      <c r="U349" s="121">
        <v>0</v>
      </c>
      <c r="V349" s="121">
        <v>0</v>
      </c>
      <c r="W349" s="121">
        <v>0</v>
      </c>
      <c r="X349" s="121">
        <f>MouserListTable12[[#This Row],['#/Unit]]*FilterSpecs!$C$3+MouserListTable12[[#This Row],[Extra]]</f>
        <v>0</v>
      </c>
      <c r="Y349" s="121">
        <f>IF(MouserListTable12[[#This Row],[Tag]]=FilterSpecs!$F$7,MouserListTable12[[#This Row],[Price (USD)]],0)</f>
        <v>0</v>
      </c>
      <c r="Z349" s="121">
        <f>MouserListTable12[[#This Row],[Tot '#]]*MouserListTable12[[#This Row],[Price (USD)]]</f>
        <v>0</v>
      </c>
    </row>
    <row r="350" spans="1:26" s="144" customFormat="1" x14ac:dyDescent="0.3">
      <c r="A350" s="103" t="s">
        <v>897</v>
      </c>
      <c r="B350" s="103" t="s">
        <v>891</v>
      </c>
      <c r="C350" s="103" t="s">
        <v>1898</v>
      </c>
      <c r="D350" s="106" t="str">
        <f>IF(MouserListTable12[[#This Row],[Vendor]]=FilterSpecs!$A$8,MouserListTable12[[#This Row],[Mouser SKU]], MouserListTable12[[#This Row],[SKU2]])</f>
        <v>2047</v>
      </c>
      <c r="E350" s="121">
        <f>MouserListTable12[[#This Row],[Tot '#]]-MouserListTable12[[#This Row],['# Initial]]</f>
        <v>0</v>
      </c>
      <c r="F350" s="121">
        <f>MouserListTable12[[#This Row],['#/Unit]]*FilterSpecs!$B$3+MouserListTable12[[#This Row],[Extra Initial]]</f>
        <v>10</v>
      </c>
      <c r="G350" s="103"/>
      <c r="H350" s="103"/>
      <c r="I350" s="126" t="s">
        <v>2129</v>
      </c>
      <c r="J350" s="146"/>
      <c r="K350" s="172">
        <v>0.5</v>
      </c>
      <c r="L350" s="126" t="s">
        <v>1911</v>
      </c>
      <c r="M350" s="146"/>
      <c r="N350" s="171">
        <f>MouserListTable12[[#This Row],['# Initial]]*MouserListTable12[[#This Row],[Price (USD)]]</f>
        <v>5</v>
      </c>
      <c r="O350" s="106" t="s">
        <v>2128</v>
      </c>
      <c r="P350" s="103">
        <f t="shared" si="7"/>
        <v>331</v>
      </c>
      <c r="Q350" s="103">
        <f>IF($D350=$O350,1,0)</f>
        <v>1</v>
      </c>
      <c r="R350" s="103" t="s">
        <v>1898</v>
      </c>
      <c r="S350" s="103" t="str">
        <f>_xlfn.IFS(MouserListTable12[[#This Row],[Supplier]]=FilterSpecs!$A$6, FilterSpecs!$B$6,MouserListTable12[[#This Row],[Supplier]]=FilterSpecs!$A$7,FilterSpecs!$B$7,MouserListTable12[[#This Row],[Supplier]]=FilterSpecs!$A$8,FilterSpecs!$B$8,MouserListTable12[[#This Row],[Supplier]]=FilterSpecs!$A$9,FilterSpecs!$B$9)</f>
        <v>485-</v>
      </c>
      <c r="T35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485-2047</v>
      </c>
      <c r="U350" s="121">
        <f>SUM(U542:U549)</f>
        <v>2</v>
      </c>
      <c r="V350" s="121">
        <f t="shared" ref="V350:W350" si="8">SUM(V541:V548)</f>
        <v>0</v>
      </c>
      <c r="W350" s="121">
        <f t="shared" si="8"/>
        <v>0</v>
      </c>
      <c r="X350" s="121">
        <f>MouserListTable12[[#This Row],['#/Unit]]*FilterSpecs!$C$3+MouserListTable12[[#This Row],[Extra]]</f>
        <v>10</v>
      </c>
      <c r="Y350" s="121">
        <f>IF(MouserListTable12[[#This Row],[Tag]]=FilterSpecs!$F$7,MouserListTable12[[#This Row],[Price (USD)]],0)</f>
        <v>0.5</v>
      </c>
      <c r="Z350" s="121">
        <f>MouserListTable12[[#This Row],[Tot '#]]*MouserListTable12[[#This Row],[Price (USD)]]</f>
        <v>5</v>
      </c>
    </row>
    <row r="351" spans="1:26" s="144" customFormat="1" hidden="1" x14ac:dyDescent="0.3">
      <c r="A351" s="103" t="s">
        <v>897</v>
      </c>
      <c r="B351" s="103" t="s">
        <v>891</v>
      </c>
      <c r="C351" s="103" t="s">
        <v>1898</v>
      </c>
      <c r="D351" s="106" t="str">
        <f>IF(MouserListTable12[[#This Row],[Vendor]]=FilterSpecs!$A$8,MouserListTable12[[#This Row],[Mouser SKU]], MouserListTable12[[#This Row],[SKU2]])</f>
        <v>2055</v>
      </c>
      <c r="E351" s="121">
        <f>MouserListTable12[[#This Row],[Tot '#]]-MouserListTable12[[#This Row],['# Initial]]</f>
        <v>0</v>
      </c>
      <c r="F351" s="121">
        <f>MouserListTable12[[#This Row],['#/Unit]]*FilterSpecs!$B$3+MouserListTable12[[#This Row],[Extra Initial]]</f>
        <v>0</v>
      </c>
      <c r="G351" s="103"/>
      <c r="H351" s="103"/>
      <c r="I351" s="126" t="s">
        <v>2131</v>
      </c>
      <c r="J351" s="146"/>
      <c r="K351" s="172">
        <v>0.95</v>
      </c>
      <c r="L351" s="126" t="s">
        <v>1910</v>
      </c>
      <c r="M351" s="146"/>
      <c r="N351" s="171">
        <f>MouserListTable12[[#This Row],['# Initial]]*MouserListTable12[[#This Row],[Price (USD)]]</f>
        <v>0</v>
      </c>
      <c r="O351" s="106" t="s">
        <v>2130</v>
      </c>
      <c r="P351" s="103">
        <f t="shared" si="7"/>
        <v>332</v>
      </c>
      <c r="Q351" s="103">
        <f>IF($D351=$O351,1,0)</f>
        <v>1</v>
      </c>
      <c r="R351" s="103" t="s">
        <v>1898</v>
      </c>
      <c r="S351" s="103" t="str">
        <f>_xlfn.IFS(MouserListTable12[[#This Row],[Supplier]]=FilterSpecs!$A$6, FilterSpecs!$B$6,MouserListTable12[[#This Row],[Supplier]]=FilterSpecs!$A$7,FilterSpecs!$B$7,MouserListTable12[[#This Row],[Supplier]]=FilterSpecs!$A$8,FilterSpecs!$B$8,MouserListTable12[[#This Row],[Supplier]]=FilterSpecs!$A$9,FilterSpecs!$B$9)</f>
        <v>485-</v>
      </c>
      <c r="T35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485-2055</v>
      </c>
      <c r="U351" s="121">
        <v>0</v>
      </c>
      <c r="V351" s="121">
        <v>0</v>
      </c>
      <c r="W351" s="121">
        <v>0</v>
      </c>
      <c r="X351" s="121">
        <f>MouserListTable12[[#This Row],['#/Unit]]*FilterSpecs!$C$3+MouserListTable12[[#This Row],[Extra]]</f>
        <v>0</v>
      </c>
      <c r="Y351" s="121">
        <f>IF(MouserListTable12[[#This Row],[Tag]]=FilterSpecs!$F$7,MouserListTable12[[#This Row],[Price (USD)]],0)</f>
        <v>0</v>
      </c>
      <c r="Z351" s="121">
        <f>MouserListTable12[[#This Row],[Tot '#]]*MouserListTable12[[#This Row],[Price (USD)]]</f>
        <v>0</v>
      </c>
    </row>
    <row r="352" spans="1:26" s="144" customFormat="1" hidden="1" x14ac:dyDescent="0.3">
      <c r="A352" s="103" t="s">
        <v>897</v>
      </c>
      <c r="B352" s="103" t="s">
        <v>891</v>
      </c>
      <c r="C352" s="103" t="s">
        <v>1898</v>
      </c>
      <c r="D352" s="106" t="str">
        <f>IF(MouserListTable12[[#This Row],[Vendor]]=FilterSpecs!$A$8,MouserListTable12[[#This Row],[Mouser SKU]], MouserListTable12[[#This Row],[SKU2]])</f>
        <v>2058</v>
      </c>
      <c r="E352" s="121">
        <f>MouserListTable12[[#This Row],[Tot '#]]-MouserListTable12[[#This Row],['# Initial]]</f>
        <v>0</v>
      </c>
      <c r="F352" s="121">
        <f>MouserListTable12[[#This Row],['#/Unit]]*FilterSpecs!$B$3+MouserListTable12[[#This Row],[Extra Initial]]</f>
        <v>0</v>
      </c>
      <c r="G352" s="103"/>
      <c r="H352" s="103"/>
      <c r="I352" s="126" t="s">
        <v>2133</v>
      </c>
      <c r="J352" s="146"/>
      <c r="K352" s="172">
        <v>0.95</v>
      </c>
      <c r="L352" s="126" t="s">
        <v>1910</v>
      </c>
      <c r="M352" s="146"/>
      <c r="N352" s="171">
        <f>MouserListTable12[[#This Row],['# Initial]]*MouserListTable12[[#This Row],[Price (USD)]]</f>
        <v>0</v>
      </c>
      <c r="O352" s="106" t="s">
        <v>2132</v>
      </c>
      <c r="P352" s="103">
        <f t="shared" si="7"/>
        <v>333</v>
      </c>
      <c r="Q352" s="103">
        <f>IF($D352=$O352,1,0)</f>
        <v>1</v>
      </c>
      <c r="R352" s="103" t="s">
        <v>1898</v>
      </c>
      <c r="S352" s="103" t="str">
        <f>_xlfn.IFS(MouserListTable12[[#This Row],[Supplier]]=FilterSpecs!$A$6, FilterSpecs!$B$6,MouserListTable12[[#This Row],[Supplier]]=FilterSpecs!$A$7,FilterSpecs!$B$7,MouserListTable12[[#This Row],[Supplier]]=FilterSpecs!$A$8,FilterSpecs!$B$8,MouserListTable12[[#This Row],[Supplier]]=FilterSpecs!$A$9,FilterSpecs!$B$9)</f>
        <v>485-</v>
      </c>
      <c r="T35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485-2058</v>
      </c>
      <c r="U352" s="121">
        <v>0</v>
      </c>
      <c r="V352" s="121">
        <v>0</v>
      </c>
      <c r="W352" s="121">
        <v>0</v>
      </c>
      <c r="X352" s="121">
        <f>MouserListTable12[[#This Row],['#/Unit]]*FilterSpecs!$C$3+MouserListTable12[[#This Row],[Extra]]</f>
        <v>0</v>
      </c>
      <c r="Y352" s="121">
        <f>IF(MouserListTable12[[#This Row],[Tag]]=FilterSpecs!$F$7,MouserListTable12[[#This Row],[Price (USD)]],0)</f>
        <v>0</v>
      </c>
      <c r="Z352" s="121">
        <f>MouserListTable12[[#This Row],[Tot '#]]*MouserListTable12[[#This Row],[Price (USD)]]</f>
        <v>0</v>
      </c>
    </row>
    <row r="353" spans="1:26" s="144" customFormat="1" hidden="1" x14ac:dyDescent="0.3">
      <c r="A353" s="103" t="s">
        <v>897</v>
      </c>
      <c r="B353" s="103" t="s">
        <v>891</v>
      </c>
      <c r="C353" s="103" t="s">
        <v>1898</v>
      </c>
      <c r="D353" s="106" t="str">
        <f>IF(MouserListTable12[[#This Row],[Vendor]]=FilterSpecs!$A$8,MouserListTable12[[#This Row],[Mouser SKU]], MouserListTable12[[#This Row],[SKU2]])</f>
        <v>2056</v>
      </c>
      <c r="E353" s="121">
        <f>MouserListTable12[[#This Row],[Tot '#]]-MouserListTable12[[#This Row],['# Initial]]</f>
        <v>0</v>
      </c>
      <c r="F353" s="121">
        <f>MouserListTable12[[#This Row],['#/Unit]]*FilterSpecs!$B$3+MouserListTable12[[#This Row],[Extra Initial]]</f>
        <v>0</v>
      </c>
      <c r="G353" s="103"/>
      <c r="H353" s="103"/>
      <c r="I353" s="126" t="s">
        <v>2135</v>
      </c>
      <c r="J353" s="146"/>
      <c r="K353" s="172">
        <v>3.95</v>
      </c>
      <c r="L353" s="126" t="s">
        <v>1910</v>
      </c>
      <c r="M353" s="146"/>
      <c r="N353" s="171">
        <f>MouserListTable12[[#This Row],['# Initial]]*MouserListTable12[[#This Row],[Price (USD)]]</f>
        <v>0</v>
      </c>
      <c r="O353" s="106" t="s">
        <v>2134</v>
      </c>
      <c r="P353" s="103">
        <f t="shared" si="7"/>
        <v>334</v>
      </c>
      <c r="Q353" s="103">
        <f>IF($D353=$O353,1,0)</f>
        <v>1</v>
      </c>
      <c r="R353" s="103" t="s">
        <v>1898</v>
      </c>
      <c r="S353" s="103" t="str">
        <f>_xlfn.IFS(MouserListTable12[[#This Row],[Supplier]]=FilterSpecs!$A$6, FilterSpecs!$B$6,MouserListTable12[[#This Row],[Supplier]]=FilterSpecs!$A$7,FilterSpecs!$B$7,MouserListTable12[[#This Row],[Supplier]]=FilterSpecs!$A$8,FilterSpecs!$B$8,MouserListTable12[[#This Row],[Supplier]]=FilterSpecs!$A$9,FilterSpecs!$B$9)</f>
        <v>485-</v>
      </c>
      <c r="T35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485-2056</v>
      </c>
      <c r="U353" s="121">
        <v>0</v>
      </c>
      <c r="V353" s="121">
        <v>0</v>
      </c>
      <c r="W353" s="121">
        <v>0</v>
      </c>
      <c r="X353" s="121">
        <f>MouserListTable12[[#This Row],['#/Unit]]*FilterSpecs!$C$3+MouserListTable12[[#This Row],[Extra]]</f>
        <v>0</v>
      </c>
      <c r="Y353" s="121">
        <f>IF(MouserListTable12[[#This Row],[Tag]]=FilterSpecs!$F$7,MouserListTable12[[#This Row],[Price (USD)]],0)</f>
        <v>0</v>
      </c>
      <c r="Z353" s="121">
        <f>MouserListTable12[[#This Row],[Tot '#]]*MouserListTable12[[#This Row],[Price (USD)]]</f>
        <v>0</v>
      </c>
    </row>
    <row r="354" spans="1:26" s="144" customFormat="1" hidden="1" x14ac:dyDescent="0.3">
      <c r="A354" s="106" t="s">
        <v>897</v>
      </c>
      <c r="B354" s="106" t="s">
        <v>2027</v>
      </c>
      <c r="C354" s="106" t="s">
        <v>1898</v>
      </c>
      <c r="D354" s="106" t="str">
        <f>IF(MouserListTable12[[#This Row],[Vendor]]=FilterSpecs!$A$8,MouserListTable12[[#This Row],[Mouser SKU]], MouserListTable12[[#This Row],[SKU2]])</f>
        <v>2103</v>
      </c>
      <c r="E354" s="121">
        <f>MouserListTable12[[#This Row],[Tot '#]]-MouserListTable12[[#This Row],['# Initial]]</f>
        <v>0</v>
      </c>
      <c r="F354" s="121">
        <f>MouserListTable12[[#This Row],['#/Unit]]*FilterSpecs!$B$3+MouserListTable12[[#This Row],[Extra Initial]]</f>
        <v>0</v>
      </c>
      <c r="G354" s="103"/>
      <c r="H354" s="103"/>
      <c r="I354" s="146" t="s">
        <v>2139</v>
      </c>
      <c r="J354" s="146"/>
      <c r="K354" s="172">
        <v>1.95</v>
      </c>
      <c r="L354" s="146" t="s">
        <v>1910</v>
      </c>
      <c r="M354" s="146"/>
      <c r="N354" s="171">
        <f>MouserListTable12[[#This Row],['# Initial]]*MouserListTable12[[#This Row],[Price (USD)]]</f>
        <v>0</v>
      </c>
      <c r="O354" s="106" t="s">
        <v>2138</v>
      </c>
      <c r="P354" s="103">
        <f t="shared" si="7"/>
        <v>335</v>
      </c>
      <c r="Q354" s="103">
        <f>IF($D354=$O354,1,0)</f>
        <v>1</v>
      </c>
      <c r="R354" s="103" t="s">
        <v>1898</v>
      </c>
      <c r="S354" s="103" t="str">
        <f>_xlfn.IFS(MouserListTable12[[#This Row],[Supplier]]=FilterSpecs!$A$6, FilterSpecs!$B$6,MouserListTable12[[#This Row],[Supplier]]=FilterSpecs!$A$7,FilterSpecs!$B$7,MouserListTable12[[#This Row],[Supplier]]=FilterSpecs!$A$8,FilterSpecs!$B$8,MouserListTable12[[#This Row],[Supplier]]=FilterSpecs!$A$9,FilterSpecs!$B$9)</f>
        <v>485-</v>
      </c>
      <c r="T35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485-2103</v>
      </c>
      <c r="U354" s="121">
        <v>0</v>
      </c>
      <c r="V354" s="121">
        <v>0</v>
      </c>
      <c r="W354" s="121">
        <v>0</v>
      </c>
      <c r="X354" s="121">
        <f>MouserListTable12[[#This Row],['#/Unit]]*FilterSpecs!$C$3+MouserListTable12[[#This Row],[Extra]]</f>
        <v>0</v>
      </c>
      <c r="Y354" s="121">
        <f>IF(MouserListTable12[[#This Row],[Tag]]=FilterSpecs!$F$7,MouserListTable12[[#This Row],[Price (USD)]],0)</f>
        <v>0</v>
      </c>
      <c r="Z354" s="121">
        <f>MouserListTable12[[#This Row],[Tot '#]]*MouserListTable12[[#This Row],[Price (USD)]]</f>
        <v>0</v>
      </c>
    </row>
    <row r="355" spans="1:26" s="144" customFormat="1" hidden="1" x14ac:dyDescent="0.3">
      <c r="A355" s="106" t="s">
        <v>897</v>
      </c>
      <c r="B355" s="106" t="s">
        <v>2027</v>
      </c>
      <c r="C355" s="106" t="s">
        <v>1898</v>
      </c>
      <c r="D355" s="106" t="str">
        <f>IF(MouserListTable12[[#This Row],[Vendor]]=FilterSpecs!$A$8,MouserListTable12[[#This Row],[Mouser SKU]], MouserListTable12[[#This Row],[SKU2]])</f>
        <v>2270</v>
      </c>
      <c r="E355" s="121">
        <f>MouserListTable12[[#This Row],[Tot '#]]-MouserListTable12[[#This Row],['# Initial]]</f>
        <v>0</v>
      </c>
      <c r="F355" s="121">
        <f>MouserListTable12[[#This Row],['#/Unit]]*FilterSpecs!$B$3+MouserListTable12[[#This Row],[Extra Initial]]</f>
        <v>0</v>
      </c>
      <c r="G355" s="103"/>
      <c r="H355" s="103"/>
      <c r="I355" s="146" t="s">
        <v>2141</v>
      </c>
      <c r="J355" s="146"/>
      <c r="K355" s="172">
        <v>2.25</v>
      </c>
      <c r="L355" s="146" t="s">
        <v>1910</v>
      </c>
      <c r="M355" s="146"/>
      <c r="N355" s="171">
        <f>MouserListTable12[[#This Row],['# Initial]]*MouserListTable12[[#This Row],[Price (USD)]]</f>
        <v>0</v>
      </c>
      <c r="O355" s="106" t="s">
        <v>2140</v>
      </c>
      <c r="P355" s="103">
        <f t="shared" si="7"/>
        <v>336</v>
      </c>
      <c r="Q355" s="103">
        <f>IF($D355=$O355,1,0)</f>
        <v>1</v>
      </c>
      <c r="R355" s="103" t="s">
        <v>1898</v>
      </c>
      <c r="S355" s="103" t="str">
        <f>_xlfn.IFS(MouserListTable12[[#This Row],[Supplier]]=FilterSpecs!$A$6, FilterSpecs!$B$6,MouserListTable12[[#This Row],[Supplier]]=FilterSpecs!$A$7,FilterSpecs!$B$7,MouserListTable12[[#This Row],[Supplier]]=FilterSpecs!$A$8,FilterSpecs!$B$8,MouserListTable12[[#This Row],[Supplier]]=FilterSpecs!$A$9,FilterSpecs!$B$9)</f>
        <v>485-</v>
      </c>
      <c r="T35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485-2270</v>
      </c>
      <c r="U355" s="121">
        <v>0</v>
      </c>
      <c r="V355" s="121">
        <v>0</v>
      </c>
      <c r="W355" s="121">
        <v>0</v>
      </c>
      <c r="X355" s="121">
        <f>MouserListTable12[[#This Row],['#/Unit]]*FilterSpecs!$C$3+MouserListTable12[[#This Row],[Extra]]</f>
        <v>0</v>
      </c>
      <c r="Y355" s="121">
        <f>IF(MouserListTable12[[#This Row],[Tag]]=FilterSpecs!$F$7,MouserListTable12[[#This Row],[Price (USD)]],0)</f>
        <v>0</v>
      </c>
      <c r="Z355" s="121">
        <f>MouserListTable12[[#This Row],[Tot '#]]*MouserListTable12[[#This Row],[Price (USD)]]</f>
        <v>0</v>
      </c>
    </row>
    <row r="356" spans="1:26" s="144" customFormat="1" x14ac:dyDescent="0.3">
      <c r="A356" s="106" t="s">
        <v>897</v>
      </c>
      <c r="B356" s="106" t="s">
        <v>2027</v>
      </c>
      <c r="C356" s="106" t="s">
        <v>1898</v>
      </c>
      <c r="D356" s="106" t="str">
        <f>IF(MouserListTable12[[#This Row],[Vendor]]=FilterSpecs!$A$8,MouserListTable12[[#This Row],[Mouser SKU]], MouserListTable12[[#This Row],[SKU2]])</f>
        <v>2102</v>
      </c>
      <c r="E356" s="121">
        <f>MouserListTable12[[#This Row],[Tot '#]]-MouserListTable12[[#This Row],['# Initial]]</f>
        <v>0</v>
      </c>
      <c r="F356" s="121">
        <f>MouserListTable12[[#This Row],['#/Unit]]*FilterSpecs!$B$3+MouserListTable12[[#This Row],[Extra Initial]]</f>
        <v>10</v>
      </c>
      <c r="G356" s="103"/>
      <c r="H356" s="103"/>
      <c r="I356" s="106" t="s">
        <v>2143</v>
      </c>
      <c r="J356" s="146"/>
      <c r="K356" s="171">
        <v>0.95</v>
      </c>
      <c r="L356" s="106" t="s">
        <v>1911</v>
      </c>
      <c r="M356" s="106"/>
      <c r="N356" s="171">
        <f>MouserListTable12[[#This Row],['# Initial]]*MouserListTable12[[#This Row],[Price (USD)]]</f>
        <v>9.5</v>
      </c>
      <c r="O356" s="106" t="s">
        <v>2142</v>
      </c>
      <c r="P356" s="103">
        <f t="shared" si="7"/>
        <v>337</v>
      </c>
      <c r="Q356" s="103">
        <f>IF($D356=$O356,1,0)</f>
        <v>1</v>
      </c>
      <c r="R356" s="103" t="s">
        <v>1898</v>
      </c>
      <c r="S356" s="103" t="str">
        <f>_xlfn.IFS(MouserListTable12[[#This Row],[Supplier]]=FilterSpecs!$A$6, FilterSpecs!$B$6,MouserListTable12[[#This Row],[Supplier]]=FilterSpecs!$A$7,FilterSpecs!$B$7,MouserListTable12[[#This Row],[Supplier]]=FilterSpecs!$A$8,FilterSpecs!$B$8,MouserListTable12[[#This Row],[Supplier]]=FilterSpecs!$A$9,FilterSpecs!$B$9)</f>
        <v>485-</v>
      </c>
      <c r="T35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485-2102</v>
      </c>
      <c r="U356" s="121">
        <v>2</v>
      </c>
      <c r="V356" s="121">
        <v>0</v>
      </c>
      <c r="W356" s="121">
        <v>0</v>
      </c>
      <c r="X356" s="121">
        <f>MouserListTable12[[#This Row],['#/Unit]]*FilterSpecs!$C$3+MouserListTable12[[#This Row],[Extra]]</f>
        <v>10</v>
      </c>
      <c r="Y356" s="121">
        <f>IF(MouserListTable12[[#This Row],[Tag]]=FilterSpecs!$F$7,MouserListTable12[[#This Row],[Price (USD)]],0)</f>
        <v>0.95</v>
      </c>
      <c r="Z356" s="121">
        <f>MouserListTable12[[#This Row],[Tot '#]]*MouserListTable12[[#This Row],[Price (USD)]]</f>
        <v>9.5</v>
      </c>
    </row>
    <row r="357" spans="1:26" s="144" customFormat="1" x14ac:dyDescent="0.3">
      <c r="A357" s="106" t="s">
        <v>897</v>
      </c>
      <c r="B357" s="106" t="s">
        <v>1884</v>
      </c>
      <c r="C357" s="106" t="s">
        <v>8</v>
      </c>
      <c r="D357" s="106" t="str">
        <f>IF(MouserListTable12[[#This Row],[Vendor]]=FilterSpecs!$A$8,MouserListTable12[[#This Row],[Mouser SKU]], MouserListTable12[[#This Row],[SKU2]])</f>
        <v>PRT-09749</v>
      </c>
      <c r="E357" s="121">
        <f>MouserListTable12[[#This Row],[Tot '#]]-MouserListTable12[[#This Row],['# Initial]]</f>
        <v>0</v>
      </c>
      <c r="F357" s="121">
        <f>MouserListTable12[[#This Row],['#/Unit]]*FilterSpecs!$B$3+MouserListTable12[[#This Row],[Extra Initial]]</f>
        <v>10</v>
      </c>
      <c r="G357" s="103" t="s">
        <v>446</v>
      </c>
      <c r="H357" s="103" t="s">
        <v>447</v>
      </c>
      <c r="I357" s="106" t="s">
        <v>448</v>
      </c>
      <c r="J357" s="103">
        <v>1</v>
      </c>
      <c r="K357" s="171">
        <v>0.95</v>
      </c>
      <c r="L357" s="106" t="s">
        <v>1911</v>
      </c>
      <c r="M357" s="103"/>
      <c r="N357" s="171">
        <f>MouserListTable12[[#This Row],['# Initial]]*MouserListTable12[[#This Row],[Price (USD)]]</f>
        <v>9.5</v>
      </c>
      <c r="O357" s="106" t="s">
        <v>445</v>
      </c>
      <c r="P357" s="103">
        <f t="shared" si="7"/>
        <v>338</v>
      </c>
      <c r="Q357" s="103">
        <f>IF($D357=$O357,1,0)</f>
        <v>1</v>
      </c>
      <c r="R357" s="103" t="s">
        <v>8</v>
      </c>
      <c r="S357" s="103" t="str">
        <f>_xlfn.IFS(MouserListTable12[[#This Row],[Supplier]]=FilterSpecs!$A$6, FilterSpecs!$B$6,MouserListTable12[[#This Row],[Supplier]]=FilterSpecs!$A$7,FilterSpecs!$B$7,MouserListTable12[[#This Row],[Supplier]]=FilterSpecs!$A$8,FilterSpecs!$B$8,MouserListTable12[[#This Row],[Supplier]]=FilterSpecs!$A$9,FilterSpecs!$B$9)</f>
        <v>474-</v>
      </c>
      <c r="T35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474-PRT-09749</v>
      </c>
      <c r="U357" s="121">
        <v>2</v>
      </c>
      <c r="V357" s="121">
        <v>0</v>
      </c>
      <c r="W357" s="121">
        <v>0</v>
      </c>
      <c r="X357" s="121">
        <f>MouserListTable12[[#This Row],['#/Unit]]*FilterSpecs!$C$3+MouserListTable12[[#This Row],[Extra]]</f>
        <v>10</v>
      </c>
      <c r="Y357" s="121">
        <f>IF(MouserListTable12[[#This Row],[Tag]]=FilterSpecs!$F$7,MouserListTable12[[#This Row],[Price (USD)]],0)</f>
        <v>0.95</v>
      </c>
      <c r="Z357" s="121">
        <f>MouserListTable12[[#This Row],[Tot '#]]*MouserListTable12[[#This Row],[Price (USD)]]</f>
        <v>9.5</v>
      </c>
    </row>
    <row r="358" spans="1:26" s="144" customFormat="1" x14ac:dyDescent="0.3">
      <c r="A358" s="106" t="s">
        <v>897</v>
      </c>
      <c r="B358" s="106" t="s">
        <v>1884</v>
      </c>
      <c r="C358" s="106" t="s">
        <v>8</v>
      </c>
      <c r="D358" s="106" t="str">
        <f>IF(MouserListTable12[[#This Row],[Vendor]]=FilterSpecs!$A$8,MouserListTable12[[#This Row],[Mouser SKU]], MouserListTable12[[#This Row],[SKU2]])</f>
        <v>PRT-09750</v>
      </c>
      <c r="E358" s="121">
        <f>MouserListTable12[[#This Row],[Tot '#]]-MouserListTable12[[#This Row],['# Initial]]</f>
        <v>0</v>
      </c>
      <c r="F358" s="121">
        <f>MouserListTable12[[#This Row],['#/Unit]]*FilterSpecs!$B$3+MouserListTable12[[#This Row],[Extra Initial]]</f>
        <v>5</v>
      </c>
      <c r="G358" s="103" t="s">
        <v>1856</v>
      </c>
      <c r="H358" s="103" t="s">
        <v>1857</v>
      </c>
      <c r="I358" s="106" t="s">
        <v>1858</v>
      </c>
      <c r="J358" s="103">
        <v>1</v>
      </c>
      <c r="K358" s="171">
        <v>0.95</v>
      </c>
      <c r="L358" s="106" t="s">
        <v>1911</v>
      </c>
      <c r="M358" s="103"/>
      <c r="N358" s="171">
        <f>MouserListTable12[[#This Row],['# Initial]]*MouserListTable12[[#This Row],[Price (USD)]]</f>
        <v>4.75</v>
      </c>
      <c r="O358" s="106" t="s">
        <v>1855</v>
      </c>
      <c r="P358" s="103">
        <f t="shared" si="7"/>
        <v>339</v>
      </c>
      <c r="Q358" s="103">
        <f>IF($D358=$O358,1,0)</f>
        <v>1</v>
      </c>
      <c r="R358" s="103" t="s">
        <v>8</v>
      </c>
      <c r="S358" s="103" t="str">
        <f>_xlfn.IFS(MouserListTable12[[#This Row],[Supplier]]=FilterSpecs!$A$6, FilterSpecs!$B$6,MouserListTable12[[#This Row],[Supplier]]=FilterSpecs!$A$7,FilterSpecs!$B$7,MouserListTable12[[#This Row],[Supplier]]=FilterSpecs!$A$8,FilterSpecs!$B$8,MouserListTable12[[#This Row],[Supplier]]=FilterSpecs!$A$9,FilterSpecs!$B$9)</f>
        <v>474-</v>
      </c>
      <c r="T35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474-PRT-09750</v>
      </c>
      <c r="U358" s="121">
        <v>1</v>
      </c>
      <c r="V358" s="121">
        <v>0</v>
      </c>
      <c r="W358" s="121">
        <v>0</v>
      </c>
      <c r="X358" s="121">
        <f>MouserListTable12[[#This Row],['#/Unit]]*FilterSpecs!$C$3+MouserListTable12[[#This Row],[Extra]]</f>
        <v>5</v>
      </c>
      <c r="Y358" s="121">
        <f>IF(MouserListTable12[[#This Row],[Tag]]=FilterSpecs!$F$7,MouserListTable12[[#This Row],[Price (USD)]],0)</f>
        <v>0.95</v>
      </c>
      <c r="Z358" s="121">
        <f>MouserListTable12[[#This Row],[Tot '#]]*MouserListTable12[[#This Row],[Price (USD)]]</f>
        <v>4.75</v>
      </c>
    </row>
    <row r="359" spans="1:26" s="144" customFormat="1" hidden="1" x14ac:dyDescent="0.3">
      <c r="A359" s="146" t="s">
        <v>897</v>
      </c>
      <c r="B359" s="146" t="s">
        <v>1884</v>
      </c>
      <c r="C359" s="146" t="s">
        <v>8</v>
      </c>
      <c r="D359" s="106" t="str">
        <f>IF(MouserListTable12[[#This Row],[Vendor]]=FilterSpecs!$A$8,MouserListTable12[[#This Row],[Mouser SKU]], MouserListTable12[[#This Row],[SKU2]])</f>
        <v>PRT-10501</v>
      </c>
      <c r="E359" s="121">
        <f>MouserListTable12[[#This Row],[Tot '#]]-MouserListTable12[[#This Row],['# Initial]]</f>
        <v>0</v>
      </c>
      <c r="F359" s="121">
        <f>MouserListTable12[[#This Row],['#/Unit]]*FilterSpecs!$B$3+MouserListTable12[[#This Row],[Extra Initial]]</f>
        <v>0</v>
      </c>
      <c r="G359" s="103" t="s">
        <v>1362</v>
      </c>
      <c r="H359" s="103" t="s">
        <v>1363</v>
      </c>
      <c r="I359" s="106" t="s">
        <v>1364</v>
      </c>
      <c r="J359" s="103"/>
      <c r="K359" s="171">
        <v>0.5</v>
      </c>
      <c r="L359" s="106" t="s">
        <v>1913</v>
      </c>
      <c r="M359" s="103"/>
      <c r="N359" s="171">
        <f>MouserListTable12[[#This Row],['# Initial]]*MouserListTable12[[#This Row],[Price (USD)]]</f>
        <v>0</v>
      </c>
      <c r="O359" s="106" t="s">
        <v>1361</v>
      </c>
      <c r="P359" s="103">
        <f t="shared" si="7"/>
        <v>340</v>
      </c>
      <c r="Q359" s="103">
        <f>IF($D359=$O359,1,0)</f>
        <v>1</v>
      </c>
      <c r="R359" s="103" t="s">
        <v>8</v>
      </c>
      <c r="S359" s="103" t="str">
        <f>_xlfn.IFS(MouserListTable12[[#This Row],[Supplier]]=FilterSpecs!$A$6, FilterSpecs!$B$6,MouserListTable12[[#This Row],[Supplier]]=FilterSpecs!$A$7,FilterSpecs!$B$7,MouserListTable12[[#This Row],[Supplier]]=FilterSpecs!$A$8,FilterSpecs!$B$8,MouserListTable12[[#This Row],[Supplier]]=FilterSpecs!$A$9,FilterSpecs!$B$9)</f>
        <v>474-</v>
      </c>
      <c r="T35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474-PRT-10501</v>
      </c>
      <c r="U359" s="121">
        <v>0</v>
      </c>
      <c r="V359" s="121">
        <v>0</v>
      </c>
      <c r="W359" s="121">
        <v>0</v>
      </c>
      <c r="X359" s="121">
        <f>MouserListTable12[[#This Row],['#/Unit]]*FilterSpecs!$C$3+MouserListTable12[[#This Row],[Extra]]</f>
        <v>0</v>
      </c>
      <c r="Y359" s="121">
        <f>IF(MouserListTable12[[#This Row],[Tag]]=FilterSpecs!$F$7,MouserListTable12[[#This Row],[Price (USD)]],0)</f>
        <v>0</v>
      </c>
      <c r="Z359" s="121">
        <f>MouserListTable12[[#This Row],[Tot '#]]*MouserListTable12[[#This Row],[Price (USD)]]</f>
        <v>0</v>
      </c>
    </row>
    <row r="360" spans="1:26" s="144" customFormat="1" hidden="1" x14ac:dyDescent="0.3">
      <c r="A360" s="146" t="s">
        <v>897</v>
      </c>
      <c r="B360" s="146" t="s">
        <v>1884</v>
      </c>
      <c r="C360" s="146" t="s">
        <v>8</v>
      </c>
      <c r="D360" s="106" t="str">
        <f>IF(MouserListTable12[[#This Row],[Vendor]]=FilterSpecs!$A$8,MouserListTable12[[#This Row],[Mouser SKU]], MouserListTable12[[#This Row],[SKU2]])</f>
        <v>PRT-08612</v>
      </c>
      <c r="E360" s="121">
        <f>MouserListTable12[[#This Row],[Tot '#]]-MouserListTable12[[#This Row],['# Initial]]</f>
        <v>0</v>
      </c>
      <c r="F360" s="121">
        <f>MouserListTable12[[#This Row],['#/Unit]]*FilterSpecs!$B$3+MouserListTable12[[#This Row],[Extra Initial]]</f>
        <v>0</v>
      </c>
      <c r="G360" s="103" t="s">
        <v>1760</v>
      </c>
      <c r="H360" s="103" t="s">
        <v>1761</v>
      </c>
      <c r="I360" s="106" t="s">
        <v>1762</v>
      </c>
      <c r="J360" s="103">
        <v>1</v>
      </c>
      <c r="K360" s="171">
        <v>0.95</v>
      </c>
      <c r="L360" s="106" t="s">
        <v>1910</v>
      </c>
      <c r="M360" s="103"/>
      <c r="N360" s="171">
        <f>MouserListTable12[[#This Row],['# Initial]]*MouserListTable12[[#This Row],[Price (USD)]]</f>
        <v>0</v>
      </c>
      <c r="O360" s="106" t="s">
        <v>1759</v>
      </c>
      <c r="P360" s="103">
        <f t="shared" si="7"/>
        <v>341</v>
      </c>
      <c r="Q360" s="103">
        <f>IF($D360=$O360,1,0)</f>
        <v>1</v>
      </c>
      <c r="R360" s="103" t="s">
        <v>8</v>
      </c>
      <c r="S360" s="103" t="str">
        <f>_xlfn.IFS(MouserListTable12[[#This Row],[Supplier]]=FilterSpecs!$A$6, FilterSpecs!$B$6,MouserListTable12[[#This Row],[Supplier]]=FilterSpecs!$A$7,FilterSpecs!$B$7,MouserListTable12[[#This Row],[Supplier]]=FilterSpecs!$A$8,FilterSpecs!$B$8,MouserListTable12[[#This Row],[Supplier]]=FilterSpecs!$A$9,FilterSpecs!$B$9)</f>
        <v>474-</v>
      </c>
      <c r="T36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474-PRT-08612</v>
      </c>
      <c r="U360" s="121">
        <v>0</v>
      </c>
      <c r="V360" s="121">
        <v>0</v>
      </c>
      <c r="W360" s="121">
        <v>0</v>
      </c>
      <c r="X360" s="121">
        <f>MouserListTable12[[#This Row],['#/Unit]]*FilterSpecs!$C$3+MouserListTable12[[#This Row],[Extra]]</f>
        <v>0</v>
      </c>
      <c r="Y360" s="121">
        <f>IF(MouserListTable12[[#This Row],[Tag]]=FilterSpecs!$F$7,MouserListTable12[[#This Row],[Price (USD)]],0)</f>
        <v>0</v>
      </c>
      <c r="Z360" s="121">
        <f>MouserListTable12[[#This Row],[Tot '#]]*MouserListTable12[[#This Row],[Price (USD)]]</f>
        <v>0</v>
      </c>
    </row>
    <row r="361" spans="1:26" s="144" customFormat="1" hidden="1" x14ac:dyDescent="0.3">
      <c r="A361" s="146" t="s">
        <v>897</v>
      </c>
      <c r="B361" s="146" t="s">
        <v>1884</v>
      </c>
      <c r="C361" s="146" t="s">
        <v>8</v>
      </c>
      <c r="D361" s="106" t="str">
        <f>IF(MouserListTable12[[#This Row],[Vendor]]=FilterSpecs!$A$8,MouserListTable12[[#This Row],[Mouser SKU]], MouserListTable12[[#This Row],[SKU2]])</f>
        <v>PRT-08613</v>
      </c>
      <c r="E361" s="121">
        <f>MouserListTable12[[#This Row],[Tot '#]]-MouserListTable12[[#This Row],['# Initial]]</f>
        <v>0</v>
      </c>
      <c r="F361" s="121">
        <f>MouserListTable12[[#This Row],['#/Unit]]*FilterSpecs!$B$3+MouserListTable12[[#This Row],[Extra Initial]]</f>
        <v>0</v>
      </c>
      <c r="G361" s="103" t="s">
        <v>1764</v>
      </c>
      <c r="H361" s="103" t="s">
        <v>1765</v>
      </c>
      <c r="I361" s="106" t="s">
        <v>1766</v>
      </c>
      <c r="J361" s="103">
        <v>1</v>
      </c>
      <c r="K361" s="171">
        <v>0.95</v>
      </c>
      <c r="L361" s="106" t="s">
        <v>1910</v>
      </c>
      <c r="M361" s="103"/>
      <c r="N361" s="171">
        <f>MouserListTable12[[#This Row],['# Initial]]*MouserListTable12[[#This Row],[Price (USD)]]</f>
        <v>0</v>
      </c>
      <c r="O361" s="106" t="s">
        <v>1763</v>
      </c>
      <c r="P361" s="103">
        <f t="shared" si="7"/>
        <v>342</v>
      </c>
      <c r="Q361" s="103">
        <f>IF($D361=$O361,1,0)</f>
        <v>1</v>
      </c>
      <c r="R361" s="103" t="s">
        <v>8</v>
      </c>
      <c r="S361" s="103" t="str">
        <f>_xlfn.IFS(MouserListTable12[[#This Row],[Supplier]]=FilterSpecs!$A$6, FilterSpecs!$B$6,MouserListTable12[[#This Row],[Supplier]]=FilterSpecs!$A$7,FilterSpecs!$B$7,MouserListTable12[[#This Row],[Supplier]]=FilterSpecs!$A$8,FilterSpecs!$B$8,MouserListTable12[[#This Row],[Supplier]]=FilterSpecs!$A$9,FilterSpecs!$B$9)</f>
        <v>474-</v>
      </c>
      <c r="T36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474-PRT-08613</v>
      </c>
      <c r="U361" s="121">
        <v>0</v>
      </c>
      <c r="V361" s="121">
        <v>0</v>
      </c>
      <c r="W361" s="121">
        <v>0</v>
      </c>
      <c r="X361" s="121">
        <f>MouserListTable12[[#This Row],['#/Unit]]*FilterSpecs!$C$3+MouserListTable12[[#This Row],[Extra]]</f>
        <v>0</v>
      </c>
      <c r="Y361" s="121">
        <f>IF(MouserListTable12[[#This Row],[Tag]]=FilterSpecs!$F$7,MouserListTable12[[#This Row],[Price (USD)]],0)</f>
        <v>0</v>
      </c>
      <c r="Z361" s="121">
        <f>MouserListTable12[[#This Row],[Tot '#]]*MouserListTable12[[#This Row],[Price (USD)]]</f>
        <v>0</v>
      </c>
    </row>
    <row r="362" spans="1:26" s="144" customFormat="1" hidden="1" x14ac:dyDescent="0.3">
      <c r="A362" s="106" t="s">
        <v>897</v>
      </c>
      <c r="B362" s="106" t="s">
        <v>1884</v>
      </c>
      <c r="C362" s="106" t="s">
        <v>1898</v>
      </c>
      <c r="D362" s="106" t="str">
        <f>IF(MouserListTable12[[#This Row],[Vendor]]=FilterSpecs!$A$8,MouserListTable12[[#This Row],[Mouser SKU]], MouserListTable12[[#This Row],[SKU2]])</f>
        <v>1862</v>
      </c>
      <c r="E362" s="121">
        <f>MouserListTable12[[#This Row],[Tot '#]]-MouserListTable12[[#This Row],['# Initial]]</f>
        <v>0</v>
      </c>
      <c r="F362" s="121">
        <f>MouserListTable12[[#This Row],['#/Unit]]*FilterSpecs!$B$3+MouserListTable12[[#This Row],[Extra Initial]]</f>
        <v>0</v>
      </c>
      <c r="G362" s="103"/>
      <c r="H362" s="103"/>
      <c r="I362" s="146" t="s">
        <v>2145</v>
      </c>
      <c r="J362" s="146"/>
      <c r="K362" s="172">
        <v>1.5</v>
      </c>
      <c r="L362" s="146" t="s">
        <v>1910</v>
      </c>
      <c r="M362" s="146"/>
      <c r="N362" s="171">
        <f>MouserListTable12[[#This Row],['# Initial]]*MouserListTable12[[#This Row],[Price (USD)]]</f>
        <v>0</v>
      </c>
      <c r="O362" s="106" t="s">
        <v>2144</v>
      </c>
      <c r="P362" s="103">
        <f t="shared" si="7"/>
        <v>343</v>
      </c>
      <c r="Q362" s="103">
        <f>IF($D362=$O362,1,0)</f>
        <v>1</v>
      </c>
      <c r="R362" s="103" t="s">
        <v>1898</v>
      </c>
      <c r="S362" s="103" t="str">
        <f>_xlfn.IFS(MouserListTable12[[#This Row],[Supplier]]=FilterSpecs!$A$6, FilterSpecs!$B$6,MouserListTable12[[#This Row],[Supplier]]=FilterSpecs!$A$7,FilterSpecs!$B$7,MouserListTable12[[#This Row],[Supplier]]=FilterSpecs!$A$8,FilterSpecs!$B$8,MouserListTable12[[#This Row],[Supplier]]=FilterSpecs!$A$9,FilterSpecs!$B$9)</f>
        <v>485-</v>
      </c>
      <c r="T36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485-1862</v>
      </c>
      <c r="U362" s="121">
        <v>0</v>
      </c>
      <c r="V362" s="121">
        <v>0</v>
      </c>
      <c r="W362" s="121">
        <v>0</v>
      </c>
      <c r="X362" s="121">
        <f>MouserListTable12[[#This Row],['#/Unit]]*FilterSpecs!$C$3+MouserListTable12[[#This Row],[Extra]]</f>
        <v>0</v>
      </c>
      <c r="Y362" s="121">
        <f>IF(MouserListTable12[[#This Row],[Tag]]=FilterSpecs!$F$7,MouserListTable12[[#This Row],[Price (USD)]],0)</f>
        <v>0</v>
      </c>
      <c r="Z362" s="121">
        <f>MouserListTable12[[#This Row],[Tot '#]]*MouserListTable12[[#This Row],[Price (USD)]]</f>
        <v>0</v>
      </c>
    </row>
    <row r="363" spans="1:26" s="144" customFormat="1" hidden="1" x14ac:dyDescent="0.3">
      <c r="A363" s="106" t="s">
        <v>897</v>
      </c>
      <c r="B363" s="106" t="s">
        <v>1884</v>
      </c>
      <c r="C363" s="106" t="s">
        <v>1898</v>
      </c>
      <c r="D363" s="106" t="str">
        <f>IF(MouserListTable12[[#This Row],[Vendor]]=FilterSpecs!$A$8,MouserListTable12[[#This Row],[Mouser SKU]], MouserListTable12[[#This Row],[SKU2]])</f>
        <v>1769</v>
      </c>
      <c r="E363" s="121">
        <f>MouserListTable12[[#This Row],[Tot '#]]-MouserListTable12[[#This Row],['# Initial]]</f>
        <v>0</v>
      </c>
      <c r="F363" s="121">
        <f>MouserListTable12[[#This Row],['#/Unit]]*FilterSpecs!$B$3+MouserListTable12[[#This Row],[Extra Initial]]</f>
        <v>0</v>
      </c>
      <c r="G363" s="103"/>
      <c r="H363" s="103"/>
      <c r="I363" s="146" t="s">
        <v>2147</v>
      </c>
      <c r="J363" s="146"/>
      <c r="K363" s="172">
        <v>0.75</v>
      </c>
      <c r="L363" s="146" t="s">
        <v>1910</v>
      </c>
      <c r="M363" s="146"/>
      <c r="N363" s="171">
        <f>MouserListTable12[[#This Row],['# Initial]]*MouserListTable12[[#This Row],[Price (USD)]]</f>
        <v>0</v>
      </c>
      <c r="O363" s="106" t="s">
        <v>2146</v>
      </c>
      <c r="P363" s="103">
        <f t="shared" si="7"/>
        <v>344</v>
      </c>
      <c r="Q363" s="103">
        <f>IF($D363=$O363,1,0)</f>
        <v>1</v>
      </c>
      <c r="R363" s="103" t="s">
        <v>1898</v>
      </c>
      <c r="S363" s="103" t="str">
        <f>_xlfn.IFS(MouserListTable12[[#This Row],[Supplier]]=FilterSpecs!$A$6, FilterSpecs!$B$6,MouserListTable12[[#This Row],[Supplier]]=FilterSpecs!$A$7,FilterSpecs!$B$7,MouserListTable12[[#This Row],[Supplier]]=FilterSpecs!$A$8,FilterSpecs!$B$8,MouserListTable12[[#This Row],[Supplier]]=FilterSpecs!$A$9,FilterSpecs!$B$9)</f>
        <v>485-</v>
      </c>
      <c r="T36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485-1769</v>
      </c>
      <c r="U363" s="121">
        <v>0</v>
      </c>
      <c r="V363" s="121">
        <v>0</v>
      </c>
      <c r="W363" s="121">
        <v>0</v>
      </c>
      <c r="X363" s="121">
        <f>MouserListTable12[[#This Row],['#/Unit]]*FilterSpecs!$C$3+MouserListTable12[[#This Row],[Extra]]</f>
        <v>0</v>
      </c>
      <c r="Y363" s="121">
        <f>IF(MouserListTable12[[#This Row],[Tag]]=FilterSpecs!$F$7,MouserListTable12[[#This Row],[Price (USD)]],0)</f>
        <v>0</v>
      </c>
      <c r="Z363" s="121">
        <f>MouserListTable12[[#This Row],[Tot '#]]*MouserListTable12[[#This Row],[Price (USD)]]</f>
        <v>0</v>
      </c>
    </row>
    <row r="364" spans="1:26" s="144" customFormat="1" hidden="1" x14ac:dyDescent="0.3">
      <c r="A364" s="106" t="s">
        <v>897</v>
      </c>
      <c r="B364" s="106" t="s">
        <v>1884</v>
      </c>
      <c r="C364" s="106" t="s">
        <v>1898</v>
      </c>
      <c r="D364" s="106" t="str">
        <f>IF(MouserListTable12[[#This Row],[Vendor]]=FilterSpecs!$A$8,MouserListTable12[[#This Row],[Mouser SKU]], MouserListTable12[[#This Row],[SKU2]])</f>
        <v>1863</v>
      </c>
      <c r="E364" s="121">
        <f>MouserListTable12[[#This Row],[Tot '#]]-MouserListTable12[[#This Row],['# Initial]]</f>
        <v>0</v>
      </c>
      <c r="F364" s="121">
        <f>MouserListTable12[[#This Row],['#/Unit]]*FilterSpecs!$B$3+MouserListTable12[[#This Row],[Extra Initial]]</f>
        <v>0</v>
      </c>
      <c r="G364" s="103"/>
      <c r="H364" s="103"/>
      <c r="I364" s="146" t="s">
        <v>2149</v>
      </c>
      <c r="J364" s="146"/>
      <c r="K364" s="172">
        <v>2.5</v>
      </c>
      <c r="L364" s="146" t="s">
        <v>1910</v>
      </c>
      <c r="M364" s="146"/>
      <c r="N364" s="171">
        <f>MouserListTable12[[#This Row],['# Initial]]*MouserListTable12[[#This Row],[Price (USD)]]</f>
        <v>0</v>
      </c>
      <c r="O364" s="106" t="s">
        <v>2148</v>
      </c>
      <c r="P364" s="103">
        <f t="shared" si="7"/>
        <v>345</v>
      </c>
      <c r="Q364" s="103">
        <f>IF($D364=$O364,1,0)</f>
        <v>1</v>
      </c>
      <c r="R364" s="103" t="s">
        <v>1898</v>
      </c>
      <c r="S364" s="103" t="str">
        <f>_xlfn.IFS(MouserListTable12[[#This Row],[Supplier]]=FilterSpecs!$A$6, FilterSpecs!$B$6,MouserListTable12[[#This Row],[Supplier]]=FilterSpecs!$A$7,FilterSpecs!$B$7,MouserListTable12[[#This Row],[Supplier]]=FilterSpecs!$A$8,FilterSpecs!$B$8,MouserListTable12[[#This Row],[Supplier]]=FilterSpecs!$A$9,FilterSpecs!$B$9)</f>
        <v>485-</v>
      </c>
      <c r="T36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485-1863</v>
      </c>
      <c r="U364" s="121">
        <v>0</v>
      </c>
      <c r="V364" s="121">
        <v>0</v>
      </c>
      <c r="W364" s="121">
        <v>0</v>
      </c>
      <c r="X364" s="121">
        <f>MouserListTable12[[#This Row],['#/Unit]]*FilterSpecs!$C$3+MouserListTable12[[#This Row],[Extra]]</f>
        <v>0</v>
      </c>
      <c r="Y364" s="121">
        <f>IF(MouserListTable12[[#This Row],[Tag]]=FilterSpecs!$F$7,MouserListTable12[[#This Row],[Price (USD)]],0)</f>
        <v>0</v>
      </c>
      <c r="Z364" s="121">
        <f>MouserListTable12[[#This Row],[Tot '#]]*MouserListTable12[[#This Row],[Price (USD)]]</f>
        <v>0</v>
      </c>
    </row>
    <row r="365" spans="1:26" s="144" customFormat="1" hidden="1" x14ac:dyDescent="0.3">
      <c r="A365" s="146" t="s">
        <v>897</v>
      </c>
      <c r="B365" s="146" t="s">
        <v>1886</v>
      </c>
      <c r="C365" s="146" t="s">
        <v>8</v>
      </c>
      <c r="D365" s="106" t="str">
        <f>IF(MouserListTable12[[#This Row],[Vendor]]=FilterSpecs!$A$8,MouserListTable12[[#This Row],[Mouser SKU]], MouserListTable12[[#This Row],[SKU2]])</f>
        <v>PRT-08233</v>
      </c>
      <c r="E365" s="121">
        <f>MouserListTable12[[#This Row],[Tot '#]]-MouserListTable12[[#This Row],['# Initial]]</f>
        <v>0</v>
      </c>
      <c r="F365" s="121">
        <f>MouserListTable12[[#This Row],['#/Unit]]*FilterSpecs!$B$3+MouserListTable12[[#This Row],[Extra Initial]]</f>
        <v>0</v>
      </c>
      <c r="G365" s="103" t="s">
        <v>1366</v>
      </c>
      <c r="H365" s="103" t="s">
        <v>1367</v>
      </c>
      <c r="I365" s="106" t="s">
        <v>1368</v>
      </c>
      <c r="J365" s="103">
        <v>1</v>
      </c>
      <c r="K365" s="171">
        <v>0.45</v>
      </c>
      <c r="L365" s="106" t="s">
        <v>1910</v>
      </c>
      <c r="M365" s="103"/>
      <c r="N365" s="171">
        <f>MouserListTable12[[#This Row],['# Initial]]*MouserListTable12[[#This Row],[Price (USD)]]</f>
        <v>0</v>
      </c>
      <c r="O365" s="106" t="s">
        <v>1365</v>
      </c>
      <c r="P365" s="103">
        <f t="shared" si="7"/>
        <v>346</v>
      </c>
      <c r="Q365" s="103">
        <f>IF($D365=$O365,1,0)</f>
        <v>1</v>
      </c>
      <c r="R365" s="103" t="s">
        <v>8</v>
      </c>
      <c r="S365" s="103" t="str">
        <f>_xlfn.IFS(MouserListTable12[[#This Row],[Supplier]]=FilterSpecs!$A$6, FilterSpecs!$B$6,MouserListTable12[[#This Row],[Supplier]]=FilterSpecs!$A$7,FilterSpecs!$B$7,MouserListTable12[[#This Row],[Supplier]]=FilterSpecs!$A$8,FilterSpecs!$B$8,MouserListTable12[[#This Row],[Supplier]]=FilterSpecs!$A$9,FilterSpecs!$B$9)</f>
        <v>474-</v>
      </c>
      <c r="T36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474-PRT-08233</v>
      </c>
      <c r="U365" s="121">
        <v>0</v>
      </c>
      <c r="V365" s="121">
        <v>0</v>
      </c>
      <c r="W365" s="121">
        <v>0</v>
      </c>
      <c r="X365" s="121">
        <f>MouserListTable12[[#This Row],['#/Unit]]*FilterSpecs!$C$3+MouserListTable12[[#This Row],[Extra]]</f>
        <v>0</v>
      </c>
      <c r="Y365" s="121">
        <f>IF(MouserListTable12[[#This Row],[Tag]]=FilterSpecs!$F$7,MouserListTable12[[#This Row],[Price (USD)]],0)</f>
        <v>0</v>
      </c>
      <c r="Z365" s="121">
        <f>MouserListTable12[[#This Row],[Tot '#]]*MouserListTable12[[#This Row],[Price (USD)]]</f>
        <v>0</v>
      </c>
    </row>
    <row r="366" spans="1:26" s="144" customFormat="1" hidden="1" x14ac:dyDescent="0.3">
      <c r="A366" s="146" t="s">
        <v>897</v>
      </c>
      <c r="B366" s="146" t="s">
        <v>1886</v>
      </c>
      <c r="C366" s="146" t="s">
        <v>8</v>
      </c>
      <c r="D366" s="106" t="str">
        <f>IF(MouserListTable12[[#This Row],[Vendor]]=FilterSpecs!$A$8,MouserListTable12[[#This Row],[Mouser SKU]], MouserListTable12[[#This Row],[SKU2]])</f>
        <v>PRT-08095</v>
      </c>
      <c r="E366" s="121">
        <f>MouserListTable12[[#This Row],[Tot '#]]-MouserListTable12[[#This Row],['# Initial]]</f>
        <v>0</v>
      </c>
      <c r="F366" s="121">
        <f>MouserListTable12[[#This Row],['#/Unit]]*FilterSpecs!$B$3+MouserListTable12[[#This Row],[Extra Initial]]</f>
        <v>0</v>
      </c>
      <c r="G366" s="103" t="s">
        <v>1374</v>
      </c>
      <c r="H366" s="103" t="s">
        <v>1375</v>
      </c>
      <c r="I366" s="106" t="s">
        <v>1376</v>
      </c>
      <c r="J366" s="103">
        <v>1</v>
      </c>
      <c r="K366" s="171">
        <v>0.45</v>
      </c>
      <c r="L366" s="106" t="s">
        <v>1910</v>
      </c>
      <c r="M366" s="103"/>
      <c r="N366" s="171">
        <f>MouserListTable12[[#This Row],['# Initial]]*MouserListTable12[[#This Row],[Price (USD)]]</f>
        <v>0</v>
      </c>
      <c r="O366" s="106" t="s">
        <v>1373</v>
      </c>
      <c r="P366" s="103">
        <f t="shared" si="7"/>
        <v>347</v>
      </c>
      <c r="Q366" s="103">
        <f>IF($D366=$O366,1,0)</f>
        <v>1</v>
      </c>
      <c r="R366" s="103" t="s">
        <v>8</v>
      </c>
      <c r="S366" s="103" t="str">
        <f>_xlfn.IFS(MouserListTable12[[#This Row],[Supplier]]=FilterSpecs!$A$6, FilterSpecs!$B$6,MouserListTable12[[#This Row],[Supplier]]=FilterSpecs!$A$7,FilterSpecs!$B$7,MouserListTable12[[#This Row],[Supplier]]=FilterSpecs!$A$8,FilterSpecs!$B$8,MouserListTable12[[#This Row],[Supplier]]=FilterSpecs!$A$9,FilterSpecs!$B$9)</f>
        <v>474-</v>
      </c>
      <c r="T36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474-PRT-08095</v>
      </c>
      <c r="U366" s="121">
        <v>0</v>
      </c>
      <c r="V366" s="121">
        <v>0</v>
      </c>
      <c r="W366" s="121">
        <v>0</v>
      </c>
      <c r="X366" s="121">
        <f>MouserListTable12[[#This Row],['#/Unit]]*FilterSpecs!$C$3+MouserListTable12[[#This Row],[Extra]]</f>
        <v>0</v>
      </c>
      <c r="Y366" s="121">
        <f>IF(MouserListTable12[[#This Row],[Tag]]=FilterSpecs!$F$7,MouserListTable12[[#This Row],[Price (USD)]],0)</f>
        <v>0</v>
      </c>
      <c r="Z366" s="121">
        <f>MouserListTable12[[#This Row],[Tot '#]]*MouserListTable12[[#This Row],[Price (USD)]]</f>
        <v>0</v>
      </c>
    </row>
    <row r="367" spans="1:26" s="144" customFormat="1" x14ac:dyDescent="0.3">
      <c r="A367" s="106" t="s">
        <v>897</v>
      </c>
      <c r="B367" s="106" t="s">
        <v>1886</v>
      </c>
      <c r="C367" s="106" t="s">
        <v>8</v>
      </c>
      <c r="D367" s="106" t="str">
        <f>IF(MouserListTable12[[#This Row],[Vendor]]=FilterSpecs!$A$8,MouserListTable12[[#This Row],[Mouser SKU]], MouserListTable12[[#This Row],[SKU2]])</f>
        <v>PRT-08232</v>
      </c>
      <c r="E367" s="121">
        <f>MouserListTable12[[#This Row],[Tot '#]]-MouserListTable12[[#This Row],['# Initial]]</f>
        <v>0</v>
      </c>
      <c r="F367" s="121">
        <f>MouserListTable12[[#This Row],['#/Unit]]*FilterSpecs!$B$3+MouserListTable12[[#This Row],[Extra Initial]]</f>
        <v>6</v>
      </c>
      <c r="G367" s="103" t="s">
        <v>1382</v>
      </c>
      <c r="H367" s="103" t="s">
        <v>1383</v>
      </c>
      <c r="I367" s="106" t="s">
        <v>1384</v>
      </c>
      <c r="J367" s="103">
        <v>1</v>
      </c>
      <c r="K367" s="171">
        <v>0.45</v>
      </c>
      <c r="L367" s="106" t="s">
        <v>1911</v>
      </c>
      <c r="M367" s="103"/>
      <c r="N367" s="171">
        <f>MouserListTable12[[#This Row],['# Initial]]*MouserListTable12[[#This Row],[Price (USD)]]</f>
        <v>2.7</v>
      </c>
      <c r="O367" s="106" t="s">
        <v>1381</v>
      </c>
      <c r="P367" s="103">
        <f t="shared" si="7"/>
        <v>348</v>
      </c>
      <c r="Q367" s="103">
        <f>IF($D367=$O367,1,0)</f>
        <v>1</v>
      </c>
      <c r="R367" s="103" t="s">
        <v>8</v>
      </c>
      <c r="S367" s="103" t="str">
        <f>_xlfn.IFS(MouserListTable12[[#This Row],[Supplier]]=FilterSpecs!$A$6, FilterSpecs!$B$6,MouserListTable12[[#This Row],[Supplier]]=FilterSpecs!$A$7,FilterSpecs!$B$7,MouserListTable12[[#This Row],[Supplier]]=FilterSpecs!$A$8,FilterSpecs!$B$8,MouserListTable12[[#This Row],[Supplier]]=FilterSpecs!$A$9,FilterSpecs!$B$9)</f>
        <v>474-</v>
      </c>
      <c r="T36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474-PRT-08232</v>
      </c>
      <c r="U367" s="121">
        <v>1</v>
      </c>
      <c r="V367" s="121">
        <v>1</v>
      </c>
      <c r="W367" s="121">
        <v>1</v>
      </c>
      <c r="X367" s="121">
        <f>MouserListTable12[[#This Row],['#/Unit]]*FilterSpecs!$C$3+MouserListTable12[[#This Row],[Extra]]</f>
        <v>6</v>
      </c>
      <c r="Y367" s="121">
        <f>IF(MouserListTable12[[#This Row],[Tag]]=FilterSpecs!$F$7,MouserListTable12[[#This Row],[Price (USD)]],0)</f>
        <v>0.45</v>
      </c>
      <c r="Z367" s="121">
        <f>MouserListTable12[[#This Row],[Tot '#]]*MouserListTable12[[#This Row],[Price (USD)]]</f>
        <v>2.7</v>
      </c>
    </row>
    <row r="368" spans="1:26" s="144" customFormat="1" x14ac:dyDescent="0.3">
      <c r="A368" s="106" t="s">
        <v>897</v>
      </c>
      <c r="B368" s="106" t="s">
        <v>1886</v>
      </c>
      <c r="C368" s="106" t="s">
        <v>8</v>
      </c>
      <c r="D368" s="106" t="str">
        <f>IF(MouserListTable12[[#This Row],[Vendor]]=FilterSpecs!$A$8,MouserListTable12[[#This Row],[Mouser SKU]], MouserListTable12[[#This Row],[SKU2]])</f>
        <v>PRT-08096</v>
      </c>
      <c r="E368" s="121">
        <f>MouserListTable12[[#This Row],[Tot '#]]-MouserListTable12[[#This Row],['# Initial]]</f>
        <v>0</v>
      </c>
      <c r="F368" s="121">
        <f>MouserListTable12[[#This Row],['#/Unit]]*FilterSpecs!$B$3+MouserListTable12[[#This Row],[Extra Initial]]</f>
        <v>6</v>
      </c>
      <c r="G368" s="103" t="s">
        <v>1386</v>
      </c>
      <c r="H368" s="103" t="s">
        <v>1387</v>
      </c>
      <c r="I368" s="106" t="s">
        <v>1388</v>
      </c>
      <c r="J368" s="103">
        <v>1</v>
      </c>
      <c r="K368" s="171">
        <v>0.45</v>
      </c>
      <c r="L368" s="106" t="s">
        <v>1911</v>
      </c>
      <c r="M368" s="103"/>
      <c r="N368" s="171">
        <f>MouserListTable12[[#This Row],['# Initial]]*MouserListTable12[[#This Row],[Price (USD)]]</f>
        <v>2.7</v>
      </c>
      <c r="O368" s="106" t="s">
        <v>1385</v>
      </c>
      <c r="P368" s="103">
        <f t="shared" si="7"/>
        <v>349</v>
      </c>
      <c r="Q368" s="103">
        <f>IF($D368=$O368,1,0)</f>
        <v>1</v>
      </c>
      <c r="R368" s="103" t="s">
        <v>8</v>
      </c>
      <c r="S368" s="103" t="str">
        <f>_xlfn.IFS(MouserListTable12[[#This Row],[Supplier]]=FilterSpecs!$A$6, FilterSpecs!$B$6,MouserListTable12[[#This Row],[Supplier]]=FilterSpecs!$A$7,FilterSpecs!$B$7,MouserListTable12[[#This Row],[Supplier]]=FilterSpecs!$A$8,FilterSpecs!$B$8,MouserListTable12[[#This Row],[Supplier]]=FilterSpecs!$A$9,FilterSpecs!$B$9)</f>
        <v>474-</v>
      </c>
      <c r="T36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474-PRT-08096</v>
      </c>
      <c r="U368" s="121">
        <v>1</v>
      </c>
      <c r="V368" s="121">
        <v>1</v>
      </c>
      <c r="W368" s="121">
        <v>1</v>
      </c>
      <c r="X368" s="121">
        <f>MouserListTable12[[#This Row],['#/Unit]]*FilterSpecs!$C$3+MouserListTable12[[#This Row],[Extra]]</f>
        <v>6</v>
      </c>
      <c r="Y368" s="121">
        <f>IF(MouserListTable12[[#This Row],[Tag]]=FilterSpecs!$F$7,MouserListTable12[[#This Row],[Price (USD)]],0)</f>
        <v>0.45</v>
      </c>
      <c r="Z368" s="121">
        <f>MouserListTable12[[#This Row],[Tot '#]]*MouserListTable12[[#This Row],[Price (USD)]]</f>
        <v>2.7</v>
      </c>
    </row>
    <row r="369" spans="1:26" s="144" customFormat="1" x14ac:dyDescent="0.3">
      <c r="A369" s="106" t="s">
        <v>897</v>
      </c>
      <c r="B369" s="106" t="s">
        <v>1886</v>
      </c>
      <c r="C369" s="106" t="s">
        <v>8</v>
      </c>
      <c r="D369" s="106" t="str">
        <f>IF(MouserListTable12[[#This Row],[Vendor]]=FilterSpecs!$A$8,MouserListTable12[[#This Row],[Mouser SKU]], MouserListTable12[[#This Row],[SKU2]])</f>
        <v>PRT-08231</v>
      </c>
      <c r="E369" s="121">
        <f>MouserListTable12[[#This Row],[Tot '#]]-MouserListTable12[[#This Row],['# Initial]]</f>
        <v>0</v>
      </c>
      <c r="F369" s="121">
        <f>MouserListTable12[[#This Row],['#/Unit]]*FilterSpecs!$B$3+MouserListTable12[[#This Row],[Extra Initial]]</f>
        <v>6</v>
      </c>
      <c r="G369" s="103" t="s">
        <v>1370</v>
      </c>
      <c r="H369" s="103" t="s">
        <v>1371</v>
      </c>
      <c r="I369" s="106" t="s">
        <v>1372</v>
      </c>
      <c r="J369" s="103">
        <v>1</v>
      </c>
      <c r="K369" s="171">
        <v>0.45</v>
      </c>
      <c r="L369" s="106" t="s">
        <v>1911</v>
      </c>
      <c r="M369" s="103"/>
      <c r="N369" s="171">
        <f>MouserListTable12[[#This Row],['# Initial]]*MouserListTable12[[#This Row],[Price (USD)]]</f>
        <v>2.7</v>
      </c>
      <c r="O369" s="106" t="s">
        <v>1369</v>
      </c>
      <c r="P369" s="103">
        <f t="shared" si="7"/>
        <v>350</v>
      </c>
      <c r="Q369" s="103">
        <f>IF($D369=$O369,1,0)</f>
        <v>1</v>
      </c>
      <c r="R369" s="103" t="s">
        <v>8</v>
      </c>
      <c r="S369" s="103" t="str">
        <f>_xlfn.IFS(MouserListTable12[[#This Row],[Supplier]]=FilterSpecs!$A$6, FilterSpecs!$B$6,MouserListTable12[[#This Row],[Supplier]]=FilterSpecs!$A$7,FilterSpecs!$B$7,MouserListTable12[[#This Row],[Supplier]]=FilterSpecs!$A$8,FilterSpecs!$B$8,MouserListTable12[[#This Row],[Supplier]]=FilterSpecs!$A$9,FilterSpecs!$B$9)</f>
        <v>474-</v>
      </c>
      <c r="T36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474-PRT-08231</v>
      </c>
      <c r="U369" s="121">
        <v>1</v>
      </c>
      <c r="V369" s="121">
        <v>1</v>
      </c>
      <c r="W369" s="121">
        <v>1</v>
      </c>
      <c r="X369" s="121">
        <f>MouserListTable12[[#This Row],['#/Unit]]*FilterSpecs!$C$3+MouserListTable12[[#This Row],[Extra]]</f>
        <v>6</v>
      </c>
      <c r="Y369" s="121">
        <f>IF(MouserListTable12[[#This Row],[Tag]]=FilterSpecs!$F$7,MouserListTable12[[#This Row],[Price (USD)]],0)</f>
        <v>0.45</v>
      </c>
      <c r="Z369" s="121">
        <f>MouserListTable12[[#This Row],[Tot '#]]*MouserListTable12[[#This Row],[Price (USD)]]</f>
        <v>2.7</v>
      </c>
    </row>
    <row r="370" spans="1:26" s="144" customFormat="1" x14ac:dyDescent="0.3">
      <c r="A370" s="106" t="s">
        <v>897</v>
      </c>
      <c r="B370" s="106" t="s">
        <v>1886</v>
      </c>
      <c r="C370" s="106" t="s">
        <v>8</v>
      </c>
      <c r="D370" s="106" t="str">
        <f>IF(MouserListTable12[[#This Row],[Vendor]]=FilterSpecs!$A$8,MouserListTable12[[#This Row],[Mouser SKU]], MouserListTable12[[#This Row],[SKU2]])</f>
        <v>PRT-08097</v>
      </c>
      <c r="E370" s="121">
        <f>MouserListTable12[[#This Row],[Tot '#]]-MouserListTable12[[#This Row],['# Initial]]</f>
        <v>0</v>
      </c>
      <c r="F370" s="121">
        <f>MouserListTable12[[#This Row],['#/Unit]]*FilterSpecs!$B$3+MouserListTable12[[#This Row],[Extra Initial]]</f>
        <v>6</v>
      </c>
      <c r="G370" s="103" t="s">
        <v>1358</v>
      </c>
      <c r="H370" s="103" t="s">
        <v>1359</v>
      </c>
      <c r="I370" s="106" t="s">
        <v>1360</v>
      </c>
      <c r="J370" s="103">
        <v>1</v>
      </c>
      <c r="K370" s="171">
        <v>0.45</v>
      </c>
      <c r="L370" s="106" t="s">
        <v>1911</v>
      </c>
      <c r="M370" s="103"/>
      <c r="N370" s="171">
        <f>MouserListTable12[[#This Row],['# Initial]]*MouserListTable12[[#This Row],[Price (USD)]]</f>
        <v>2.7</v>
      </c>
      <c r="O370" s="106" t="s">
        <v>1357</v>
      </c>
      <c r="P370" s="103">
        <f t="shared" si="7"/>
        <v>351</v>
      </c>
      <c r="Q370" s="103">
        <f>IF($D370=$O370,1,0)</f>
        <v>1</v>
      </c>
      <c r="R370" s="103" t="s">
        <v>8</v>
      </c>
      <c r="S370" s="103" t="str">
        <f>_xlfn.IFS(MouserListTable12[[#This Row],[Supplier]]=FilterSpecs!$A$6, FilterSpecs!$B$6,MouserListTable12[[#This Row],[Supplier]]=FilterSpecs!$A$7,FilterSpecs!$B$7,MouserListTable12[[#This Row],[Supplier]]=FilterSpecs!$A$8,FilterSpecs!$B$8,MouserListTable12[[#This Row],[Supplier]]=FilterSpecs!$A$9,FilterSpecs!$B$9)</f>
        <v>474-</v>
      </c>
      <c r="T37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474-PRT-08097</v>
      </c>
      <c r="U370" s="121">
        <v>1</v>
      </c>
      <c r="V370" s="121">
        <v>1</v>
      </c>
      <c r="W370" s="121">
        <v>1</v>
      </c>
      <c r="X370" s="121">
        <f>MouserListTable12[[#This Row],['#/Unit]]*FilterSpecs!$C$3+MouserListTable12[[#This Row],[Extra]]</f>
        <v>6</v>
      </c>
      <c r="Y370" s="121">
        <f>IF(MouserListTable12[[#This Row],[Tag]]=FilterSpecs!$F$7,MouserListTable12[[#This Row],[Price (USD)]],0)</f>
        <v>0.45</v>
      </c>
      <c r="Z370" s="121">
        <f>MouserListTable12[[#This Row],[Tot '#]]*MouserListTable12[[#This Row],[Price (USD)]]</f>
        <v>2.7</v>
      </c>
    </row>
    <row r="371" spans="1:26" s="144" customFormat="1" x14ac:dyDescent="0.3">
      <c r="A371" s="106" t="s">
        <v>897</v>
      </c>
      <c r="B371" s="106" t="s">
        <v>1886</v>
      </c>
      <c r="C371" s="106" t="s">
        <v>8</v>
      </c>
      <c r="D371" s="106" t="str">
        <f>IF(MouserListTable12[[#This Row],[Vendor]]=FilterSpecs!$A$8,MouserListTable12[[#This Row],[Mouser SKU]], MouserListTable12[[#This Row],[SKU2]])</f>
        <v>PRT-08100</v>
      </c>
      <c r="E371" s="121">
        <f>MouserListTable12[[#This Row],[Tot '#]]-MouserListTable12[[#This Row],['# Initial]]</f>
        <v>0</v>
      </c>
      <c r="F371" s="121">
        <f>MouserListTable12[[#This Row],['#/Unit]]*FilterSpecs!$B$3+MouserListTable12[[#This Row],[Extra Initial]]</f>
        <v>6</v>
      </c>
      <c r="G371" s="103" t="s">
        <v>2427</v>
      </c>
      <c r="H371" s="103" t="s">
        <v>2428</v>
      </c>
      <c r="I371" s="106" t="s">
        <v>2429</v>
      </c>
      <c r="J371" s="103">
        <v>1</v>
      </c>
      <c r="K371" s="171">
        <v>1.95</v>
      </c>
      <c r="L371" s="106" t="s">
        <v>1911</v>
      </c>
      <c r="M371" s="106"/>
      <c r="N371" s="171">
        <f>MouserListTable12[[#This Row],['# Initial]]*MouserListTable12[[#This Row],[Price (USD)]]</f>
        <v>11.7</v>
      </c>
      <c r="O371" s="106" t="s">
        <v>2426</v>
      </c>
      <c r="P371" s="103">
        <f t="shared" si="7"/>
        <v>352</v>
      </c>
      <c r="Q371" s="103">
        <f>IF($D371=$O371,1,0)</f>
        <v>1</v>
      </c>
      <c r="R371" s="103" t="s">
        <v>8</v>
      </c>
      <c r="S371" s="103" t="str">
        <f>_xlfn.IFS(MouserListTable12[[#This Row],[Supplier]]=FilterSpecs!$A$6, FilterSpecs!$B$6,MouserListTable12[[#This Row],[Supplier]]=FilterSpecs!$A$7,FilterSpecs!$B$7,MouserListTable12[[#This Row],[Supplier]]=FilterSpecs!$A$8,FilterSpecs!$B$8,MouserListTable12[[#This Row],[Supplier]]=FilterSpecs!$A$9,FilterSpecs!$B$9)</f>
        <v>474-</v>
      </c>
      <c r="T37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474-PRT-08100</v>
      </c>
      <c r="U371" s="121">
        <v>1</v>
      </c>
      <c r="V371" s="121">
        <v>1</v>
      </c>
      <c r="W371" s="121">
        <v>1</v>
      </c>
      <c r="X371" s="121">
        <f>MouserListTable12[[#This Row],['#/Unit]]*FilterSpecs!$C$3+MouserListTable12[[#This Row],[Extra]]</f>
        <v>6</v>
      </c>
      <c r="Y371" s="121">
        <f>IF(MouserListTable12[[#This Row],[Tag]]=FilterSpecs!$F$7,MouserListTable12[[#This Row],[Price (USD)]],0)</f>
        <v>1.95</v>
      </c>
      <c r="Z371" s="121">
        <f>MouserListTable12[[#This Row],[Tot '#]]*MouserListTable12[[#This Row],[Price (USD)]]</f>
        <v>11.7</v>
      </c>
    </row>
    <row r="372" spans="1:26" s="146" customFormat="1" x14ac:dyDescent="0.3">
      <c r="A372" s="106" t="s">
        <v>897</v>
      </c>
      <c r="B372" s="106" t="s">
        <v>1885</v>
      </c>
      <c r="C372" s="106" t="s">
        <v>8</v>
      </c>
      <c r="D372" s="106" t="str">
        <f>IF(MouserListTable12[[#This Row],[Vendor]]=FilterSpecs!$A$8,MouserListTable12[[#This Row],[Mouser SKU]], MouserListTable12[[#This Row],[SKU2]])</f>
        <v>PRT-10651</v>
      </c>
      <c r="E372" s="121">
        <f>MouserListTable12[[#This Row],[Tot '#]]-MouserListTable12[[#This Row],['# Initial]]</f>
        <v>0</v>
      </c>
      <c r="F372" s="121">
        <f>MouserListTable12[[#This Row],['#/Unit]]*FilterSpecs!$B$3+MouserListTable12[[#This Row],[Extra Initial]]</f>
        <v>10</v>
      </c>
      <c r="G372" s="103" t="s">
        <v>1588</v>
      </c>
      <c r="H372" s="103" t="s">
        <v>1589</v>
      </c>
      <c r="I372" s="106" t="s">
        <v>1590</v>
      </c>
      <c r="J372" s="103">
        <v>1</v>
      </c>
      <c r="K372" s="171">
        <v>0.35</v>
      </c>
      <c r="L372" s="106" t="s">
        <v>1911</v>
      </c>
      <c r="M372" s="103"/>
      <c r="N372" s="171">
        <f>MouserListTable12[[#This Row],['# Initial]]*MouserListTable12[[#This Row],[Price (USD)]]</f>
        <v>3.5</v>
      </c>
      <c r="O372" s="106" t="s">
        <v>1587</v>
      </c>
      <c r="P372" s="103">
        <f t="shared" si="7"/>
        <v>353</v>
      </c>
      <c r="Q372" s="103">
        <f>IF($D372=$O372,1,0)</f>
        <v>1</v>
      </c>
      <c r="R372" s="103" t="s">
        <v>8</v>
      </c>
      <c r="S372" s="103" t="str">
        <f>_xlfn.IFS(MouserListTable12[[#This Row],[Supplier]]=FilterSpecs!$A$6, FilterSpecs!$B$6,MouserListTable12[[#This Row],[Supplier]]=FilterSpecs!$A$7,FilterSpecs!$B$7,MouserListTable12[[#This Row],[Supplier]]=FilterSpecs!$A$8,FilterSpecs!$B$8,MouserListTable12[[#This Row],[Supplier]]=FilterSpecs!$A$9,FilterSpecs!$B$9)</f>
        <v>474-</v>
      </c>
      <c r="T37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474-PRT-10651</v>
      </c>
      <c r="U372" s="121">
        <v>2</v>
      </c>
      <c r="V372" s="121">
        <v>0</v>
      </c>
      <c r="W372" s="121">
        <v>0</v>
      </c>
      <c r="X372" s="121">
        <f>MouserListTable12[[#This Row],['#/Unit]]*FilterSpecs!$C$3+MouserListTable12[[#This Row],[Extra]]</f>
        <v>10</v>
      </c>
      <c r="Y372" s="121">
        <f>IF(MouserListTable12[[#This Row],[Tag]]=FilterSpecs!$F$7,MouserListTable12[[#This Row],[Price (USD)]],0)</f>
        <v>0.35</v>
      </c>
      <c r="Z372" s="121">
        <f>MouserListTable12[[#This Row],[Tot '#]]*MouserListTable12[[#This Row],[Price (USD)]]</f>
        <v>3.5</v>
      </c>
    </row>
    <row r="373" spans="1:26" s="146" customFormat="1" x14ac:dyDescent="0.3">
      <c r="A373" s="106" t="s">
        <v>897</v>
      </c>
      <c r="B373" s="106" t="s">
        <v>1885</v>
      </c>
      <c r="C373" s="106" t="s">
        <v>8</v>
      </c>
      <c r="D373" s="106" t="str">
        <f>IF(MouserListTable12[[#This Row],[Vendor]]=FilterSpecs!$A$8,MouserListTable12[[#This Row],[Mouser SKU]], MouserListTable12[[#This Row],[SKU2]])</f>
        <v>PRT-10650</v>
      </c>
      <c r="E373" s="121">
        <f>MouserListTable12[[#This Row],[Tot '#]]-MouserListTable12[[#This Row],['# Initial]]</f>
        <v>0</v>
      </c>
      <c r="F373" s="121">
        <f>MouserListTable12[[#This Row],['#/Unit]]*FilterSpecs!$B$3+MouserListTable12[[#This Row],[Extra Initial]]</f>
        <v>10</v>
      </c>
      <c r="G373" s="103" t="s">
        <v>1584</v>
      </c>
      <c r="H373" s="103" t="s">
        <v>1585</v>
      </c>
      <c r="I373" s="106" t="s">
        <v>1586</v>
      </c>
      <c r="J373" s="103">
        <v>1</v>
      </c>
      <c r="K373" s="171">
        <v>0.5</v>
      </c>
      <c r="L373" s="106" t="s">
        <v>1911</v>
      </c>
      <c r="M373" s="103"/>
      <c r="N373" s="171">
        <f>MouserListTable12[[#This Row],['# Initial]]*MouserListTable12[[#This Row],[Price (USD)]]</f>
        <v>5</v>
      </c>
      <c r="O373" s="106" t="s">
        <v>1583</v>
      </c>
      <c r="P373" s="103">
        <f t="shared" si="7"/>
        <v>354</v>
      </c>
      <c r="Q373" s="103">
        <f>IF($D373=$O373,1,0)</f>
        <v>1</v>
      </c>
      <c r="R373" s="103" t="s">
        <v>8</v>
      </c>
      <c r="S373" s="103" t="str">
        <f>_xlfn.IFS(MouserListTable12[[#This Row],[Supplier]]=FilterSpecs!$A$6, FilterSpecs!$B$6,MouserListTable12[[#This Row],[Supplier]]=FilterSpecs!$A$7,FilterSpecs!$B$7,MouserListTable12[[#This Row],[Supplier]]=FilterSpecs!$A$8,FilterSpecs!$B$8,MouserListTable12[[#This Row],[Supplier]]=FilterSpecs!$A$9,FilterSpecs!$B$9)</f>
        <v>474-</v>
      </c>
      <c r="T37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474-PRT-10650</v>
      </c>
      <c r="U373" s="121">
        <v>2</v>
      </c>
      <c r="V373" s="121">
        <v>0</v>
      </c>
      <c r="W373" s="121">
        <v>0</v>
      </c>
      <c r="X373" s="121">
        <f>MouserListTable12[[#This Row],['#/Unit]]*FilterSpecs!$C$3+MouserListTable12[[#This Row],[Extra]]</f>
        <v>10</v>
      </c>
      <c r="Y373" s="121">
        <f>IF(MouserListTable12[[#This Row],[Tag]]=FilterSpecs!$F$7,MouserListTable12[[#This Row],[Price (USD)]],0)</f>
        <v>0.5</v>
      </c>
      <c r="Z373" s="121">
        <f>MouserListTable12[[#This Row],[Tot '#]]*MouserListTable12[[#This Row],[Price (USD)]]</f>
        <v>5</v>
      </c>
    </row>
    <row r="374" spans="1:26" s="146" customFormat="1" hidden="1" x14ac:dyDescent="0.3">
      <c r="A374" s="146" t="s">
        <v>897</v>
      </c>
      <c r="B374" s="146" t="s">
        <v>1888</v>
      </c>
      <c r="C374" s="146" t="s">
        <v>8</v>
      </c>
      <c r="D374" s="106" t="str">
        <f>IF(MouserListTable12[[#This Row],[Vendor]]=FilterSpecs!$A$8,MouserListTable12[[#This Row],[Mouser SKU]], MouserListTable12[[#This Row],[SKU2]])</f>
        <v>PRT-10571</v>
      </c>
      <c r="E374" s="121">
        <f>MouserListTable12[[#This Row],[Tot '#]]-MouserListTable12[[#This Row],['# Initial]]</f>
        <v>0</v>
      </c>
      <c r="F374" s="121">
        <f>MouserListTable12[[#This Row],['#/Unit]]*FilterSpecs!$B$3+MouserListTable12[[#This Row],[Extra Initial]]</f>
        <v>0</v>
      </c>
      <c r="G374" s="103" t="s">
        <v>458</v>
      </c>
      <c r="H374" s="103" t="s">
        <v>459</v>
      </c>
      <c r="I374" s="106" t="s">
        <v>460</v>
      </c>
      <c r="J374" s="103">
        <v>1</v>
      </c>
      <c r="K374" s="171">
        <v>0.75</v>
      </c>
      <c r="L374" s="106" t="s">
        <v>1910</v>
      </c>
      <c r="M374" s="103"/>
      <c r="N374" s="171">
        <f>MouserListTable12[[#This Row],['# Initial]]*MouserListTable12[[#This Row],[Price (USD)]]</f>
        <v>0</v>
      </c>
      <c r="O374" s="106" t="s">
        <v>457</v>
      </c>
      <c r="P374" s="103">
        <f t="shared" si="7"/>
        <v>355</v>
      </c>
      <c r="Q374" s="103">
        <f>IF($D374=$O374,1,0)</f>
        <v>1</v>
      </c>
      <c r="R374" s="103" t="s">
        <v>8</v>
      </c>
      <c r="S374" s="103" t="str">
        <f>_xlfn.IFS(MouserListTable12[[#This Row],[Supplier]]=FilterSpecs!$A$6, FilterSpecs!$B$6,MouserListTable12[[#This Row],[Supplier]]=FilterSpecs!$A$7,FilterSpecs!$B$7,MouserListTable12[[#This Row],[Supplier]]=FilterSpecs!$A$8,FilterSpecs!$B$8,MouserListTable12[[#This Row],[Supplier]]=FilterSpecs!$A$9,FilterSpecs!$B$9)</f>
        <v>474-</v>
      </c>
      <c r="T37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474-PRT-10571</v>
      </c>
      <c r="U374" s="121">
        <v>0</v>
      </c>
      <c r="V374" s="121">
        <v>0</v>
      </c>
      <c r="W374" s="121">
        <v>0</v>
      </c>
      <c r="X374" s="121">
        <f>MouserListTable12[[#This Row],['#/Unit]]*FilterSpecs!$C$3+MouserListTable12[[#This Row],[Extra]]</f>
        <v>0</v>
      </c>
      <c r="Y374" s="121">
        <f>IF(MouserListTable12[[#This Row],[Tag]]=FilterSpecs!$F$7,MouserListTable12[[#This Row],[Price (USD)]],0)</f>
        <v>0</v>
      </c>
      <c r="Z374" s="121">
        <f>MouserListTable12[[#This Row],[Tot '#]]*MouserListTable12[[#This Row],[Price (USD)]]</f>
        <v>0</v>
      </c>
    </row>
    <row r="375" spans="1:26" s="146" customFormat="1" x14ac:dyDescent="0.3">
      <c r="A375" s="106" t="s">
        <v>897</v>
      </c>
      <c r="B375" s="106" t="s">
        <v>1888</v>
      </c>
      <c r="C375" s="106" t="s">
        <v>8</v>
      </c>
      <c r="D375" s="106" t="str">
        <f>IF(MouserListTable12[[#This Row],[Vendor]]=FilterSpecs!$A$8,MouserListTable12[[#This Row],[Mouser SKU]], MouserListTable12[[#This Row],[SKU2]])</f>
        <v>PRT-08432</v>
      </c>
      <c r="E375" s="121">
        <f>MouserListTable12[[#This Row],[Tot '#]]-MouserListTable12[[#This Row],['# Initial]]</f>
        <v>0</v>
      </c>
      <c r="F375" s="121">
        <f>MouserListTable12[[#This Row],['#/Unit]]*FilterSpecs!$B$3+MouserListTable12[[#This Row],[Extra Initial]]</f>
        <v>10</v>
      </c>
      <c r="G375" s="103" t="s">
        <v>902</v>
      </c>
      <c r="H375" s="103" t="s">
        <v>903</v>
      </c>
      <c r="I375" s="106" t="s">
        <v>904</v>
      </c>
      <c r="J375" s="103">
        <v>1</v>
      </c>
      <c r="K375" s="171">
        <v>0.95</v>
      </c>
      <c r="L375" s="106" t="s">
        <v>1911</v>
      </c>
      <c r="M375" s="103"/>
      <c r="N375" s="171">
        <f>MouserListTable12[[#This Row],['# Initial]]*MouserListTable12[[#This Row],[Price (USD)]]</f>
        <v>9.5</v>
      </c>
      <c r="O375" s="106" t="s">
        <v>901</v>
      </c>
      <c r="P375" s="103">
        <f t="shared" si="7"/>
        <v>356</v>
      </c>
      <c r="Q375" s="103">
        <f>IF($D375=$O375,1,0)</f>
        <v>1</v>
      </c>
      <c r="R375" s="103" t="s">
        <v>8</v>
      </c>
      <c r="S375" s="103" t="str">
        <f>_xlfn.IFS(MouserListTable12[[#This Row],[Supplier]]=FilterSpecs!$A$6, FilterSpecs!$B$6,MouserListTable12[[#This Row],[Supplier]]=FilterSpecs!$A$7,FilterSpecs!$B$7,MouserListTable12[[#This Row],[Supplier]]=FilterSpecs!$A$8,FilterSpecs!$B$8,MouserListTable12[[#This Row],[Supplier]]=FilterSpecs!$A$9,FilterSpecs!$B$9)</f>
        <v>474-</v>
      </c>
      <c r="T37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474-PRT-08432</v>
      </c>
      <c r="U375" s="121">
        <v>2</v>
      </c>
      <c r="V375" s="121">
        <v>0</v>
      </c>
      <c r="W375" s="121">
        <v>0</v>
      </c>
      <c r="X375" s="121">
        <f>MouserListTable12[[#This Row],['#/Unit]]*FilterSpecs!$C$3+MouserListTable12[[#This Row],[Extra]]</f>
        <v>10</v>
      </c>
      <c r="Y375" s="121">
        <f>IF(MouserListTable12[[#This Row],[Tag]]=FilterSpecs!$F$7,MouserListTable12[[#This Row],[Price (USD)]],0)</f>
        <v>0.95</v>
      </c>
      <c r="Z375" s="121">
        <f>MouserListTable12[[#This Row],[Tot '#]]*MouserListTable12[[#This Row],[Price (USD)]]</f>
        <v>9.5</v>
      </c>
    </row>
    <row r="376" spans="1:26" s="146" customFormat="1" x14ac:dyDescent="0.3">
      <c r="A376" s="106" t="s">
        <v>897</v>
      </c>
      <c r="B376" s="106" t="s">
        <v>1888</v>
      </c>
      <c r="C376" s="106" t="s">
        <v>8</v>
      </c>
      <c r="D376" s="106" t="str">
        <f>IF(MouserListTable12[[#This Row],[Vendor]]=FilterSpecs!$A$8,MouserListTable12[[#This Row],[Mouser SKU]], MouserListTable12[[#This Row],[SKU2]])</f>
        <v>PRT-08433</v>
      </c>
      <c r="E376" s="121">
        <f>MouserListTable12[[#This Row],[Tot '#]]-MouserListTable12[[#This Row],['# Initial]]</f>
        <v>0</v>
      </c>
      <c r="F376" s="121">
        <f>MouserListTable12[[#This Row],['#/Unit]]*FilterSpecs!$B$3+MouserListTable12[[#This Row],[Extra Initial]]</f>
        <v>10</v>
      </c>
      <c r="G376" s="103" t="s">
        <v>1414</v>
      </c>
      <c r="H376" s="103" t="s">
        <v>1415</v>
      </c>
      <c r="I376" s="106" t="s">
        <v>1416</v>
      </c>
      <c r="J376" s="103">
        <v>1</v>
      </c>
      <c r="K376" s="171">
        <v>0.95</v>
      </c>
      <c r="L376" s="106" t="s">
        <v>1911</v>
      </c>
      <c r="M376" s="103"/>
      <c r="N376" s="171">
        <f>MouserListTable12[[#This Row],['# Initial]]*MouserListTable12[[#This Row],[Price (USD)]]</f>
        <v>9.5</v>
      </c>
      <c r="O376" s="106" t="s">
        <v>1413</v>
      </c>
      <c r="P376" s="103">
        <f t="shared" si="7"/>
        <v>357</v>
      </c>
      <c r="Q376" s="103">
        <f>IF($D376=$O376,1,0)</f>
        <v>1</v>
      </c>
      <c r="R376" s="103" t="s">
        <v>8</v>
      </c>
      <c r="S376" s="103" t="str">
        <f>_xlfn.IFS(MouserListTable12[[#This Row],[Supplier]]=FilterSpecs!$A$6, FilterSpecs!$B$6,MouserListTable12[[#This Row],[Supplier]]=FilterSpecs!$A$7,FilterSpecs!$B$7,MouserListTable12[[#This Row],[Supplier]]=FilterSpecs!$A$8,FilterSpecs!$B$8,MouserListTable12[[#This Row],[Supplier]]=FilterSpecs!$A$9,FilterSpecs!$B$9)</f>
        <v>474-</v>
      </c>
      <c r="T37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474-PRT-08433</v>
      </c>
      <c r="U376" s="121">
        <v>2</v>
      </c>
      <c r="V376" s="121">
        <v>0</v>
      </c>
      <c r="W376" s="121">
        <v>0</v>
      </c>
      <c r="X376" s="121">
        <f>MouserListTable12[[#This Row],['#/Unit]]*FilterSpecs!$C$3+MouserListTable12[[#This Row],[Extra]]</f>
        <v>10</v>
      </c>
      <c r="Y376" s="121">
        <f>IF(MouserListTable12[[#This Row],[Tag]]=FilterSpecs!$F$7,MouserListTable12[[#This Row],[Price (USD)]],0)</f>
        <v>0.95</v>
      </c>
      <c r="Z376" s="121">
        <f>MouserListTable12[[#This Row],[Tot '#]]*MouserListTable12[[#This Row],[Price (USD)]]</f>
        <v>9.5</v>
      </c>
    </row>
    <row r="377" spans="1:26" s="146" customFormat="1" hidden="1" x14ac:dyDescent="0.3">
      <c r="A377" s="146" t="s">
        <v>897</v>
      </c>
      <c r="B377" s="146" t="s">
        <v>1888</v>
      </c>
      <c r="C377" s="146" t="s">
        <v>8</v>
      </c>
      <c r="D377" s="106" t="str">
        <f>IF(MouserListTable12[[#This Row],[Vendor]]=FilterSpecs!$A$8,MouserListTable12[[#This Row],[Mouser SKU]], MouserListTable12[[#This Row],[SKU2]])</f>
        <v>PRT-08073</v>
      </c>
      <c r="E377" s="121">
        <f>MouserListTable12[[#This Row],[Tot '#]]-MouserListTable12[[#This Row],['# Initial]]</f>
        <v>0</v>
      </c>
      <c r="F377" s="121">
        <f>MouserListTable12[[#This Row],['#/Unit]]*FilterSpecs!$B$3+MouserListTable12[[#This Row],[Extra Initial]]</f>
        <v>0</v>
      </c>
      <c r="G377" s="103" t="s">
        <v>1378</v>
      </c>
      <c r="H377" s="103" t="s">
        <v>1379</v>
      </c>
      <c r="I377" s="106" t="s">
        <v>1380</v>
      </c>
      <c r="J377" s="103">
        <v>1</v>
      </c>
      <c r="K377" s="171">
        <v>1.5</v>
      </c>
      <c r="L377" s="106" t="s">
        <v>1910</v>
      </c>
      <c r="M377" s="103"/>
      <c r="N377" s="171">
        <f>MouserListTable12[[#This Row],['# Initial]]*MouserListTable12[[#This Row],[Price (USD)]]</f>
        <v>0</v>
      </c>
      <c r="O377" s="106" t="s">
        <v>1377</v>
      </c>
      <c r="P377" s="103">
        <f t="shared" si="7"/>
        <v>358</v>
      </c>
      <c r="Q377" s="103">
        <f>IF($D377=$O377,1,0)</f>
        <v>1</v>
      </c>
      <c r="R377" s="103" t="s">
        <v>8</v>
      </c>
      <c r="S377" s="103" t="str">
        <f>_xlfn.IFS(MouserListTable12[[#This Row],[Supplier]]=FilterSpecs!$A$6, FilterSpecs!$B$6,MouserListTable12[[#This Row],[Supplier]]=FilterSpecs!$A$7,FilterSpecs!$B$7,MouserListTable12[[#This Row],[Supplier]]=FilterSpecs!$A$8,FilterSpecs!$B$8,MouserListTable12[[#This Row],[Supplier]]=FilterSpecs!$A$9,FilterSpecs!$B$9)</f>
        <v>474-</v>
      </c>
      <c r="T37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474-PRT-08073</v>
      </c>
      <c r="U377" s="121">
        <v>0</v>
      </c>
      <c r="V377" s="121">
        <v>0</v>
      </c>
      <c r="W377" s="121">
        <v>0</v>
      </c>
      <c r="X377" s="121">
        <f>MouserListTable12[[#This Row],['#/Unit]]*FilterSpecs!$C$3+MouserListTable12[[#This Row],[Extra]]</f>
        <v>0</v>
      </c>
      <c r="Y377" s="121">
        <f>IF(MouserListTable12[[#This Row],[Tag]]=FilterSpecs!$F$7,MouserListTable12[[#This Row],[Price (USD)]],0)</f>
        <v>0</v>
      </c>
      <c r="Z377" s="121">
        <f>MouserListTable12[[#This Row],[Tot '#]]*MouserListTable12[[#This Row],[Price (USD)]]</f>
        <v>0</v>
      </c>
    </row>
    <row r="378" spans="1:26" s="144" customFormat="1" hidden="1" x14ac:dyDescent="0.3">
      <c r="A378" s="146" t="s">
        <v>897</v>
      </c>
      <c r="B378" s="146" t="s">
        <v>1888</v>
      </c>
      <c r="C378" s="146" t="s">
        <v>8</v>
      </c>
      <c r="D378" s="106" t="str">
        <f>IF(MouserListTable12[[#This Row],[Vendor]]=FilterSpecs!$A$8,MouserListTable12[[#This Row],[Mouser SKU]], MouserListTable12[[#This Row],[SKU2]])</f>
        <v>PRT-08074</v>
      </c>
      <c r="E378" s="121">
        <f>MouserListTable12[[#This Row],[Tot '#]]-MouserListTable12[[#This Row],['# Initial]]</f>
        <v>0</v>
      </c>
      <c r="F378" s="121">
        <f>MouserListTable12[[#This Row],['#/Unit]]*FilterSpecs!$B$3+MouserListTable12[[#This Row],[Extra Initial]]</f>
        <v>0</v>
      </c>
      <c r="G378" s="103" t="s">
        <v>1418</v>
      </c>
      <c r="H378" s="103" t="s">
        <v>1419</v>
      </c>
      <c r="I378" s="106" t="s">
        <v>1420</v>
      </c>
      <c r="J378" s="103">
        <v>1</v>
      </c>
      <c r="K378" s="171">
        <v>1.5</v>
      </c>
      <c r="L378" s="106" t="s">
        <v>1910</v>
      </c>
      <c r="M378" s="103"/>
      <c r="N378" s="171">
        <f>MouserListTable12[[#This Row],['# Initial]]*MouserListTable12[[#This Row],[Price (USD)]]</f>
        <v>0</v>
      </c>
      <c r="O378" s="106" t="s">
        <v>1417</v>
      </c>
      <c r="P378" s="103">
        <f t="shared" si="7"/>
        <v>359</v>
      </c>
      <c r="Q378" s="103">
        <f>IF($D378=$O378,1,0)</f>
        <v>1</v>
      </c>
      <c r="R378" s="103" t="s">
        <v>8</v>
      </c>
      <c r="S378" s="103" t="str">
        <f>_xlfn.IFS(MouserListTable12[[#This Row],[Supplier]]=FilterSpecs!$A$6, FilterSpecs!$B$6,MouserListTable12[[#This Row],[Supplier]]=FilterSpecs!$A$7,FilterSpecs!$B$7,MouserListTable12[[#This Row],[Supplier]]=FilterSpecs!$A$8,FilterSpecs!$B$8,MouserListTable12[[#This Row],[Supplier]]=FilterSpecs!$A$9,FilterSpecs!$B$9)</f>
        <v>474-</v>
      </c>
      <c r="T37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474-PRT-08074</v>
      </c>
      <c r="U378" s="121">
        <v>0</v>
      </c>
      <c r="V378" s="121">
        <v>0</v>
      </c>
      <c r="W378" s="121">
        <v>0</v>
      </c>
      <c r="X378" s="121">
        <f>MouserListTable12[[#This Row],['#/Unit]]*FilterSpecs!$C$3+MouserListTable12[[#This Row],[Extra]]</f>
        <v>0</v>
      </c>
      <c r="Y378" s="121">
        <f>IF(MouserListTable12[[#This Row],[Tag]]=FilterSpecs!$F$7,MouserListTable12[[#This Row],[Price (USD)]],0)</f>
        <v>0</v>
      </c>
      <c r="Z378" s="121">
        <f>MouserListTable12[[#This Row],[Tot '#]]*MouserListTable12[[#This Row],[Price (USD)]]</f>
        <v>0</v>
      </c>
    </row>
    <row r="379" spans="1:26" s="144" customFormat="1" hidden="1" x14ac:dyDescent="0.3">
      <c r="A379" s="146" t="s">
        <v>897</v>
      </c>
      <c r="B379" s="146" t="s">
        <v>1888</v>
      </c>
      <c r="C379" s="146" t="s">
        <v>8</v>
      </c>
      <c r="D379" s="106" t="str">
        <f>IF(MouserListTable12[[#This Row],[Vendor]]=FilterSpecs!$A$8,MouserListTable12[[#This Row],[Mouser SKU]], MouserListTable12[[#This Row],[SKU2]])</f>
        <v>PRT-08075</v>
      </c>
      <c r="E379" s="121">
        <f>MouserListTable12[[#This Row],[Tot '#]]-MouserListTable12[[#This Row],['# Initial]]</f>
        <v>0</v>
      </c>
      <c r="F379" s="121">
        <f>MouserListTable12[[#This Row],['#/Unit]]*FilterSpecs!$B$3+MouserListTable12[[#This Row],[Extra Initial]]</f>
        <v>0</v>
      </c>
      <c r="G379" s="103" t="s">
        <v>454</v>
      </c>
      <c r="H379" s="103" t="s">
        <v>455</v>
      </c>
      <c r="I379" s="106" t="s">
        <v>456</v>
      </c>
      <c r="J379" s="103">
        <v>1</v>
      </c>
      <c r="K379" s="171">
        <v>1.5</v>
      </c>
      <c r="L379" s="106" t="s">
        <v>1910</v>
      </c>
      <c r="M379" s="103"/>
      <c r="N379" s="171">
        <f>MouserListTable12[[#This Row],['# Initial]]*MouserListTable12[[#This Row],[Price (USD)]]</f>
        <v>0</v>
      </c>
      <c r="O379" s="106" t="s">
        <v>453</v>
      </c>
      <c r="P379" s="103">
        <f t="shared" si="7"/>
        <v>360</v>
      </c>
      <c r="Q379" s="103">
        <f>IF($D379=$O379,1,0)</f>
        <v>1</v>
      </c>
      <c r="R379" s="103" t="s">
        <v>8</v>
      </c>
      <c r="S379" s="103" t="str">
        <f>_xlfn.IFS(MouserListTable12[[#This Row],[Supplier]]=FilterSpecs!$A$6, FilterSpecs!$B$6,MouserListTable12[[#This Row],[Supplier]]=FilterSpecs!$A$7,FilterSpecs!$B$7,MouserListTable12[[#This Row],[Supplier]]=FilterSpecs!$A$8,FilterSpecs!$B$8,MouserListTable12[[#This Row],[Supplier]]=FilterSpecs!$A$9,FilterSpecs!$B$9)</f>
        <v>474-</v>
      </c>
      <c r="T37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474-PRT-08075</v>
      </c>
      <c r="U379" s="121">
        <v>0</v>
      </c>
      <c r="V379" s="121">
        <v>0</v>
      </c>
      <c r="W379" s="121">
        <v>0</v>
      </c>
      <c r="X379" s="121">
        <f>MouserListTable12[[#This Row],['#/Unit]]*FilterSpecs!$C$3+MouserListTable12[[#This Row],[Extra]]</f>
        <v>0</v>
      </c>
      <c r="Y379" s="121">
        <f>IF(MouserListTable12[[#This Row],[Tag]]=FilterSpecs!$F$7,MouserListTable12[[#This Row],[Price (USD)]],0)</f>
        <v>0</v>
      </c>
      <c r="Z379" s="121">
        <f>MouserListTable12[[#This Row],[Tot '#]]*MouserListTable12[[#This Row],[Price (USD)]]</f>
        <v>0</v>
      </c>
    </row>
    <row r="380" spans="1:26" s="144" customFormat="1" x14ac:dyDescent="0.3">
      <c r="A380" s="106" t="s">
        <v>897</v>
      </c>
      <c r="B380" s="106" t="s">
        <v>1888</v>
      </c>
      <c r="C380" s="106" t="s">
        <v>8</v>
      </c>
      <c r="D380" s="106" t="str">
        <f>IF(MouserListTable12[[#This Row],[Vendor]]=FilterSpecs!$A$8,MouserListTable12[[#This Row],[Mouser SKU]], MouserListTable12[[#This Row],[SKU2]])</f>
        <v>PRT-08077</v>
      </c>
      <c r="E380" s="121">
        <f>MouserListTable12[[#This Row],[Tot '#]]-MouserListTable12[[#This Row],['# Initial]]</f>
        <v>0</v>
      </c>
      <c r="F380" s="121">
        <f>MouserListTable12[[#This Row],['#/Unit]]*FilterSpecs!$B$3+MouserListTable12[[#This Row],[Extra Initial]]</f>
        <v>2</v>
      </c>
      <c r="G380" s="103" t="s">
        <v>450</v>
      </c>
      <c r="H380" s="103" t="s">
        <v>451</v>
      </c>
      <c r="I380" s="106" t="s">
        <v>452</v>
      </c>
      <c r="J380" s="103">
        <v>1</v>
      </c>
      <c r="K380" s="171">
        <v>1.5</v>
      </c>
      <c r="L380" s="106" t="s">
        <v>1910</v>
      </c>
      <c r="M380" s="103"/>
      <c r="N380" s="171">
        <f>MouserListTable12[[#This Row],['# Initial]]*MouserListTable12[[#This Row],[Price (USD)]]</f>
        <v>3</v>
      </c>
      <c r="O380" s="106" t="s">
        <v>449</v>
      </c>
      <c r="P380" s="103">
        <f t="shared" si="7"/>
        <v>361</v>
      </c>
      <c r="Q380" s="103">
        <f>IF($D380=$O380,1,0)</f>
        <v>1</v>
      </c>
      <c r="R380" s="103" t="s">
        <v>8</v>
      </c>
      <c r="S380" s="103" t="str">
        <f>_xlfn.IFS(MouserListTable12[[#This Row],[Supplier]]=FilterSpecs!$A$6, FilterSpecs!$B$6,MouserListTable12[[#This Row],[Supplier]]=FilterSpecs!$A$7,FilterSpecs!$B$7,MouserListTable12[[#This Row],[Supplier]]=FilterSpecs!$A$8,FilterSpecs!$B$8,MouserListTable12[[#This Row],[Supplier]]=FilterSpecs!$A$9,FilterSpecs!$B$9)</f>
        <v>474-</v>
      </c>
      <c r="T38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474-PRT-08077</v>
      </c>
      <c r="U380" s="121">
        <v>0</v>
      </c>
      <c r="V380" s="121">
        <v>2</v>
      </c>
      <c r="W380" s="121">
        <v>2</v>
      </c>
      <c r="X380" s="121">
        <f>MouserListTable12[[#This Row],['#/Unit]]*FilterSpecs!$C$3+MouserListTable12[[#This Row],[Extra]]</f>
        <v>2</v>
      </c>
      <c r="Y380" s="121">
        <f>IF(MouserListTable12[[#This Row],[Tag]]=FilterSpecs!$F$7,MouserListTable12[[#This Row],[Price (USD)]],0)</f>
        <v>0</v>
      </c>
      <c r="Z380" s="121">
        <f>MouserListTable12[[#This Row],[Tot '#]]*MouserListTable12[[#This Row],[Price (USD)]]</f>
        <v>3</v>
      </c>
    </row>
    <row r="381" spans="1:26" s="144" customFormat="1" hidden="1" x14ac:dyDescent="0.3">
      <c r="A381" s="146" t="s">
        <v>897</v>
      </c>
      <c r="B381" s="146" t="s">
        <v>1887</v>
      </c>
      <c r="C381" s="146" t="s">
        <v>8</v>
      </c>
      <c r="D381" s="106" t="str">
        <f>IF(MouserListTable12[[#This Row],[Vendor]]=FilterSpecs!$A$8,MouserListTable12[[#This Row],[Mouser SKU]], MouserListTable12[[#This Row],[SKU2]])</f>
        <v>PRT-00139</v>
      </c>
      <c r="E381" s="121">
        <f>MouserListTable12[[#This Row],[Tot '#]]-MouserListTable12[[#This Row],['# Initial]]</f>
        <v>0</v>
      </c>
      <c r="F381" s="121">
        <f>MouserListTable12[[#This Row],['#/Unit]]*FilterSpecs!$B$3+MouserListTable12[[#This Row],[Extra Initial]]</f>
        <v>0</v>
      </c>
      <c r="G381" s="103" t="s">
        <v>1670</v>
      </c>
      <c r="H381" s="103" t="s">
        <v>1671</v>
      </c>
      <c r="I381" s="106" t="s">
        <v>1672</v>
      </c>
      <c r="J381" s="103">
        <v>1</v>
      </c>
      <c r="K381" s="171">
        <v>1.25</v>
      </c>
      <c r="L381" s="106" t="s">
        <v>1910</v>
      </c>
      <c r="M381" s="103"/>
      <c r="N381" s="171">
        <f>MouserListTable12[[#This Row],['# Initial]]*MouserListTable12[[#This Row],[Price (USD)]]</f>
        <v>0</v>
      </c>
      <c r="O381" s="106" t="s">
        <v>1669</v>
      </c>
      <c r="P381" s="103">
        <f t="shared" si="7"/>
        <v>362</v>
      </c>
      <c r="Q381" s="103">
        <f>IF($D381=$O381,1,0)</f>
        <v>1</v>
      </c>
      <c r="R381" s="103" t="s">
        <v>8</v>
      </c>
      <c r="S381" s="103" t="str">
        <f>_xlfn.IFS(MouserListTable12[[#This Row],[Supplier]]=FilterSpecs!$A$6, FilterSpecs!$B$6,MouserListTable12[[#This Row],[Supplier]]=FilterSpecs!$A$7,FilterSpecs!$B$7,MouserListTable12[[#This Row],[Supplier]]=FilterSpecs!$A$8,FilterSpecs!$B$8,MouserListTable12[[#This Row],[Supplier]]=FilterSpecs!$A$9,FilterSpecs!$B$9)</f>
        <v>474-</v>
      </c>
      <c r="T38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474-PRT-00139</v>
      </c>
      <c r="U381" s="121">
        <v>0</v>
      </c>
      <c r="V381" s="121">
        <v>0</v>
      </c>
      <c r="W381" s="121">
        <v>0</v>
      </c>
      <c r="X381" s="121">
        <f>MouserListTable12[[#This Row],['#/Unit]]*FilterSpecs!$C$3+MouserListTable12[[#This Row],[Extra]]</f>
        <v>0</v>
      </c>
      <c r="Y381" s="121">
        <f>IF(MouserListTable12[[#This Row],[Tag]]=FilterSpecs!$F$7,MouserListTable12[[#This Row],[Price (USD)]],0)</f>
        <v>0</v>
      </c>
      <c r="Z381" s="121">
        <f>MouserListTable12[[#This Row],[Tot '#]]*MouserListTable12[[#This Row],[Price (USD)]]</f>
        <v>0</v>
      </c>
    </row>
    <row r="382" spans="1:26" s="144" customFormat="1" hidden="1" x14ac:dyDescent="0.3">
      <c r="A382" s="146" t="s">
        <v>897</v>
      </c>
      <c r="B382" s="146" t="s">
        <v>1887</v>
      </c>
      <c r="C382" s="146" t="s">
        <v>8</v>
      </c>
      <c r="D382" s="106" t="str">
        <f>IF(MouserListTable12[[#This Row],[Vendor]]=FilterSpecs!$A$8,MouserListTable12[[#This Row],[Mouser SKU]], MouserListTable12[[#This Row],[SKU2]])</f>
        <v>BOB-12035</v>
      </c>
      <c r="E382" s="121">
        <f>MouserListTable12[[#This Row],[Tot '#]]-MouserListTable12[[#This Row],['# Initial]]</f>
        <v>0</v>
      </c>
      <c r="F382" s="121">
        <f>MouserListTable12[[#This Row],['#/Unit]]*FilterSpecs!$B$3+MouserListTable12[[#This Row],[Extra Initial]]</f>
        <v>0</v>
      </c>
      <c r="G382" s="103" t="s">
        <v>1722</v>
      </c>
      <c r="H382" s="103" t="s">
        <v>1723</v>
      </c>
      <c r="I382" s="106" t="s">
        <v>1724</v>
      </c>
      <c r="J382" s="103">
        <v>1</v>
      </c>
      <c r="K382" s="171">
        <v>1.95</v>
      </c>
      <c r="L382" s="106" t="s">
        <v>1910</v>
      </c>
      <c r="M382" s="103"/>
      <c r="N382" s="171">
        <f>MouserListTable12[[#This Row],['# Initial]]*MouserListTable12[[#This Row],[Price (USD)]]</f>
        <v>0</v>
      </c>
      <c r="O382" s="106" t="s">
        <v>1721</v>
      </c>
      <c r="P382" s="103">
        <f t="shared" si="7"/>
        <v>363</v>
      </c>
      <c r="Q382" s="103">
        <f>IF($D382=$O382,1,0)</f>
        <v>1</v>
      </c>
      <c r="R382" s="103" t="s">
        <v>8</v>
      </c>
      <c r="S382" s="103" t="str">
        <f>_xlfn.IFS(MouserListTable12[[#This Row],[Supplier]]=FilterSpecs!$A$6, FilterSpecs!$B$6,MouserListTable12[[#This Row],[Supplier]]=FilterSpecs!$A$7,FilterSpecs!$B$7,MouserListTable12[[#This Row],[Supplier]]=FilterSpecs!$A$8,FilterSpecs!$B$8,MouserListTable12[[#This Row],[Supplier]]=FilterSpecs!$A$9,FilterSpecs!$B$9)</f>
        <v>474-</v>
      </c>
      <c r="T38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474-BOB-12035</v>
      </c>
      <c r="U382" s="121">
        <v>0</v>
      </c>
      <c r="V382" s="121">
        <v>0</v>
      </c>
      <c r="W382" s="121">
        <v>0</v>
      </c>
      <c r="X382" s="121">
        <f>MouserListTable12[[#This Row],['#/Unit]]*FilterSpecs!$C$3+MouserListTable12[[#This Row],[Extra]]</f>
        <v>0</v>
      </c>
      <c r="Y382" s="121">
        <f>IF(MouserListTable12[[#This Row],[Tag]]=FilterSpecs!$F$7,MouserListTable12[[#This Row],[Price (USD)]],0)</f>
        <v>0</v>
      </c>
      <c r="Z382" s="121">
        <f>MouserListTable12[[#This Row],[Tot '#]]*MouserListTable12[[#This Row],[Price (USD)]]</f>
        <v>0</v>
      </c>
    </row>
    <row r="383" spans="1:26" s="144" customFormat="1" hidden="1" x14ac:dyDescent="0.3">
      <c r="A383" s="146" t="s">
        <v>897</v>
      </c>
      <c r="B383" s="146" t="s">
        <v>1887</v>
      </c>
      <c r="C383" s="146" t="s">
        <v>8</v>
      </c>
      <c r="D383" s="106" t="str">
        <f>IF(MouserListTable12[[#This Row],[Vendor]]=FilterSpecs!$A$8,MouserListTable12[[#This Row],[Mouser SKU]], MouserListTable12[[#This Row],[SKU2]])</f>
        <v>BOB-10031</v>
      </c>
      <c r="E383" s="121">
        <f>MouserListTable12[[#This Row],[Tot '#]]-MouserListTable12[[#This Row],['# Initial]]</f>
        <v>0</v>
      </c>
      <c r="F383" s="121">
        <f>MouserListTable12[[#This Row],['#/Unit]]*FilterSpecs!$B$3+MouserListTable12[[#This Row],[Extra Initial]]</f>
        <v>0</v>
      </c>
      <c r="G383" s="103" t="s">
        <v>1726</v>
      </c>
      <c r="H383" s="103" t="s">
        <v>1727</v>
      </c>
      <c r="I383" s="106" t="s">
        <v>1728</v>
      </c>
      <c r="J383" s="103">
        <v>1</v>
      </c>
      <c r="K383" s="171">
        <v>3.95</v>
      </c>
      <c r="L383" s="106" t="s">
        <v>1910</v>
      </c>
      <c r="M383" s="103"/>
      <c r="N383" s="171">
        <f>MouserListTable12[[#This Row],['# Initial]]*MouserListTable12[[#This Row],[Price (USD)]]</f>
        <v>0</v>
      </c>
      <c r="O383" s="106" t="s">
        <v>1725</v>
      </c>
      <c r="P383" s="103">
        <f t="shared" si="7"/>
        <v>364</v>
      </c>
      <c r="Q383" s="103">
        <f>IF($D383=$O383,1,0)</f>
        <v>1</v>
      </c>
      <c r="R383" s="103" t="s">
        <v>8</v>
      </c>
      <c r="S383" s="103" t="str">
        <f>_xlfn.IFS(MouserListTable12[[#This Row],[Supplier]]=FilterSpecs!$A$6, FilterSpecs!$B$6,MouserListTable12[[#This Row],[Supplier]]=FilterSpecs!$A$7,FilterSpecs!$B$7,MouserListTable12[[#This Row],[Supplier]]=FilterSpecs!$A$8,FilterSpecs!$B$8,MouserListTable12[[#This Row],[Supplier]]=FilterSpecs!$A$9,FilterSpecs!$B$9)</f>
        <v>474-</v>
      </c>
      <c r="T38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474-BOB-10031</v>
      </c>
      <c r="U383" s="121">
        <v>0</v>
      </c>
      <c r="V383" s="121">
        <v>0</v>
      </c>
      <c r="W383" s="121">
        <v>0</v>
      </c>
      <c r="X383" s="121">
        <f>MouserListTable12[[#This Row],['#/Unit]]*FilterSpecs!$C$3+MouserListTable12[[#This Row],[Extra]]</f>
        <v>0</v>
      </c>
      <c r="Y383" s="121">
        <f>IF(MouserListTable12[[#This Row],[Tag]]=FilterSpecs!$F$7,MouserListTable12[[#This Row],[Price (USD)]],0)</f>
        <v>0</v>
      </c>
      <c r="Z383" s="121">
        <f>MouserListTable12[[#This Row],[Tot '#]]*MouserListTable12[[#This Row],[Price (USD)]]</f>
        <v>0</v>
      </c>
    </row>
    <row r="384" spans="1:26" s="144" customFormat="1" hidden="1" x14ac:dyDescent="0.3">
      <c r="A384" s="146" t="s">
        <v>897</v>
      </c>
      <c r="B384" s="146" t="s">
        <v>1887</v>
      </c>
      <c r="C384" s="146" t="s">
        <v>8</v>
      </c>
      <c r="D384" s="106" t="str">
        <f>IF(MouserListTable12[[#This Row],[Vendor]]=FilterSpecs!$A$8,MouserListTable12[[#This Row],[Mouser SKU]], MouserListTable12[[#This Row],[SKU2]])</f>
        <v>BOB-09966</v>
      </c>
      <c r="E384" s="121">
        <f>MouserListTable12[[#This Row],[Tot '#]]-MouserListTable12[[#This Row],['# Initial]]</f>
        <v>0</v>
      </c>
      <c r="F384" s="121">
        <f>MouserListTable12[[#This Row],['#/Unit]]*FilterSpecs!$B$3+MouserListTable12[[#This Row],[Extra Initial]]</f>
        <v>0</v>
      </c>
      <c r="G384" s="103" t="s">
        <v>1718</v>
      </c>
      <c r="H384" s="103" t="s">
        <v>1719</v>
      </c>
      <c r="I384" s="106" t="s">
        <v>1720</v>
      </c>
      <c r="J384" s="103">
        <v>1</v>
      </c>
      <c r="K384" s="171">
        <v>1.95</v>
      </c>
      <c r="L384" s="106" t="s">
        <v>1910</v>
      </c>
      <c r="M384" s="103"/>
      <c r="N384" s="171">
        <f>MouserListTable12[[#This Row],['# Initial]]*MouserListTable12[[#This Row],[Price (USD)]]</f>
        <v>0</v>
      </c>
      <c r="O384" s="106" t="s">
        <v>1717</v>
      </c>
      <c r="P384" s="103">
        <f t="shared" si="7"/>
        <v>365</v>
      </c>
      <c r="Q384" s="103">
        <f>IF($D384=$O384,1,0)</f>
        <v>1</v>
      </c>
      <c r="R384" s="103" t="s">
        <v>8</v>
      </c>
      <c r="S384" s="103" t="str">
        <f>_xlfn.IFS(MouserListTable12[[#This Row],[Supplier]]=FilterSpecs!$A$6, FilterSpecs!$B$6,MouserListTable12[[#This Row],[Supplier]]=FilterSpecs!$A$7,FilterSpecs!$B$7,MouserListTable12[[#This Row],[Supplier]]=FilterSpecs!$A$8,FilterSpecs!$B$8,MouserListTable12[[#This Row],[Supplier]]=FilterSpecs!$A$9,FilterSpecs!$B$9)</f>
        <v>474-</v>
      </c>
      <c r="T38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474-BOB-09966</v>
      </c>
      <c r="U384" s="121">
        <v>0</v>
      </c>
      <c r="V384" s="121">
        <v>0</v>
      </c>
      <c r="W384" s="121">
        <v>0</v>
      </c>
      <c r="X384" s="121">
        <f>MouserListTable12[[#This Row],['#/Unit]]*FilterSpecs!$C$3+MouserListTable12[[#This Row],[Extra]]</f>
        <v>0</v>
      </c>
      <c r="Y384" s="121">
        <f>IF(MouserListTable12[[#This Row],[Tag]]=FilterSpecs!$F$7,MouserListTable12[[#This Row],[Price (USD)]],0)</f>
        <v>0</v>
      </c>
      <c r="Z384" s="121">
        <f>MouserListTable12[[#This Row],[Tot '#]]*MouserListTable12[[#This Row],[Price (USD)]]</f>
        <v>0</v>
      </c>
    </row>
    <row r="385" spans="1:26" s="144" customFormat="1" x14ac:dyDescent="0.3">
      <c r="A385" s="146" t="s">
        <v>897</v>
      </c>
      <c r="B385" s="146" t="s">
        <v>1889</v>
      </c>
      <c r="C385" s="146" t="s">
        <v>8</v>
      </c>
      <c r="D385" s="106" t="str">
        <f>IF(MouserListTable12[[#This Row],[Vendor]]=FilterSpecs!$A$8,MouserListTable12[[#This Row],[Mouser SKU]], MouserListTable12[[#This Row],[SKU2]])</f>
        <v>COM-14194</v>
      </c>
      <c r="E385" s="121">
        <f>MouserListTable12[[#This Row],[Tot '#]]-MouserListTable12[[#This Row],['# Initial]]</f>
        <v>4</v>
      </c>
      <c r="F385" s="121">
        <f>MouserListTable12[[#This Row],['#/Unit]]*FilterSpecs!$B$3+MouserListTable12[[#This Row],[Extra Initial]]</f>
        <v>5</v>
      </c>
      <c r="G385" s="103" t="s">
        <v>704</v>
      </c>
      <c r="H385" s="103" t="s">
        <v>705</v>
      </c>
      <c r="I385" s="106" t="s">
        <v>706</v>
      </c>
      <c r="J385" s="103">
        <v>1</v>
      </c>
      <c r="K385" s="171">
        <v>1.95</v>
      </c>
      <c r="L385" s="106" t="s">
        <v>1911</v>
      </c>
      <c r="M385" s="103"/>
      <c r="N385" s="171">
        <f>MouserListTable12[[#This Row],['# Initial]]*MouserListTable12[[#This Row],[Price (USD)]]</f>
        <v>9.75</v>
      </c>
      <c r="O385" s="106" t="s">
        <v>703</v>
      </c>
      <c r="P385" s="103">
        <f t="shared" si="7"/>
        <v>366</v>
      </c>
      <c r="Q385" s="103">
        <f>IF($D385=$O385,1,0)</f>
        <v>1</v>
      </c>
      <c r="R385" s="103" t="s">
        <v>8</v>
      </c>
      <c r="S385" s="103" t="str">
        <f>_xlfn.IFS(MouserListTable12[[#This Row],[Supplier]]=FilterSpecs!$A$6, FilterSpecs!$B$6,MouserListTable12[[#This Row],[Supplier]]=FilterSpecs!$A$7,FilterSpecs!$B$7,MouserListTable12[[#This Row],[Supplier]]=FilterSpecs!$A$8,FilterSpecs!$B$8,MouserListTable12[[#This Row],[Supplier]]=FilterSpecs!$A$9,FilterSpecs!$B$9)</f>
        <v>474-</v>
      </c>
      <c r="T38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474-COM-14194</v>
      </c>
      <c r="U385" s="121">
        <f>SUM(U133:U144)</f>
        <v>1</v>
      </c>
      <c r="V385" s="121">
        <f t="shared" ref="V385:W385" si="9">SUM(V133:V144)</f>
        <v>4</v>
      </c>
      <c r="W385" s="121">
        <f t="shared" si="9"/>
        <v>0</v>
      </c>
      <c r="X385" s="121">
        <f>MouserListTable12[[#This Row],['#/Unit]]*FilterSpecs!$C$3+MouserListTable12[[#This Row],[Extra]]</f>
        <v>9</v>
      </c>
      <c r="Y385" s="121">
        <f>IF(MouserListTable12[[#This Row],[Tag]]=FilterSpecs!$F$7,MouserListTable12[[#This Row],[Price (USD)]],0)</f>
        <v>1.95</v>
      </c>
      <c r="Z385" s="121">
        <f>MouserListTable12[[#This Row],[Tot '#]]*MouserListTable12[[#This Row],[Price (USD)]]</f>
        <v>17.55</v>
      </c>
    </row>
    <row r="386" spans="1:26" s="144" customFormat="1" x14ac:dyDescent="0.3">
      <c r="A386" s="106" t="s">
        <v>897</v>
      </c>
      <c r="B386" s="106" t="s">
        <v>1889</v>
      </c>
      <c r="C386" s="106" t="s">
        <v>8</v>
      </c>
      <c r="D386" s="106" t="str">
        <f>IF(MouserListTable12[[#This Row],[Vendor]]=FilterSpecs!$A$8,MouserListTable12[[#This Row],[Mouser SKU]], MouserListTable12[[#This Row],[SKU2]])</f>
        <v>COM-14195</v>
      </c>
      <c r="E386" s="121">
        <f>MouserListTable12[[#This Row],[Tot '#]]-MouserListTable12[[#This Row],['# Initial]]</f>
        <v>4</v>
      </c>
      <c r="F386" s="121">
        <f>MouserListTable12[[#This Row],['#/Unit]]*FilterSpecs!$B$3+MouserListTable12[[#This Row],[Extra Initial]]</f>
        <v>5</v>
      </c>
      <c r="G386" s="103" t="s">
        <v>700</v>
      </c>
      <c r="H386" s="103" t="s">
        <v>701</v>
      </c>
      <c r="I386" s="106" t="s">
        <v>702</v>
      </c>
      <c r="J386" s="103">
        <v>1</v>
      </c>
      <c r="K386" s="171">
        <v>1.95</v>
      </c>
      <c r="L386" s="106" t="s">
        <v>1911</v>
      </c>
      <c r="M386" s="103"/>
      <c r="N386" s="171">
        <f>MouserListTable12[[#This Row],['# Initial]]*MouserListTable12[[#This Row],[Price (USD)]]</f>
        <v>9.75</v>
      </c>
      <c r="O386" s="106" t="s">
        <v>699</v>
      </c>
      <c r="P386" s="103">
        <f t="shared" si="7"/>
        <v>367</v>
      </c>
      <c r="Q386" s="103">
        <f>IF($D386=$O386,1,0)</f>
        <v>1</v>
      </c>
      <c r="R386" s="103" t="s">
        <v>8</v>
      </c>
      <c r="S386" s="103" t="str">
        <f>_xlfn.IFS(MouserListTable12[[#This Row],[Supplier]]=FilterSpecs!$A$6, FilterSpecs!$B$6,MouserListTable12[[#This Row],[Supplier]]=FilterSpecs!$A$7,FilterSpecs!$B$7,MouserListTable12[[#This Row],[Supplier]]=FilterSpecs!$A$8,FilterSpecs!$B$8,MouserListTable12[[#This Row],[Supplier]]=FilterSpecs!$A$9,FilterSpecs!$B$9)</f>
        <v>474-</v>
      </c>
      <c r="T38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474-COM-14195</v>
      </c>
      <c r="U386" s="121">
        <f>SUM(U133:U144)</f>
        <v>1</v>
      </c>
      <c r="V386" s="121">
        <f t="shared" ref="V385:W386" si="10">SUM(V133:V144)</f>
        <v>4</v>
      </c>
      <c r="W386" s="121">
        <f t="shared" si="10"/>
        <v>0</v>
      </c>
      <c r="X386" s="121">
        <f>MouserListTable12[[#This Row],['#/Unit]]*FilterSpecs!$C$3+MouserListTable12[[#This Row],[Extra]]</f>
        <v>9</v>
      </c>
      <c r="Y386" s="121">
        <f>IF(MouserListTable12[[#This Row],[Tag]]=FilterSpecs!$F$7,MouserListTable12[[#This Row],[Price (USD)]],0)</f>
        <v>1.95</v>
      </c>
      <c r="Z386" s="121">
        <f>MouserListTable12[[#This Row],[Tot '#]]*MouserListTable12[[#This Row],[Price (USD)]]</f>
        <v>17.55</v>
      </c>
    </row>
    <row r="387" spans="1:26" s="146" customFormat="1" hidden="1" x14ac:dyDescent="0.3">
      <c r="A387" s="146" t="s">
        <v>897</v>
      </c>
      <c r="B387" s="146" t="s">
        <v>1889</v>
      </c>
      <c r="C387" s="146" t="s">
        <v>8</v>
      </c>
      <c r="D387" s="106" t="str">
        <f>IF(MouserListTable12[[#This Row],[Vendor]]=FilterSpecs!$A$8,MouserListTable12[[#This Row],[Mouser SKU]], MouserListTable12[[#This Row],[SKU2]])</f>
        <v>PRT-09044</v>
      </c>
      <c r="E387" s="121">
        <f>MouserListTable12[[#This Row],[Tot '#]]-MouserListTable12[[#This Row],['# Initial]]</f>
        <v>0</v>
      </c>
      <c r="F387" s="121">
        <f>MouserListTable12[[#This Row],['#/Unit]]*FilterSpecs!$B$3+MouserListTable12[[#This Row],[Extra Initial]]</f>
        <v>0</v>
      </c>
      <c r="G387" s="103" t="s">
        <v>752</v>
      </c>
      <c r="H387" s="103" t="s">
        <v>753</v>
      </c>
      <c r="I387" s="106" t="s">
        <v>754</v>
      </c>
      <c r="J387" s="103">
        <v>1</v>
      </c>
      <c r="K387" s="171">
        <v>0.35</v>
      </c>
      <c r="L387" s="106" t="s">
        <v>1910</v>
      </c>
      <c r="M387" s="103"/>
      <c r="N387" s="171">
        <f>MouserListTable12[[#This Row],['# Initial]]*MouserListTable12[[#This Row],[Price (USD)]]</f>
        <v>0</v>
      </c>
      <c r="O387" s="106" t="s">
        <v>751</v>
      </c>
      <c r="P387" s="103">
        <f t="shared" si="7"/>
        <v>368</v>
      </c>
      <c r="Q387" s="103">
        <f>IF($D387=$O387,1,0)</f>
        <v>1</v>
      </c>
      <c r="R387" s="103" t="s">
        <v>8</v>
      </c>
      <c r="S387" s="103" t="str">
        <f>_xlfn.IFS(MouserListTable12[[#This Row],[Supplier]]=FilterSpecs!$A$6, FilterSpecs!$B$6,MouserListTable12[[#This Row],[Supplier]]=FilterSpecs!$A$7,FilterSpecs!$B$7,MouserListTable12[[#This Row],[Supplier]]=FilterSpecs!$A$8,FilterSpecs!$B$8,MouserListTable12[[#This Row],[Supplier]]=FilterSpecs!$A$9,FilterSpecs!$B$9)</f>
        <v>474-</v>
      </c>
      <c r="T38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474-PRT-09044</v>
      </c>
      <c r="U387" s="121">
        <v>0</v>
      </c>
      <c r="V387" s="121">
        <v>0</v>
      </c>
      <c r="W387" s="121">
        <v>0</v>
      </c>
      <c r="X387" s="121">
        <f>MouserListTable12[[#This Row],['#/Unit]]*FilterSpecs!$C$3+MouserListTable12[[#This Row],[Extra]]</f>
        <v>0</v>
      </c>
      <c r="Y387" s="121">
        <f>IF(MouserListTable12[[#This Row],[Tag]]=FilterSpecs!$F$7,MouserListTable12[[#This Row],[Price (USD)]],0)</f>
        <v>0</v>
      </c>
      <c r="Z387" s="121">
        <f>MouserListTable12[[#This Row],[Tot '#]]*MouserListTable12[[#This Row],[Price (USD)]]</f>
        <v>0</v>
      </c>
    </row>
    <row r="388" spans="1:26" s="146" customFormat="1" x14ac:dyDescent="0.3">
      <c r="A388" s="106" t="s">
        <v>897</v>
      </c>
      <c r="B388" s="106" t="s">
        <v>1889</v>
      </c>
      <c r="C388" s="106" t="s">
        <v>1898</v>
      </c>
      <c r="D388" s="106">
        <f>IF(MouserListTable12[[#This Row],[Vendor]]=FilterSpecs!$A$8,MouserListTable12[[#This Row],[Mouser SKU]], MouserListTable12[[#This Row],[SKU2]])</f>
        <v>3525</v>
      </c>
      <c r="E388" s="121">
        <f>MouserListTable12[[#This Row],[Tot '#]]-MouserListTable12[[#This Row],['# Initial]]</f>
        <v>0</v>
      </c>
      <c r="F388" s="121">
        <f>MouserListTable12[[#This Row],['#/Unit]]*FilterSpecs!$B$3+MouserListTable12[[#This Row],[Extra Initial]]</f>
        <v>1</v>
      </c>
      <c r="G388" s="103"/>
      <c r="H388" s="103"/>
      <c r="I388" s="106" t="s">
        <v>2150</v>
      </c>
      <c r="K388" s="171">
        <v>0.95</v>
      </c>
      <c r="L388" s="106" t="s">
        <v>1910</v>
      </c>
      <c r="M388" s="106"/>
      <c r="N388" s="171">
        <f>MouserListTable12[[#This Row],['# Initial]]*MouserListTable12[[#This Row],[Price (USD)]]</f>
        <v>0.95</v>
      </c>
      <c r="O388" s="106">
        <v>3525</v>
      </c>
      <c r="P388" s="103">
        <f t="shared" si="7"/>
        <v>369</v>
      </c>
      <c r="Q388" s="103">
        <f>IF($D388=$O388,1,0)</f>
        <v>1</v>
      </c>
      <c r="R388" s="103" t="s">
        <v>1898</v>
      </c>
      <c r="S388" s="103" t="str">
        <f>_xlfn.IFS(MouserListTable12[[#This Row],[Supplier]]=FilterSpecs!$A$6, FilterSpecs!$B$6,MouserListTable12[[#This Row],[Supplier]]=FilterSpecs!$A$7,FilterSpecs!$B$7,MouserListTable12[[#This Row],[Supplier]]=FilterSpecs!$A$8,FilterSpecs!$B$8,MouserListTable12[[#This Row],[Supplier]]=FilterSpecs!$A$9,FilterSpecs!$B$9)</f>
        <v>485-</v>
      </c>
      <c r="T38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485-3525</v>
      </c>
      <c r="U388" s="121">
        <v>0</v>
      </c>
      <c r="V388" s="121">
        <v>1</v>
      </c>
      <c r="W388" s="121">
        <v>1</v>
      </c>
      <c r="X388" s="121">
        <f>MouserListTable12[[#This Row],['#/Unit]]*FilterSpecs!$C$3+MouserListTable12[[#This Row],[Extra]]</f>
        <v>1</v>
      </c>
      <c r="Y388" s="121">
        <f>IF(MouserListTable12[[#This Row],[Tag]]=FilterSpecs!$F$7,MouserListTable12[[#This Row],[Price (USD)]],0)</f>
        <v>0</v>
      </c>
      <c r="Z388" s="121">
        <f>MouserListTable12[[#This Row],[Tot '#]]*MouserListTable12[[#This Row],[Price (USD)]]</f>
        <v>0.95</v>
      </c>
    </row>
    <row r="389" spans="1:26" s="146" customFormat="1" hidden="1" x14ac:dyDescent="0.3">
      <c r="A389" s="126" t="s">
        <v>897</v>
      </c>
      <c r="B389" s="146" t="s">
        <v>1617</v>
      </c>
      <c r="C389" s="146" t="s">
        <v>8</v>
      </c>
      <c r="D389" s="106" t="str">
        <f>IF(MouserListTable12[[#This Row],[Vendor]]=FilterSpecs!$A$8,MouserListTable12[[#This Row],[Mouser SKU]], MouserListTable12[[#This Row],[SKU2]])</f>
        <v>KIT-13973</v>
      </c>
      <c r="E389" s="121">
        <f>MouserListTable12[[#This Row],[Tot '#]]-MouserListTable12[[#This Row],['# Initial]]</f>
        <v>0</v>
      </c>
      <c r="F389" s="121">
        <f>MouserListTable12[[#This Row],['#/Unit]]*FilterSpecs!$B$3+MouserListTable12[[#This Row],[Extra Initial]]</f>
        <v>0</v>
      </c>
      <c r="G389" s="103" t="s">
        <v>368</v>
      </c>
      <c r="H389" s="103" t="s">
        <v>369</v>
      </c>
      <c r="I389" s="106" t="s">
        <v>370</v>
      </c>
      <c r="J389" s="103">
        <v>1</v>
      </c>
      <c r="K389" s="171">
        <v>14.95</v>
      </c>
      <c r="L389" s="106" t="s">
        <v>1913</v>
      </c>
      <c r="M389" s="103"/>
      <c r="N389" s="171">
        <f>MouserListTable12[[#This Row],['# Initial]]*MouserListTable12[[#This Row],[Price (USD)]]</f>
        <v>0</v>
      </c>
      <c r="O389" s="106" t="s">
        <v>367</v>
      </c>
      <c r="P389" s="103">
        <f t="shared" si="7"/>
        <v>370</v>
      </c>
      <c r="Q389" s="103">
        <f>IF($D389=$O389,1,0)</f>
        <v>1</v>
      </c>
      <c r="R389" s="103" t="s">
        <v>8</v>
      </c>
      <c r="S389" s="103" t="str">
        <f>_xlfn.IFS(MouserListTable12[[#This Row],[Supplier]]=FilterSpecs!$A$6, FilterSpecs!$B$6,MouserListTable12[[#This Row],[Supplier]]=FilterSpecs!$A$7,FilterSpecs!$B$7,MouserListTable12[[#This Row],[Supplier]]=FilterSpecs!$A$8,FilterSpecs!$B$8,MouserListTable12[[#This Row],[Supplier]]=FilterSpecs!$A$9,FilterSpecs!$B$9)</f>
        <v>474-</v>
      </c>
      <c r="T38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474-KIT-13973</v>
      </c>
      <c r="U389" s="121">
        <v>0</v>
      </c>
      <c r="V389" s="121">
        <v>0</v>
      </c>
      <c r="W389" s="121">
        <v>0</v>
      </c>
      <c r="X389" s="121">
        <f>MouserListTable12[[#This Row],['#/Unit]]*FilterSpecs!$C$3+MouserListTable12[[#This Row],[Extra]]</f>
        <v>0</v>
      </c>
      <c r="Y389" s="121">
        <f>IF(MouserListTable12[[#This Row],[Tag]]=FilterSpecs!$F$7,MouserListTable12[[#This Row],[Price (USD)]],0)</f>
        <v>0</v>
      </c>
      <c r="Z389" s="121">
        <f>MouserListTable12[[#This Row],[Tot '#]]*MouserListTable12[[#This Row],[Price (USD)]]</f>
        <v>0</v>
      </c>
    </row>
    <row r="390" spans="1:26" s="146" customFormat="1" x14ac:dyDescent="0.3">
      <c r="A390" s="103" t="s">
        <v>897</v>
      </c>
      <c r="B390" s="106" t="s">
        <v>1617</v>
      </c>
      <c r="C390" s="106" t="s">
        <v>1898</v>
      </c>
      <c r="D390" s="106" t="str">
        <f>IF(MouserListTable12[[#This Row],[Vendor]]=FilterSpecs!$A$8,MouserListTable12[[#This Row],[Mouser SKU]], MouserListTable12[[#This Row],[SKU2]])</f>
        <v>2975</v>
      </c>
      <c r="E390" s="121">
        <f>MouserListTable12[[#This Row],[Tot '#]]-MouserListTable12[[#This Row],['# Initial]]</f>
        <v>0</v>
      </c>
      <c r="F390" s="121">
        <f>MouserListTable12[[#This Row],['#/Unit]]*FilterSpecs!$B$3+MouserListTable12[[#This Row],[Extra Initial]]</f>
        <v>1</v>
      </c>
      <c r="G390" s="103"/>
      <c r="H390" s="103"/>
      <c r="I390" s="106" t="s">
        <v>2154</v>
      </c>
      <c r="K390" s="171">
        <v>19.95</v>
      </c>
      <c r="L390" s="106" t="s">
        <v>1910</v>
      </c>
      <c r="M390" s="106"/>
      <c r="N390" s="171">
        <f>MouserListTable12[[#This Row],['# Initial]]*MouserListTable12[[#This Row],[Price (USD)]]</f>
        <v>19.95</v>
      </c>
      <c r="O390" s="106" t="s">
        <v>2153</v>
      </c>
      <c r="P390" s="103">
        <f t="shared" si="7"/>
        <v>371</v>
      </c>
      <c r="Q390" s="103">
        <f>IF($D390=$O390,1,0)</f>
        <v>1</v>
      </c>
      <c r="R390" s="103" t="s">
        <v>1898</v>
      </c>
      <c r="S390" s="103" t="str">
        <f>_xlfn.IFS(MouserListTable12[[#This Row],[Supplier]]=FilterSpecs!$A$6, FilterSpecs!$B$6,MouserListTable12[[#This Row],[Supplier]]=FilterSpecs!$A$7,FilterSpecs!$B$7,MouserListTable12[[#This Row],[Supplier]]=FilterSpecs!$A$8,FilterSpecs!$B$8,MouserListTable12[[#This Row],[Supplier]]=FilterSpecs!$A$9,FilterSpecs!$B$9)</f>
        <v>485-</v>
      </c>
      <c r="T39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485-2975</v>
      </c>
      <c r="U390" s="121">
        <v>0</v>
      </c>
      <c r="V390" s="121">
        <v>1</v>
      </c>
      <c r="W390" s="121">
        <v>1</v>
      </c>
      <c r="X390" s="121">
        <f>MouserListTable12[[#This Row],['#/Unit]]*FilterSpecs!$C$3+MouserListTable12[[#This Row],[Extra]]</f>
        <v>1</v>
      </c>
      <c r="Y390" s="121">
        <f>IF(MouserListTable12[[#This Row],[Tag]]=FilterSpecs!$F$7,MouserListTable12[[#This Row],[Price (USD)]],0)</f>
        <v>0</v>
      </c>
      <c r="Z390" s="121">
        <f>MouserListTable12[[#This Row],[Tot '#]]*MouserListTable12[[#This Row],[Price (USD)]]</f>
        <v>19.95</v>
      </c>
    </row>
    <row r="391" spans="1:26" s="146" customFormat="1" hidden="1" x14ac:dyDescent="0.3">
      <c r="A391" s="126" t="s">
        <v>897</v>
      </c>
      <c r="B391" s="146" t="s">
        <v>1617</v>
      </c>
      <c r="C391" s="146" t="s">
        <v>8</v>
      </c>
      <c r="D391" s="106" t="str">
        <f>IF(MouserListTable12[[#This Row],[Vendor]]=FilterSpecs!$A$8,MouserListTable12[[#This Row],[Mouser SKU]], MouserListTable12[[#This Row],[SKU2]])</f>
        <v>COM-00522</v>
      </c>
      <c r="E391" s="121">
        <f>MouserListTable12[[#This Row],[Tot '#]]-MouserListTable12[[#This Row],['# Initial]]</f>
        <v>0</v>
      </c>
      <c r="F391" s="121">
        <f>MouserListTable12[[#This Row],['#/Unit]]*FilterSpecs!$B$3+MouserListTable12[[#This Row],[Extra Initial]]</f>
        <v>0</v>
      </c>
      <c r="G391" s="103" t="s">
        <v>1568</v>
      </c>
      <c r="H391" s="103" t="s">
        <v>1569</v>
      </c>
      <c r="I391" s="106" t="s">
        <v>1570</v>
      </c>
      <c r="J391" s="103">
        <v>1</v>
      </c>
      <c r="K391" s="171">
        <v>0.5</v>
      </c>
      <c r="L391" s="106" t="s">
        <v>1910</v>
      </c>
      <c r="M391" s="103"/>
      <c r="N391" s="171">
        <f>MouserListTable12[[#This Row],['# Initial]]*MouserListTable12[[#This Row],[Price (USD)]]</f>
        <v>0</v>
      </c>
      <c r="O391" s="106" t="s">
        <v>1567</v>
      </c>
      <c r="P391" s="103">
        <f t="shared" si="7"/>
        <v>372</v>
      </c>
      <c r="Q391" s="103">
        <f>IF($D391=$O391,1,0)</f>
        <v>1</v>
      </c>
      <c r="R391" s="103" t="s">
        <v>8</v>
      </c>
      <c r="S391" s="103" t="str">
        <f>_xlfn.IFS(MouserListTable12[[#This Row],[Supplier]]=FilterSpecs!$A$6, FilterSpecs!$B$6,MouserListTable12[[#This Row],[Supplier]]=FilterSpecs!$A$7,FilterSpecs!$B$7,MouserListTable12[[#This Row],[Supplier]]=FilterSpecs!$A$8,FilterSpecs!$B$8,MouserListTable12[[#This Row],[Supplier]]=FilterSpecs!$A$9,FilterSpecs!$B$9)</f>
        <v>474-</v>
      </c>
      <c r="T39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474-COM-00522</v>
      </c>
      <c r="U391" s="121">
        <v>0</v>
      </c>
      <c r="V391" s="121">
        <v>0</v>
      </c>
      <c r="W391" s="121">
        <v>0</v>
      </c>
      <c r="X391" s="121">
        <f>MouserListTable12[[#This Row],['#/Unit]]*FilterSpecs!$C$3+MouserListTable12[[#This Row],[Extra]]</f>
        <v>0</v>
      </c>
      <c r="Y391" s="121">
        <f>IF(MouserListTable12[[#This Row],[Tag]]=FilterSpecs!$F$7,MouserListTable12[[#This Row],[Price (USD)]],0)</f>
        <v>0</v>
      </c>
      <c r="Z391" s="121">
        <f>MouserListTable12[[#This Row],[Tot '#]]*MouserListTable12[[#This Row],[Price (USD)]]</f>
        <v>0</v>
      </c>
    </row>
    <row r="392" spans="1:26" s="146" customFormat="1" hidden="1" x14ac:dyDescent="0.3">
      <c r="A392" s="126" t="s">
        <v>897</v>
      </c>
      <c r="B392" s="146" t="s">
        <v>1617</v>
      </c>
      <c r="C392" s="146" t="s">
        <v>8</v>
      </c>
      <c r="D392" s="106" t="str">
        <f>IF(MouserListTable12[[#This Row],[Vendor]]=FilterSpecs!$A$8,MouserListTable12[[#This Row],[Mouser SKU]], MouserListTable12[[#This Row],[SKU2]])</f>
        <v>COM-00521</v>
      </c>
      <c r="E392" s="121">
        <f>MouserListTable12[[#This Row],[Tot '#]]-MouserListTable12[[#This Row],['# Initial]]</f>
        <v>0</v>
      </c>
      <c r="F392" s="121">
        <f>MouserListTable12[[#This Row],['#/Unit]]*FilterSpecs!$B$3+MouserListTable12[[#This Row],[Extra Initial]]</f>
        <v>0</v>
      </c>
      <c r="G392" s="103" t="s">
        <v>1572</v>
      </c>
      <c r="H392" s="103" t="s">
        <v>1573</v>
      </c>
      <c r="I392" s="106" t="s">
        <v>1574</v>
      </c>
      <c r="J392" s="103">
        <v>1</v>
      </c>
      <c r="K392" s="171">
        <v>0.5</v>
      </c>
      <c r="L392" s="106" t="s">
        <v>1910</v>
      </c>
      <c r="M392" s="103"/>
      <c r="N392" s="171">
        <f>MouserListTable12[[#This Row],['# Initial]]*MouserListTable12[[#This Row],[Price (USD)]]</f>
        <v>0</v>
      </c>
      <c r="O392" s="106" t="s">
        <v>1571</v>
      </c>
      <c r="P392" s="103">
        <f t="shared" si="7"/>
        <v>373</v>
      </c>
      <c r="Q392" s="103">
        <f>IF($D392=$O392,1,0)</f>
        <v>1</v>
      </c>
      <c r="R392" s="103" t="s">
        <v>8</v>
      </c>
      <c r="S392" s="103" t="str">
        <f>_xlfn.IFS(MouserListTable12[[#This Row],[Supplier]]=FilterSpecs!$A$6, FilterSpecs!$B$6,MouserListTable12[[#This Row],[Supplier]]=FilterSpecs!$A$7,FilterSpecs!$B$7,MouserListTable12[[#This Row],[Supplier]]=FilterSpecs!$A$8,FilterSpecs!$B$8,MouserListTable12[[#This Row],[Supplier]]=FilterSpecs!$A$9,FilterSpecs!$B$9)</f>
        <v>474-</v>
      </c>
      <c r="T39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474-COM-00521</v>
      </c>
      <c r="U392" s="121">
        <v>0</v>
      </c>
      <c r="V392" s="121">
        <v>0</v>
      </c>
      <c r="W392" s="121">
        <v>0</v>
      </c>
      <c r="X392" s="121">
        <f>MouserListTable12[[#This Row],['#/Unit]]*FilterSpecs!$C$3+MouserListTable12[[#This Row],[Extra]]</f>
        <v>0</v>
      </c>
      <c r="Y392" s="121">
        <f>IF(MouserListTable12[[#This Row],[Tag]]=FilterSpecs!$F$7,MouserListTable12[[#This Row],[Price (USD)]],0)</f>
        <v>0</v>
      </c>
      <c r="Z392" s="121">
        <f>MouserListTable12[[#This Row],[Tot '#]]*MouserListTable12[[#This Row],[Price (USD)]]</f>
        <v>0</v>
      </c>
    </row>
    <row r="393" spans="1:26" s="146" customFormat="1" hidden="1" x14ac:dyDescent="0.3">
      <c r="A393" s="126" t="s">
        <v>897</v>
      </c>
      <c r="B393" s="146" t="s">
        <v>1617</v>
      </c>
      <c r="C393" s="146" t="s">
        <v>8</v>
      </c>
      <c r="D393" s="106" t="str">
        <f>IF(MouserListTable12[[#This Row],[Vendor]]=FilterSpecs!$A$8,MouserListTable12[[#This Row],[Mouser SKU]], MouserListTable12[[#This Row],[SKU2]])</f>
        <v>COM-08928</v>
      </c>
      <c r="E393" s="121">
        <f>MouserListTable12[[#This Row],[Tot '#]]-MouserListTable12[[#This Row],['# Initial]]</f>
        <v>0</v>
      </c>
      <c r="F393" s="121">
        <f>MouserListTable12[[#This Row],['#/Unit]]*FilterSpecs!$B$3+MouserListTable12[[#This Row],[Extra Initial]]</f>
        <v>0</v>
      </c>
      <c r="G393" s="103" t="s">
        <v>1556</v>
      </c>
      <c r="H393" s="103" t="s">
        <v>1557</v>
      </c>
      <c r="I393" s="106" t="s">
        <v>1558</v>
      </c>
      <c r="J393" s="103">
        <v>1</v>
      </c>
      <c r="K393" s="171">
        <v>0.5</v>
      </c>
      <c r="L393" s="106" t="s">
        <v>1913</v>
      </c>
      <c r="M393" s="103"/>
      <c r="N393" s="171">
        <f>MouserListTable12[[#This Row],['# Initial]]*MouserListTable12[[#This Row],[Price (USD)]]</f>
        <v>0</v>
      </c>
      <c r="O393" s="106" t="s">
        <v>1555</v>
      </c>
      <c r="P393" s="103">
        <f t="shared" si="7"/>
        <v>374</v>
      </c>
      <c r="Q393" s="103">
        <f>IF($D393=$O393,1,0)</f>
        <v>1</v>
      </c>
      <c r="R393" s="103" t="s">
        <v>8</v>
      </c>
      <c r="S393" s="103" t="str">
        <f>_xlfn.IFS(MouserListTable12[[#This Row],[Supplier]]=FilterSpecs!$A$6, FilterSpecs!$B$6,MouserListTable12[[#This Row],[Supplier]]=FilterSpecs!$A$7,FilterSpecs!$B$7,MouserListTable12[[#This Row],[Supplier]]=FilterSpecs!$A$8,FilterSpecs!$B$8,MouserListTable12[[#This Row],[Supplier]]=FilterSpecs!$A$9,FilterSpecs!$B$9)</f>
        <v>474-</v>
      </c>
      <c r="T39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474-COM-08928</v>
      </c>
      <c r="U393" s="121">
        <v>0</v>
      </c>
      <c r="V393" s="121">
        <v>0</v>
      </c>
      <c r="W393" s="121">
        <v>0</v>
      </c>
      <c r="X393" s="121">
        <f>MouserListTable12[[#This Row],['#/Unit]]*FilterSpecs!$C$3+MouserListTable12[[#This Row],[Extra]]</f>
        <v>0</v>
      </c>
      <c r="Y393" s="121">
        <f>IF(MouserListTable12[[#This Row],[Tag]]=FilterSpecs!$F$7,MouserListTable12[[#This Row],[Price (USD)]],0)</f>
        <v>0</v>
      </c>
      <c r="Z393" s="121">
        <f>MouserListTable12[[#This Row],[Tot '#]]*MouserListTable12[[#This Row],[Price (USD)]]</f>
        <v>0</v>
      </c>
    </row>
    <row r="394" spans="1:26" s="146" customFormat="1" hidden="1" x14ac:dyDescent="0.3">
      <c r="A394" s="126" t="s">
        <v>897</v>
      </c>
      <c r="B394" s="146" t="s">
        <v>1617</v>
      </c>
      <c r="C394" s="146" t="s">
        <v>8</v>
      </c>
      <c r="D394" s="106" t="str">
        <f>IF(MouserListTable12[[#This Row],[Vendor]]=FilterSpecs!$A$8,MouserListTable12[[#This Row],[Mouser SKU]], MouserListTable12[[#This Row],[SKU2]])</f>
        <v>COM-10213</v>
      </c>
      <c r="E394" s="121">
        <f>MouserListTable12[[#This Row],[Tot '#]]-MouserListTable12[[#This Row],['# Initial]]</f>
        <v>0</v>
      </c>
      <c r="F394" s="121">
        <f>MouserListTable12[[#This Row],['#/Unit]]*FilterSpecs!$B$3+MouserListTable12[[#This Row],[Extra Initial]]</f>
        <v>0</v>
      </c>
      <c r="G394" s="103" t="s">
        <v>1560</v>
      </c>
      <c r="H394" s="103" t="s">
        <v>1561</v>
      </c>
      <c r="I394" s="106" t="s">
        <v>1562</v>
      </c>
      <c r="J394" s="103">
        <v>1</v>
      </c>
      <c r="K394" s="171">
        <v>0.95</v>
      </c>
      <c r="L394" s="106" t="s">
        <v>1910</v>
      </c>
      <c r="M394" s="103"/>
      <c r="N394" s="171">
        <f>MouserListTable12[[#This Row],['# Initial]]*MouserListTable12[[#This Row],[Price (USD)]]</f>
        <v>0</v>
      </c>
      <c r="O394" s="106" t="s">
        <v>1559</v>
      </c>
      <c r="P394" s="103">
        <f t="shared" si="7"/>
        <v>375</v>
      </c>
      <c r="Q394" s="103">
        <f>IF($D394=$O394,1,0)</f>
        <v>1</v>
      </c>
      <c r="R394" s="103" t="s">
        <v>8</v>
      </c>
      <c r="S394" s="103" t="str">
        <f>_xlfn.IFS(MouserListTable12[[#This Row],[Supplier]]=FilterSpecs!$A$6, FilterSpecs!$B$6,MouserListTable12[[#This Row],[Supplier]]=FilterSpecs!$A$7,FilterSpecs!$B$7,MouserListTable12[[#This Row],[Supplier]]=FilterSpecs!$A$8,FilterSpecs!$B$8,MouserListTable12[[#This Row],[Supplier]]=FilterSpecs!$A$9,FilterSpecs!$B$9)</f>
        <v>474-</v>
      </c>
      <c r="T39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474-COM-10213</v>
      </c>
      <c r="U394" s="121">
        <v>0</v>
      </c>
      <c r="V394" s="121">
        <v>0</v>
      </c>
      <c r="W394" s="121">
        <v>0</v>
      </c>
      <c r="X394" s="121">
        <f>MouserListTable12[[#This Row],['#/Unit]]*FilterSpecs!$C$3+MouserListTable12[[#This Row],[Extra]]</f>
        <v>0</v>
      </c>
      <c r="Y394" s="121">
        <f>IF(MouserListTable12[[#This Row],[Tag]]=FilterSpecs!$F$7,MouserListTable12[[#This Row],[Price (USD)]],0)</f>
        <v>0</v>
      </c>
      <c r="Z394" s="121">
        <f>MouserListTable12[[#This Row],[Tot '#]]*MouserListTable12[[#This Row],[Price (USD)]]</f>
        <v>0</v>
      </c>
    </row>
    <row r="395" spans="1:26" s="146" customFormat="1" hidden="1" x14ac:dyDescent="0.3">
      <c r="A395" s="126" t="s">
        <v>897</v>
      </c>
      <c r="B395" s="146" t="s">
        <v>1617</v>
      </c>
      <c r="C395" s="146" t="s">
        <v>8</v>
      </c>
      <c r="D395" s="106" t="str">
        <f>IF(MouserListTable12[[#This Row],[Vendor]]=FilterSpecs!$A$8,MouserListTable12[[#This Row],[Mouser SKU]], MouserListTable12[[#This Row],[SKU2]])</f>
        <v>COM-10349</v>
      </c>
      <c r="E395" s="121">
        <f>MouserListTable12[[#This Row],[Tot '#]]-MouserListTable12[[#This Row],['# Initial]]</f>
        <v>0</v>
      </c>
      <c r="F395" s="121">
        <f>MouserListTable12[[#This Row],['#/Unit]]*FilterSpecs!$B$3+MouserListTable12[[#This Row],[Extra Initial]]</f>
        <v>0</v>
      </c>
      <c r="G395" s="103" t="s">
        <v>1564</v>
      </c>
      <c r="H395" s="103" t="s">
        <v>1565</v>
      </c>
      <c r="I395" s="106" t="s">
        <v>1566</v>
      </c>
      <c r="J395" s="103">
        <v>1</v>
      </c>
      <c r="K395" s="171">
        <v>0.95</v>
      </c>
      <c r="L395" s="106" t="s">
        <v>1913</v>
      </c>
      <c r="M395" s="103"/>
      <c r="N395" s="171">
        <f>MouserListTable12[[#This Row],['# Initial]]*MouserListTable12[[#This Row],[Price (USD)]]</f>
        <v>0</v>
      </c>
      <c r="O395" s="106" t="s">
        <v>1563</v>
      </c>
      <c r="P395" s="103">
        <f t="shared" si="7"/>
        <v>376</v>
      </c>
      <c r="Q395" s="103">
        <f>IF($D395=$O395,1,0)</f>
        <v>1</v>
      </c>
      <c r="R395" s="103" t="s">
        <v>8</v>
      </c>
      <c r="S395" s="103" t="str">
        <f>_xlfn.IFS(MouserListTable12[[#This Row],[Supplier]]=FilterSpecs!$A$6, FilterSpecs!$B$6,MouserListTable12[[#This Row],[Supplier]]=FilterSpecs!$A$7,FilterSpecs!$B$7,MouserListTable12[[#This Row],[Supplier]]=FilterSpecs!$A$8,FilterSpecs!$B$8,MouserListTable12[[#This Row],[Supplier]]=FilterSpecs!$A$9,FilterSpecs!$B$9)</f>
        <v>474-</v>
      </c>
      <c r="T39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474-COM-10349</v>
      </c>
      <c r="U395" s="121">
        <v>0</v>
      </c>
      <c r="V395" s="121">
        <v>0</v>
      </c>
      <c r="W395" s="121">
        <v>0</v>
      </c>
      <c r="X395" s="121">
        <f>MouserListTable12[[#This Row],['#/Unit]]*FilterSpecs!$C$3+MouserListTable12[[#This Row],[Extra]]</f>
        <v>0</v>
      </c>
      <c r="Y395" s="121">
        <f>IF(MouserListTable12[[#This Row],[Tag]]=FilterSpecs!$F$7,MouserListTable12[[#This Row],[Price (USD)]],0)</f>
        <v>0</v>
      </c>
      <c r="Z395" s="121">
        <f>MouserListTable12[[#This Row],[Tot '#]]*MouserListTable12[[#This Row],[Price (USD)]]</f>
        <v>0</v>
      </c>
    </row>
    <row r="396" spans="1:26" s="146" customFormat="1" hidden="1" x14ac:dyDescent="0.3">
      <c r="A396" s="126" t="s">
        <v>897</v>
      </c>
      <c r="B396" s="146" t="s">
        <v>1617</v>
      </c>
      <c r="C396" s="146" t="s">
        <v>8</v>
      </c>
      <c r="D396" s="106" t="str">
        <f>IF(MouserListTable12[[#This Row],[Vendor]]=FilterSpecs!$A$8,MouserListTable12[[#This Row],[Mouser SKU]], MouserListTable12[[#This Row],[SKU2]])</f>
        <v>COM-12901</v>
      </c>
      <c r="E396" s="121">
        <f>MouserListTable12[[#This Row],[Tot '#]]-MouserListTable12[[#This Row],['# Initial]]</f>
        <v>0</v>
      </c>
      <c r="F396" s="121">
        <f>MouserListTable12[[#This Row],['#/Unit]]*FilterSpecs!$B$3+MouserListTable12[[#This Row],[Extra Initial]]</f>
        <v>0</v>
      </c>
      <c r="G396" s="103" t="s">
        <v>1576</v>
      </c>
      <c r="H396" s="103" t="s">
        <v>1577</v>
      </c>
      <c r="I396" s="106" t="s">
        <v>1578</v>
      </c>
      <c r="J396" s="103"/>
      <c r="K396" s="171">
        <v>1.95</v>
      </c>
      <c r="L396" s="106" t="s">
        <v>1913</v>
      </c>
      <c r="M396" s="103"/>
      <c r="N396" s="171">
        <f>MouserListTable12[[#This Row],['# Initial]]*MouserListTable12[[#This Row],[Price (USD)]]</f>
        <v>0</v>
      </c>
      <c r="O396" s="106" t="s">
        <v>1575</v>
      </c>
      <c r="P396" s="103">
        <f t="shared" si="7"/>
        <v>377</v>
      </c>
      <c r="Q396" s="103">
        <f>IF($D396=$O396,1,0)</f>
        <v>1</v>
      </c>
      <c r="R396" s="103" t="s">
        <v>8</v>
      </c>
      <c r="S396" s="103" t="str">
        <f>_xlfn.IFS(MouserListTable12[[#This Row],[Supplier]]=FilterSpecs!$A$6, FilterSpecs!$B$6,MouserListTable12[[#This Row],[Supplier]]=FilterSpecs!$A$7,FilterSpecs!$B$7,MouserListTable12[[#This Row],[Supplier]]=FilterSpecs!$A$8,FilterSpecs!$B$8,MouserListTable12[[#This Row],[Supplier]]=FilterSpecs!$A$9,FilterSpecs!$B$9)</f>
        <v>474-</v>
      </c>
      <c r="T39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474-COM-12901</v>
      </c>
      <c r="U396" s="121">
        <v>0</v>
      </c>
      <c r="V396" s="121">
        <v>0</v>
      </c>
      <c r="W396" s="121">
        <v>0</v>
      </c>
      <c r="X396" s="121">
        <f>MouserListTable12[[#This Row],['#/Unit]]*FilterSpecs!$C$3+MouserListTable12[[#This Row],[Extra]]</f>
        <v>0</v>
      </c>
      <c r="Y396" s="121">
        <f>IF(MouserListTable12[[#This Row],[Tag]]=FilterSpecs!$F$7,MouserListTable12[[#This Row],[Price (USD)]],0)</f>
        <v>0</v>
      </c>
      <c r="Z396" s="121">
        <f>MouserListTable12[[#This Row],[Tot '#]]*MouserListTable12[[#This Row],[Price (USD)]]</f>
        <v>0</v>
      </c>
    </row>
    <row r="397" spans="1:26" s="146" customFormat="1" x14ac:dyDescent="0.3">
      <c r="A397" s="103" t="s">
        <v>897</v>
      </c>
      <c r="B397" s="106" t="s">
        <v>1617</v>
      </c>
      <c r="C397" s="106" t="s">
        <v>8</v>
      </c>
      <c r="D397" s="106" t="str">
        <f>IF(MouserListTable12[[#This Row],[Vendor]]=FilterSpecs!$A$8,MouserListTable12[[#This Row],[Mouser SKU]], MouserListTable12[[#This Row],[SKU2]])</f>
        <v>COM-11078</v>
      </c>
      <c r="E397" s="121">
        <f>MouserListTable12[[#This Row],[Tot '#]]-MouserListTable12[[#This Row],['# Initial]]</f>
        <v>0</v>
      </c>
      <c r="F397" s="121">
        <f>MouserListTable12[[#This Row],['#/Unit]]*FilterSpecs!$B$3+MouserListTable12[[#This Row],[Extra Initial]]</f>
        <v>5</v>
      </c>
      <c r="G397" s="103" t="s">
        <v>392</v>
      </c>
      <c r="H397" s="103" t="s">
        <v>393</v>
      </c>
      <c r="I397" s="106" t="s">
        <v>394</v>
      </c>
      <c r="J397" s="103">
        <v>1</v>
      </c>
      <c r="K397" s="171">
        <v>0.5</v>
      </c>
      <c r="L397" s="106" t="s">
        <v>1911</v>
      </c>
      <c r="M397" s="103"/>
      <c r="N397" s="171">
        <f>MouserListTable12[[#This Row],['# Initial]]*MouserListTable12[[#This Row],[Price (USD)]]</f>
        <v>2.5</v>
      </c>
      <c r="O397" s="106" t="s">
        <v>391</v>
      </c>
      <c r="P397" s="103">
        <f t="shared" si="7"/>
        <v>378</v>
      </c>
      <c r="Q397" s="103">
        <f>IF($D397=$O397,1,0)</f>
        <v>1</v>
      </c>
      <c r="R397" s="103" t="s">
        <v>8</v>
      </c>
      <c r="S397" s="103" t="str">
        <f>_xlfn.IFS(MouserListTable12[[#This Row],[Supplier]]=FilterSpecs!$A$6, FilterSpecs!$B$6,MouserListTable12[[#This Row],[Supplier]]=FilterSpecs!$A$7,FilterSpecs!$B$7,MouserListTable12[[#This Row],[Supplier]]=FilterSpecs!$A$8,FilterSpecs!$B$8,MouserListTable12[[#This Row],[Supplier]]=FilterSpecs!$A$9,FilterSpecs!$B$9)</f>
        <v>474-</v>
      </c>
      <c r="T39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474-COM-11078</v>
      </c>
      <c r="U397" s="121">
        <v>1</v>
      </c>
      <c r="V397" s="121">
        <v>0</v>
      </c>
      <c r="W397" s="121">
        <v>0</v>
      </c>
      <c r="X397" s="121">
        <f>MouserListTable12[[#This Row],['#/Unit]]*FilterSpecs!$C$3+MouserListTable12[[#This Row],[Extra]]</f>
        <v>5</v>
      </c>
      <c r="Y397" s="121">
        <f>IF(MouserListTable12[[#This Row],[Tag]]=FilterSpecs!$F$7,MouserListTable12[[#This Row],[Price (USD)]],0)</f>
        <v>0.5</v>
      </c>
      <c r="Z397" s="121">
        <f>MouserListTable12[[#This Row],[Tot '#]]*MouserListTable12[[#This Row],[Price (USD)]]</f>
        <v>2.5</v>
      </c>
    </row>
    <row r="398" spans="1:26" s="146" customFormat="1" x14ac:dyDescent="0.3">
      <c r="A398" s="103" t="s">
        <v>897</v>
      </c>
      <c r="B398" s="106" t="s">
        <v>1617</v>
      </c>
      <c r="C398" s="106" t="s">
        <v>8</v>
      </c>
      <c r="D398" s="106" t="str">
        <f>IF(MouserListTable12[[#This Row],[Vendor]]=FilterSpecs!$A$8,MouserListTable12[[#This Row],[Mouser SKU]], MouserListTable12[[#This Row],[SKU2]])</f>
        <v>COM-00526</v>
      </c>
      <c r="E398" s="121">
        <f>MouserListTable12[[#This Row],[Tot '#]]-MouserListTable12[[#This Row],['# Initial]]</f>
        <v>0</v>
      </c>
      <c r="F398" s="121">
        <f>MouserListTable12[[#This Row],['#/Unit]]*FilterSpecs!$B$3+MouserListTable12[[#This Row],[Extra Initial]]</f>
        <v>5</v>
      </c>
      <c r="G398" s="103" t="s">
        <v>380</v>
      </c>
      <c r="H398" s="103" t="s">
        <v>381</v>
      </c>
      <c r="I398" s="106" t="s">
        <v>382</v>
      </c>
      <c r="J398" s="103">
        <v>1</v>
      </c>
      <c r="K398" s="171">
        <v>1.95</v>
      </c>
      <c r="L398" s="106" t="s">
        <v>1911</v>
      </c>
      <c r="M398" s="103"/>
      <c r="N398" s="171">
        <f>MouserListTable12[[#This Row],['# Initial]]*MouserListTable12[[#This Row],[Price (USD)]]</f>
        <v>9.75</v>
      </c>
      <c r="O398" s="106" t="s">
        <v>379</v>
      </c>
      <c r="P398" s="103">
        <f t="shared" si="7"/>
        <v>379</v>
      </c>
      <c r="Q398" s="103">
        <f>IF($D398=$O398,1,0)</f>
        <v>1</v>
      </c>
      <c r="R398" s="103" t="s">
        <v>8</v>
      </c>
      <c r="S398" s="103" t="str">
        <f>_xlfn.IFS(MouserListTable12[[#This Row],[Supplier]]=FilterSpecs!$A$6, FilterSpecs!$B$6,MouserListTable12[[#This Row],[Supplier]]=FilterSpecs!$A$7,FilterSpecs!$B$7,MouserListTable12[[#This Row],[Supplier]]=FilterSpecs!$A$8,FilterSpecs!$B$8,MouserListTable12[[#This Row],[Supplier]]=FilterSpecs!$A$9,FilterSpecs!$B$9)</f>
        <v>474-</v>
      </c>
      <c r="T39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474-COM-00526</v>
      </c>
      <c r="U398" s="121">
        <v>1</v>
      </c>
      <c r="V398" s="121">
        <v>0</v>
      </c>
      <c r="W398" s="121">
        <v>0</v>
      </c>
      <c r="X398" s="121">
        <f>MouserListTable12[[#This Row],['#/Unit]]*FilterSpecs!$C$3+MouserListTable12[[#This Row],[Extra]]</f>
        <v>5</v>
      </c>
      <c r="Y398" s="121">
        <f>IF(MouserListTable12[[#This Row],[Tag]]=FilterSpecs!$F$7,MouserListTable12[[#This Row],[Price (USD)]],0)</f>
        <v>1.95</v>
      </c>
      <c r="Z398" s="121">
        <f>MouserListTable12[[#This Row],[Tot '#]]*MouserListTable12[[#This Row],[Price (USD)]]</f>
        <v>9.75</v>
      </c>
    </row>
    <row r="399" spans="1:26" s="146" customFormat="1" x14ac:dyDescent="0.3">
      <c r="A399" s="103" t="s">
        <v>897</v>
      </c>
      <c r="B399" s="106" t="s">
        <v>1617</v>
      </c>
      <c r="C399" s="106" t="s">
        <v>8</v>
      </c>
      <c r="D399" s="106" t="str">
        <f>IF(MouserListTable12[[#This Row],[Vendor]]=FilterSpecs!$A$8,MouserListTable12[[#This Row],[Mouser SKU]], MouserListTable12[[#This Row],[SKU2]])</f>
        <v>COM-00107</v>
      </c>
      <c r="E399" s="121">
        <f>MouserListTable12[[#This Row],[Tot '#]]-MouserListTable12[[#This Row],['# Initial]]</f>
        <v>0</v>
      </c>
      <c r="F399" s="121">
        <f>MouserListTable12[[#This Row],['#/Unit]]*FilterSpecs!$B$3+MouserListTable12[[#This Row],[Extra Initial]]</f>
        <v>5</v>
      </c>
      <c r="G399" s="103" t="s">
        <v>396</v>
      </c>
      <c r="H399" s="103" t="s">
        <v>397</v>
      </c>
      <c r="I399" s="106" t="s">
        <v>398</v>
      </c>
      <c r="J399" s="103">
        <v>1</v>
      </c>
      <c r="K399" s="171">
        <v>0.95</v>
      </c>
      <c r="L399" s="106" t="s">
        <v>1911</v>
      </c>
      <c r="M399" s="103"/>
      <c r="N399" s="171">
        <f>MouserListTable12[[#This Row],['# Initial]]*MouserListTable12[[#This Row],[Price (USD)]]</f>
        <v>4.75</v>
      </c>
      <c r="O399" s="106" t="s">
        <v>395</v>
      </c>
      <c r="P399" s="103">
        <f t="shared" si="7"/>
        <v>380</v>
      </c>
      <c r="Q399" s="103">
        <f>IF($D399=$O399,1,0)</f>
        <v>1</v>
      </c>
      <c r="R399" s="103" t="s">
        <v>8</v>
      </c>
      <c r="S399" s="103" t="str">
        <f>_xlfn.IFS(MouserListTable12[[#This Row],[Supplier]]=FilterSpecs!$A$6, FilterSpecs!$B$6,MouserListTable12[[#This Row],[Supplier]]=FilterSpecs!$A$7,FilterSpecs!$B$7,MouserListTable12[[#This Row],[Supplier]]=FilterSpecs!$A$8,FilterSpecs!$B$8,MouserListTable12[[#This Row],[Supplier]]=FilterSpecs!$A$9,FilterSpecs!$B$9)</f>
        <v>474-</v>
      </c>
      <c r="T39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474-COM-00107</v>
      </c>
      <c r="U399" s="121">
        <v>1</v>
      </c>
      <c r="V399" s="121">
        <v>0</v>
      </c>
      <c r="W399" s="121">
        <v>0</v>
      </c>
      <c r="X399" s="121">
        <f>MouserListTable12[[#This Row],['#/Unit]]*FilterSpecs!$C$3+MouserListTable12[[#This Row],[Extra]]</f>
        <v>5</v>
      </c>
      <c r="Y399" s="121">
        <f>IF(MouserListTable12[[#This Row],[Tag]]=FilterSpecs!$F$7,MouserListTable12[[#This Row],[Price (USD)]],0)</f>
        <v>0.95</v>
      </c>
      <c r="Z399" s="121">
        <f>MouserListTable12[[#This Row],[Tot '#]]*MouserListTable12[[#This Row],[Price (USD)]]</f>
        <v>4.75</v>
      </c>
    </row>
    <row r="400" spans="1:26" s="146" customFormat="1" hidden="1" x14ac:dyDescent="0.3">
      <c r="A400" s="103" t="s">
        <v>897</v>
      </c>
      <c r="B400" s="106" t="s">
        <v>1617</v>
      </c>
      <c r="C400" s="106" t="s">
        <v>8</v>
      </c>
      <c r="D400" s="106" t="str">
        <f>IF(MouserListTable12[[#This Row],[Vendor]]=FilterSpecs!$A$8,MouserListTable12[[#This Row],[Mouser SKU]], MouserListTable12[[#This Row],[SKU2]])</f>
        <v>COM-12766</v>
      </c>
      <c r="E400" s="121">
        <f>MouserListTable12[[#This Row],[Tot '#]]-MouserListTable12[[#This Row],['# Initial]]</f>
        <v>2</v>
      </c>
      <c r="F400" s="121">
        <f>MouserListTable12[[#This Row],['#/Unit]]*FilterSpecs!$B$3+MouserListTable12[[#This Row],[Extra Initial]]</f>
        <v>0</v>
      </c>
      <c r="G400" s="103" t="s">
        <v>1273</v>
      </c>
      <c r="H400" s="103" t="s">
        <v>1274</v>
      </c>
      <c r="I400" s="106" t="s">
        <v>1275</v>
      </c>
      <c r="J400" s="103">
        <v>1</v>
      </c>
      <c r="K400" s="171">
        <v>1.5</v>
      </c>
      <c r="L400" s="106" t="s">
        <v>1910</v>
      </c>
      <c r="M400" s="103"/>
      <c r="N400" s="171">
        <f>MouserListTable12[[#This Row],['# Initial]]*MouserListTable12[[#This Row],[Price (USD)]]</f>
        <v>0</v>
      </c>
      <c r="O400" s="106" t="s">
        <v>1272</v>
      </c>
      <c r="P400" s="103">
        <f t="shared" si="7"/>
        <v>381</v>
      </c>
      <c r="Q400" s="103">
        <f>IF($D400=$O400,1,0)</f>
        <v>1</v>
      </c>
      <c r="R400" s="103" t="s">
        <v>8</v>
      </c>
      <c r="S400" s="103" t="str">
        <f>_xlfn.IFS(MouserListTable12[[#This Row],[Supplier]]=FilterSpecs!$A$6, FilterSpecs!$B$6,MouserListTable12[[#This Row],[Supplier]]=FilterSpecs!$A$7,FilterSpecs!$B$7,MouserListTable12[[#This Row],[Supplier]]=FilterSpecs!$A$8,FilterSpecs!$B$8,MouserListTable12[[#This Row],[Supplier]]=FilterSpecs!$A$9,FilterSpecs!$B$9)</f>
        <v>474-</v>
      </c>
      <c r="T40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474-COM-12766</v>
      </c>
      <c r="U400" s="121">
        <v>0</v>
      </c>
      <c r="V400" s="121">
        <v>2</v>
      </c>
      <c r="W400" s="121">
        <v>0</v>
      </c>
      <c r="X400" s="121">
        <f>MouserListTable12[[#This Row],['#/Unit]]*FilterSpecs!$C$3+MouserListTable12[[#This Row],[Extra]]</f>
        <v>2</v>
      </c>
      <c r="Y400" s="121">
        <f>IF(MouserListTable12[[#This Row],[Tag]]=FilterSpecs!$F$7,MouserListTable12[[#This Row],[Price (USD)]],0)</f>
        <v>0</v>
      </c>
      <c r="Z400" s="121">
        <f>MouserListTable12[[#This Row],[Tot '#]]*MouserListTable12[[#This Row],[Price (USD)]]</f>
        <v>3</v>
      </c>
    </row>
    <row r="401" spans="1:26" s="146" customFormat="1" hidden="1" x14ac:dyDescent="0.3">
      <c r="A401" s="103" t="s">
        <v>897</v>
      </c>
      <c r="B401" s="106" t="s">
        <v>1617</v>
      </c>
      <c r="C401" s="106" t="s">
        <v>8</v>
      </c>
      <c r="D401" s="106" t="str">
        <f>IF(MouserListTable12[[#This Row],[Vendor]]=FilterSpecs!$A$8,MouserListTable12[[#This Row],[Mouser SKU]], MouserListTable12[[#This Row],[SKU2]])</f>
        <v>COM-00527</v>
      </c>
      <c r="E401" s="121">
        <f>MouserListTable12[[#This Row],[Tot '#]]-MouserListTable12[[#This Row],['# Initial]]</f>
        <v>1</v>
      </c>
      <c r="F401" s="121">
        <f>MouserListTable12[[#This Row],['#/Unit]]*FilterSpecs!$B$3+MouserListTable12[[#This Row],[Extra Initial]]</f>
        <v>0</v>
      </c>
      <c r="G401" s="103" t="s">
        <v>384</v>
      </c>
      <c r="H401" s="103" t="s">
        <v>385</v>
      </c>
      <c r="I401" s="106" t="s">
        <v>386</v>
      </c>
      <c r="J401" s="103">
        <v>1</v>
      </c>
      <c r="K401" s="171">
        <v>1.95</v>
      </c>
      <c r="L401" s="106" t="s">
        <v>1913</v>
      </c>
      <c r="M401" s="103"/>
      <c r="N401" s="171">
        <f>MouserListTable12[[#This Row],['# Initial]]*MouserListTable12[[#This Row],[Price (USD)]]</f>
        <v>0</v>
      </c>
      <c r="O401" s="106" t="s">
        <v>383</v>
      </c>
      <c r="P401" s="103">
        <f t="shared" si="7"/>
        <v>382</v>
      </c>
      <c r="Q401" s="103">
        <f>IF($D401=$O401,1,0)</f>
        <v>1</v>
      </c>
      <c r="R401" s="103" t="s">
        <v>8</v>
      </c>
      <c r="S401" s="103" t="str">
        <f>_xlfn.IFS(MouserListTable12[[#This Row],[Supplier]]=FilterSpecs!$A$6, FilterSpecs!$B$6,MouserListTable12[[#This Row],[Supplier]]=FilterSpecs!$A$7,FilterSpecs!$B$7,MouserListTable12[[#This Row],[Supplier]]=FilterSpecs!$A$8,FilterSpecs!$B$8,MouserListTable12[[#This Row],[Supplier]]=FilterSpecs!$A$9,FilterSpecs!$B$9)</f>
        <v>474-</v>
      </c>
      <c r="T40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474-COM-00527</v>
      </c>
      <c r="U401" s="121">
        <v>0</v>
      </c>
      <c r="V401" s="121">
        <v>1</v>
      </c>
      <c r="W401" s="121">
        <v>0</v>
      </c>
      <c r="X401" s="121">
        <f>MouserListTable12[[#This Row],['#/Unit]]*FilterSpecs!$C$3+MouserListTable12[[#This Row],[Extra]]</f>
        <v>1</v>
      </c>
      <c r="Y401" s="121">
        <f>IF(MouserListTable12[[#This Row],[Tag]]=FilterSpecs!$F$7,MouserListTable12[[#This Row],[Price (USD)]],0)</f>
        <v>0</v>
      </c>
      <c r="Z401" s="121">
        <f>MouserListTable12[[#This Row],[Tot '#]]*MouserListTable12[[#This Row],[Price (USD)]]</f>
        <v>1.95</v>
      </c>
    </row>
    <row r="402" spans="1:26" s="146" customFormat="1" hidden="1" x14ac:dyDescent="0.3">
      <c r="A402" s="103" t="s">
        <v>897</v>
      </c>
      <c r="B402" s="106" t="s">
        <v>1617</v>
      </c>
      <c r="C402" s="106" t="s">
        <v>8</v>
      </c>
      <c r="D402" s="106" t="str">
        <f>IF(MouserListTable12[[#This Row],[Vendor]]=FilterSpecs!$A$8,MouserListTable12[[#This Row],[Mouser SKU]], MouserListTable12[[#This Row],[SKU2]])</f>
        <v>PRT-07937</v>
      </c>
      <c r="E402" s="121">
        <f>MouserListTable12[[#This Row],[Tot '#]]-MouserListTable12[[#This Row],['# Initial]]</f>
        <v>1</v>
      </c>
      <c r="F402" s="121">
        <f>MouserListTable12[[#This Row],['#/Unit]]*FilterSpecs!$B$3+MouserListTable12[[#This Row],[Extra Initial]]</f>
        <v>0</v>
      </c>
      <c r="G402" s="103" t="s">
        <v>1844</v>
      </c>
      <c r="H402" s="103" t="s">
        <v>1845</v>
      </c>
      <c r="I402" s="106" t="s">
        <v>1846</v>
      </c>
      <c r="J402" s="103">
        <v>1</v>
      </c>
      <c r="K402" s="171">
        <v>0.5</v>
      </c>
      <c r="L402" s="106" t="s">
        <v>1913</v>
      </c>
      <c r="M402" s="103"/>
      <c r="N402" s="171">
        <f>MouserListTable12[[#This Row],['# Initial]]*MouserListTable12[[#This Row],[Price (USD)]]</f>
        <v>0</v>
      </c>
      <c r="O402" s="106" t="s">
        <v>1843</v>
      </c>
      <c r="P402" s="103">
        <f t="shared" si="7"/>
        <v>383</v>
      </c>
      <c r="Q402" s="103">
        <f>IF($D402=$O402,1,0)</f>
        <v>1</v>
      </c>
      <c r="R402" s="103" t="s">
        <v>8</v>
      </c>
      <c r="S402" s="103" t="str">
        <f>_xlfn.IFS(MouserListTable12[[#This Row],[Supplier]]=FilterSpecs!$A$6, FilterSpecs!$B$6,MouserListTable12[[#This Row],[Supplier]]=FilterSpecs!$A$7,FilterSpecs!$B$7,MouserListTable12[[#This Row],[Supplier]]=FilterSpecs!$A$8,FilterSpecs!$B$8,MouserListTable12[[#This Row],[Supplier]]=FilterSpecs!$A$9,FilterSpecs!$B$9)</f>
        <v>474-</v>
      </c>
      <c r="T40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474-PRT-07937</v>
      </c>
      <c r="U402" s="121">
        <v>0</v>
      </c>
      <c r="V402" s="121">
        <v>1</v>
      </c>
      <c r="W402" s="121">
        <v>0</v>
      </c>
      <c r="X402" s="121">
        <f>MouserListTable12[[#This Row],['#/Unit]]*FilterSpecs!$C$3+MouserListTable12[[#This Row],[Extra]]</f>
        <v>1</v>
      </c>
      <c r="Y402" s="121">
        <f>IF(MouserListTable12[[#This Row],[Tag]]=FilterSpecs!$F$7,MouserListTable12[[#This Row],[Price (USD)]],0)</f>
        <v>0</v>
      </c>
      <c r="Z402" s="121">
        <f>MouserListTable12[[#This Row],[Tot '#]]*MouserListTable12[[#This Row],[Price (USD)]]</f>
        <v>0.5</v>
      </c>
    </row>
    <row r="403" spans="1:26" s="146" customFormat="1" hidden="1" x14ac:dyDescent="0.3">
      <c r="A403" s="128" t="s">
        <v>897</v>
      </c>
      <c r="B403" s="128" t="s">
        <v>1617</v>
      </c>
      <c r="C403" s="128" t="s">
        <v>1898</v>
      </c>
      <c r="D403" s="106" t="str">
        <f>IF(MouserListTable12[[#This Row],[Vendor]]=FilterSpecs!$A$8,MouserListTable12[[#This Row],[Mouser SKU]], MouserListTable12[[#This Row],[SKU2]])</f>
        <v>2202</v>
      </c>
      <c r="E403" s="121">
        <f>MouserListTable12[[#This Row],[Tot '#]]-MouserListTable12[[#This Row],['# Initial]]</f>
        <v>0</v>
      </c>
      <c r="F403" s="121">
        <f>MouserListTable12[[#This Row],['#/Unit]]*FilterSpecs!$B$3+MouserListTable12[[#This Row],[Extra Initial]]</f>
        <v>0</v>
      </c>
      <c r="I403" s="128" t="s">
        <v>2476</v>
      </c>
      <c r="J403" s="155">
        <v>114</v>
      </c>
      <c r="K403" s="173">
        <v>0.75</v>
      </c>
      <c r="L403" s="126" t="s">
        <v>1910</v>
      </c>
      <c r="N403" s="171">
        <f>MouserListTable12[[#This Row],['# Initial]]*MouserListTable12[[#This Row],[Price (USD)]]</f>
        <v>0</v>
      </c>
      <c r="O403" s="155" t="s">
        <v>2477</v>
      </c>
      <c r="P403" s="103">
        <f t="shared" si="7"/>
        <v>384</v>
      </c>
      <c r="Q403" s="103">
        <f>IF($D403=$O403,1,0)</f>
        <v>1</v>
      </c>
      <c r="R403" s="103" t="s">
        <v>1898</v>
      </c>
      <c r="S403" s="103" t="str">
        <f>_xlfn.IFS(MouserListTable12[[#This Row],[Supplier]]=FilterSpecs!$A$6, FilterSpecs!$B$6,MouserListTable12[[#This Row],[Supplier]]=FilterSpecs!$A$7,FilterSpecs!$B$7,MouserListTable12[[#This Row],[Supplier]]=FilterSpecs!$A$8,FilterSpecs!$B$8,MouserListTable12[[#This Row],[Supplier]]=FilterSpecs!$A$9,FilterSpecs!$B$9)</f>
        <v>485-</v>
      </c>
      <c r="T40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485-2202</v>
      </c>
      <c r="U403" s="121">
        <v>0</v>
      </c>
      <c r="V403" s="121">
        <v>0</v>
      </c>
      <c r="W403" s="121">
        <v>0</v>
      </c>
      <c r="X403" s="121">
        <f>MouserListTable12[[#This Row],['#/Unit]]*FilterSpecs!$C$3+MouserListTable12[[#This Row],[Extra]]</f>
        <v>0</v>
      </c>
      <c r="Y403" s="121">
        <f>IF(MouserListTable12[[#This Row],[Tag]]=FilterSpecs!$F$7,MouserListTable12[[#This Row],[Price (USD)]],0)</f>
        <v>0</v>
      </c>
      <c r="Z403" s="121">
        <f>MouserListTable12[[#This Row],[Tot '#]]*MouserListTable12[[#This Row],[Price (USD)]]</f>
        <v>0</v>
      </c>
    </row>
    <row r="404" spans="1:26" s="146" customFormat="1" hidden="1" x14ac:dyDescent="0.3">
      <c r="A404" s="103" t="s">
        <v>897</v>
      </c>
      <c r="B404" s="106" t="s">
        <v>1617</v>
      </c>
      <c r="C404" s="106" t="s">
        <v>8</v>
      </c>
      <c r="D404" s="106" t="str">
        <f>IF(MouserListTable12[[#This Row],[Vendor]]=FilterSpecs!$A$8,MouserListTable12[[#This Row],[Mouser SKU]], MouserListTable12[[#This Row],[SKU2]])</f>
        <v>COM-09456</v>
      </c>
      <c r="E404" s="121">
        <f>MouserListTable12[[#This Row],[Tot '#]]-MouserListTable12[[#This Row],['# Initial]]</f>
        <v>5</v>
      </c>
      <c r="F404" s="121">
        <f>MouserListTable12[[#This Row],['#/Unit]]*FilterSpecs!$B$3+MouserListTable12[[#This Row],[Extra Initial]]</f>
        <v>0</v>
      </c>
      <c r="G404" s="103" t="s">
        <v>664</v>
      </c>
      <c r="H404" s="103" t="s">
        <v>665</v>
      </c>
      <c r="I404" s="106" t="s">
        <v>666</v>
      </c>
      <c r="J404" s="103">
        <v>1</v>
      </c>
      <c r="K404" s="171">
        <v>0.95</v>
      </c>
      <c r="L404" s="106" t="s">
        <v>1913</v>
      </c>
      <c r="M404" s="103"/>
      <c r="N404" s="171">
        <f>MouserListTable12[[#This Row],['# Initial]]*MouserListTable12[[#This Row],[Price (USD)]]</f>
        <v>0</v>
      </c>
      <c r="O404" s="106" t="s">
        <v>663</v>
      </c>
      <c r="P404" s="103">
        <f t="shared" ref="P404:P467" si="11">IF($P403="List #",1,$P403+1)</f>
        <v>385</v>
      </c>
      <c r="Q404" s="103">
        <f>IF($D404=$O404,1,0)</f>
        <v>1</v>
      </c>
      <c r="R404" s="103" t="s">
        <v>8</v>
      </c>
      <c r="S404" s="103" t="str">
        <f>_xlfn.IFS(MouserListTable12[[#This Row],[Supplier]]=FilterSpecs!$A$6, FilterSpecs!$B$6,MouserListTable12[[#This Row],[Supplier]]=FilterSpecs!$A$7,FilterSpecs!$B$7,MouserListTable12[[#This Row],[Supplier]]=FilterSpecs!$A$8,FilterSpecs!$B$8,MouserListTable12[[#This Row],[Supplier]]=FilterSpecs!$A$9,FilterSpecs!$B$9)</f>
        <v>474-</v>
      </c>
      <c r="T40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474-COM-09456</v>
      </c>
      <c r="U404" s="121">
        <v>0</v>
      </c>
      <c r="V404" s="121">
        <v>5</v>
      </c>
      <c r="W404" s="121">
        <v>0</v>
      </c>
      <c r="X404" s="121">
        <f>MouserListTable12[[#This Row],['#/Unit]]*FilterSpecs!$C$3+MouserListTable12[[#This Row],[Extra]]</f>
        <v>5</v>
      </c>
      <c r="Y404" s="121">
        <f>IF(MouserListTable12[[#This Row],[Tag]]=FilterSpecs!$F$7,MouserListTable12[[#This Row],[Price (USD)]],0)</f>
        <v>0</v>
      </c>
      <c r="Z404" s="121">
        <f>MouserListTable12[[#This Row],[Tot '#]]*MouserListTable12[[#This Row],[Price (USD)]]</f>
        <v>4.75</v>
      </c>
    </row>
    <row r="405" spans="1:26" s="146" customFormat="1" x14ac:dyDescent="0.3">
      <c r="A405" s="103" t="s">
        <v>897</v>
      </c>
      <c r="B405" s="106" t="s">
        <v>1617</v>
      </c>
      <c r="C405" s="106" t="s">
        <v>8</v>
      </c>
      <c r="D405" s="106" t="str">
        <f>IF(MouserListTable12[[#This Row],[Vendor]]=FilterSpecs!$A$8,MouserListTable12[[#This Row],[Mouser SKU]], MouserListTable12[[#This Row],[SKU2]])</f>
        <v>COM-10613</v>
      </c>
      <c r="E405" s="121">
        <f>MouserListTable12[[#This Row],[Tot '#]]-MouserListTable12[[#This Row],['# Initial]]</f>
        <v>0</v>
      </c>
      <c r="F405" s="121">
        <f>MouserListTable12[[#This Row],['#/Unit]]*FilterSpecs!$B$3+MouserListTable12[[#This Row],[Extra Initial]]</f>
        <v>5</v>
      </c>
      <c r="G405" s="103" t="s">
        <v>962</v>
      </c>
      <c r="H405" s="103" t="s">
        <v>963</v>
      </c>
      <c r="I405" s="106" t="s">
        <v>964</v>
      </c>
      <c r="J405" s="103">
        <v>1</v>
      </c>
      <c r="K405" s="171">
        <v>1.5</v>
      </c>
      <c r="L405" s="106" t="s">
        <v>1911</v>
      </c>
      <c r="M405" s="103"/>
      <c r="N405" s="171">
        <f>MouserListTable12[[#This Row],['# Initial]]*MouserListTable12[[#This Row],[Price (USD)]]</f>
        <v>7.5</v>
      </c>
      <c r="O405" s="106" t="s">
        <v>961</v>
      </c>
      <c r="P405" s="103">
        <f t="shared" si="11"/>
        <v>386</v>
      </c>
      <c r="Q405" s="103">
        <f>IF($D405=$O405,1,0)</f>
        <v>1</v>
      </c>
      <c r="R405" s="103" t="s">
        <v>8</v>
      </c>
      <c r="S405" s="103" t="str">
        <f>_xlfn.IFS(MouserListTable12[[#This Row],[Supplier]]=FilterSpecs!$A$6, FilterSpecs!$B$6,MouserListTable12[[#This Row],[Supplier]]=FilterSpecs!$A$7,FilterSpecs!$B$7,MouserListTable12[[#This Row],[Supplier]]=FilterSpecs!$A$8,FilterSpecs!$B$8,MouserListTable12[[#This Row],[Supplier]]=FilterSpecs!$A$9,FilterSpecs!$B$9)</f>
        <v>474-</v>
      </c>
      <c r="T40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474-COM-10613</v>
      </c>
      <c r="U405" s="121">
        <v>1</v>
      </c>
      <c r="V405" s="121">
        <v>0</v>
      </c>
      <c r="W405" s="121">
        <v>0</v>
      </c>
      <c r="X405" s="121">
        <f>MouserListTable12[[#This Row],['#/Unit]]*FilterSpecs!$C$3+MouserListTable12[[#This Row],[Extra]]</f>
        <v>5</v>
      </c>
      <c r="Y405" s="121">
        <f>IF(MouserListTable12[[#This Row],[Tag]]=FilterSpecs!$F$7,MouserListTable12[[#This Row],[Price (USD)]],0)</f>
        <v>1.5</v>
      </c>
      <c r="Z405" s="121">
        <f>MouserListTable12[[#This Row],[Tot '#]]*MouserListTable12[[#This Row],[Price (USD)]]</f>
        <v>7.5</v>
      </c>
    </row>
    <row r="406" spans="1:26" s="146" customFormat="1" x14ac:dyDescent="0.3">
      <c r="A406" s="103" t="s">
        <v>897</v>
      </c>
      <c r="B406" s="106" t="s">
        <v>1617</v>
      </c>
      <c r="C406" s="106" t="s">
        <v>8</v>
      </c>
      <c r="D406" s="106" t="str">
        <f>IF(MouserListTable12[[#This Row],[Vendor]]=FilterSpecs!$A$8,MouserListTable12[[#This Row],[Mouser SKU]], MouserListTable12[[#This Row],[SKU2]])</f>
        <v>COM-09273</v>
      </c>
      <c r="E406" s="121">
        <f>MouserListTable12[[#This Row],[Tot '#]]-MouserListTable12[[#This Row],['# Initial]]</f>
        <v>0</v>
      </c>
      <c r="F406" s="121">
        <f>MouserListTable12[[#This Row],['#/Unit]]*FilterSpecs!$B$3+MouserListTable12[[#This Row],[Extra Initial]]</f>
        <v>5</v>
      </c>
      <c r="G406" s="103" t="s">
        <v>404</v>
      </c>
      <c r="H406" s="103" t="s">
        <v>405</v>
      </c>
      <c r="I406" s="106" t="s">
        <v>406</v>
      </c>
      <c r="J406" s="103">
        <v>1</v>
      </c>
      <c r="K406" s="171">
        <v>0.95</v>
      </c>
      <c r="L406" s="106" t="s">
        <v>1911</v>
      </c>
      <c r="M406" s="103"/>
      <c r="N406" s="171">
        <f>MouserListTable12[[#This Row],['# Initial]]*MouserListTable12[[#This Row],[Price (USD)]]</f>
        <v>4.75</v>
      </c>
      <c r="O406" s="106" t="s">
        <v>403</v>
      </c>
      <c r="P406" s="103">
        <f t="shared" si="11"/>
        <v>387</v>
      </c>
      <c r="Q406" s="103">
        <f>IF($D406=$O406,1,0)</f>
        <v>1</v>
      </c>
      <c r="R406" s="103" t="s">
        <v>8</v>
      </c>
      <c r="S406" s="103" t="str">
        <f>_xlfn.IFS(MouserListTable12[[#This Row],[Supplier]]=FilterSpecs!$A$6, FilterSpecs!$B$6,MouserListTable12[[#This Row],[Supplier]]=FilterSpecs!$A$7,FilterSpecs!$B$7,MouserListTable12[[#This Row],[Supplier]]=FilterSpecs!$A$8,FilterSpecs!$B$8,MouserListTable12[[#This Row],[Supplier]]=FilterSpecs!$A$9,FilterSpecs!$B$9)</f>
        <v>474-</v>
      </c>
      <c r="T40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474-COM-09273</v>
      </c>
      <c r="U406" s="121">
        <v>1</v>
      </c>
      <c r="V406" s="121">
        <v>0</v>
      </c>
      <c r="W406" s="121">
        <v>0</v>
      </c>
      <c r="X406" s="121">
        <f>MouserListTable12[[#This Row],['#/Unit]]*FilterSpecs!$C$3+MouserListTable12[[#This Row],[Extra]]</f>
        <v>5</v>
      </c>
      <c r="Y406" s="121">
        <f>IF(MouserListTable12[[#This Row],[Tag]]=FilterSpecs!$F$7,MouserListTable12[[#This Row],[Price (USD)]],0)</f>
        <v>0.95</v>
      </c>
      <c r="Z406" s="121">
        <f>MouserListTable12[[#This Row],[Tot '#]]*MouserListTable12[[#This Row],[Price (USD)]]</f>
        <v>4.75</v>
      </c>
    </row>
    <row r="407" spans="1:26" s="146" customFormat="1" x14ac:dyDescent="0.3">
      <c r="A407" s="103" t="s">
        <v>897</v>
      </c>
      <c r="B407" s="106" t="s">
        <v>1617</v>
      </c>
      <c r="C407" s="106" t="s">
        <v>8</v>
      </c>
      <c r="D407" s="106" t="str">
        <f>IF(MouserListTable12[[#This Row],[Vendor]]=FilterSpecs!$A$8,MouserListTable12[[#This Row],[Mouser SKU]], MouserListTable12[[#This Row],[SKU2]])</f>
        <v>COM-08636</v>
      </c>
      <c r="E407" s="121">
        <f>MouserListTable12[[#This Row],[Tot '#]]-MouserListTable12[[#This Row],['# Initial]]</f>
        <v>0</v>
      </c>
      <c r="F407" s="121">
        <f>MouserListTable12[[#This Row],['#/Unit]]*FilterSpecs!$B$3+MouserListTable12[[#This Row],[Extra Initial]]</f>
        <v>5</v>
      </c>
      <c r="G407" s="103" t="s">
        <v>400</v>
      </c>
      <c r="H407" s="103" t="s">
        <v>401</v>
      </c>
      <c r="I407" s="106" t="s">
        <v>402</v>
      </c>
      <c r="J407" s="103">
        <v>1</v>
      </c>
      <c r="K407" s="171">
        <v>2.2999999999999998</v>
      </c>
      <c r="L407" s="106" t="s">
        <v>1911</v>
      </c>
      <c r="M407" s="103"/>
      <c r="N407" s="171">
        <f>MouserListTable12[[#This Row],['# Initial]]*MouserListTable12[[#This Row],[Price (USD)]]</f>
        <v>11.5</v>
      </c>
      <c r="O407" s="106" t="s">
        <v>399</v>
      </c>
      <c r="P407" s="103">
        <f t="shared" si="11"/>
        <v>388</v>
      </c>
      <c r="Q407" s="103">
        <f>IF($D407=$O407,1,0)</f>
        <v>1</v>
      </c>
      <c r="R407" s="103" t="s">
        <v>8</v>
      </c>
      <c r="S407" s="103" t="str">
        <f>_xlfn.IFS(MouserListTable12[[#This Row],[Supplier]]=FilterSpecs!$A$6, FilterSpecs!$B$6,MouserListTable12[[#This Row],[Supplier]]=FilterSpecs!$A$7,FilterSpecs!$B$7,MouserListTable12[[#This Row],[Supplier]]=FilterSpecs!$A$8,FilterSpecs!$B$8,MouserListTable12[[#This Row],[Supplier]]=FilterSpecs!$A$9,FilterSpecs!$B$9)</f>
        <v>474-</v>
      </c>
      <c r="T40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474-COM-08636</v>
      </c>
      <c r="U407" s="121">
        <v>1</v>
      </c>
      <c r="V407" s="121">
        <v>0</v>
      </c>
      <c r="W407" s="121">
        <v>0</v>
      </c>
      <c r="X407" s="121">
        <f>MouserListTable12[[#This Row],['#/Unit]]*FilterSpecs!$C$3+MouserListTable12[[#This Row],[Extra]]</f>
        <v>5</v>
      </c>
      <c r="Y407" s="121">
        <f>IF(MouserListTable12[[#This Row],[Tag]]=FilterSpecs!$F$7,MouserListTable12[[#This Row],[Price (USD)]],0)</f>
        <v>2.2999999999999998</v>
      </c>
      <c r="Z407" s="121">
        <f>MouserListTable12[[#This Row],[Tot '#]]*MouserListTable12[[#This Row],[Price (USD)]]</f>
        <v>11.5</v>
      </c>
    </row>
    <row r="408" spans="1:26" s="146" customFormat="1" hidden="1" x14ac:dyDescent="0.3">
      <c r="A408" s="103" t="s">
        <v>897</v>
      </c>
      <c r="B408" s="106" t="s">
        <v>1617</v>
      </c>
      <c r="C408" s="106" t="s">
        <v>8</v>
      </c>
      <c r="D408" s="106" t="str">
        <f>IF(MouserListTable12[[#This Row],[Vendor]]=FilterSpecs!$A$8,MouserListTable12[[#This Row],[Mouser SKU]], MouserListTable12[[#This Row],[SKU2]])</f>
        <v>COM-00317</v>
      </c>
      <c r="E408" s="121">
        <f>MouserListTable12[[#This Row],[Tot '#]]-MouserListTable12[[#This Row],['# Initial]]</f>
        <v>1</v>
      </c>
      <c r="F408" s="121">
        <f>MouserListTable12[[#This Row],['#/Unit]]*FilterSpecs!$B$3+MouserListTable12[[#This Row],[Extra Initial]]</f>
        <v>0</v>
      </c>
      <c r="G408" s="103" t="s">
        <v>1097</v>
      </c>
      <c r="H408" s="103" t="s">
        <v>1098</v>
      </c>
      <c r="I408" s="106" t="s">
        <v>1099</v>
      </c>
      <c r="J408" s="103">
        <v>1</v>
      </c>
      <c r="K408" s="171">
        <v>1.95</v>
      </c>
      <c r="L408" s="106" t="s">
        <v>1910</v>
      </c>
      <c r="M408" s="103"/>
      <c r="N408" s="171">
        <f>MouserListTable12[[#This Row],['# Initial]]*MouserListTable12[[#This Row],[Price (USD)]]</f>
        <v>0</v>
      </c>
      <c r="O408" s="106" t="s">
        <v>1096</v>
      </c>
      <c r="P408" s="103">
        <f t="shared" si="11"/>
        <v>389</v>
      </c>
      <c r="Q408" s="103">
        <f>IF($D408=$O408,1,0)</f>
        <v>1</v>
      </c>
      <c r="R408" s="103" t="s">
        <v>8</v>
      </c>
      <c r="S408" s="103" t="str">
        <f>_xlfn.IFS(MouserListTable12[[#This Row],[Supplier]]=FilterSpecs!$A$6, FilterSpecs!$B$6,MouserListTable12[[#This Row],[Supplier]]=FilterSpecs!$A$7,FilterSpecs!$B$7,MouserListTable12[[#This Row],[Supplier]]=FilterSpecs!$A$8,FilterSpecs!$B$8,MouserListTable12[[#This Row],[Supplier]]=FilterSpecs!$A$9,FilterSpecs!$B$9)</f>
        <v>474-</v>
      </c>
      <c r="T40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474-COM-00317</v>
      </c>
      <c r="U408" s="121">
        <v>0</v>
      </c>
      <c r="V408" s="121">
        <v>1</v>
      </c>
      <c r="W408" s="121">
        <v>0</v>
      </c>
      <c r="X408" s="121">
        <f>MouserListTable12[[#This Row],['#/Unit]]*FilterSpecs!$C$3+MouserListTable12[[#This Row],[Extra]]</f>
        <v>1</v>
      </c>
      <c r="Y408" s="121">
        <f>IF(MouserListTable12[[#This Row],[Tag]]=FilterSpecs!$F$7,MouserListTable12[[#This Row],[Price (USD)]],0)</f>
        <v>0</v>
      </c>
      <c r="Z408" s="121">
        <f>MouserListTable12[[#This Row],[Tot '#]]*MouserListTable12[[#This Row],[Price (USD)]]</f>
        <v>1.95</v>
      </c>
    </row>
    <row r="409" spans="1:26" s="146" customFormat="1" hidden="1" x14ac:dyDescent="0.3">
      <c r="A409" s="103" t="s">
        <v>897</v>
      </c>
      <c r="B409" s="106" t="s">
        <v>1617</v>
      </c>
      <c r="C409" s="106" t="s">
        <v>1898</v>
      </c>
      <c r="D409" s="106" t="str">
        <f>IF(MouserListTable12[[#This Row],[Vendor]]=FilterSpecs!$A$8,MouserListTable12[[#This Row],[Mouser SKU]], MouserListTable12[[#This Row],[SKU2]])</f>
        <v>1787</v>
      </c>
      <c r="E409" s="121">
        <f>MouserListTable12[[#This Row],[Tot '#]]-MouserListTable12[[#This Row],['# Initial]]</f>
        <v>0</v>
      </c>
      <c r="F409" s="121">
        <f>MouserListTable12[[#This Row],['#/Unit]]*FilterSpecs!$B$3+MouserListTable12[[#This Row],[Extra Initial]]</f>
        <v>0</v>
      </c>
      <c r="G409" s="103"/>
      <c r="H409" s="103"/>
      <c r="I409" s="146" t="s">
        <v>2152</v>
      </c>
      <c r="K409" s="172">
        <v>1.5</v>
      </c>
      <c r="L409" s="146" t="s">
        <v>1910</v>
      </c>
      <c r="N409" s="171">
        <f>MouserListTable12[[#This Row],['# Initial]]*MouserListTable12[[#This Row],[Price (USD)]]</f>
        <v>0</v>
      </c>
      <c r="O409" s="106" t="s">
        <v>2151</v>
      </c>
      <c r="P409" s="103">
        <f t="shared" si="11"/>
        <v>390</v>
      </c>
      <c r="Q409" s="103">
        <f>IF($D409=$O409,1,0)</f>
        <v>1</v>
      </c>
      <c r="R409" s="103" t="s">
        <v>1898</v>
      </c>
      <c r="S409" s="103" t="str">
        <f>_xlfn.IFS(MouserListTable12[[#This Row],[Supplier]]=FilterSpecs!$A$6, FilterSpecs!$B$6,MouserListTable12[[#This Row],[Supplier]]=FilterSpecs!$A$7,FilterSpecs!$B$7,MouserListTable12[[#This Row],[Supplier]]=FilterSpecs!$A$8,FilterSpecs!$B$8,MouserListTable12[[#This Row],[Supplier]]=FilterSpecs!$A$9,FilterSpecs!$B$9)</f>
        <v>485-</v>
      </c>
      <c r="T40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485-1787</v>
      </c>
      <c r="U409" s="121">
        <v>0</v>
      </c>
      <c r="V409" s="121">
        <v>0</v>
      </c>
      <c r="W409" s="121">
        <v>0</v>
      </c>
      <c r="X409" s="121">
        <f>MouserListTable12[[#This Row],['#/Unit]]*FilterSpecs!$C$3+MouserListTable12[[#This Row],[Extra]]</f>
        <v>0</v>
      </c>
      <c r="Y409" s="121">
        <f>IF(MouserListTable12[[#This Row],[Tag]]=FilterSpecs!$F$7,MouserListTable12[[#This Row],[Price (USD)]],0)</f>
        <v>0</v>
      </c>
      <c r="Z409" s="121">
        <f>MouserListTable12[[#This Row],[Tot '#]]*MouserListTable12[[#This Row],[Price (USD)]]</f>
        <v>0</v>
      </c>
    </row>
    <row r="410" spans="1:26" s="146" customFormat="1" hidden="1" x14ac:dyDescent="0.3">
      <c r="A410" s="126" t="s">
        <v>897</v>
      </c>
      <c r="B410" s="146" t="s">
        <v>1617</v>
      </c>
      <c r="C410" s="146" t="s">
        <v>8</v>
      </c>
      <c r="D410" s="106" t="str">
        <f>IF(MouserListTable12[[#This Row],[Vendor]]=FilterSpecs!$A$8,MouserListTable12[[#This Row],[Mouser SKU]], MouserListTable12[[#This Row],[SKU2]])</f>
        <v>COM-00525</v>
      </c>
      <c r="E410" s="121">
        <f>MouserListTable12[[#This Row],[Tot '#]]-MouserListTable12[[#This Row],['# Initial]]</f>
        <v>0</v>
      </c>
      <c r="F410" s="121">
        <f>MouserListTable12[[#This Row],['#/Unit]]*FilterSpecs!$B$3+MouserListTable12[[#This Row],[Extra Initial]]</f>
        <v>0</v>
      </c>
      <c r="G410" s="103" t="s">
        <v>680</v>
      </c>
      <c r="H410" s="103" t="s">
        <v>681</v>
      </c>
      <c r="I410" s="106" t="s">
        <v>682</v>
      </c>
      <c r="J410" s="103">
        <v>1</v>
      </c>
      <c r="K410" s="171">
        <v>1.95</v>
      </c>
      <c r="L410" s="106" t="s">
        <v>1910</v>
      </c>
      <c r="M410" s="103"/>
      <c r="N410" s="171">
        <f>MouserListTable12[[#This Row],['# Initial]]*MouserListTable12[[#This Row],[Price (USD)]]</f>
        <v>0</v>
      </c>
      <c r="O410" s="106" t="s">
        <v>679</v>
      </c>
      <c r="P410" s="103">
        <f t="shared" si="11"/>
        <v>391</v>
      </c>
      <c r="Q410" s="103">
        <f>IF($D410=$O410,1,0)</f>
        <v>1</v>
      </c>
      <c r="R410" s="103" t="s">
        <v>8</v>
      </c>
      <c r="S410" s="103" t="str">
        <f>_xlfn.IFS(MouserListTable12[[#This Row],[Supplier]]=FilterSpecs!$A$6, FilterSpecs!$B$6,MouserListTable12[[#This Row],[Supplier]]=FilterSpecs!$A$7,FilterSpecs!$B$7,MouserListTable12[[#This Row],[Supplier]]=FilterSpecs!$A$8,FilterSpecs!$B$8,MouserListTable12[[#This Row],[Supplier]]=FilterSpecs!$A$9,FilterSpecs!$B$9)</f>
        <v>474-</v>
      </c>
      <c r="T41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474-COM-00525</v>
      </c>
      <c r="U410" s="121">
        <v>0</v>
      </c>
      <c r="V410" s="121">
        <v>0</v>
      </c>
      <c r="W410" s="121">
        <v>0</v>
      </c>
      <c r="X410" s="121">
        <f>MouserListTable12[[#This Row],['#/Unit]]*FilterSpecs!$C$3+MouserListTable12[[#This Row],[Extra]]</f>
        <v>0</v>
      </c>
      <c r="Y410" s="121">
        <f>IF(MouserListTable12[[#This Row],[Tag]]=FilterSpecs!$F$7,MouserListTable12[[#This Row],[Price (USD)]],0)</f>
        <v>0</v>
      </c>
      <c r="Z410" s="121">
        <f>MouserListTable12[[#This Row],[Tot '#]]*MouserListTable12[[#This Row],[Price (USD)]]</f>
        <v>0</v>
      </c>
    </row>
    <row r="411" spans="1:26" s="146" customFormat="1" hidden="1" x14ac:dyDescent="0.3">
      <c r="A411" s="126" t="s">
        <v>897</v>
      </c>
      <c r="B411" s="146" t="s">
        <v>1617</v>
      </c>
      <c r="C411" s="146" t="s">
        <v>8</v>
      </c>
      <c r="D411" s="106" t="str">
        <f>IF(MouserListTable12[[#This Row],[Vendor]]=FilterSpecs!$A$8,MouserListTable12[[#This Row],[Mouser SKU]], MouserListTable12[[#This Row],[SKU2]])</f>
        <v>COM-13699</v>
      </c>
      <c r="E411" s="121">
        <f>MouserListTable12[[#This Row],[Tot '#]]-MouserListTable12[[#This Row],['# Initial]]</f>
        <v>0</v>
      </c>
      <c r="F411" s="121">
        <f>MouserListTable12[[#This Row],['#/Unit]]*FilterSpecs!$B$3+MouserListTable12[[#This Row],[Extra Initial]]</f>
        <v>0</v>
      </c>
      <c r="G411" s="103" t="s">
        <v>408</v>
      </c>
      <c r="H411" s="103" t="s">
        <v>409</v>
      </c>
      <c r="I411" s="106" t="s">
        <v>410</v>
      </c>
      <c r="J411" s="103">
        <v>1</v>
      </c>
      <c r="K411" s="171">
        <v>0.95</v>
      </c>
      <c r="L411" s="106" t="s">
        <v>1910</v>
      </c>
      <c r="M411" s="103"/>
      <c r="N411" s="171">
        <f>MouserListTable12[[#This Row],['# Initial]]*MouserListTable12[[#This Row],[Price (USD)]]</f>
        <v>0</v>
      </c>
      <c r="O411" s="106" t="s">
        <v>407</v>
      </c>
      <c r="P411" s="103">
        <f t="shared" si="11"/>
        <v>392</v>
      </c>
      <c r="Q411" s="103">
        <f>IF($D411=$O411,1,0)</f>
        <v>1</v>
      </c>
      <c r="R411" s="103" t="s">
        <v>8</v>
      </c>
      <c r="S411" s="103" t="str">
        <f>_xlfn.IFS(MouserListTable12[[#This Row],[Supplier]]=FilterSpecs!$A$6, FilterSpecs!$B$6,MouserListTable12[[#This Row],[Supplier]]=FilterSpecs!$A$7,FilterSpecs!$B$7,MouserListTable12[[#This Row],[Supplier]]=FilterSpecs!$A$8,FilterSpecs!$B$8,MouserListTable12[[#This Row],[Supplier]]=FilterSpecs!$A$9,FilterSpecs!$B$9)</f>
        <v>474-</v>
      </c>
      <c r="T41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474-COM-13699</v>
      </c>
      <c r="U411" s="121">
        <v>0</v>
      </c>
      <c r="V411" s="121">
        <v>0</v>
      </c>
      <c r="W411" s="121">
        <v>0</v>
      </c>
      <c r="X411" s="121">
        <f>MouserListTable12[[#This Row],['#/Unit]]*FilterSpecs!$C$3+MouserListTable12[[#This Row],[Extra]]</f>
        <v>0</v>
      </c>
      <c r="Y411" s="121">
        <f>IF(MouserListTable12[[#This Row],[Tag]]=FilterSpecs!$F$7,MouserListTable12[[#This Row],[Price (USD)]],0)</f>
        <v>0</v>
      </c>
      <c r="Z411" s="121">
        <f>MouserListTable12[[#This Row],[Tot '#]]*MouserListTable12[[#This Row],[Price (USD)]]</f>
        <v>0</v>
      </c>
    </row>
    <row r="412" spans="1:26" s="146" customFormat="1" hidden="1" x14ac:dyDescent="0.3">
      <c r="A412" s="126" t="s">
        <v>897</v>
      </c>
      <c r="B412" s="146" t="s">
        <v>1617</v>
      </c>
      <c r="C412" s="146" t="s">
        <v>8</v>
      </c>
      <c r="D412" s="106" t="str">
        <f>IF(MouserListTable12[[#This Row],[Vendor]]=FilterSpecs!$A$8,MouserListTable12[[#This Row],[Mouser SKU]], MouserListTable12[[#This Row],[SKU2]])</f>
        <v>BOB-11733</v>
      </c>
      <c r="E412" s="121">
        <f>MouserListTable12[[#This Row],[Tot '#]]-MouserListTable12[[#This Row],['# Initial]]</f>
        <v>0</v>
      </c>
      <c r="F412" s="121">
        <f>MouserListTable12[[#This Row],['#/Unit]]*FilterSpecs!$B$3+MouserListTable12[[#This Row],[Extra Initial]]</f>
        <v>0</v>
      </c>
      <c r="G412" s="103" t="s">
        <v>412</v>
      </c>
      <c r="H412" s="103" t="s">
        <v>413</v>
      </c>
      <c r="I412" s="106" t="s">
        <v>221</v>
      </c>
      <c r="J412" s="103">
        <v>1</v>
      </c>
      <c r="K412" s="171">
        <v>3.95</v>
      </c>
      <c r="L412" s="106" t="s">
        <v>2490</v>
      </c>
      <c r="M412" s="103"/>
      <c r="N412" s="171">
        <f>MouserListTable12[[#This Row],['# Initial]]*MouserListTable12[[#This Row],[Price (USD)]]</f>
        <v>0</v>
      </c>
      <c r="O412" s="106" t="s">
        <v>411</v>
      </c>
      <c r="P412" s="103">
        <f t="shared" si="11"/>
        <v>393</v>
      </c>
      <c r="Q412" s="103">
        <f>IF($D412=$O412,1,0)</f>
        <v>1</v>
      </c>
      <c r="R412" s="103" t="s">
        <v>8</v>
      </c>
      <c r="S412" s="103" t="str">
        <f>_xlfn.IFS(MouserListTable12[[#This Row],[Supplier]]=FilterSpecs!$A$6, FilterSpecs!$B$6,MouserListTable12[[#This Row],[Supplier]]=FilterSpecs!$A$7,FilterSpecs!$B$7,MouserListTable12[[#This Row],[Supplier]]=FilterSpecs!$A$8,FilterSpecs!$B$8,MouserListTable12[[#This Row],[Supplier]]=FilterSpecs!$A$9,FilterSpecs!$B$9)</f>
        <v>474-</v>
      </c>
      <c r="T41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474-BOB-11733</v>
      </c>
      <c r="U412" s="121">
        <v>0</v>
      </c>
      <c r="V412" s="121">
        <v>0</v>
      </c>
      <c r="W412" s="121">
        <v>0</v>
      </c>
      <c r="X412" s="121">
        <f>MouserListTable12[[#This Row],['#/Unit]]*FilterSpecs!$C$3+MouserListTable12[[#This Row],[Extra]]</f>
        <v>0</v>
      </c>
      <c r="Y412" s="121">
        <f>IF(MouserListTable12[[#This Row],[Tag]]=FilterSpecs!$F$7,MouserListTable12[[#This Row],[Price (USD)]],0)</f>
        <v>0</v>
      </c>
      <c r="Z412" s="121">
        <f>MouserListTable12[[#This Row],[Tot '#]]*MouserListTable12[[#This Row],[Price (USD)]]</f>
        <v>0</v>
      </c>
    </row>
    <row r="413" spans="1:26" s="146" customFormat="1" x14ac:dyDescent="0.3">
      <c r="A413" s="103" t="s">
        <v>897</v>
      </c>
      <c r="B413" s="106" t="s">
        <v>1617</v>
      </c>
      <c r="C413" s="106" t="s">
        <v>8</v>
      </c>
      <c r="D413" s="106" t="str">
        <f>IF(MouserListTable12[[#This Row],[Vendor]]=FilterSpecs!$A$8,MouserListTable12[[#This Row],[Mouser SKU]], MouserListTable12[[#This Row],[SKU2]])</f>
        <v>COM-08034</v>
      </c>
      <c r="E413" s="121">
        <f>MouserListTable12[[#This Row],[Tot '#]]-MouserListTable12[[#This Row],['# Initial]]</f>
        <v>0</v>
      </c>
      <c r="F413" s="121">
        <f>MouserListTable12[[#This Row],['#/Unit]]*FilterSpecs!$B$3+MouserListTable12[[#This Row],[Extra Initial]]</f>
        <v>5</v>
      </c>
      <c r="G413" s="103" t="s">
        <v>434</v>
      </c>
      <c r="H413" s="103" t="s">
        <v>435</v>
      </c>
      <c r="I413" s="106" t="s">
        <v>436</v>
      </c>
      <c r="J413" s="103">
        <v>1</v>
      </c>
      <c r="K413" s="171">
        <v>1.5</v>
      </c>
      <c r="L413" s="106" t="s">
        <v>1911</v>
      </c>
      <c r="M413" s="103"/>
      <c r="N413" s="171">
        <f>MouserListTable12[[#This Row],['# Initial]]*MouserListTable12[[#This Row],[Price (USD)]]</f>
        <v>7.5</v>
      </c>
      <c r="O413" s="106" t="s">
        <v>433</v>
      </c>
      <c r="P413" s="103">
        <f t="shared" si="11"/>
        <v>394</v>
      </c>
      <c r="Q413" s="103">
        <f>IF($D413=$O413,1,0)</f>
        <v>1</v>
      </c>
      <c r="R413" s="103" t="s">
        <v>8</v>
      </c>
      <c r="S413" s="103" t="str">
        <f>_xlfn.IFS(MouserListTable12[[#This Row],[Supplier]]=FilterSpecs!$A$6, FilterSpecs!$B$6,MouserListTable12[[#This Row],[Supplier]]=FilterSpecs!$A$7,FilterSpecs!$B$7,MouserListTable12[[#This Row],[Supplier]]=FilterSpecs!$A$8,FilterSpecs!$B$8,MouserListTable12[[#This Row],[Supplier]]=FilterSpecs!$A$9,FilterSpecs!$B$9)</f>
        <v>474-</v>
      </c>
      <c r="T41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474-COM-08034</v>
      </c>
      <c r="U413" s="121">
        <v>1</v>
      </c>
      <c r="V413" s="121">
        <v>0</v>
      </c>
      <c r="W413" s="121">
        <v>0</v>
      </c>
      <c r="X413" s="121">
        <f>MouserListTable12[[#This Row],['#/Unit]]*FilterSpecs!$C$3+MouserListTable12[[#This Row],[Extra]]</f>
        <v>5</v>
      </c>
      <c r="Y413" s="121">
        <f>IF(MouserListTable12[[#This Row],[Tag]]=FilterSpecs!$F$7,MouserListTable12[[#This Row],[Price (USD)]],0)</f>
        <v>1.5</v>
      </c>
      <c r="Z413" s="121">
        <f>MouserListTable12[[#This Row],[Tot '#]]*MouserListTable12[[#This Row],[Price (USD)]]</f>
        <v>7.5</v>
      </c>
    </row>
    <row r="414" spans="1:26" s="146" customFormat="1" hidden="1" x14ac:dyDescent="0.3">
      <c r="A414" s="126" t="s">
        <v>897</v>
      </c>
      <c r="B414" s="126" t="s">
        <v>1893</v>
      </c>
      <c r="C414" s="126" t="s">
        <v>8</v>
      </c>
      <c r="D414" s="106" t="str">
        <f>IF(MouserListTable12[[#This Row],[Vendor]]=FilterSpecs!$A$8,MouserListTable12[[#This Row],[Mouser SKU]], MouserListTable12[[#This Row],[SKU2]])</f>
        <v>PRT-13875</v>
      </c>
      <c r="E414" s="121">
        <f>MouserListTable12[[#This Row],[Tot '#]]-MouserListTable12[[#This Row],['# Initial]]</f>
        <v>0</v>
      </c>
      <c r="F414" s="121">
        <f>MouserListTable12[[#This Row],['#/Unit]]*FilterSpecs!$B$3+MouserListTable12[[#This Row],[Extra Initial]]</f>
        <v>0</v>
      </c>
      <c r="G414" s="103" t="s">
        <v>776</v>
      </c>
      <c r="H414" s="103" t="s">
        <v>777</v>
      </c>
      <c r="I414" s="103" t="s">
        <v>778</v>
      </c>
      <c r="J414" s="103">
        <v>1</v>
      </c>
      <c r="K414" s="171">
        <v>0.5</v>
      </c>
      <c r="L414" s="103" t="s">
        <v>1910</v>
      </c>
      <c r="M414" s="103"/>
      <c r="N414" s="171">
        <f>MouserListTable12[[#This Row],['# Initial]]*MouserListTable12[[#This Row],[Price (USD)]]</f>
        <v>0</v>
      </c>
      <c r="O414" s="106" t="s">
        <v>775</v>
      </c>
      <c r="P414" s="103">
        <f t="shared" si="11"/>
        <v>395</v>
      </c>
      <c r="Q414" s="103">
        <f>IF($D414=$O414,1,0)</f>
        <v>1</v>
      </c>
      <c r="R414" s="103" t="s">
        <v>8</v>
      </c>
      <c r="S414" s="103" t="str">
        <f>_xlfn.IFS(MouserListTable12[[#This Row],[Supplier]]=FilterSpecs!$A$6, FilterSpecs!$B$6,MouserListTable12[[#This Row],[Supplier]]=FilterSpecs!$A$7,FilterSpecs!$B$7,MouserListTable12[[#This Row],[Supplier]]=FilterSpecs!$A$8,FilterSpecs!$B$8,MouserListTable12[[#This Row],[Supplier]]=FilterSpecs!$A$9,FilterSpecs!$B$9)</f>
        <v>474-</v>
      </c>
      <c r="T41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474-PRT-13875</v>
      </c>
      <c r="U414" s="121">
        <v>0</v>
      </c>
      <c r="V414" s="121">
        <v>0</v>
      </c>
      <c r="W414" s="121">
        <v>0</v>
      </c>
      <c r="X414" s="121">
        <f>MouserListTable12[[#This Row],['#/Unit]]*FilterSpecs!$C$3+MouserListTable12[[#This Row],[Extra]]</f>
        <v>0</v>
      </c>
      <c r="Y414" s="121">
        <f>IF(MouserListTable12[[#This Row],[Tag]]=FilterSpecs!$F$7,MouserListTable12[[#This Row],[Price (USD)]],0)</f>
        <v>0</v>
      </c>
      <c r="Z414" s="121">
        <f>MouserListTable12[[#This Row],[Tot '#]]*MouserListTable12[[#This Row],[Price (USD)]]</f>
        <v>0</v>
      </c>
    </row>
    <row r="415" spans="1:26" s="146" customFormat="1" hidden="1" x14ac:dyDescent="0.3">
      <c r="A415" s="103" t="s">
        <v>897</v>
      </c>
      <c r="B415" s="103" t="s">
        <v>1893</v>
      </c>
      <c r="C415" s="103" t="s">
        <v>8</v>
      </c>
      <c r="D415" s="106" t="str">
        <f>IF(MouserListTable12[[#This Row],[Vendor]]=FilterSpecs!$A$8,MouserListTable12[[#This Row],[Mouser SKU]], MouserListTable12[[#This Row],[SKU2]])</f>
        <v>PRT-12790</v>
      </c>
      <c r="E415" s="121">
        <f>MouserListTable12[[#This Row],[Tot '#]]-MouserListTable12[[#This Row],['# Initial]]</f>
        <v>1</v>
      </c>
      <c r="F415" s="121">
        <f>MouserListTable12[[#This Row],['#/Unit]]*FilterSpecs!$B$3+MouserListTable12[[#This Row],[Extra Initial]]</f>
        <v>0</v>
      </c>
      <c r="G415" s="103" t="s">
        <v>1776</v>
      </c>
      <c r="H415" s="103" t="s">
        <v>1777</v>
      </c>
      <c r="I415" s="103" t="s">
        <v>1778</v>
      </c>
      <c r="J415" s="103">
        <v>1</v>
      </c>
      <c r="K415" s="171">
        <v>2.95</v>
      </c>
      <c r="L415" s="103" t="s">
        <v>1910</v>
      </c>
      <c r="M415" s="103"/>
      <c r="N415" s="171">
        <f>MouserListTable12[[#This Row],['# Initial]]*MouserListTable12[[#This Row],[Price (USD)]]</f>
        <v>0</v>
      </c>
      <c r="O415" s="106" t="s">
        <v>1775</v>
      </c>
      <c r="P415" s="103">
        <f t="shared" si="11"/>
        <v>396</v>
      </c>
      <c r="Q415" s="103">
        <f>IF($D415=$O415,1,0)</f>
        <v>1</v>
      </c>
      <c r="R415" s="103" t="s">
        <v>8</v>
      </c>
      <c r="S415" s="103" t="str">
        <f>_xlfn.IFS(MouserListTable12[[#This Row],[Supplier]]=FilterSpecs!$A$6, FilterSpecs!$B$6,MouserListTable12[[#This Row],[Supplier]]=FilterSpecs!$A$7,FilterSpecs!$B$7,MouserListTable12[[#This Row],[Supplier]]=FilterSpecs!$A$8,FilterSpecs!$B$8,MouserListTable12[[#This Row],[Supplier]]=FilterSpecs!$A$9,FilterSpecs!$B$9)</f>
        <v>474-</v>
      </c>
      <c r="T41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474-PRT-12790</v>
      </c>
      <c r="U415" s="121">
        <v>0</v>
      </c>
      <c r="V415" s="121">
        <v>1</v>
      </c>
      <c r="W415" s="121">
        <v>0</v>
      </c>
      <c r="X415" s="121">
        <f>MouserListTable12[[#This Row],['#/Unit]]*FilterSpecs!$C$3+MouserListTable12[[#This Row],[Extra]]</f>
        <v>1</v>
      </c>
      <c r="Y415" s="121">
        <f>IF(MouserListTable12[[#This Row],[Tag]]=FilterSpecs!$F$7,MouserListTable12[[#This Row],[Price (USD)]],0)</f>
        <v>0</v>
      </c>
      <c r="Z415" s="121">
        <f>MouserListTable12[[#This Row],[Tot '#]]*MouserListTable12[[#This Row],[Price (USD)]]</f>
        <v>2.95</v>
      </c>
    </row>
    <row r="416" spans="1:26" s="146" customFormat="1" hidden="1" x14ac:dyDescent="0.3">
      <c r="A416" s="126" t="s">
        <v>897</v>
      </c>
      <c r="B416" s="126" t="s">
        <v>1893</v>
      </c>
      <c r="C416" s="126" t="s">
        <v>8</v>
      </c>
      <c r="D416" s="106" t="str">
        <f>IF(MouserListTable12[[#This Row],[Vendor]]=FilterSpecs!$A$8,MouserListTable12[[#This Row],[Mouser SKU]], MouserListTable12[[#This Row],[SKU2]])</f>
        <v>PRT-10007</v>
      </c>
      <c r="E416" s="121">
        <f>MouserListTable12[[#This Row],[Tot '#]]-MouserListTable12[[#This Row],['# Initial]]</f>
        <v>0</v>
      </c>
      <c r="F416" s="121">
        <f>MouserListTable12[[#This Row],['#/Unit]]*FilterSpecs!$B$3+MouserListTable12[[#This Row],[Extra Initial]]</f>
        <v>0</v>
      </c>
      <c r="G416" s="103" t="s">
        <v>524</v>
      </c>
      <c r="H416" s="103" t="s">
        <v>525</v>
      </c>
      <c r="I416" s="103" t="s">
        <v>526</v>
      </c>
      <c r="J416" s="103">
        <v>1</v>
      </c>
      <c r="K416" s="171">
        <v>1.5</v>
      </c>
      <c r="L416" s="103" t="s">
        <v>1910</v>
      </c>
      <c r="M416" s="103"/>
      <c r="N416" s="171">
        <f>MouserListTable12[[#This Row],['# Initial]]*MouserListTable12[[#This Row],[Price (USD)]]</f>
        <v>0</v>
      </c>
      <c r="O416" s="106" t="s">
        <v>523</v>
      </c>
      <c r="P416" s="103">
        <f t="shared" si="11"/>
        <v>397</v>
      </c>
      <c r="Q416" s="103">
        <f>IF($D416=$O416,1,0)</f>
        <v>1</v>
      </c>
      <c r="R416" s="103" t="s">
        <v>8</v>
      </c>
      <c r="S416" s="103" t="str">
        <f>_xlfn.IFS(MouserListTable12[[#This Row],[Supplier]]=FilterSpecs!$A$6, FilterSpecs!$B$6,MouserListTable12[[#This Row],[Supplier]]=FilterSpecs!$A$7,FilterSpecs!$B$7,MouserListTable12[[#This Row],[Supplier]]=FilterSpecs!$A$8,FilterSpecs!$B$8,MouserListTable12[[#This Row],[Supplier]]=FilterSpecs!$A$9,FilterSpecs!$B$9)</f>
        <v>474-</v>
      </c>
      <c r="T41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474-PRT-10007</v>
      </c>
      <c r="U416" s="121">
        <v>0</v>
      </c>
      <c r="V416" s="121">
        <v>0</v>
      </c>
      <c r="W416" s="121">
        <v>0</v>
      </c>
      <c r="X416" s="121">
        <f>MouserListTable12[[#This Row],['#/Unit]]*FilterSpecs!$C$3+MouserListTable12[[#This Row],[Extra]]</f>
        <v>0</v>
      </c>
      <c r="Y416" s="121">
        <f>IF(MouserListTable12[[#This Row],[Tag]]=FilterSpecs!$F$7,MouserListTable12[[#This Row],[Price (USD)]],0)</f>
        <v>0</v>
      </c>
      <c r="Z416" s="121">
        <f>MouserListTable12[[#This Row],[Tot '#]]*MouserListTable12[[#This Row],[Price (USD)]]</f>
        <v>0</v>
      </c>
    </row>
    <row r="417" spans="1:26" s="146" customFormat="1" hidden="1" x14ac:dyDescent="0.3">
      <c r="A417" s="126" t="s">
        <v>897</v>
      </c>
      <c r="B417" s="126" t="s">
        <v>1893</v>
      </c>
      <c r="C417" s="126" t="s">
        <v>8</v>
      </c>
      <c r="D417" s="106" t="str">
        <f>IF(MouserListTable12[[#This Row],[Vendor]]=FilterSpecs!$A$8,MouserListTable12[[#This Row],[Mouser SKU]], MouserListTable12[[#This Row],[SKU2]])</f>
        <v>PRT-11376</v>
      </c>
      <c r="E417" s="121">
        <f>MouserListTable12[[#This Row],[Tot '#]]-MouserListTable12[[#This Row],['# Initial]]</f>
        <v>0</v>
      </c>
      <c r="F417" s="121">
        <f>MouserListTable12[[#This Row],['#/Unit]]*FilterSpecs!$B$3+MouserListTable12[[#This Row],[Extra Initial]]</f>
        <v>0</v>
      </c>
      <c r="G417" s="103" t="s">
        <v>528</v>
      </c>
      <c r="H417" s="103" t="s">
        <v>529</v>
      </c>
      <c r="I417" s="103" t="s">
        <v>530</v>
      </c>
      <c r="J417" s="103">
        <v>1</v>
      </c>
      <c r="K417" s="171">
        <v>0.5</v>
      </c>
      <c r="L417" s="103" t="s">
        <v>1910</v>
      </c>
      <c r="M417" s="103"/>
      <c r="N417" s="171">
        <f>MouserListTable12[[#This Row],['# Initial]]*MouserListTable12[[#This Row],[Price (USD)]]</f>
        <v>0</v>
      </c>
      <c r="O417" s="106" t="s">
        <v>527</v>
      </c>
      <c r="P417" s="103">
        <f t="shared" si="11"/>
        <v>398</v>
      </c>
      <c r="Q417" s="103">
        <f>IF($D417=$O417,1,0)</f>
        <v>1</v>
      </c>
      <c r="R417" s="103" t="s">
        <v>8</v>
      </c>
      <c r="S417" s="103" t="str">
        <f>_xlfn.IFS(MouserListTable12[[#This Row],[Supplier]]=FilterSpecs!$A$6, FilterSpecs!$B$6,MouserListTable12[[#This Row],[Supplier]]=FilterSpecs!$A$7,FilterSpecs!$B$7,MouserListTable12[[#This Row],[Supplier]]=FilterSpecs!$A$8,FilterSpecs!$B$8,MouserListTable12[[#This Row],[Supplier]]=FilterSpecs!$A$9,FilterSpecs!$B$9)</f>
        <v>474-</v>
      </c>
      <c r="T41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474-PRT-11376</v>
      </c>
      <c r="U417" s="121">
        <v>0</v>
      </c>
      <c r="V417" s="121">
        <v>0</v>
      </c>
      <c r="W417" s="121">
        <v>0</v>
      </c>
      <c r="X417" s="121">
        <f>MouserListTable12[[#This Row],['#/Unit]]*FilterSpecs!$C$3+MouserListTable12[[#This Row],[Extra]]</f>
        <v>0</v>
      </c>
      <c r="Y417" s="121">
        <f>IF(MouserListTable12[[#This Row],[Tag]]=FilterSpecs!$F$7,MouserListTable12[[#This Row],[Price (USD)]],0)</f>
        <v>0</v>
      </c>
      <c r="Z417" s="121">
        <f>MouserListTable12[[#This Row],[Tot '#]]*MouserListTable12[[#This Row],[Price (USD)]]</f>
        <v>0</v>
      </c>
    </row>
    <row r="418" spans="1:26" s="146" customFormat="1" hidden="1" x14ac:dyDescent="0.3">
      <c r="A418" s="126" t="s">
        <v>897</v>
      </c>
      <c r="B418" s="126" t="s">
        <v>1893</v>
      </c>
      <c r="C418" s="126" t="s">
        <v>8</v>
      </c>
      <c r="D418" s="106" t="str">
        <f>IF(MouserListTable12[[#This Row],[Vendor]]=FilterSpecs!$A$8,MouserListTable12[[#This Row],[Mouser SKU]], MouserListTable12[[#This Row],[SKU2]])</f>
        <v>PRT-14311</v>
      </c>
      <c r="E418" s="121">
        <f>MouserListTable12[[#This Row],[Tot '#]]-MouserListTable12[[#This Row],['# Initial]]</f>
        <v>0</v>
      </c>
      <c r="F418" s="121">
        <f>MouserListTable12[[#This Row],['#/Unit]]*FilterSpecs!$B$3+MouserListTable12[[#This Row],[Extra Initial]]</f>
        <v>0</v>
      </c>
      <c r="G418" s="103" t="s">
        <v>580</v>
      </c>
      <c r="H418" s="103" t="s">
        <v>581</v>
      </c>
      <c r="I418" s="103" t="s">
        <v>582</v>
      </c>
      <c r="J418" s="103">
        <v>1</v>
      </c>
      <c r="K418" s="171">
        <v>1.5</v>
      </c>
      <c r="L418" s="103" t="s">
        <v>1910</v>
      </c>
      <c r="M418" s="103"/>
      <c r="N418" s="171">
        <f>MouserListTable12[[#This Row],['# Initial]]*MouserListTable12[[#This Row],[Price (USD)]]</f>
        <v>0</v>
      </c>
      <c r="O418" s="106" t="s">
        <v>579</v>
      </c>
      <c r="P418" s="103">
        <f t="shared" si="11"/>
        <v>399</v>
      </c>
      <c r="Q418" s="103">
        <f>IF($D418=$O418,1,0)</f>
        <v>1</v>
      </c>
      <c r="R418" s="103" t="s">
        <v>8</v>
      </c>
      <c r="S418" s="103" t="str">
        <f>_xlfn.IFS(MouserListTable12[[#This Row],[Supplier]]=FilterSpecs!$A$6, FilterSpecs!$B$6,MouserListTable12[[#This Row],[Supplier]]=FilterSpecs!$A$7,FilterSpecs!$B$7,MouserListTable12[[#This Row],[Supplier]]=FilterSpecs!$A$8,FilterSpecs!$B$8,MouserListTable12[[#This Row],[Supplier]]=FilterSpecs!$A$9,FilterSpecs!$B$9)</f>
        <v>474-</v>
      </c>
      <c r="T41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474-PRT-14311</v>
      </c>
      <c r="U418" s="121">
        <v>0</v>
      </c>
      <c r="V418" s="121">
        <v>0</v>
      </c>
      <c r="W418" s="121">
        <v>0</v>
      </c>
      <c r="X418" s="121">
        <f>MouserListTable12[[#This Row],['#/Unit]]*FilterSpecs!$C$3+MouserListTable12[[#This Row],[Extra]]</f>
        <v>0</v>
      </c>
      <c r="Y418" s="121">
        <f>IF(MouserListTable12[[#This Row],[Tag]]=FilterSpecs!$F$7,MouserListTable12[[#This Row],[Price (USD)]],0)</f>
        <v>0</v>
      </c>
      <c r="Z418" s="121">
        <f>MouserListTable12[[#This Row],[Tot '#]]*MouserListTable12[[#This Row],[Price (USD)]]</f>
        <v>0</v>
      </c>
    </row>
    <row r="419" spans="1:26" s="146" customFormat="1" hidden="1" x14ac:dyDescent="0.3">
      <c r="A419" s="126" t="s">
        <v>897</v>
      </c>
      <c r="B419" s="126" t="s">
        <v>1893</v>
      </c>
      <c r="C419" s="126" t="s">
        <v>8</v>
      </c>
      <c r="D419" s="106" t="str">
        <f>IF(MouserListTable12[[#This Row],[Vendor]]=FilterSpecs!$A$8,MouserListTable12[[#This Row],[Mouser SKU]], MouserListTable12[[#This Row],[SKU2]])</f>
        <v>PRT-14322</v>
      </c>
      <c r="E419" s="121">
        <f>MouserListTable12[[#This Row],[Tot '#]]-MouserListTable12[[#This Row],['# Initial]]</f>
        <v>0</v>
      </c>
      <c r="F419" s="121">
        <f>MouserListTable12[[#This Row],['#/Unit]]*FilterSpecs!$B$3+MouserListTable12[[#This Row],[Extra Initial]]</f>
        <v>0</v>
      </c>
      <c r="G419" s="103" t="s">
        <v>482</v>
      </c>
      <c r="H419" s="103" t="s">
        <v>483</v>
      </c>
      <c r="I419" s="103" t="s">
        <v>484</v>
      </c>
      <c r="J419" s="103"/>
      <c r="K419" s="171">
        <v>0.5</v>
      </c>
      <c r="L419" s="103" t="s">
        <v>1910</v>
      </c>
      <c r="M419" s="103"/>
      <c r="N419" s="171">
        <f>MouserListTable12[[#This Row],['# Initial]]*MouserListTable12[[#This Row],[Price (USD)]]</f>
        <v>0</v>
      </c>
      <c r="O419" s="106" t="s">
        <v>481</v>
      </c>
      <c r="P419" s="103">
        <f t="shared" si="11"/>
        <v>400</v>
      </c>
      <c r="Q419" s="103">
        <f>IF($D419=$O419,1,0)</f>
        <v>1</v>
      </c>
      <c r="R419" s="103" t="s">
        <v>8</v>
      </c>
      <c r="S419" s="103" t="str">
        <f>_xlfn.IFS(MouserListTable12[[#This Row],[Supplier]]=FilterSpecs!$A$6, FilterSpecs!$B$6,MouserListTable12[[#This Row],[Supplier]]=FilterSpecs!$A$7,FilterSpecs!$B$7,MouserListTable12[[#This Row],[Supplier]]=FilterSpecs!$A$8,FilterSpecs!$B$8,MouserListTable12[[#This Row],[Supplier]]=FilterSpecs!$A$9,FilterSpecs!$B$9)</f>
        <v>474-</v>
      </c>
      <c r="T41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474-PRT-14322</v>
      </c>
      <c r="U419" s="121">
        <v>0</v>
      </c>
      <c r="V419" s="121">
        <v>0</v>
      </c>
      <c r="W419" s="121">
        <v>0</v>
      </c>
      <c r="X419" s="121">
        <f>MouserListTable12[[#This Row],['#/Unit]]*FilterSpecs!$C$3+MouserListTable12[[#This Row],[Extra]]</f>
        <v>0</v>
      </c>
      <c r="Y419" s="121">
        <f>IF(MouserListTable12[[#This Row],[Tag]]=FilterSpecs!$F$7,MouserListTable12[[#This Row],[Price (USD)]],0)</f>
        <v>0</v>
      </c>
      <c r="Z419" s="121">
        <f>MouserListTable12[[#This Row],[Tot '#]]*MouserListTable12[[#This Row],[Price (USD)]]</f>
        <v>0</v>
      </c>
    </row>
    <row r="420" spans="1:26" s="146" customFormat="1" hidden="1" x14ac:dyDescent="0.3">
      <c r="A420" s="126" t="s">
        <v>897</v>
      </c>
      <c r="B420" s="126" t="s">
        <v>1893</v>
      </c>
      <c r="C420" s="126" t="s">
        <v>8</v>
      </c>
      <c r="D420" s="106" t="str">
        <f>IF(MouserListTable12[[#This Row],[Vendor]]=FilterSpecs!$A$8,MouserListTable12[[#This Row],[Mouser SKU]], MouserListTable12[[#This Row],[SKU2]])</f>
        <v>PRT-13925</v>
      </c>
      <c r="E420" s="121">
        <f>MouserListTable12[[#This Row],[Tot '#]]-MouserListTable12[[#This Row],['# Initial]]</f>
        <v>0</v>
      </c>
      <c r="F420" s="121">
        <f>MouserListTable12[[#This Row],['#/Unit]]*FilterSpecs!$B$3+MouserListTable12[[#This Row],[Extra Initial]]</f>
        <v>0</v>
      </c>
      <c r="G420" s="103" t="s">
        <v>478</v>
      </c>
      <c r="H420" s="103" t="s">
        <v>479</v>
      </c>
      <c r="I420" s="103" t="s">
        <v>480</v>
      </c>
      <c r="J420" s="103">
        <v>1</v>
      </c>
      <c r="K420" s="171">
        <v>1.5</v>
      </c>
      <c r="L420" s="103" t="s">
        <v>1910</v>
      </c>
      <c r="M420" s="103"/>
      <c r="N420" s="171">
        <f>MouserListTable12[[#This Row],['# Initial]]*MouserListTable12[[#This Row],[Price (USD)]]</f>
        <v>0</v>
      </c>
      <c r="O420" s="106" t="s">
        <v>477</v>
      </c>
      <c r="P420" s="103">
        <f t="shared" si="11"/>
        <v>401</v>
      </c>
      <c r="Q420" s="103">
        <f>IF($D420=$O420,1,0)</f>
        <v>1</v>
      </c>
      <c r="R420" s="103" t="s">
        <v>8</v>
      </c>
      <c r="S420" s="103" t="str">
        <f>_xlfn.IFS(MouserListTable12[[#This Row],[Supplier]]=FilterSpecs!$A$6, FilterSpecs!$B$6,MouserListTable12[[#This Row],[Supplier]]=FilterSpecs!$A$7,FilterSpecs!$B$7,MouserListTable12[[#This Row],[Supplier]]=FilterSpecs!$A$8,FilterSpecs!$B$8,MouserListTable12[[#This Row],[Supplier]]=FilterSpecs!$A$9,FilterSpecs!$B$9)</f>
        <v>474-</v>
      </c>
      <c r="T42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474-PRT-13925</v>
      </c>
      <c r="U420" s="121">
        <v>0</v>
      </c>
      <c r="V420" s="121">
        <v>0</v>
      </c>
      <c r="W420" s="121">
        <v>0</v>
      </c>
      <c r="X420" s="121">
        <f>MouserListTable12[[#This Row],['#/Unit]]*FilterSpecs!$C$3+MouserListTable12[[#This Row],[Extra]]</f>
        <v>0</v>
      </c>
      <c r="Y420" s="121">
        <f>IF(MouserListTable12[[#This Row],[Tag]]=FilterSpecs!$F$7,MouserListTable12[[#This Row],[Price (USD)]],0)</f>
        <v>0</v>
      </c>
      <c r="Z420" s="121">
        <f>MouserListTable12[[#This Row],[Tot '#]]*MouserListTable12[[#This Row],[Price (USD)]]</f>
        <v>0</v>
      </c>
    </row>
    <row r="421" spans="1:26" s="146" customFormat="1" x14ac:dyDescent="0.3">
      <c r="A421" s="103" t="s">
        <v>897</v>
      </c>
      <c r="B421" s="103" t="s">
        <v>1893</v>
      </c>
      <c r="C421" s="103" t="s">
        <v>1898</v>
      </c>
      <c r="D421" s="106" t="str">
        <f>IF(MouserListTable12[[#This Row],[Vendor]]=FilterSpecs!$A$8,MouserListTable12[[#This Row],[Mouser SKU]], MouserListTable12[[#This Row],[SKU2]])</f>
        <v>85</v>
      </c>
      <c r="E421" s="121">
        <f>MouserListTable12[[#This Row],[Tot '#]]-MouserListTable12[[#This Row],['# Initial]]</f>
        <v>0</v>
      </c>
      <c r="F421" s="121">
        <f>MouserListTable12[[#This Row],['#/Unit]]*FilterSpecs!$B$3+MouserListTable12[[#This Row],[Extra Initial]]</f>
        <v>5</v>
      </c>
      <c r="G421" s="103"/>
      <c r="H421" s="103"/>
      <c r="I421" s="103" t="s">
        <v>2194</v>
      </c>
      <c r="K421" s="171">
        <v>1.95</v>
      </c>
      <c r="L421" s="103" t="s">
        <v>1911</v>
      </c>
      <c r="M421" s="106"/>
      <c r="N421" s="171">
        <f>MouserListTable12[[#This Row],['# Initial]]*MouserListTable12[[#This Row],[Price (USD)]]</f>
        <v>9.75</v>
      </c>
      <c r="O421" s="106" t="s">
        <v>2193</v>
      </c>
      <c r="P421" s="103">
        <f t="shared" si="11"/>
        <v>402</v>
      </c>
      <c r="Q421" s="103">
        <f>IF($D421=$O421,1,0)</f>
        <v>1</v>
      </c>
      <c r="R421" s="103" t="s">
        <v>1898</v>
      </c>
      <c r="S421" s="103" t="str">
        <f>_xlfn.IFS(MouserListTable12[[#This Row],[Supplier]]=FilterSpecs!$A$6, FilterSpecs!$B$6,MouserListTable12[[#This Row],[Supplier]]=FilterSpecs!$A$7,FilterSpecs!$B$7,MouserListTable12[[#This Row],[Supplier]]=FilterSpecs!$A$8,FilterSpecs!$B$8,MouserListTable12[[#This Row],[Supplier]]=FilterSpecs!$A$9,FilterSpecs!$B$9)</f>
        <v>485-</v>
      </c>
      <c r="T42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485-85</v>
      </c>
      <c r="U421" s="121">
        <v>1</v>
      </c>
      <c r="V421" s="121">
        <v>0</v>
      </c>
      <c r="W421" s="121">
        <v>0</v>
      </c>
      <c r="X421" s="121">
        <f>MouserListTable12[[#This Row],['#/Unit]]*FilterSpecs!$C$3+MouserListTable12[[#This Row],[Extra]]</f>
        <v>5</v>
      </c>
      <c r="Y421" s="121">
        <f>IF(MouserListTable12[[#This Row],[Tag]]=FilterSpecs!$F$7,MouserListTable12[[#This Row],[Price (USD)]],0)</f>
        <v>1.95</v>
      </c>
      <c r="Z421" s="121">
        <f>MouserListTable12[[#This Row],[Tot '#]]*MouserListTable12[[#This Row],[Price (USD)]]</f>
        <v>9.75</v>
      </c>
    </row>
    <row r="422" spans="1:26" s="146" customFormat="1" x14ac:dyDescent="0.3">
      <c r="A422" s="103" t="s">
        <v>897</v>
      </c>
      <c r="B422" s="103" t="s">
        <v>1893</v>
      </c>
      <c r="C422" s="103" t="s">
        <v>1898</v>
      </c>
      <c r="D422" s="106" t="str">
        <f>IF(MouserListTable12[[#This Row],[Vendor]]=FilterSpecs!$A$8,MouserListTable12[[#This Row],[Mouser SKU]], MouserListTable12[[#This Row],[SKU2]])</f>
        <v>3366</v>
      </c>
      <c r="E422" s="121">
        <f>MouserListTable12[[#This Row],[Tot '#]]-MouserListTable12[[#This Row],['# Initial]]</f>
        <v>0</v>
      </c>
      <c r="F422" s="121">
        <f>MouserListTable12[[#This Row],['#/Unit]]*FilterSpecs!$B$3+MouserListTable12[[#This Row],[Extra Initial]]</f>
        <v>1</v>
      </c>
      <c r="G422" s="103"/>
      <c r="H422" s="103"/>
      <c r="I422" s="103" t="s">
        <v>2176</v>
      </c>
      <c r="K422" s="171">
        <v>2.95</v>
      </c>
      <c r="L422" s="103" t="s">
        <v>1910</v>
      </c>
      <c r="M422" s="106"/>
      <c r="N422" s="171">
        <f>MouserListTable12[[#This Row],['# Initial]]*MouserListTable12[[#This Row],[Price (USD)]]</f>
        <v>2.95</v>
      </c>
      <c r="O422" s="106" t="s">
        <v>2175</v>
      </c>
      <c r="P422" s="103">
        <f t="shared" si="11"/>
        <v>403</v>
      </c>
      <c r="Q422" s="103">
        <f>IF($D422=$O422,1,0)</f>
        <v>1</v>
      </c>
      <c r="R422" s="103" t="s">
        <v>1898</v>
      </c>
      <c r="S422" s="103" t="str">
        <f>_xlfn.IFS(MouserListTable12[[#This Row],[Supplier]]=FilterSpecs!$A$6, FilterSpecs!$B$6,MouserListTable12[[#This Row],[Supplier]]=FilterSpecs!$A$7,FilterSpecs!$B$7,MouserListTable12[[#This Row],[Supplier]]=FilterSpecs!$A$8,FilterSpecs!$B$8,MouserListTable12[[#This Row],[Supplier]]=FilterSpecs!$A$9,FilterSpecs!$B$9)</f>
        <v>485-</v>
      </c>
      <c r="T42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485-3366</v>
      </c>
      <c r="U422" s="121">
        <v>0</v>
      </c>
      <c r="V422" s="121">
        <v>1</v>
      </c>
      <c r="W422" s="121">
        <v>1</v>
      </c>
      <c r="X422" s="121">
        <f>MouserListTable12[[#This Row],['#/Unit]]*FilterSpecs!$C$3+MouserListTable12[[#This Row],[Extra]]</f>
        <v>1</v>
      </c>
      <c r="Y422" s="121">
        <f>IF(MouserListTable12[[#This Row],[Tag]]=FilterSpecs!$F$7,MouserListTable12[[#This Row],[Price (USD)]],0)</f>
        <v>0</v>
      </c>
      <c r="Z422" s="121">
        <f>MouserListTable12[[#This Row],[Tot '#]]*MouserListTable12[[#This Row],[Price (USD)]]</f>
        <v>2.95</v>
      </c>
    </row>
    <row r="423" spans="1:26" s="146" customFormat="1" hidden="1" x14ac:dyDescent="0.3">
      <c r="A423" s="126" t="s">
        <v>897</v>
      </c>
      <c r="B423" s="126" t="s">
        <v>1891</v>
      </c>
      <c r="C423" s="126" t="s">
        <v>8</v>
      </c>
      <c r="D423" s="106" t="str">
        <f>IF(MouserListTable12[[#This Row],[Vendor]]=FilterSpecs!$A$8,MouserListTable12[[#This Row],[Mouser SKU]], MouserListTable12[[#This Row],[SKU2]])</f>
        <v>PRT-12807</v>
      </c>
      <c r="E423" s="121">
        <f>MouserListTable12[[#This Row],[Tot '#]]-MouserListTable12[[#This Row],['# Initial]]</f>
        <v>0</v>
      </c>
      <c r="F423" s="121">
        <f>MouserListTable12[[#This Row],['#/Unit]]*FilterSpecs!$B$3+MouserListTable12[[#This Row],[Extra Initial]]</f>
        <v>0</v>
      </c>
      <c r="G423" s="103" t="s">
        <v>772</v>
      </c>
      <c r="H423" s="103" t="s">
        <v>773</v>
      </c>
      <c r="I423" s="103" t="s">
        <v>774</v>
      </c>
      <c r="J423" s="103">
        <v>1</v>
      </c>
      <c r="K423" s="171">
        <v>0.5</v>
      </c>
      <c r="L423" s="103" t="s">
        <v>1910</v>
      </c>
      <c r="M423" s="103"/>
      <c r="N423" s="171">
        <f>MouserListTable12[[#This Row],['# Initial]]*MouserListTable12[[#This Row],[Price (USD)]]</f>
        <v>0</v>
      </c>
      <c r="O423" s="106" t="s">
        <v>771</v>
      </c>
      <c r="P423" s="103">
        <f t="shared" si="11"/>
        <v>404</v>
      </c>
      <c r="Q423" s="103">
        <f>IF($D423=$O423,1,0)</f>
        <v>1</v>
      </c>
      <c r="R423" s="103" t="s">
        <v>8</v>
      </c>
      <c r="S423" s="103" t="str">
        <f>_xlfn.IFS(MouserListTable12[[#This Row],[Supplier]]=FilterSpecs!$A$6, FilterSpecs!$B$6,MouserListTable12[[#This Row],[Supplier]]=FilterSpecs!$A$7,FilterSpecs!$B$7,MouserListTable12[[#This Row],[Supplier]]=FilterSpecs!$A$8,FilterSpecs!$B$8,MouserListTable12[[#This Row],[Supplier]]=FilterSpecs!$A$9,FilterSpecs!$B$9)</f>
        <v>474-</v>
      </c>
      <c r="T42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474-PRT-12807</v>
      </c>
      <c r="U423" s="121">
        <v>0</v>
      </c>
      <c r="V423" s="121">
        <v>0</v>
      </c>
      <c r="W423" s="121">
        <v>0</v>
      </c>
      <c r="X423" s="121">
        <f>MouserListTable12[[#This Row],['#/Unit]]*FilterSpecs!$C$3+MouserListTable12[[#This Row],[Extra]]</f>
        <v>0</v>
      </c>
      <c r="Y423" s="121">
        <f>IF(MouserListTable12[[#This Row],[Tag]]=FilterSpecs!$F$7,MouserListTable12[[#This Row],[Price (USD)]],0)</f>
        <v>0</v>
      </c>
      <c r="Z423" s="121">
        <f>MouserListTable12[[#This Row],[Tot '#]]*MouserListTable12[[#This Row],[Price (USD)]]</f>
        <v>0</v>
      </c>
    </row>
    <row r="424" spans="1:26" s="146" customFormat="1" hidden="1" x14ac:dyDescent="0.3">
      <c r="A424" s="126" t="s">
        <v>897</v>
      </c>
      <c r="B424" s="126" t="s">
        <v>1891</v>
      </c>
      <c r="C424" s="126" t="s">
        <v>8</v>
      </c>
      <c r="D424" s="106" t="str">
        <f>IF(MouserListTable12[[#This Row],[Vendor]]=FilterSpecs!$A$8,MouserListTable12[[#This Row],[Mouser SKU]], MouserListTable12[[#This Row],[SKU2]])</f>
        <v>PRT-13156</v>
      </c>
      <c r="E424" s="121">
        <f>MouserListTable12[[#This Row],[Tot '#]]-MouserListTable12[[#This Row],['# Initial]]</f>
        <v>0</v>
      </c>
      <c r="F424" s="121">
        <f>MouserListTable12[[#This Row],['#/Unit]]*FilterSpecs!$B$3+MouserListTable12[[#This Row],[Extra Initial]]</f>
        <v>0</v>
      </c>
      <c r="G424" s="103" t="s">
        <v>516</v>
      </c>
      <c r="H424" s="103" t="s">
        <v>517</v>
      </c>
      <c r="I424" s="103" t="s">
        <v>518</v>
      </c>
      <c r="J424" s="103">
        <v>1</v>
      </c>
      <c r="K424" s="171">
        <v>0.95</v>
      </c>
      <c r="L424" s="103" t="s">
        <v>1910</v>
      </c>
      <c r="M424" s="103"/>
      <c r="N424" s="171">
        <f>MouserListTable12[[#This Row],['# Initial]]*MouserListTable12[[#This Row],[Price (USD)]]</f>
        <v>0</v>
      </c>
      <c r="O424" s="106" t="s">
        <v>515</v>
      </c>
      <c r="P424" s="103">
        <f t="shared" si="11"/>
        <v>405</v>
      </c>
      <c r="Q424" s="103">
        <f>IF($D424=$O424,1,0)</f>
        <v>1</v>
      </c>
      <c r="R424" s="103" t="s">
        <v>8</v>
      </c>
      <c r="S424" s="103" t="str">
        <f>_xlfn.IFS(MouserListTable12[[#This Row],[Supplier]]=FilterSpecs!$A$6, FilterSpecs!$B$6,MouserListTable12[[#This Row],[Supplier]]=FilterSpecs!$A$7,FilterSpecs!$B$7,MouserListTable12[[#This Row],[Supplier]]=FilterSpecs!$A$8,FilterSpecs!$B$8,MouserListTable12[[#This Row],[Supplier]]=FilterSpecs!$A$9,FilterSpecs!$B$9)</f>
        <v>474-</v>
      </c>
      <c r="T42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474-PRT-13156</v>
      </c>
      <c r="U424" s="121">
        <v>0</v>
      </c>
      <c r="V424" s="121">
        <v>0</v>
      </c>
      <c r="W424" s="121">
        <v>0</v>
      </c>
      <c r="X424" s="121">
        <f>MouserListTable12[[#This Row],['#/Unit]]*FilterSpecs!$C$3+MouserListTable12[[#This Row],[Extra]]</f>
        <v>0</v>
      </c>
      <c r="Y424" s="121">
        <f>IF(MouserListTable12[[#This Row],[Tag]]=FilterSpecs!$F$7,MouserListTable12[[#This Row],[Price (USD)]],0)</f>
        <v>0</v>
      </c>
      <c r="Z424" s="121">
        <f>MouserListTable12[[#This Row],[Tot '#]]*MouserListTable12[[#This Row],[Price (USD)]]</f>
        <v>0</v>
      </c>
    </row>
    <row r="425" spans="1:26" s="146" customFormat="1" x14ac:dyDescent="0.3">
      <c r="A425" s="103" t="s">
        <v>897</v>
      </c>
      <c r="B425" s="103" t="s">
        <v>1891</v>
      </c>
      <c r="C425" s="103" t="s">
        <v>8</v>
      </c>
      <c r="D425" s="106" t="str">
        <f>IF(MouserListTable12[[#This Row],[Vendor]]=FilterSpecs!$A$8,MouserListTable12[[#This Row],[Mouser SKU]], MouserListTable12[[#This Row],[SKU2]])</f>
        <v>PRT-12791</v>
      </c>
      <c r="E425" s="121">
        <f>MouserListTable12[[#This Row],[Tot '#]]-MouserListTable12[[#This Row],['# Initial]]</f>
        <v>0</v>
      </c>
      <c r="F425" s="121">
        <f>MouserListTable12[[#This Row],['#/Unit]]*FilterSpecs!$B$3+MouserListTable12[[#This Row],[Extra Initial]]</f>
        <v>1</v>
      </c>
      <c r="G425" s="103" t="s">
        <v>1792</v>
      </c>
      <c r="H425" s="103" t="s">
        <v>1793</v>
      </c>
      <c r="I425" s="103" t="s">
        <v>1794</v>
      </c>
      <c r="J425" s="103">
        <v>1</v>
      </c>
      <c r="K425" s="171">
        <v>0.95</v>
      </c>
      <c r="L425" s="103" t="s">
        <v>1910</v>
      </c>
      <c r="M425" s="103"/>
      <c r="N425" s="171">
        <f>MouserListTable12[[#This Row],['# Initial]]*MouserListTable12[[#This Row],[Price (USD)]]</f>
        <v>0.95</v>
      </c>
      <c r="O425" s="106" t="s">
        <v>1791</v>
      </c>
      <c r="P425" s="103">
        <f t="shared" si="11"/>
        <v>406</v>
      </c>
      <c r="Q425" s="103">
        <f>IF($D425=$O425,1,0)</f>
        <v>1</v>
      </c>
      <c r="R425" s="103" t="s">
        <v>8</v>
      </c>
      <c r="S425" s="103" t="str">
        <f>_xlfn.IFS(MouserListTable12[[#This Row],[Supplier]]=FilterSpecs!$A$6, FilterSpecs!$B$6,MouserListTable12[[#This Row],[Supplier]]=FilterSpecs!$A$7,FilterSpecs!$B$7,MouserListTable12[[#This Row],[Supplier]]=FilterSpecs!$A$8,FilterSpecs!$B$8,MouserListTable12[[#This Row],[Supplier]]=FilterSpecs!$A$9,FilterSpecs!$B$9)</f>
        <v>474-</v>
      </c>
      <c r="T42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474-PRT-12791</v>
      </c>
      <c r="U425" s="121">
        <v>0</v>
      </c>
      <c r="V425" s="121">
        <v>1</v>
      </c>
      <c r="W425" s="121">
        <v>1</v>
      </c>
      <c r="X425" s="121">
        <f>MouserListTable12[[#This Row],['#/Unit]]*FilterSpecs!$C$3+MouserListTable12[[#This Row],[Extra]]</f>
        <v>1</v>
      </c>
      <c r="Y425" s="121">
        <f>IF(MouserListTable12[[#This Row],[Tag]]=FilterSpecs!$F$7,MouserListTable12[[#This Row],[Price (USD)]],0)</f>
        <v>0</v>
      </c>
      <c r="Z425" s="121">
        <f>MouserListTable12[[#This Row],[Tot '#]]*MouserListTable12[[#This Row],[Price (USD)]]</f>
        <v>0.95</v>
      </c>
    </row>
    <row r="426" spans="1:26" s="146" customFormat="1" hidden="1" x14ac:dyDescent="0.3">
      <c r="A426" s="126" t="s">
        <v>897</v>
      </c>
      <c r="B426" s="126" t="s">
        <v>1891</v>
      </c>
      <c r="C426" s="126" t="s">
        <v>8</v>
      </c>
      <c r="D426" s="106" t="str">
        <f>IF(MouserListTable12[[#This Row],[Vendor]]=FilterSpecs!$A$8,MouserListTable12[[#This Row],[Mouser SKU]], MouserListTable12[[#This Row],[SKU2]])</f>
        <v>PRT-00116</v>
      </c>
      <c r="E426" s="121">
        <f>MouserListTable12[[#This Row],[Tot '#]]-MouserListTable12[[#This Row],['# Initial]]</f>
        <v>0</v>
      </c>
      <c r="F426" s="121">
        <f>MouserListTable12[[#This Row],['#/Unit]]*FilterSpecs!$B$3+MouserListTable12[[#This Row],[Extra Initial]]</f>
        <v>0</v>
      </c>
      <c r="G426" s="103" t="s">
        <v>756</v>
      </c>
      <c r="H426" s="103" t="s">
        <v>757</v>
      </c>
      <c r="I426" s="103" t="s">
        <v>758</v>
      </c>
      <c r="J426" s="103">
        <v>1</v>
      </c>
      <c r="K426" s="171">
        <v>1.5</v>
      </c>
      <c r="L426" s="103" t="s">
        <v>1910</v>
      </c>
      <c r="M426" s="103"/>
      <c r="N426" s="171">
        <f>MouserListTable12[[#This Row],['# Initial]]*MouserListTable12[[#This Row],[Price (USD)]]</f>
        <v>0</v>
      </c>
      <c r="O426" s="106" t="s">
        <v>755</v>
      </c>
      <c r="P426" s="103">
        <f t="shared" si="11"/>
        <v>407</v>
      </c>
      <c r="Q426" s="103">
        <f>IF($D426=$O426,1,0)</f>
        <v>1</v>
      </c>
      <c r="R426" s="103" t="s">
        <v>8</v>
      </c>
      <c r="S426" s="103" t="str">
        <f>_xlfn.IFS(MouserListTable12[[#This Row],[Supplier]]=FilterSpecs!$A$6, FilterSpecs!$B$6,MouserListTable12[[#This Row],[Supplier]]=FilterSpecs!$A$7,FilterSpecs!$B$7,MouserListTable12[[#This Row],[Supplier]]=FilterSpecs!$A$8,FilterSpecs!$B$8,MouserListTable12[[#This Row],[Supplier]]=FilterSpecs!$A$9,FilterSpecs!$B$9)</f>
        <v>474-</v>
      </c>
      <c r="T42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474-PRT-00116</v>
      </c>
      <c r="U426" s="121">
        <v>0</v>
      </c>
      <c r="V426" s="121">
        <v>0</v>
      </c>
      <c r="W426" s="121">
        <v>0</v>
      </c>
      <c r="X426" s="121">
        <f>MouserListTable12[[#This Row],['#/Unit]]*FilterSpecs!$C$3+MouserListTable12[[#This Row],[Extra]]</f>
        <v>0</v>
      </c>
      <c r="Y426" s="121">
        <f>IF(MouserListTable12[[#This Row],[Tag]]=FilterSpecs!$F$7,MouserListTable12[[#This Row],[Price (USD)]],0)</f>
        <v>0</v>
      </c>
      <c r="Z426" s="121">
        <f>MouserListTable12[[#This Row],[Tot '#]]*MouserListTable12[[#This Row],[Price (USD)]]</f>
        <v>0</v>
      </c>
    </row>
    <row r="427" spans="1:26" s="146" customFormat="1" x14ac:dyDescent="0.3">
      <c r="A427" s="103" t="s">
        <v>897</v>
      </c>
      <c r="B427" s="103" t="s">
        <v>1891</v>
      </c>
      <c r="C427" s="103" t="s">
        <v>1898</v>
      </c>
      <c r="D427" s="106" t="str">
        <f>IF(MouserListTable12[[#This Row],[Vendor]]=FilterSpecs!$A$8,MouserListTable12[[#This Row],[Mouser SKU]], MouserListTable12[[#This Row],[SKU2]])</f>
        <v>392</v>
      </c>
      <c r="E427" s="121">
        <f>MouserListTable12[[#This Row],[Tot '#]]-MouserListTable12[[#This Row],['# Initial]]</f>
        <v>0</v>
      </c>
      <c r="F427" s="121">
        <f>MouserListTable12[[#This Row],['#/Unit]]*FilterSpecs!$B$3+MouserListTable12[[#This Row],[Extra Initial]]</f>
        <v>1</v>
      </c>
      <c r="G427" s="103"/>
      <c r="H427" s="103"/>
      <c r="I427" s="103" t="s">
        <v>2190</v>
      </c>
      <c r="K427" s="171">
        <v>4.95</v>
      </c>
      <c r="L427" s="103" t="s">
        <v>1910</v>
      </c>
      <c r="M427" s="106"/>
      <c r="N427" s="171">
        <f>MouserListTable12[[#This Row],['# Initial]]*MouserListTable12[[#This Row],[Price (USD)]]</f>
        <v>4.95</v>
      </c>
      <c r="O427" s="106" t="s">
        <v>2189</v>
      </c>
      <c r="P427" s="103">
        <f t="shared" si="11"/>
        <v>408</v>
      </c>
      <c r="Q427" s="103">
        <f>IF($D427=$O427,1,0)</f>
        <v>1</v>
      </c>
      <c r="R427" s="103" t="s">
        <v>1898</v>
      </c>
      <c r="S427" s="103" t="str">
        <f>_xlfn.IFS(MouserListTable12[[#This Row],[Supplier]]=FilterSpecs!$A$6, FilterSpecs!$B$6,MouserListTable12[[#This Row],[Supplier]]=FilterSpecs!$A$7,FilterSpecs!$B$7,MouserListTable12[[#This Row],[Supplier]]=FilterSpecs!$A$8,FilterSpecs!$B$8,MouserListTable12[[#This Row],[Supplier]]=FilterSpecs!$A$9,FilterSpecs!$B$9)</f>
        <v>485-</v>
      </c>
      <c r="T42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485-392</v>
      </c>
      <c r="U427" s="121">
        <v>0</v>
      </c>
      <c r="V427" s="121">
        <v>1</v>
      </c>
      <c r="W427" s="121">
        <v>1</v>
      </c>
      <c r="X427" s="121">
        <f>MouserListTable12[[#This Row],['#/Unit]]*FilterSpecs!$C$3+MouserListTable12[[#This Row],[Extra]]</f>
        <v>1</v>
      </c>
      <c r="Y427" s="121">
        <f>IF(MouserListTable12[[#This Row],[Tag]]=FilterSpecs!$F$7,MouserListTable12[[#This Row],[Price (USD)]],0)</f>
        <v>0</v>
      </c>
      <c r="Z427" s="121">
        <f>MouserListTable12[[#This Row],[Tot '#]]*MouserListTable12[[#This Row],[Price (USD)]]</f>
        <v>4.95</v>
      </c>
    </row>
    <row r="428" spans="1:26" s="146" customFormat="1" x14ac:dyDescent="0.3">
      <c r="A428" s="103" t="s">
        <v>897</v>
      </c>
      <c r="B428" s="103" t="s">
        <v>1891</v>
      </c>
      <c r="C428" s="103" t="s">
        <v>1898</v>
      </c>
      <c r="D428" s="106" t="str">
        <f>IF(MouserListTable12[[#This Row],[Vendor]]=FilterSpecs!$A$8,MouserListTable12[[#This Row],[Mouser SKU]], MouserListTable12[[#This Row],[SKU2]])</f>
        <v>3009</v>
      </c>
      <c r="E428" s="121">
        <f>MouserListTable12[[#This Row],[Tot '#]]-MouserListTable12[[#This Row],['# Initial]]</f>
        <v>0</v>
      </c>
      <c r="F428" s="121">
        <f>MouserListTable12[[#This Row],['#/Unit]]*FilterSpecs!$B$3+MouserListTable12[[#This Row],[Extra Initial]]</f>
        <v>1</v>
      </c>
      <c r="G428" s="103"/>
      <c r="H428" s="103"/>
      <c r="I428" s="103" t="s">
        <v>2182</v>
      </c>
      <c r="K428" s="171">
        <v>4.95</v>
      </c>
      <c r="L428" s="103" t="s">
        <v>1910</v>
      </c>
      <c r="M428" s="106"/>
      <c r="N428" s="171">
        <f>MouserListTable12[[#This Row],['# Initial]]*MouserListTable12[[#This Row],[Price (USD)]]</f>
        <v>4.95</v>
      </c>
      <c r="O428" s="106" t="s">
        <v>2181</v>
      </c>
      <c r="P428" s="103">
        <f t="shared" si="11"/>
        <v>409</v>
      </c>
      <c r="Q428" s="103">
        <f>IF($D428=$O428,1,0)</f>
        <v>1</v>
      </c>
      <c r="R428" s="103" t="s">
        <v>1898</v>
      </c>
      <c r="S428" s="103" t="str">
        <f>_xlfn.IFS(MouserListTable12[[#This Row],[Supplier]]=FilterSpecs!$A$6, FilterSpecs!$B$6,MouserListTable12[[#This Row],[Supplier]]=FilterSpecs!$A$7,FilterSpecs!$B$7,MouserListTable12[[#This Row],[Supplier]]=FilterSpecs!$A$8,FilterSpecs!$B$8,MouserListTable12[[#This Row],[Supplier]]=FilterSpecs!$A$9,FilterSpecs!$B$9)</f>
        <v>485-</v>
      </c>
      <c r="T42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485-3009</v>
      </c>
      <c r="U428" s="121">
        <v>0</v>
      </c>
      <c r="V428" s="121">
        <v>1</v>
      </c>
      <c r="W428" s="121">
        <v>1</v>
      </c>
      <c r="X428" s="121">
        <f>MouserListTable12[[#This Row],['#/Unit]]*FilterSpecs!$C$3+MouserListTable12[[#This Row],[Extra]]</f>
        <v>1</v>
      </c>
      <c r="Y428" s="121">
        <f>IF(MouserListTable12[[#This Row],[Tag]]=FilterSpecs!$F$7,MouserListTable12[[#This Row],[Price (USD)]],0)</f>
        <v>0</v>
      </c>
      <c r="Z428" s="121">
        <f>MouserListTable12[[#This Row],[Tot '#]]*MouserListTable12[[#This Row],[Price (USD)]]</f>
        <v>4.95</v>
      </c>
    </row>
    <row r="429" spans="1:26" s="146" customFormat="1" x14ac:dyDescent="0.3">
      <c r="A429" s="103" t="s">
        <v>897</v>
      </c>
      <c r="B429" s="103" t="s">
        <v>1891</v>
      </c>
      <c r="C429" s="103" t="s">
        <v>8</v>
      </c>
      <c r="D429" s="106" t="str">
        <f>IF(MouserListTable12[[#This Row],[Vendor]]=FilterSpecs!$A$8,MouserListTable12[[#This Row],[Mouser SKU]], MouserListTable12[[#This Row],[SKU2]])</f>
        <v>PRT-10158</v>
      </c>
      <c r="E429" s="121">
        <f>MouserListTable12[[#This Row],[Tot '#]]-MouserListTable12[[#This Row],['# Initial]]</f>
        <v>5</v>
      </c>
      <c r="F429" s="121">
        <f>MouserListTable12[[#This Row],['#/Unit]]*FilterSpecs!$B$3+MouserListTable12[[#This Row],[Extra Initial]]</f>
        <v>5</v>
      </c>
      <c r="G429" s="103" t="s">
        <v>490</v>
      </c>
      <c r="H429" s="103" t="s">
        <v>491</v>
      </c>
      <c r="I429" s="103" t="s">
        <v>492</v>
      </c>
      <c r="J429" s="103">
        <v>1</v>
      </c>
      <c r="K429" s="171">
        <v>2.95</v>
      </c>
      <c r="L429" s="103" t="s">
        <v>1911</v>
      </c>
      <c r="M429" s="103"/>
      <c r="N429" s="171">
        <f>MouserListTable12[[#This Row],['# Initial]]*MouserListTable12[[#This Row],[Price (USD)]]</f>
        <v>14.75</v>
      </c>
      <c r="O429" s="106" t="s">
        <v>489</v>
      </c>
      <c r="P429" s="103">
        <f t="shared" si="11"/>
        <v>410</v>
      </c>
      <c r="Q429" s="103">
        <f>IF($D429=$O429,1,0)</f>
        <v>1</v>
      </c>
      <c r="R429" s="103" t="s">
        <v>8</v>
      </c>
      <c r="S429" s="103" t="str">
        <f>_xlfn.IFS(MouserListTable12[[#This Row],[Supplier]]=FilterSpecs!$A$6, FilterSpecs!$B$6,MouserListTable12[[#This Row],[Supplier]]=FilterSpecs!$A$7,FilterSpecs!$B$7,MouserListTable12[[#This Row],[Supplier]]=FilterSpecs!$A$8,FilterSpecs!$B$8,MouserListTable12[[#This Row],[Supplier]]=FilterSpecs!$A$9,FilterSpecs!$B$9)</f>
        <v>474-</v>
      </c>
      <c r="T42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474-PRT-10158</v>
      </c>
      <c r="U429" s="121">
        <v>1</v>
      </c>
      <c r="V429" s="121">
        <v>5</v>
      </c>
      <c r="W429" s="121">
        <v>0</v>
      </c>
      <c r="X429" s="121">
        <f>MouserListTable12[[#This Row],['#/Unit]]*FilterSpecs!$C$3+MouserListTable12[[#This Row],[Extra]]</f>
        <v>10</v>
      </c>
      <c r="Y429" s="121">
        <f>IF(MouserListTable12[[#This Row],[Tag]]=FilterSpecs!$F$7,MouserListTable12[[#This Row],[Price (USD)]],0)</f>
        <v>2.95</v>
      </c>
      <c r="Z429" s="121">
        <f>MouserListTable12[[#This Row],[Tot '#]]*MouserListTable12[[#This Row],[Price (USD)]]</f>
        <v>29.5</v>
      </c>
    </row>
    <row r="430" spans="1:26" s="146" customFormat="1" x14ac:dyDescent="0.3">
      <c r="A430" s="103" t="s">
        <v>897</v>
      </c>
      <c r="B430" s="103" t="s">
        <v>1891</v>
      </c>
      <c r="C430" s="103" t="s">
        <v>8</v>
      </c>
      <c r="D430" s="106" t="str">
        <f>IF(MouserListTable12[[#This Row],[Vendor]]=FilterSpecs!$A$8,MouserListTable12[[#This Row],[Mouser SKU]], MouserListTable12[[#This Row],[SKU2]])</f>
        <v>PRT-12693</v>
      </c>
      <c r="E430" s="121">
        <f>MouserListTable12[[#This Row],[Tot '#]]-MouserListTable12[[#This Row],['# Initial]]</f>
        <v>5</v>
      </c>
      <c r="F430" s="121">
        <f>MouserListTable12[[#This Row],['#/Unit]]*FilterSpecs!$B$3+MouserListTable12[[#This Row],[Extra Initial]]</f>
        <v>5</v>
      </c>
      <c r="G430" s="103" t="s">
        <v>474</v>
      </c>
      <c r="H430" s="103" t="s">
        <v>475</v>
      </c>
      <c r="I430" s="103" t="s">
        <v>476</v>
      </c>
      <c r="J430" s="103">
        <v>1</v>
      </c>
      <c r="K430" s="171">
        <v>0.75</v>
      </c>
      <c r="L430" s="103" t="s">
        <v>1911</v>
      </c>
      <c r="M430" s="103"/>
      <c r="N430" s="171">
        <f>MouserListTable12[[#This Row],['# Initial]]*MouserListTable12[[#This Row],[Price (USD)]]</f>
        <v>3.75</v>
      </c>
      <c r="O430" s="106" t="s">
        <v>473</v>
      </c>
      <c r="P430" s="103">
        <f t="shared" si="11"/>
        <v>411</v>
      </c>
      <c r="Q430" s="103">
        <f>IF($D430=$O430,1,0)</f>
        <v>1</v>
      </c>
      <c r="R430" s="103" t="s">
        <v>8</v>
      </c>
      <c r="S430" s="103" t="str">
        <f>_xlfn.IFS(MouserListTable12[[#This Row],[Supplier]]=FilterSpecs!$A$6, FilterSpecs!$B$6,MouserListTable12[[#This Row],[Supplier]]=FilterSpecs!$A$7,FilterSpecs!$B$7,MouserListTable12[[#This Row],[Supplier]]=FilterSpecs!$A$8,FilterSpecs!$B$8,MouserListTable12[[#This Row],[Supplier]]=FilterSpecs!$A$9,FilterSpecs!$B$9)</f>
        <v>474-</v>
      </c>
      <c r="T43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474-PRT-12693</v>
      </c>
      <c r="U430" s="121">
        <v>1</v>
      </c>
      <c r="V430" s="121">
        <v>5</v>
      </c>
      <c r="W430" s="121">
        <v>0</v>
      </c>
      <c r="X430" s="121">
        <f>MouserListTable12[[#This Row],['#/Unit]]*FilterSpecs!$C$3+MouserListTable12[[#This Row],[Extra]]</f>
        <v>10</v>
      </c>
      <c r="Y430" s="121">
        <f>IF(MouserListTable12[[#This Row],[Tag]]=FilterSpecs!$F$7,MouserListTable12[[#This Row],[Price (USD)]],0)</f>
        <v>0.75</v>
      </c>
      <c r="Z430" s="121">
        <f>MouserListTable12[[#This Row],[Tot '#]]*MouserListTable12[[#This Row],[Price (USD)]]</f>
        <v>7.5</v>
      </c>
    </row>
    <row r="431" spans="1:26" s="146" customFormat="1" hidden="1" x14ac:dyDescent="0.3">
      <c r="A431" s="128" t="s">
        <v>897</v>
      </c>
      <c r="B431" s="128" t="s">
        <v>1891</v>
      </c>
      <c r="C431" s="128" t="s">
        <v>1898</v>
      </c>
      <c r="D431" s="106" t="str">
        <f>IF(MouserListTable12[[#This Row],[Vendor]]=FilterSpecs!$A$8,MouserListTable12[[#This Row],[Mouser SKU]], MouserListTable12[[#This Row],[SKU2]])</f>
        <v>400</v>
      </c>
      <c r="E431" s="121">
        <f>MouserListTable12[[#This Row],[Tot '#]]-MouserListTable12[[#This Row],['# Initial]]</f>
        <v>0</v>
      </c>
      <c r="F431" s="121">
        <f>MouserListTable12[[#This Row],['#/Unit]]*FilterSpecs!$B$3+MouserListTable12[[#This Row],[Extra Initial]]</f>
        <v>0</v>
      </c>
      <c r="I431" s="128" t="s">
        <v>2482</v>
      </c>
      <c r="J431" s="155">
        <v>117</v>
      </c>
      <c r="K431" s="173">
        <v>3</v>
      </c>
      <c r="L431" s="126" t="s">
        <v>1910</v>
      </c>
      <c r="N431" s="171">
        <f>MouserListTable12[[#This Row],['# Initial]]*MouserListTable12[[#This Row],[Price (USD)]]</f>
        <v>0</v>
      </c>
      <c r="O431" s="155" t="s">
        <v>2483</v>
      </c>
      <c r="P431" s="103">
        <f t="shared" si="11"/>
        <v>412</v>
      </c>
      <c r="Q431" s="103">
        <f>IF($D431=$O431,1,0)</f>
        <v>1</v>
      </c>
      <c r="R431" s="103" t="s">
        <v>1898</v>
      </c>
      <c r="S431" s="103" t="str">
        <f>_xlfn.IFS(MouserListTable12[[#This Row],[Supplier]]=FilterSpecs!$A$6, FilterSpecs!$B$6,MouserListTable12[[#This Row],[Supplier]]=FilterSpecs!$A$7,FilterSpecs!$B$7,MouserListTable12[[#This Row],[Supplier]]=FilterSpecs!$A$8,FilterSpecs!$B$8,MouserListTable12[[#This Row],[Supplier]]=FilterSpecs!$A$9,FilterSpecs!$B$9)</f>
        <v>485-</v>
      </c>
      <c r="T43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485-400</v>
      </c>
      <c r="U431" s="121">
        <v>0</v>
      </c>
      <c r="V431" s="121">
        <v>0</v>
      </c>
      <c r="W431" s="121">
        <v>0</v>
      </c>
      <c r="X431" s="121">
        <f>MouserListTable12[[#This Row],['#/Unit]]*FilterSpecs!$C$3+MouserListTable12[[#This Row],[Extra]]</f>
        <v>0</v>
      </c>
      <c r="Y431" s="121">
        <f>IF(MouserListTable12[[#This Row],[Tag]]=FilterSpecs!$F$7,MouserListTable12[[#This Row],[Price (USD)]],0)</f>
        <v>0</v>
      </c>
      <c r="Z431" s="121">
        <f>MouserListTable12[[#This Row],[Tot '#]]*MouserListTable12[[#This Row],[Price (USD)]]</f>
        <v>0</v>
      </c>
    </row>
    <row r="432" spans="1:26" s="146" customFormat="1" hidden="1" x14ac:dyDescent="0.3">
      <c r="A432" s="126" t="s">
        <v>897</v>
      </c>
      <c r="B432" s="126" t="s">
        <v>1891</v>
      </c>
      <c r="C432" s="126" t="s">
        <v>8</v>
      </c>
      <c r="D432" s="106" t="str">
        <f>IF(MouserListTable12[[#This Row],[Vendor]]=FilterSpecs!$A$8,MouserListTable12[[#This Row],[Mouser SKU]], MouserListTable12[[#This Row],[SKU2]])</f>
        <v>PRT-00553</v>
      </c>
      <c r="E432" s="121">
        <f>MouserListTable12[[#This Row],[Tot '#]]-MouserListTable12[[#This Row],['# Initial]]</f>
        <v>0</v>
      </c>
      <c r="F432" s="121">
        <f>MouserListTable12[[#This Row],['#/Unit]]*FilterSpecs!$B$3+MouserListTable12[[#This Row],[Extra Initial]]</f>
        <v>0</v>
      </c>
      <c r="G432" s="103" t="s">
        <v>760</v>
      </c>
      <c r="H432" s="103" t="s">
        <v>761</v>
      </c>
      <c r="I432" s="103" t="s">
        <v>762</v>
      </c>
      <c r="J432" s="103">
        <v>1</v>
      </c>
      <c r="K432" s="171">
        <v>1.95</v>
      </c>
      <c r="L432" s="103" t="s">
        <v>1910</v>
      </c>
      <c r="M432" s="103"/>
      <c r="N432" s="171">
        <f>MouserListTable12[[#This Row],['# Initial]]*MouserListTable12[[#This Row],[Price (USD)]]</f>
        <v>0</v>
      </c>
      <c r="O432" s="106" t="s">
        <v>759</v>
      </c>
      <c r="P432" s="103">
        <f t="shared" si="11"/>
        <v>413</v>
      </c>
      <c r="Q432" s="103">
        <f>IF($D432=$O432,1,0)</f>
        <v>1</v>
      </c>
      <c r="R432" s="103" t="s">
        <v>8</v>
      </c>
      <c r="S432" s="103" t="str">
        <f>_xlfn.IFS(MouserListTable12[[#This Row],[Supplier]]=FilterSpecs!$A$6, FilterSpecs!$B$6,MouserListTable12[[#This Row],[Supplier]]=FilterSpecs!$A$7,FilterSpecs!$B$7,MouserListTable12[[#This Row],[Supplier]]=FilterSpecs!$A$8,FilterSpecs!$B$8,MouserListTable12[[#This Row],[Supplier]]=FilterSpecs!$A$9,FilterSpecs!$B$9)</f>
        <v>474-</v>
      </c>
      <c r="T43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474-PRT-00553</v>
      </c>
      <c r="U432" s="121">
        <v>0</v>
      </c>
      <c r="V432" s="121">
        <v>0</v>
      </c>
      <c r="W432" s="121">
        <v>0</v>
      </c>
      <c r="X432" s="121">
        <f>MouserListTable12[[#This Row],['#/Unit]]*FilterSpecs!$C$3+MouserListTable12[[#This Row],[Extra]]</f>
        <v>0</v>
      </c>
      <c r="Y432" s="121">
        <f>IF(MouserListTable12[[#This Row],[Tag]]=FilterSpecs!$F$7,MouserListTable12[[#This Row],[Price (USD)]],0)</f>
        <v>0</v>
      </c>
      <c r="Z432" s="121">
        <f>MouserListTable12[[#This Row],[Tot '#]]*MouserListTable12[[#This Row],[Price (USD)]]</f>
        <v>0</v>
      </c>
    </row>
    <row r="433" spans="1:26" s="146" customFormat="1" hidden="1" x14ac:dyDescent="0.3">
      <c r="A433" s="103" t="s">
        <v>897</v>
      </c>
      <c r="B433" s="103" t="s">
        <v>1891</v>
      </c>
      <c r="C433" s="103" t="s">
        <v>1898</v>
      </c>
      <c r="D433" s="106" t="str">
        <f>IF(MouserListTable12[[#This Row],[Vendor]]=FilterSpecs!$A$8,MouserListTable12[[#This Row],[Mouser SKU]], MouserListTable12[[#This Row],[SKU2]])</f>
        <v>1540</v>
      </c>
      <c r="E433" s="121">
        <f>MouserListTable12[[#This Row],[Tot '#]]-MouserListTable12[[#This Row],['# Initial]]</f>
        <v>0</v>
      </c>
      <c r="F433" s="121">
        <f>MouserListTable12[[#This Row],['#/Unit]]*FilterSpecs!$B$3+MouserListTable12[[#This Row],[Extra Initial]]</f>
        <v>0</v>
      </c>
      <c r="G433" s="103"/>
      <c r="H433" s="103"/>
      <c r="I433" s="126" t="s">
        <v>2192</v>
      </c>
      <c r="K433" s="172">
        <v>5.95</v>
      </c>
      <c r="L433" s="126" t="s">
        <v>1913</v>
      </c>
      <c r="N433" s="171">
        <f>MouserListTable12[[#This Row],['# Initial]]*MouserListTable12[[#This Row],[Price (USD)]]</f>
        <v>0</v>
      </c>
      <c r="O433" s="106" t="s">
        <v>2191</v>
      </c>
      <c r="P433" s="103">
        <f t="shared" si="11"/>
        <v>414</v>
      </c>
      <c r="Q433" s="103">
        <f>IF($D433=$O433,1,0)</f>
        <v>1</v>
      </c>
      <c r="R433" s="103" t="s">
        <v>1898</v>
      </c>
      <c r="S433" s="103" t="str">
        <f>_xlfn.IFS(MouserListTable12[[#This Row],[Supplier]]=FilterSpecs!$A$6, FilterSpecs!$B$6,MouserListTable12[[#This Row],[Supplier]]=FilterSpecs!$A$7,FilterSpecs!$B$7,MouserListTable12[[#This Row],[Supplier]]=FilterSpecs!$A$8,FilterSpecs!$B$8,MouserListTable12[[#This Row],[Supplier]]=FilterSpecs!$A$9,FilterSpecs!$B$9)</f>
        <v>485-</v>
      </c>
      <c r="T43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485-1540</v>
      </c>
      <c r="U433" s="121">
        <v>0</v>
      </c>
      <c r="V433" s="121">
        <v>0</v>
      </c>
      <c r="W433" s="121">
        <v>0</v>
      </c>
      <c r="X433" s="121">
        <f>MouserListTable12[[#This Row],['#/Unit]]*FilterSpecs!$C$3+MouserListTable12[[#This Row],[Extra]]</f>
        <v>0</v>
      </c>
      <c r="Y433" s="121">
        <f>IF(MouserListTable12[[#This Row],[Tag]]=FilterSpecs!$F$7,MouserListTable12[[#This Row],[Price (USD)]],0)</f>
        <v>0</v>
      </c>
      <c r="Z433" s="121">
        <f>MouserListTable12[[#This Row],[Tot '#]]*MouserListTable12[[#This Row],[Price (USD)]]</f>
        <v>0</v>
      </c>
    </row>
    <row r="434" spans="1:26" s="146" customFormat="1" hidden="1" x14ac:dyDescent="0.3">
      <c r="A434" s="103" t="s">
        <v>897</v>
      </c>
      <c r="B434" s="103" t="s">
        <v>1891</v>
      </c>
      <c r="C434" s="103" t="s">
        <v>1898</v>
      </c>
      <c r="D434" s="106" t="str">
        <f>IF(MouserListTable12[[#This Row],[Vendor]]=FilterSpecs!$A$8,MouserListTable12[[#This Row],[Mouser SKU]], MouserListTable12[[#This Row],[SKU2]])</f>
        <v>2822</v>
      </c>
      <c r="E434" s="121">
        <f>MouserListTable12[[#This Row],[Tot '#]]-MouserListTable12[[#This Row],['# Initial]]</f>
        <v>0</v>
      </c>
      <c r="F434" s="121">
        <f>MouserListTable12[[#This Row],['#/Unit]]*FilterSpecs!$B$3+MouserListTable12[[#This Row],[Extra Initial]]</f>
        <v>0</v>
      </c>
      <c r="G434" s="103"/>
      <c r="H434" s="103"/>
      <c r="I434" s="126" t="s">
        <v>2184</v>
      </c>
      <c r="K434" s="172">
        <v>0.95</v>
      </c>
      <c r="L434" s="126" t="s">
        <v>1910</v>
      </c>
      <c r="N434" s="171">
        <f>MouserListTable12[[#This Row],['# Initial]]*MouserListTable12[[#This Row],[Price (USD)]]</f>
        <v>0</v>
      </c>
      <c r="O434" s="106" t="s">
        <v>2183</v>
      </c>
      <c r="P434" s="103">
        <f t="shared" si="11"/>
        <v>415</v>
      </c>
      <c r="Q434" s="103">
        <f>IF($D434=$O434,1,0)</f>
        <v>1</v>
      </c>
      <c r="R434" s="103" t="s">
        <v>1898</v>
      </c>
      <c r="S434" s="103" t="str">
        <f>_xlfn.IFS(MouserListTable12[[#This Row],[Supplier]]=FilterSpecs!$A$6, FilterSpecs!$B$6,MouserListTable12[[#This Row],[Supplier]]=FilterSpecs!$A$7,FilterSpecs!$B$7,MouserListTable12[[#This Row],[Supplier]]=FilterSpecs!$A$8,FilterSpecs!$B$8,MouserListTable12[[#This Row],[Supplier]]=FilterSpecs!$A$9,FilterSpecs!$B$9)</f>
        <v>485-</v>
      </c>
      <c r="T43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485-2822</v>
      </c>
      <c r="U434" s="121">
        <v>0</v>
      </c>
      <c r="V434" s="121">
        <v>0</v>
      </c>
      <c r="W434" s="121">
        <v>0</v>
      </c>
      <c r="X434" s="121">
        <f>MouserListTable12[[#This Row],['#/Unit]]*FilterSpecs!$C$3+MouserListTable12[[#This Row],[Extra]]</f>
        <v>0</v>
      </c>
      <c r="Y434" s="121">
        <f>IF(MouserListTable12[[#This Row],[Tag]]=FilterSpecs!$F$7,MouserListTable12[[#This Row],[Price (USD)]],0)</f>
        <v>0</v>
      </c>
      <c r="Z434" s="121">
        <f>MouserListTable12[[#This Row],[Tot '#]]*MouserListTable12[[#This Row],[Price (USD)]]</f>
        <v>0</v>
      </c>
    </row>
    <row r="435" spans="1:26" s="146" customFormat="1" x14ac:dyDescent="0.3">
      <c r="A435" s="103" t="s">
        <v>897</v>
      </c>
      <c r="B435" s="103" t="s">
        <v>1891</v>
      </c>
      <c r="C435" s="103" t="s">
        <v>1898</v>
      </c>
      <c r="D435" s="106" t="str">
        <f>IF(MouserListTable12[[#This Row],[Vendor]]=FilterSpecs!$A$8,MouserListTable12[[#This Row],[Mouser SKU]], MouserListTable12[[#This Row],[SKU2]])</f>
        <v>1539</v>
      </c>
      <c r="E435" s="121">
        <f>MouserListTable12[[#This Row],[Tot '#]]-MouserListTable12[[#This Row],['# Initial]]</f>
        <v>0</v>
      </c>
      <c r="F435" s="121">
        <f>MouserListTable12[[#This Row],['#/Unit]]*FilterSpecs!$B$3+MouserListTable12[[#This Row],[Extra Initial]]</f>
        <v>1</v>
      </c>
      <c r="G435" s="103"/>
      <c r="H435" s="103"/>
      <c r="I435" s="103" t="s">
        <v>2186</v>
      </c>
      <c r="K435" s="171">
        <v>7.5</v>
      </c>
      <c r="L435" s="103" t="s">
        <v>1910</v>
      </c>
      <c r="M435" s="106"/>
      <c r="N435" s="171">
        <f>MouserListTable12[[#This Row],['# Initial]]*MouserListTable12[[#This Row],[Price (USD)]]</f>
        <v>7.5</v>
      </c>
      <c r="O435" s="106" t="s">
        <v>2185</v>
      </c>
      <c r="P435" s="103">
        <f t="shared" si="11"/>
        <v>416</v>
      </c>
      <c r="Q435" s="103">
        <f>IF($D435=$O435,1,0)</f>
        <v>1</v>
      </c>
      <c r="R435" s="103" t="s">
        <v>1898</v>
      </c>
      <c r="S435" s="103" t="str">
        <f>_xlfn.IFS(MouserListTable12[[#This Row],[Supplier]]=FilterSpecs!$A$6, FilterSpecs!$B$6,MouserListTable12[[#This Row],[Supplier]]=FilterSpecs!$A$7,FilterSpecs!$B$7,MouserListTable12[[#This Row],[Supplier]]=FilterSpecs!$A$8,FilterSpecs!$B$8,MouserListTable12[[#This Row],[Supplier]]=FilterSpecs!$A$9,FilterSpecs!$B$9)</f>
        <v>485-</v>
      </c>
      <c r="T43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485-1539</v>
      </c>
      <c r="U435" s="121">
        <v>0</v>
      </c>
      <c r="V435" s="121">
        <v>1</v>
      </c>
      <c r="W435" s="121">
        <v>1</v>
      </c>
      <c r="X435" s="121">
        <f>MouserListTable12[[#This Row],['#/Unit]]*FilterSpecs!$C$3+MouserListTable12[[#This Row],[Extra]]</f>
        <v>1</v>
      </c>
      <c r="Y435" s="121">
        <f>IF(MouserListTable12[[#This Row],[Tag]]=FilterSpecs!$F$7,MouserListTable12[[#This Row],[Price (USD)]],0)</f>
        <v>0</v>
      </c>
      <c r="Z435" s="121">
        <f>MouserListTable12[[#This Row],[Tot '#]]*MouserListTable12[[#This Row],[Price (USD)]]</f>
        <v>7.5</v>
      </c>
    </row>
    <row r="436" spans="1:26" s="146" customFormat="1" x14ac:dyDescent="0.3">
      <c r="A436" s="103" t="s">
        <v>897</v>
      </c>
      <c r="B436" s="103" t="s">
        <v>1891</v>
      </c>
      <c r="C436" s="103" t="s">
        <v>1898</v>
      </c>
      <c r="D436" s="106" t="str">
        <f>IF(MouserListTable12[[#This Row],[Vendor]]=FilterSpecs!$A$8,MouserListTable12[[#This Row],[Mouser SKU]], MouserListTable12[[#This Row],[SKU2]])</f>
        <v>1541</v>
      </c>
      <c r="E436" s="121">
        <f>MouserListTable12[[#This Row],[Tot '#]]-MouserListTable12[[#This Row],['# Initial]]</f>
        <v>0</v>
      </c>
      <c r="F436" s="121">
        <f>MouserListTable12[[#This Row],['#/Unit]]*FilterSpecs!$B$3+MouserListTable12[[#This Row],[Extra Initial]]</f>
        <v>1</v>
      </c>
      <c r="G436" s="103"/>
      <c r="H436" s="103"/>
      <c r="I436" s="103" t="s">
        <v>2188</v>
      </c>
      <c r="K436" s="171">
        <v>5.95</v>
      </c>
      <c r="L436" s="103" t="s">
        <v>1910</v>
      </c>
      <c r="M436" s="106"/>
      <c r="N436" s="171">
        <f>MouserListTable12[[#This Row],['# Initial]]*MouserListTable12[[#This Row],[Price (USD)]]</f>
        <v>5.95</v>
      </c>
      <c r="O436" s="106" t="s">
        <v>2187</v>
      </c>
      <c r="P436" s="103">
        <f t="shared" si="11"/>
        <v>417</v>
      </c>
      <c r="Q436" s="103">
        <f>IF($D436=$O436,1,0)</f>
        <v>1</v>
      </c>
      <c r="R436" s="103" t="s">
        <v>1898</v>
      </c>
      <c r="S436" s="103" t="str">
        <f>_xlfn.IFS(MouserListTable12[[#This Row],[Supplier]]=FilterSpecs!$A$6, FilterSpecs!$B$6,MouserListTable12[[#This Row],[Supplier]]=FilterSpecs!$A$7,FilterSpecs!$B$7,MouserListTable12[[#This Row],[Supplier]]=FilterSpecs!$A$8,FilterSpecs!$B$8,MouserListTable12[[#This Row],[Supplier]]=FilterSpecs!$A$9,FilterSpecs!$B$9)</f>
        <v>485-</v>
      </c>
      <c r="T43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485-1541</v>
      </c>
      <c r="U436" s="121">
        <v>0</v>
      </c>
      <c r="V436" s="121">
        <v>1</v>
      </c>
      <c r="W436" s="121">
        <v>1</v>
      </c>
      <c r="X436" s="121">
        <f>MouserListTable12[[#This Row],['#/Unit]]*FilterSpecs!$C$3+MouserListTable12[[#This Row],[Extra]]</f>
        <v>1</v>
      </c>
      <c r="Y436" s="121">
        <f>IF(MouserListTable12[[#This Row],[Tag]]=FilterSpecs!$F$7,MouserListTable12[[#This Row],[Price (USD)]],0)</f>
        <v>0</v>
      </c>
      <c r="Z436" s="121">
        <f>MouserListTable12[[#This Row],[Tot '#]]*MouserListTable12[[#This Row],[Price (USD)]]</f>
        <v>5.95</v>
      </c>
    </row>
    <row r="437" spans="1:26" s="146" customFormat="1" hidden="1" x14ac:dyDescent="0.3">
      <c r="A437" s="126" t="s">
        <v>897</v>
      </c>
      <c r="B437" s="126" t="s">
        <v>1891</v>
      </c>
      <c r="C437" s="126" t="s">
        <v>8</v>
      </c>
      <c r="D437" s="106" t="str">
        <f>IF(MouserListTable12[[#This Row],[Vendor]]=FilterSpecs!$A$8,MouserListTable12[[#This Row],[Mouser SKU]], MouserListTable12[[#This Row],[SKU2]])</f>
        <v>COM-12792</v>
      </c>
      <c r="E437" s="121">
        <f>MouserListTable12[[#This Row],[Tot '#]]-MouserListTable12[[#This Row],['# Initial]]</f>
        <v>0</v>
      </c>
      <c r="F437" s="121">
        <f>MouserListTable12[[#This Row],['#/Unit]]*FilterSpecs!$B$3+MouserListTable12[[#This Row],[Extra Initial]]</f>
        <v>0</v>
      </c>
      <c r="G437" s="103" t="s">
        <v>764</v>
      </c>
      <c r="H437" s="103" t="s">
        <v>765</v>
      </c>
      <c r="I437" s="103" t="s">
        <v>766</v>
      </c>
      <c r="J437" s="103">
        <v>1</v>
      </c>
      <c r="K437" s="171">
        <v>1.95</v>
      </c>
      <c r="L437" s="103" t="s">
        <v>1910</v>
      </c>
      <c r="M437" s="103"/>
      <c r="N437" s="171">
        <f>MouserListTable12[[#This Row],['# Initial]]*MouserListTable12[[#This Row],[Price (USD)]]</f>
        <v>0</v>
      </c>
      <c r="O437" s="106" t="s">
        <v>763</v>
      </c>
      <c r="P437" s="103">
        <f t="shared" si="11"/>
        <v>418</v>
      </c>
      <c r="Q437" s="103">
        <f>IF($D437=$O437,1,0)</f>
        <v>1</v>
      </c>
      <c r="R437" s="103" t="s">
        <v>8</v>
      </c>
      <c r="S437" s="103" t="str">
        <f>_xlfn.IFS(MouserListTable12[[#This Row],[Supplier]]=FilterSpecs!$A$6, FilterSpecs!$B$6,MouserListTable12[[#This Row],[Supplier]]=FilterSpecs!$A$7,FilterSpecs!$B$7,MouserListTable12[[#This Row],[Supplier]]=FilterSpecs!$A$8,FilterSpecs!$B$8,MouserListTable12[[#This Row],[Supplier]]=FilterSpecs!$A$9,FilterSpecs!$B$9)</f>
        <v>474-</v>
      </c>
      <c r="T43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474-COM-12792</v>
      </c>
      <c r="U437" s="121">
        <v>0</v>
      </c>
      <c r="V437" s="121">
        <v>0</v>
      </c>
      <c r="W437" s="121">
        <v>0</v>
      </c>
      <c r="X437" s="121">
        <f>MouserListTable12[[#This Row],['#/Unit]]*FilterSpecs!$C$3+MouserListTable12[[#This Row],[Extra]]</f>
        <v>0</v>
      </c>
      <c r="Y437" s="121">
        <f>IF(MouserListTable12[[#This Row],[Tag]]=FilterSpecs!$F$7,MouserListTable12[[#This Row],[Price (USD)]],0)</f>
        <v>0</v>
      </c>
      <c r="Z437" s="121">
        <f>MouserListTable12[[#This Row],[Tot '#]]*MouserListTable12[[#This Row],[Price (USD)]]</f>
        <v>0</v>
      </c>
    </row>
    <row r="438" spans="1:26" s="146" customFormat="1" hidden="1" x14ac:dyDescent="0.3">
      <c r="A438" s="126" t="s">
        <v>897</v>
      </c>
      <c r="B438" s="126" t="s">
        <v>1891</v>
      </c>
      <c r="C438" s="126" t="s">
        <v>8</v>
      </c>
      <c r="D438" s="106" t="str">
        <f>IF(MouserListTable12[[#This Row],[Vendor]]=FilterSpecs!$A$8,MouserListTable12[[#This Row],[Mouser SKU]], MouserListTable12[[#This Row],[SKU2]])</f>
        <v>COM-10095</v>
      </c>
      <c r="E438" s="121">
        <f>MouserListTable12[[#This Row],[Tot '#]]-MouserListTable12[[#This Row],['# Initial]]</f>
        <v>0</v>
      </c>
      <c r="F438" s="121">
        <f>MouserListTable12[[#This Row],['#/Unit]]*FilterSpecs!$B$3+MouserListTable12[[#This Row],[Extra Initial]]</f>
        <v>0</v>
      </c>
      <c r="G438" s="103" t="s">
        <v>1305</v>
      </c>
      <c r="H438" s="103" t="s">
        <v>1306</v>
      </c>
      <c r="I438" s="103" t="s">
        <v>1307</v>
      </c>
      <c r="J438" s="103">
        <v>1</v>
      </c>
      <c r="K438" s="171">
        <v>4.95</v>
      </c>
      <c r="L438" s="103" t="s">
        <v>1910</v>
      </c>
      <c r="M438" s="103"/>
      <c r="N438" s="171">
        <f>MouserListTable12[[#This Row],['# Initial]]*MouserListTable12[[#This Row],[Price (USD)]]</f>
        <v>0</v>
      </c>
      <c r="O438" s="106" t="s">
        <v>1304</v>
      </c>
      <c r="P438" s="103">
        <f t="shared" si="11"/>
        <v>419</v>
      </c>
      <c r="Q438" s="103">
        <f>IF($D438=$O438,1,0)</f>
        <v>1</v>
      </c>
      <c r="R438" s="103" t="s">
        <v>8</v>
      </c>
      <c r="S438" s="103" t="str">
        <f>_xlfn.IFS(MouserListTable12[[#This Row],[Supplier]]=FilterSpecs!$A$6, FilterSpecs!$B$6,MouserListTable12[[#This Row],[Supplier]]=FilterSpecs!$A$7,FilterSpecs!$B$7,MouserListTable12[[#This Row],[Supplier]]=FilterSpecs!$A$8,FilterSpecs!$B$8,MouserListTable12[[#This Row],[Supplier]]=FilterSpecs!$A$9,FilterSpecs!$B$9)</f>
        <v>474-</v>
      </c>
      <c r="T43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474-COM-10095</v>
      </c>
      <c r="U438" s="121">
        <v>0</v>
      </c>
      <c r="V438" s="121">
        <v>0</v>
      </c>
      <c r="W438" s="121">
        <v>0</v>
      </c>
      <c r="X438" s="121">
        <f>MouserListTable12[[#This Row],['#/Unit]]*FilterSpecs!$C$3+MouserListTable12[[#This Row],[Extra]]</f>
        <v>0</v>
      </c>
      <c r="Y438" s="121">
        <f>IF(MouserListTable12[[#This Row],[Tag]]=FilterSpecs!$F$7,MouserListTable12[[#This Row],[Price (USD)]],0)</f>
        <v>0</v>
      </c>
      <c r="Z438" s="121">
        <f>MouserListTable12[[#This Row],[Tot '#]]*MouserListTable12[[#This Row],[Price (USD)]]</f>
        <v>0</v>
      </c>
    </row>
    <row r="439" spans="1:26" s="146" customFormat="1" hidden="1" x14ac:dyDescent="0.3">
      <c r="A439" s="126" t="s">
        <v>897</v>
      </c>
      <c r="B439" s="126" t="s">
        <v>1891</v>
      </c>
      <c r="C439" s="126" t="s">
        <v>8</v>
      </c>
      <c r="D439" s="106" t="str">
        <f>IF(MouserListTable12[[#This Row],[Vendor]]=FilterSpecs!$A$8,MouserListTable12[[#This Row],[Mouser SKU]], MouserListTable12[[#This Row],[SKU2]])</f>
        <v>PRT-10112</v>
      </c>
      <c r="E439" s="121">
        <f>MouserListTable12[[#This Row],[Tot '#]]-MouserListTable12[[#This Row],['# Initial]]</f>
        <v>0</v>
      </c>
      <c r="F439" s="121">
        <f>MouserListTable12[[#This Row],['#/Unit]]*FilterSpecs!$B$3+MouserListTable12[[#This Row],[Extra Initial]]</f>
        <v>0</v>
      </c>
      <c r="G439" s="103" t="s">
        <v>784</v>
      </c>
      <c r="H439" s="103" t="s">
        <v>785</v>
      </c>
      <c r="I439" s="103" t="s">
        <v>786</v>
      </c>
      <c r="J439" s="103">
        <v>1</v>
      </c>
      <c r="K439" s="171">
        <v>0.95</v>
      </c>
      <c r="L439" s="103" t="s">
        <v>1910</v>
      </c>
      <c r="M439" s="103"/>
      <c r="N439" s="171">
        <f>MouserListTable12[[#This Row],['# Initial]]*MouserListTable12[[#This Row],[Price (USD)]]</f>
        <v>0</v>
      </c>
      <c r="O439" s="106" t="s">
        <v>783</v>
      </c>
      <c r="P439" s="103">
        <f t="shared" si="11"/>
        <v>420</v>
      </c>
      <c r="Q439" s="103">
        <f>IF($D439=$O439,1,0)</f>
        <v>1</v>
      </c>
      <c r="R439" s="103" t="s">
        <v>8</v>
      </c>
      <c r="S439" s="103" t="str">
        <f>_xlfn.IFS(MouserListTable12[[#This Row],[Supplier]]=FilterSpecs!$A$6, FilterSpecs!$B$6,MouserListTable12[[#This Row],[Supplier]]=FilterSpecs!$A$7,FilterSpecs!$B$7,MouserListTable12[[#This Row],[Supplier]]=FilterSpecs!$A$8,FilterSpecs!$B$8,MouserListTable12[[#This Row],[Supplier]]=FilterSpecs!$A$9,FilterSpecs!$B$9)</f>
        <v>474-</v>
      </c>
      <c r="T43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474-PRT-10112</v>
      </c>
      <c r="U439" s="121">
        <v>0</v>
      </c>
      <c r="V439" s="121">
        <v>0</v>
      </c>
      <c r="W439" s="121">
        <v>0</v>
      </c>
      <c r="X439" s="121">
        <f>MouserListTable12[[#This Row],['#/Unit]]*FilterSpecs!$C$3+MouserListTable12[[#This Row],[Extra]]</f>
        <v>0</v>
      </c>
      <c r="Y439" s="121">
        <f>IF(MouserListTable12[[#This Row],[Tag]]=FilterSpecs!$F$7,MouserListTable12[[#This Row],[Price (USD)]],0)</f>
        <v>0</v>
      </c>
      <c r="Z439" s="121">
        <f>MouserListTable12[[#This Row],[Tot '#]]*MouserListTable12[[#This Row],[Price (USD)]]</f>
        <v>0</v>
      </c>
    </row>
    <row r="440" spans="1:26" s="146" customFormat="1" x14ac:dyDescent="0.3">
      <c r="A440" s="103" t="s">
        <v>897</v>
      </c>
      <c r="B440" s="103" t="s">
        <v>1891</v>
      </c>
      <c r="C440" s="103" t="s">
        <v>1898</v>
      </c>
      <c r="D440" s="106" t="str">
        <f>IF(MouserListTable12[[#This Row],[Vendor]]=FilterSpecs!$A$8,MouserListTable12[[#This Row],[Mouser SKU]], MouserListTable12[[#This Row],[SKU2]])</f>
        <v>2671</v>
      </c>
      <c r="E440" s="121">
        <f>MouserListTable12[[#This Row],[Tot '#]]-MouserListTable12[[#This Row],['# Initial]]</f>
        <v>0</v>
      </c>
      <c r="F440" s="121">
        <f>MouserListTable12[[#This Row],['#/Unit]]*FilterSpecs!$B$3+MouserListTable12[[#This Row],[Extra Initial]]</f>
        <v>1</v>
      </c>
      <c r="G440" s="103"/>
      <c r="H440" s="103"/>
      <c r="I440" s="103" t="s">
        <v>2180</v>
      </c>
      <c r="K440" s="171">
        <v>2.95</v>
      </c>
      <c r="L440" s="103" t="s">
        <v>1910</v>
      </c>
      <c r="M440" s="106"/>
      <c r="N440" s="171">
        <f>MouserListTable12[[#This Row],['# Initial]]*MouserListTable12[[#This Row],[Price (USD)]]</f>
        <v>2.95</v>
      </c>
      <c r="O440" s="106" t="s">
        <v>2179</v>
      </c>
      <c r="P440" s="103">
        <f t="shared" si="11"/>
        <v>421</v>
      </c>
      <c r="Q440" s="103">
        <f>IF($D440=$O440,1,0)</f>
        <v>1</v>
      </c>
      <c r="R440" s="103" t="s">
        <v>1898</v>
      </c>
      <c r="S440" s="103" t="str">
        <f>_xlfn.IFS(MouserListTable12[[#This Row],[Supplier]]=FilterSpecs!$A$6, FilterSpecs!$B$6,MouserListTable12[[#This Row],[Supplier]]=FilterSpecs!$A$7,FilterSpecs!$B$7,MouserListTable12[[#This Row],[Supplier]]=FilterSpecs!$A$8,FilterSpecs!$B$8,MouserListTable12[[#This Row],[Supplier]]=FilterSpecs!$A$9,FilterSpecs!$B$9)</f>
        <v>485-</v>
      </c>
      <c r="T44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485-2671</v>
      </c>
      <c r="U440" s="121">
        <v>0</v>
      </c>
      <c r="V440" s="121">
        <v>1</v>
      </c>
      <c r="W440" s="121">
        <v>1</v>
      </c>
      <c r="X440" s="121">
        <f>MouserListTable12[[#This Row],['#/Unit]]*FilterSpecs!$C$3+MouserListTable12[[#This Row],[Extra]]</f>
        <v>1</v>
      </c>
      <c r="Y440" s="121">
        <f>IF(MouserListTable12[[#This Row],[Tag]]=FilterSpecs!$F$7,MouserListTable12[[#This Row],[Price (USD)]],0)</f>
        <v>0</v>
      </c>
      <c r="Z440" s="121">
        <f>MouserListTable12[[#This Row],[Tot '#]]*MouserListTable12[[#This Row],[Price (USD)]]</f>
        <v>2.95</v>
      </c>
    </row>
    <row r="441" spans="1:26" s="146" customFormat="1" hidden="1" x14ac:dyDescent="0.3">
      <c r="A441" s="103" t="s">
        <v>897</v>
      </c>
      <c r="B441" s="103" t="s">
        <v>1892</v>
      </c>
      <c r="C441" s="103" t="s">
        <v>1898</v>
      </c>
      <c r="D441" s="106" t="str">
        <f>IF(MouserListTable12[[#This Row],[Vendor]]=FilterSpecs!$A$8,MouserListTable12[[#This Row],[Mouser SKU]], MouserListTable12[[#This Row],[SKU2]])</f>
        <v>2886</v>
      </c>
      <c r="E441" s="121">
        <f>MouserListTable12[[#This Row],[Tot '#]]-MouserListTable12[[#This Row],['# Initial]]</f>
        <v>0</v>
      </c>
      <c r="F441" s="121">
        <f>MouserListTable12[[#This Row],['#/Unit]]*FilterSpecs!$B$3+MouserListTable12[[#This Row],[Extra Initial]]</f>
        <v>0</v>
      </c>
      <c r="G441" s="103"/>
      <c r="H441" s="103"/>
      <c r="I441" s="126" t="s">
        <v>2178</v>
      </c>
      <c r="K441" s="172">
        <v>0.95</v>
      </c>
      <c r="L441" s="126" t="s">
        <v>1910</v>
      </c>
      <c r="N441" s="171">
        <f>MouserListTable12[[#This Row],['# Initial]]*MouserListTable12[[#This Row],[Price (USD)]]</f>
        <v>0</v>
      </c>
      <c r="O441" s="106" t="s">
        <v>2177</v>
      </c>
      <c r="P441" s="103">
        <f t="shared" si="11"/>
        <v>422</v>
      </c>
      <c r="Q441" s="103">
        <f>IF($D441=$O441,1,0)</f>
        <v>1</v>
      </c>
      <c r="R441" s="103" t="s">
        <v>1898</v>
      </c>
      <c r="S441" s="103" t="str">
        <f>_xlfn.IFS(MouserListTable12[[#This Row],[Supplier]]=FilterSpecs!$A$6, FilterSpecs!$B$6,MouserListTable12[[#This Row],[Supplier]]=FilterSpecs!$A$7,FilterSpecs!$B$7,MouserListTable12[[#This Row],[Supplier]]=FilterSpecs!$A$8,FilterSpecs!$B$8,MouserListTable12[[#This Row],[Supplier]]=FilterSpecs!$A$9,FilterSpecs!$B$9)</f>
        <v>485-</v>
      </c>
      <c r="T44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485-2886</v>
      </c>
      <c r="U441" s="121">
        <v>0</v>
      </c>
      <c r="V441" s="121">
        <v>0</v>
      </c>
      <c r="W441" s="121">
        <v>0</v>
      </c>
      <c r="X441" s="121">
        <f>MouserListTable12[[#This Row],['#/Unit]]*FilterSpecs!$C$3+MouserListTable12[[#This Row],[Extra]]</f>
        <v>0</v>
      </c>
      <c r="Y441" s="121">
        <f>IF(MouserListTable12[[#This Row],[Tag]]=FilterSpecs!$F$7,MouserListTable12[[#This Row],[Price (USD)]],0)</f>
        <v>0</v>
      </c>
      <c r="Z441" s="121">
        <f>MouserListTable12[[#This Row],[Tot '#]]*MouserListTable12[[#This Row],[Price (USD)]]</f>
        <v>0</v>
      </c>
    </row>
    <row r="442" spans="1:26" s="146" customFormat="1" x14ac:dyDescent="0.3">
      <c r="A442" s="103" t="s">
        <v>897</v>
      </c>
      <c r="B442" s="103" t="s">
        <v>1892</v>
      </c>
      <c r="C442" s="103" t="s">
        <v>1898</v>
      </c>
      <c r="D442" s="106" t="str">
        <f>IF(MouserListTable12[[#This Row],[Vendor]]=FilterSpecs!$A$8,MouserListTable12[[#This Row],[Mouser SKU]], MouserListTable12[[#This Row],[SKU2]])</f>
        <v>598</v>
      </c>
      <c r="E442" s="121">
        <f>MouserListTable12[[#This Row],[Tot '#]]-MouserListTable12[[#This Row],['# Initial]]</f>
        <v>0</v>
      </c>
      <c r="F442" s="121">
        <f>MouserListTable12[[#This Row],['#/Unit]]*FilterSpecs!$B$3+MouserListTable12[[#This Row],[Extra Initial]]</f>
        <v>1</v>
      </c>
      <c r="G442" s="103"/>
      <c r="H442" s="103"/>
      <c r="I442" s="103" t="s">
        <v>2172</v>
      </c>
      <c r="K442" s="171">
        <v>2.95</v>
      </c>
      <c r="L442" s="103" t="s">
        <v>1910</v>
      </c>
      <c r="M442" s="106"/>
      <c r="N442" s="171">
        <f>MouserListTable12[[#This Row],['# Initial]]*MouserListTable12[[#This Row],[Price (USD)]]</f>
        <v>2.95</v>
      </c>
      <c r="O442" s="106" t="s">
        <v>2171</v>
      </c>
      <c r="P442" s="103">
        <f t="shared" si="11"/>
        <v>423</v>
      </c>
      <c r="Q442" s="103">
        <f>IF($D442=$O442,1,0)</f>
        <v>1</v>
      </c>
      <c r="R442" s="103" t="s">
        <v>1898</v>
      </c>
      <c r="S442" s="103" t="str">
        <f>_xlfn.IFS(MouserListTable12[[#This Row],[Supplier]]=FilterSpecs!$A$6, FilterSpecs!$B$6,MouserListTable12[[#This Row],[Supplier]]=FilterSpecs!$A$7,FilterSpecs!$B$7,MouserListTable12[[#This Row],[Supplier]]=FilterSpecs!$A$8,FilterSpecs!$B$8,MouserListTable12[[#This Row],[Supplier]]=FilterSpecs!$A$9,FilterSpecs!$B$9)</f>
        <v>485-</v>
      </c>
      <c r="T44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485-598</v>
      </c>
      <c r="U442" s="121">
        <v>0</v>
      </c>
      <c r="V442" s="121">
        <v>1</v>
      </c>
      <c r="W442" s="121">
        <v>1</v>
      </c>
      <c r="X442" s="121">
        <f>MouserListTable12[[#This Row],['#/Unit]]*FilterSpecs!$C$3+MouserListTable12[[#This Row],[Extra]]</f>
        <v>1</v>
      </c>
      <c r="Y442" s="121">
        <f>IF(MouserListTable12[[#This Row],[Tag]]=FilterSpecs!$F$7,MouserListTable12[[#This Row],[Price (USD)]],0)</f>
        <v>0</v>
      </c>
      <c r="Z442" s="121">
        <f>MouserListTable12[[#This Row],[Tot '#]]*MouserListTable12[[#This Row],[Price (USD)]]</f>
        <v>2.95</v>
      </c>
    </row>
    <row r="443" spans="1:26" s="146" customFormat="1" x14ac:dyDescent="0.3">
      <c r="A443" s="103" t="s">
        <v>897</v>
      </c>
      <c r="B443" s="103" t="s">
        <v>1892</v>
      </c>
      <c r="C443" s="103" t="s">
        <v>1898</v>
      </c>
      <c r="D443" s="106" t="str">
        <f>IF(MouserListTable12[[#This Row],[Vendor]]=FilterSpecs!$A$8,MouserListTable12[[#This Row],[Mouser SKU]], MouserListTable12[[#This Row],[SKU2]])</f>
        <v>3008</v>
      </c>
      <c r="E443" s="121">
        <f>MouserListTable12[[#This Row],[Tot '#]]-MouserListTable12[[#This Row],['# Initial]]</f>
        <v>0</v>
      </c>
      <c r="F443" s="121">
        <f>MouserListTable12[[#This Row],['#/Unit]]*FilterSpecs!$B$3+MouserListTable12[[#This Row],[Extra Initial]]</f>
        <v>1</v>
      </c>
      <c r="G443" s="103"/>
      <c r="H443" s="103"/>
      <c r="I443" s="103" t="s">
        <v>2174</v>
      </c>
      <c r="K443" s="171">
        <v>7.95</v>
      </c>
      <c r="L443" s="103" t="s">
        <v>1910</v>
      </c>
      <c r="M443" s="106"/>
      <c r="N443" s="171">
        <f>MouserListTable12[[#This Row],['# Initial]]*MouserListTable12[[#This Row],[Price (USD)]]</f>
        <v>7.95</v>
      </c>
      <c r="O443" s="106" t="s">
        <v>2173</v>
      </c>
      <c r="P443" s="103">
        <f t="shared" si="11"/>
        <v>424</v>
      </c>
      <c r="Q443" s="103">
        <f>IF($D443=$O443,1,0)</f>
        <v>1</v>
      </c>
      <c r="R443" s="103" t="s">
        <v>1898</v>
      </c>
      <c r="S443" s="103" t="str">
        <f>_xlfn.IFS(MouserListTable12[[#This Row],[Supplier]]=FilterSpecs!$A$6, FilterSpecs!$B$6,MouserListTable12[[#This Row],[Supplier]]=FilterSpecs!$A$7,FilterSpecs!$B$7,MouserListTable12[[#This Row],[Supplier]]=FilterSpecs!$A$8,FilterSpecs!$B$8,MouserListTable12[[#This Row],[Supplier]]=FilterSpecs!$A$9,FilterSpecs!$B$9)</f>
        <v>485-</v>
      </c>
      <c r="T44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485-3008</v>
      </c>
      <c r="U443" s="121">
        <v>0</v>
      </c>
      <c r="V443" s="121">
        <v>1</v>
      </c>
      <c r="W443" s="121">
        <v>1</v>
      </c>
      <c r="X443" s="121">
        <f>MouserListTable12[[#This Row],['#/Unit]]*FilterSpecs!$C$3+MouserListTable12[[#This Row],[Extra]]</f>
        <v>1</v>
      </c>
      <c r="Y443" s="121">
        <f>IF(MouserListTable12[[#This Row],[Tag]]=FilterSpecs!$F$7,MouserListTable12[[#This Row],[Price (USD)]],0)</f>
        <v>0</v>
      </c>
      <c r="Z443" s="121">
        <f>MouserListTable12[[#This Row],[Tot '#]]*MouserListTable12[[#This Row],[Price (USD)]]</f>
        <v>7.95</v>
      </c>
    </row>
    <row r="444" spans="1:26" s="146" customFormat="1" x14ac:dyDescent="0.3">
      <c r="A444" s="103" t="s">
        <v>897</v>
      </c>
      <c r="B444" s="103" t="s">
        <v>1892</v>
      </c>
      <c r="C444" s="103" t="s">
        <v>1898</v>
      </c>
      <c r="D444" s="106" t="str">
        <f>IF(MouserListTable12[[#This Row],[Vendor]]=FilterSpecs!$A$8,MouserListTable12[[#This Row],[Mouser SKU]], MouserListTable12[[#This Row],[SKU2]])</f>
        <v>1542</v>
      </c>
      <c r="E444" s="121">
        <f>MouserListTable12[[#This Row],[Tot '#]]-MouserListTable12[[#This Row],['# Initial]]</f>
        <v>0</v>
      </c>
      <c r="F444" s="121">
        <f>MouserListTable12[[#This Row],['#/Unit]]*FilterSpecs!$B$3+MouserListTable12[[#This Row],[Extra Initial]]</f>
        <v>1</v>
      </c>
      <c r="G444" s="103"/>
      <c r="H444" s="103"/>
      <c r="I444" s="103" t="s">
        <v>2164</v>
      </c>
      <c r="K444" s="171">
        <v>4.95</v>
      </c>
      <c r="L444" s="103" t="s">
        <v>1910</v>
      </c>
      <c r="M444" s="106"/>
      <c r="N444" s="171">
        <f>MouserListTable12[[#This Row],['# Initial]]*MouserListTable12[[#This Row],[Price (USD)]]</f>
        <v>4.95</v>
      </c>
      <c r="O444" s="106" t="s">
        <v>2163</v>
      </c>
      <c r="P444" s="103">
        <f t="shared" si="11"/>
        <v>425</v>
      </c>
      <c r="Q444" s="103">
        <f>IF($D444=$O444,1,0)</f>
        <v>1</v>
      </c>
      <c r="R444" s="103" t="s">
        <v>1898</v>
      </c>
      <c r="S444" s="103" t="str">
        <f>_xlfn.IFS(MouserListTable12[[#This Row],[Supplier]]=FilterSpecs!$A$6, FilterSpecs!$B$6,MouserListTable12[[#This Row],[Supplier]]=FilterSpecs!$A$7,FilterSpecs!$B$7,MouserListTable12[[#This Row],[Supplier]]=FilterSpecs!$A$8,FilterSpecs!$B$8,MouserListTable12[[#This Row],[Supplier]]=FilterSpecs!$A$9,FilterSpecs!$B$9)</f>
        <v>485-</v>
      </c>
      <c r="T44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485-1542</v>
      </c>
      <c r="U444" s="121">
        <v>0</v>
      </c>
      <c r="V444" s="121">
        <v>1</v>
      </c>
      <c r="W444" s="121">
        <v>1</v>
      </c>
      <c r="X444" s="121">
        <f>MouserListTable12[[#This Row],['#/Unit]]*FilterSpecs!$C$3+MouserListTable12[[#This Row],[Extra]]</f>
        <v>1</v>
      </c>
      <c r="Y444" s="121">
        <f>IF(MouserListTable12[[#This Row],[Tag]]=FilterSpecs!$F$7,MouserListTable12[[#This Row],[Price (USD)]],0)</f>
        <v>0</v>
      </c>
      <c r="Z444" s="121">
        <f>MouserListTable12[[#This Row],[Tot '#]]*MouserListTable12[[#This Row],[Price (USD)]]</f>
        <v>4.95</v>
      </c>
    </row>
    <row r="445" spans="1:26" s="146" customFormat="1" x14ac:dyDescent="0.3">
      <c r="A445" s="103" t="s">
        <v>897</v>
      </c>
      <c r="B445" s="103" t="s">
        <v>1892</v>
      </c>
      <c r="C445" s="103" t="s">
        <v>1898</v>
      </c>
      <c r="D445" s="106" t="str">
        <f>IF(MouserListTable12[[#This Row],[Vendor]]=FilterSpecs!$A$8,MouserListTable12[[#This Row],[Mouser SKU]], MouserListTable12[[#This Row],[SKU2]])</f>
        <v>1544</v>
      </c>
      <c r="E445" s="121">
        <f>MouserListTable12[[#This Row],[Tot '#]]-MouserListTable12[[#This Row],['# Initial]]</f>
        <v>0</v>
      </c>
      <c r="F445" s="121">
        <f>MouserListTable12[[#This Row],['#/Unit]]*FilterSpecs!$B$3+MouserListTable12[[#This Row],[Extra Initial]]</f>
        <v>1</v>
      </c>
      <c r="G445" s="103"/>
      <c r="H445" s="103"/>
      <c r="I445" s="103" t="s">
        <v>2162</v>
      </c>
      <c r="K445" s="171">
        <v>5.95</v>
      </c>
      <c r="L445" s="103" t="s">
        <v>1910</v>
      </c>
      <c r="M445" s="106"/>
      <c r="N445" s="171">
        <f>MouserListTable12[[#This Row],['# Initial]]*MouserListTable12[[#This Row],[Price (USD)]]</f>
        <v>5.95</v>
      </c>
      <c r="O445" s="106" t="s">
        <v>2161</v>
      </c>
      <c r="P445" s="103">
        <f t="shared" si="11"/>
        <v>426</v>
      </c>
      <c r="Q445" s="103">
        <f>IF($D445=$O445,1,0)</f>
        <v>1</v>
      </c>
      <c r="R445" s="103" t="s">
        <v>1898</v>
      </c>
      <c r="S445" s="103" t="str">
        <f>_xlfn.IFS(MouserListTable12[[#This Row],[Supplier]]=FilterSpecs!$A$6, FilterSpecs!$B$6,MouserListTable12[[#This Row],[Supplier]]=FilterSpecs!$A$7,FilterSpecs!$B$7,MouserListTable12[[#This Row],[Supplier]]=FilterSpecs!$A$8,FilterSpecs!$B$8,MouserListTable12[[#This Row],[Supplier]]=FilterSpecs!$A$9,FilterSpecs!$B$9)</f>
        <v>485-</v>
      </c>
      <c r="T44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485-1544</v>
      </c>
      <c r="U445" s="121">
        <v>0</v>
      </c>
      <c r="V445" s="121">
        <v>1</v>
      </c>
      <c r="W445" s="121">
        <v>1</v>
      </c>
      <c r="X445" s="121">
        <f>MouserListTable12[[#This Row],['#/Unit]]*FilterSpecs!$C$3+MouserListTable12[[#This Row],[Extra]]</f>
        <v>1</v>
      </c>
      <c r="Y445" s="121">
        <f>IF(MouserListTable12[[#This Row],[Tag]]=FilterSpecs!$F$7,MouserListTable12[[#This Row],[Price (USD)]],0)</f>
        <v>0</v>
      </c>
      <c r="Z445" s="121">
        <f>MouserListTable12[[#This Row],[Tot '#]]*MouserListTable12[[#This Row],[Price (USD)]]</f>
        <v>5.95</v>
      </c>
    </row>
    <row r="446" spans="1:26" s="146" customFormat="1" hidden="1" x14ac:dyDescent="0.3">
      <c r="A446" s="103" t="s">
        <v>897</v>
      </c>
      <c r="B446" s="103" t="s">
        <v>1892</v>
      </c>
      <c r="C446" s="103" t="s">
        <v>1898</v>
      </c>
      <c r="D446" s="106" t="str">
        <f>IF(MouserListTable12[[#This Row],[Vendor]]=FilterSpecs!$A$8,MouserListTable12[[#This Row],[Mouser SKU]], MouserListTable12[[#This Row],[SKU2]])</f>
        <v>2823</v>
      </c>
      <c r="E446" s="121">
        <f>MouserListTable12[[#This Row],[Tot '#]]-MouserListTable12[[#This Row],['# Initial]]</f>
        <v>0</v>
      </c>
      <c r="F446" s="121">
        <f>MouserListTable12[[#This Row],['#/Unit]]*FilterSpecs!$B$3+MouserListTable12[[#This Row],[Extra Initial]]</f>
        <v>0</v>
      </c>
      <c r="G446" s="103"/>
      <c r="H446" s="103"/>
      <c r="I446" s="126" t="s">
        <v>2158</v>
      </c>
      <c r="K446" s="172">
        <v>1.5</v>
      </c>
      <c r="L446" s="126" t="s">
        <v>1910</v>
      </c>
      <c r="N446" s="171">
        <f>MouserListTable12[[#This Row],['# Initial]]*MouserListTable12[[#This Row],[Price (USD)]]</f>
        <v>0</v>
      </c>
      <c r="O446" s="106" t="s">
        <v>2157</v>
      </c>
      <c r="P446" s="103">
        <f t="shared" si="11"/>
        <v>427</v>
      </c>
      <c r="Q446" s="103">
        <f>IF($D446=$O446,1,0)</f>
        <v>1</v>
      </c>
      <c r="R446" s="103" t="s">
        <v>1898</v>
      </c>
      <c r="S446" s="103" t="str">
        <f>_xlfn.IFS(MouserListTable12[[#This Row],[Supplier]]=FilterSpecs!$A$6, FilterSpecs!$B$6,MouserListTable12[[#This Row],[Supplier]]=FilterSpecs!$A$7,FilterSpecs!$B$7,MouserListTable12[[#This Row],[Supplier]]=FilterSpecs!$A$8,FilterSpecs!$B$8,MouserListTable12[[#This Row],[Supplier]]=FilterSpecs!$A$9,FilterSpecs!$B$9)</f>
        <v>485-</v>
      </c>
      <c r="T44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485-2823</v>
      </c>
      <c r="U446" s="121">
        <v>0</v>
      </c>
      <c r="V446" s="121">
        <v>0</v>
      </c>
      <c r="W446" s="121">
        <v>0</v>
      </c>
      <c r="X446" s="121">
        <f>MouserListTable12[[#This Row],['#/Unit]]*FilterSpecs!$C$3+MouserListTable12[[#This Row],[Extra]]</f>
        <v>0</v>
      </c>
      <c r="Y446" s="121">
        <f>IF(MouserListTable12[[#This Row],[Tag]]=FilterSpecs!$F$7,MouserListTable12[[#This Row],[Price (USD)]],0)</f>
        <v>0</v>
      </c>
      <c r="Z446" s="121">
        <f>MouserListTable12[[#This Row],[Tot '#]]*MouserListTable12[[#This Row],[Price (USD)]]</f>
        <v>0</v>
      </c>
    </row>
    <row r="447" spans="1:26" s="146" customFormat="1" x14ac:dyDescent="0.3">
      <c r="A447" s="103" t="s">
        <v>897</v>
      </c>
      <c r="B447" s="103" t="s">
        <v>1892</v>
      </c>
      <c r="C447" s="103" t="s">
        <v>1898</v>
      </c>
      <c r="D447" s="106" t="str">
        <f>IF(MouserListTable12[[#This Row],[Vendor]]=FilterSpecs!$A$8,MouserListTable12[[#This Row],[Mouser SKU]], MouserListTable12[[#This Row],[SKU2]])</f>
        <v>1543</v>
      </c>
      <c r="E447" s="121">
        <f>MouserListTable12[[#This Row],[Tot '#]]-MouserListTable12[[#This Row],['# Initial]]</f>
        <v>0</v>
      </c>
      <c r="F447" s="121">
        <f>MouserListTable12[[#This Row],['#/Unit]]*FilterSpecs!$B$3+MouserListTable12[[#This Row],[Extra Initial]]</f>
        <v>1</v>
      </c>
      <c r="G447" s="103"/>
      <c r="H447" s="103"/>
      <c r="I447" s="103" t="s">
        <v>2160</v>
      </c>
      <c r="K447" s="171">
        <v>7.95</v>
      </c>
      <c r="L447" s="103" t="s">
        <v>1910</v>
      </c>
      <c r="M447" s="106"/>
      <c r="N447" s="171">
        <f>MouserListTable12[[#This Row],['# Initial]]*MouserListTable12[[#This Row],[Price (USD)]]</f>
        <v>7.95</v>
      </c>
      <c r="O447" s="106" t="s">
        <v>2159</v>
      </c>
      <c r="P447" s="103">
        <f t="shared" si="11"/>
        <v>428</v>
      </c>
      <c r="Q447" s="103">
        <f>IF($D447=$O447,1,0)</f>
        <v>1</v>
      </c>
      <c r="R447" s="103" t="s">
        <v>1898</v>
      </c>
      <c r="S447" s="103" t="str">
        <f>_xlfn.IFS(MouserListTable12[[#This Row],[Supplier]]=FilterSpecs!$A$6, FilterSpecs!$B$6,MouserListTable12[[#This Row],[Supplier]]=FilterSpecs!$A$7,FilterSpecs!$B$7,MouserListTable12[[#This Row],[Supplier]]=FilterSpecs!$A$8,FilterSpecs!$B$8,MouserListTable12[[#This Row],[Supplier]]=FilterSpecs!$A$9,FilterSpecs!$B$9)</f>
        <v>485-</v>
      </c>
      <c r="T44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485-1543</v>
      </c>
      <c r="U447" s="121">
        <v>0</v>
      </c>
      <c r="V447" s="121">
        <v>1</v>
      </c>
      <c r="W447" s="121">
        <v>1</v>
      </c>
      <c r="X447" s="121">
        <f>MouserListTable12[[#This Row],['#/Unit]]*FilterSpecs!$C$3+MouserListTable12[[#This Row],[Extra]]</f>
        <v>1</v>
      </c>
      <c r="Y447" s="121">
        <f>IF(MouserListTable12[[#This Row],[Tag]]=FilterSpecs!$F$7,MouserListTable12[[#This Row],[Price (USD)]],0)</f>
        <v>0</v>
      </c>
      <c r="Z447" s="121">
        <f>MouserListTable12[[#This Row],[Tot '#]]*MouserListTable12[[#This Row],[Price (USD)]]</f>
        <v>7.95</v>
      </c>
    </row>
    <row r="448" spans="1:26" s="146" customFormat="1" hidden="1" x14ac:dyDescent="0.3">
      <c r="A448" s="103" t="s">
        <v>897</v>
      </c>
      <c r="B448" s="103" t="s">
        <v>1892</v>
      </c>
      <c r="C448" s="103" t="s">
        <v>1898</v>
      </c>
      <c r="D448" s="106" t="str">
        <f>IF(MouserListTable12[[#This Row],[Vendor]]=FilterSpecs!$A$8,MouserListTable12[[#This Row],[Mouser SKU]], MouserListTable12[[#This Row],[SKU2]])</f>
        <v>3342</v>
      </c>
      <c r="E448" s="121">
        <f>MouserListTable12[[#This Row],[Tot '#]]-MouserListTable12[[#This Row],['# Initial]]</f>
        <v>0</v>
      </c>
      <c r="F448" s="121">
        <f>MouserListTable12[[#This Row],['#/Unit]]*FilterSpecs!$B$3+MouserListTable12[[#This Row],[Extra Initial]]</f>
        <v>0</v>
      </c>
      <c r="G448" s="103"/>
      <c r="H448" s="103"/>
      <c r="I448" s="126" t="s">
        <v>2170</v>
      </c>
      <c r="K448" s="172">
        <v>0</v>
      </c>
      <c r="L448" s="126" t="s">
        <v>1910</v>
      </c>
      <c r="N448" s="171">
        <f>MouserListTable12[[#This Row],['# Initial]]*MouserListTable12[[#This Row],[Price (USD)]]</f>
        <v>0</v>
      </c>
      <c r="O448" s="106" t="s">
        <v>2169</v>
      </c>
      <c r="P448" s="103">
        <f t="shared" si="11"/>
        <v>429</v>
      </c>
      <c r="Q448" s="103">
        <f>IF($D448=$O448,1,0)</f>
        <v>1</v>
      </c>
      <c r="R448" s="103" t="s">
        <v>1898</v>
      </c>
      <c r="S448" s="103" t="str">
        <f>_xlfn.IFS(MouserListTable12[[#This Row],[Supplier]]=FilterSpecs!$A$6, FilterSpecs!$B$6,MouserListTable12[[#This Row],[Supplier]]=FilterSpecs!$A$7,FilterSpecs!$B$7,MouserListTable12[[#This Row],[Supplier]]=FilterSpecs!$A$8,FilterSpecs!$B$8,MouserListTable12[[#This Row],[Supplier]]=FilterSpecs!$A$9,FilterSpecs!$B$9)</f>
        <v>485-</v>
      </c>
      <c r="T44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485-3342</v>
      </c>
      <c r="U448" s="121">
        <v>0</v>
      </c>
      <c r="V448" s="121">
        <v>0</v>
      </c>
      <c r="W448" s="121">
        <v>0</v>
      </c>
      <c r="X448" s="121">
        <f>MouserListTable12[[#This Row],['#/Unit]]*FilterSpecs!$C$3+MouserListTable12[[#This Row],[Extra]]</f>
        <v>0</v>
      </c>
      <c r="Y448" s="121">
        <f>IF(MouserListTable12[[#This Row],[Tag]]=FilterSpecs!$F$7,MouserListTable12[[#This Row],[Price (USD)]],0)</f>
        <v>0</v>
      </c>
      <c r="Z448" s="121">
        <f>MouserListTable12[[#This Row],[Tot '#]]*MouserListTable12[[#This Row],[Price (USD)]]</f>
        <v>0</v>
      </c>
    </row>
    <row r="449" spans="1:26" s="146" customFormat="1" hidden="1" x14ac:dyDescent="0.3">
      <c r="A449" s="126" t="s">
        <v>897</v>
      </c>
      <c r="B449" s="126" t="s">
        <v>1892</v>
      </c>
      <c r="C449" s="126" t="s">
        <v>8</v>
      </c>
      <c r="D449" s="106" t="str">
        <f>IF(MouserListTable12[[#This Row],[Vendor]]=FilterSpecs!$A$8,MouserListTable12[[#This Row],[Mouser SKU]], MouserListTable12[[#This Row],[SKU2]])</f>
        <v>PRT-13010</v>
      </c>
      <c r="E449" s="121">
        <f>MouserListTable12[[#This Row],[Tot '#]]-MouserListTable12[[#This Row],['# Initial]]</f>
        <v>0</v>
      </c>
      <c r="F449" s="121">
        <f>MouserListTable12[[#This Row],['#/Unit]]*FilterSpecs!$B$3+MouserListTable12[[#This Row],[Extra Initial]]</f>
        <v>0</v>
      </c>
      <c r="G449" s="103" t="s">
        <v>768</v>
      </c>
      <c r="H449" s="103" t="s">
        <v>769</v>
      </c>
      <c r="I449" s="103" t="s">
        <v>770</v>
      </c>
      <c r="J449" s="103">
        <v>1</v>
      </c>
      <c r="K449" s="171">
        <v>0.5</v>
      </c>
      <c r="L449" s="103" t="s">
        <v>1910</v>
      </c>
      <c r="M449" s="103"/>
      <c r="N449" s="171">
        <f>MouserListTable12[[#This Row],['# Initial]]*MouserListTable12[[#This Row],[Price (USD)]]</f>
        <v>0</v>
      </c>
      <c r="O449" s="106" t="s">
        <v>767</v>
      </c>
      <c r="P449" s="103">
        <f t="shared" si="11"/>
        <v>430</v>
      </c>
      <c r="Q449" s="103">
        <f>IF($D449=$O449,1,0)</f>
        <v>1</v>
      </c>
      <c r="R449" s="103" t="s">
        <v>8</v>
      </c>
      <c r="S449" s="103" t="str">
        <f>_xlfn.IFS(MouserListTable12[[#This Row],[Supplier]]=FilterSpecs!$A$6, FilterSpecs!$B$6,MouserListTable12[[#This Row],[Supplier]]=FilterSpecs!$A$7,FilterSpecs!$B$7,MouserListTable12[[#This Row],[Supplier]]=FilterSpecs!$A$8,FilterSpecs!$B$8,MouserListTable12[[#This Row],[Supplier]]=FilterSpecs!$A$9,FilterSpecs!$B$9)</f>
        <v>474-</v>
      </c>
      <c r="T44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474-PRT-13010</v>
      </c>
      <c r="U449" s="121">
        <v>0</v>
      </c>
      <c r="V449" s="121">
        <v>0</v>
      </c>
      <c r="W449" s="121">
        <v>0</v>
      </c>
      <c r="X449" s="121">
        <f>MouserListTable12[[#This Row],['#/Unit]]*FilterSpecs!$C$3+MouserListTable12[[#This Row],[Extra]]</f>
        <v>0</v>
      </c>
      <c r="Y449" s="121">
        <f>IF(MouserListTable12[[#This Row],[Tag]]=FilterSpecs!$F$7,MouserListTable12[[#This Row],[Price (USD)]],0)</f>
        <v>0</v>
      </c>
      <c r="Z449" s="121">
        <f>MouserListTable12[[#This Row],[Tot '#]]*MouserListTable12[[#This Row],[Price (USD)]]</f>
        <v>0</v>
      </c>
    </row>
    <row r="450" spans="1:26" s="146" customFormat="1" x14ac:dyDescent="0.3">
      <c r="A450" s="103" t="s">
        <v>897</v>
      </c>
      <c r="B450" s="103" t="s">
        <v>1892</v>
      </c>
      <c r="C450" s="103" t="s">
        <v>8</v>
      </c>
      <c r="D450" s="106" t="str">
        <f>IF(MouserListTable12[[#This Row],[Vendor]]=FilterSpecs!$A$8,MouserListTable12[[#This Row],[Mouser SKU]], MouserListTable12[[#This Row],[SKU2]])</f>
        <v>PRT-10877</v>
      </c>
      <c r="E450" s="121">
        <f>MouserListTable12[[#This Row],[Tot '#]]-MouserListTable12[[#This Row],['# Initial]]</f>
        <v>5</v>
      </c>
      <c r="F450" s="121">
        <f>MouserListTable12[[#This Row],['#/Unit]]*FilterSpecs!$B$3+MouserListTable12[[#This Row],[Extra Initial]]</f>
        <v>5</v>
      </c>
      <c r="G450" s="103" t="s">
        <v>1536</v>
      </c>
      <c r="H450" s="103" t="s">
        <v>1537</v>
      </c>
      <c r="I450" s="103" t="s">
        <v>1538</v>
      </c>
      <c r="J450" s="103">
        <v>1</v>
      </c>
      <c r="K450" s="171">
        <v>1.5</v>
      </c>
      <c r="L450" s="103" t="s">
        <v>1911</v>
      </c>
      <c r="M450" s="103"/>
      <c r="N450" s="171">
        <f>MouserListTable12[[#This Row],['# Initial]]*MouserListTable12[[#This Row],[Price (USD)]]</f>
        <v>7.5</v>
      </c>
      <c r="O450" s="106" t="s">
        <v>1535</v>
      </c>
      <c r="P450" s="103">
        <f t="shared" si="11"/>
        <v>431</v>
      </c>
      <c r="Q450" s="103">
        <f>IF($D450=$O450,1,0)</f>
        <v>1</v>
      </c>
      <c r="R450" s="103" t="s">
        <v>8</v>
      </c>
      <c r="S450" s="103" t="str">
        <f>_xlfn.IFS(MouserListTable12[[#This Row],[Supplier]]=FilterSpecs!$A$6, FilterSpecs!$B$6,MouserListTable12[[#This Row],[Supplier]]=FilterSpecs!$A$7,FilterSpecs!$B$7,MouserListTable12[[#This Row],[Supplier]]=FilterSpecs!$A$8,FilterSpecs!$B$8,MouserListTable12[[#This Row],[Supplier]]=FilterSpecs!$A$9,FilterSpecs!$B$9)</f>
        <v>474-</v>
      </c>
      <c r="T45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474-PRT-10877</v>
      </c>
      <c r="U450" s="121">
        <v>1</v>
      </c>
      <c r="V450" s="121">
        <v>5</v>
      </c>
      <c r="W450" s="121">
        <v>0</v>
      </c>
      <c r="X450" s="121">
        <f>MouserListTable12[[#This Row],['#/Unit]]*FilterSpecs!$C$3+MouserListTable12[[#This Row],[Extra]]</f>
        <v>10</v>
      </c>
      <c r="Y450" s="121">
        <f>IF(MouserListTable12[[#This Row],[Tag]]=FilterSpecs!$F$7,MouserListTable12[[#This Row],[Price (USD)]],0)</f>
        <v>1.5</v>
      </c>
      <c r="Z450" s="121">
        <f>MouserListTable12[[#This Row],[Tot '#]]*MouserListTable12[[#This Row],[Price (USD)]]</f>
        <v>15</v>
      </c>
    </row>
    <row r="451" spans="1:26" s="146" customFormat="1" x14ac:dyDescent="0.3">
      <c r="A451" s="103" t="s">
        <v>897</v>
      </c>
      <c r="B451" s="103" t="s">
        <v>1892</v>
      </c>
      <c r="C451" s="103" t="s">
        <v>8</v>
      </c>
      <c r="D451" s="106" t="str">
        <f>IF(MouserListTable12[[#This Row],[Vendor]]=FilterSpecs!$A$8,MouserListTable12[[#This Row],[Mouser SKU]], MouserListTable12[[#This Row],[SKU2]])</f>
        <v>PRT-08506</v>
      </c>
      <c r="E451" s="121">
        <f>MouserListTable12[[#This Row],[Tot '#]]-MouserListTable12[[#This Row],['# Initial]]</f>
        <v>5</v>
      </c>
      <c r="F451" s="121">
        <f>MouserListTable12[[#This Row],['#/Unit]]*FilterSpecs!$B$3+MouserListTable12[[#This Row],[Extra Initial]]</f>
        <v>5</v>
      </c>
      <c r="G451" s="103" t="s">
        <v>1540</v>
      </c>
      <c r="H451" s="103" t="s">
        <v>1541</v>
      </c>
      <c r="I451" s="103" t="s">
        <v>1542</v>
      </c>
      <c r="J451" s="103">
        <v>1</v>
      </c>
      <c r="K451" s="171">
        <v>1.5</v>
      </c>
      <c r="L451" s="103" t="s">
        <v>1911</v>
      </c>
      <c r="M451" s="103"/>
      <c r="N451" s="171">
        <f>MouserListTable12[[#This Row],['# Initial]]*MouserListTable12[[#This Row],[Price (USD)]]</f>
        <v>7.5</v>
      </c>
      <c r="O451" s="106" t="s">
        <v>1539</v>
      </c>
      <c r="P451" s="103">
        <f t="shared" si="11"/>
        <v>432</v>
      </c>
      <c r="Q451" s="103">
        <f>IF($D451=$O451,1,0)</f>
        <v>1</v>
      </c>
      <c r="R451" s="103" t="s">
        <v>8</v>
      </c>
      <c r="S451" s="103" t="str">
        <f>_xlfn.IFS(MouserListTable12[[#This Row],[Supplier]]=FilterSpecs!$A$6, FilterSpecs!$B$6,MouserListTable12[[#This Row],[Supplier]]=FilterSpecs!$A$7,FilterSpecs!$B$7,MouserListTable12[[#This Row],[Supplier]]=FilterSpecs!$A$8,FilterSpecs!$B$8,MouserListTable12[[#This Row],[Supplier]]=FilterSpecs!$A$9,FilterSpecs!$B$9)</f>
        <v>474-</v>
      </c>
      <c r="T45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474-PRT-08506</v>
      </c>
      <c r="U451" s="121">
        <v>1</v>
      </c>
      <c r="V451" s="121">
        <v>5</v>
      </c>
      <c r="W451" s="121">
        <v>0</v>
      </c>
      <c r="X451" s="121">
        <f>MouserListTable12[[#This Row],['#/Unit]]*FilterSpecs!$C$3+MouserListTable12[[#This Row],[Extra]]</f>
        <v>10</v>
      </c>
      <c r="Y451" s="121">
        <f>IF(MouserListTable12[[#This Row],[Tag]]=FilterSpecs!$F$7,MouserListTable12[[#This Row],[Price (USD)]],0)</f>
        <v>1.5</v>
      </c>
      <c r="Z451" s="121">
        <f>MouserListTable12[[#This Row],[Tot '#]]*MouserListTable12[[#This Row],[Price (USD)]]</f>
        <v>15</v>
      </c>
    </row>
    <row r="452" spans="1:26" s="146" customFormat="1" hidden="1" x14ac:dyDescent="0.3">
      <c r="A452" s="128" t="s">
        <v>897</v>
      </c>
      <c r="B452" s="128" t="s">
        <v>1892</v>
      </c>
      <c r="C452" s="128" t="s">
        <v>1898</v>
      </c>
      <c r="D452" s="106" t="str">
        <f>IF(MouserListTable12[[#This Row],[Vendor]]=FilterSpecs!$A$8,MouserListTable12[[#This Row],[Mouser SKU]], MouserListTable12[[#This Row],[SKU2]])</f>
        <v>1465</v>
      </c>
      <c r="E452" s="121">
        <f>MouserListTable12[[#This Row],[Tot '#]]-MouserListTable12[[#This Row],['# Initial]]</f>
        <v>0</v>
      </c>
      <c r="F452" s="121">
        <f>MouserListTable12[[#This Row],['#/Unit]]*FilterSpecs!$B$3+MouserListTable12[[#This Row],[Extra Initial]]</f>
        <v>0</v>
      </c>
      <c r="I452" s="128" t="s">
        <v>2480</v>
      </c>
      <c r="J452" s="155">
        <v>116</v>
      </c>
      <c r="K452" s="173">
        <v>0.95</v>
      </c>
      <c r="L452" s="126" t="s">
        <v>1910</v>
      </c>
      <c r="N452" s="171">
        <f>MouserListTable12[[#This Row],['# Initial]]*MouserListTable12[[#This Row],[Price (USD)]]</f>
        <v>0</v>
      </c>
      <c r="O452" s="155" t="s">
        <v>2481</v>
      </c>
      <c r="P452" s="103">
        <f t="shared" si="11"/>
        <v>433</v>
      </c>
      <c r="Q452" s="103">
        <f>IF($D452=$O452,1,0)</f>
        <v>1</v>
      </c>
      <c r="R452" s="103" t="s">
        <v>1898</v>
      </c>
      <c r="S452" s="103" t="str">
        <f>_xlfn.IFS(MouserListTable12[[#This Row],[Supplier]]=FilterSpecs!$A$6, FilterSpecs!$B$6,MouserListTable12[[#This Row],[Supplier]]=FilterSpecs!$A$7,FilterSpecs!$B$7,MouserListTable12[[#This Row],[Supplier]]=FilterSpecs!$A$8,FilterSpecs!$B$8,MouserListTable12[[#This Row],[Supplier]]=FilterSpecs!$A$9,FilterSpecs!$B$9)</f>
        <v>485-</v>
      </c>
      <c r="T45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485-1465</v>
      </c>
      <c r="U452" s="121">
        <v>0</v>
      </c>
      <c r="V452" s="121">
        <v>0</v>
      </c>
      <c r="W452" s="121">
        <v>0</v>
      </c>
      <c r="X452" s="121">
        <f>MouserListTable12[[#This Row],['#/Unit]]*FilterSpecs!$C$3+MouserListTable12[[#This Row],[Extra]]</f>
        <v>0</v>
      </c>
      <c r="Y452" s="121">
        <f>IF(MouserListTable12[[#This Row],[Tag]]=FilterSpecs!$F$7,MouserListTable12[[#This Row],[Price (USD)]],0)</f>
        <v>0</v>
      </c>
      <c r="Z452" s="121">
        <f>MouserListTable12[[#This Row],[Tot '#]]*MouserListTable12[[#This Row],[Price (USD)]]</f>
        <v>0</v>
      </c>
    </row>
    <row r="453" spans="1:26" s="146" customFormat="1" hidden="1" x14ac:dyDescent="0.3">
      <c r="A453" s="126" t="s">
        <v>897</v>
      </c>
      <c r="B453" s="126" t="s">
        <v>1892</v>
      </c>
      <c r="C453" s="126" t="s">
        <v>8</v>
      </c>
      <c r="D453" s="106" t="str">
        <f>IF(MouserListTable12[[#This Row],[Vendor]]=FilterSpecs!$A$8,MouserListTable12[[#This Row],[Mouser SKU]], MouserListTable12[[#This Row],[SKU2]])</f>
        <v>PRT-08272</v>
      </c>
      <c r="E453" s="121">
        <f>MouserListTable12[[#This Row],[Tot '#]]-MouserListTable12[[#This Row],['# Initial]]</f>
        <v>0</v>
      </c>
      <c r="F453" s="121">
        <f>MouserListTable12[[#This Row],['#/Unit]]*FilterSpecs!$B$3+MouserListTable12[[#This Row],[Extra Initial]]</f>
        <v>0</v>
      </c>
      <c r="G453" s="103" t="s">
        <v>780</v>
      </c>
      <c r="H453" s="103" t="s">
        <v>781</v>
      </c>
      <c r="I453" s="103" t="s">
        <v>782</v>
      </c>
      <c r="J453" s="103">
        <v>1</v>
      </c>
      <c r="K453" s="171">
        <v>1</v>
      </c>
      <c r="L453" s="103" t="s">
        <v>1910</v>
      </c>
      <c r="M453" s="103"/>
      <c r="N453" s="171">
        <f>MouserListTable12[[#This Row],['# Initial]]*MouserListTable12[[#This Row],[Price (USD)]]</f>
        <v>0</v>
      </c>
      <c r="O453" s="106" t="s">
        <v>779</v>
      </c>
      <c r="P453" s="103">
        <f t="shared" si="11"/>
        <v>434</v>
      </c>
      <c r="Q453" s="103">
        <f>IF($D453=$O453,1,0)</f>
        <v>1</v>
      </c>
      <c r="R453" s="103" t="s">
        <v>8</v>
      </c>
      <c r="S453" s="103" t="str">
        <f>_xlfn.IFS(MouserListTable12[[#This Row],[Supplier]]=FilterSpecs!$A$6, FilterSpecs!$B$6,MouserListTable12[[#This Row],[Supplier]]=FilterSpecs!$A$7,FilterSpecs!$B$7,MouserListTable12[[#This Row],[Supplier]]=FilterSpecs!$A$8,FilterSpecs!$B$8,MouserListTable12[[#This Row],[Supplier]]=FilterSpecs!$A$9,FilterSpecs!$B$9)</f>
        <v>474-</v>
      </c>
      <c r="T45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474-PRT-08272</v>
      </c>
      <c r="U453" s="121">
        <v>0</v>
      </c>
      <c r="V453" s="121">
        <v>0</v>
      </c>
      <c r="W453" s="121">
        <v>0</v>
      </c>
      <c r="X453" s="121">
        <f>MouserListTable12[[#This Row],['#/Unit]]*FilterSpecs!$C$3+MouserListTable12[[#This Row],[Extra]]</f>
        <v>0</v>
      </c>
      <c r="Y453" s="121">
        <f>IF(MouserListTable12[[#This Row],[Tag]]=FilterSpecs!$F$7,MouserListTable12[[#This Row],[Price (USD)]],0)</f>
        <v>0</v>
      </c>
      <c r="Z453" s="121">
        <f>MouserListTable12[[#This Row],[Tot '#]]*MouserListTable12[[#This Row],[Price (USD)]]</f>
        <v>0</v>
      </c>
    </row>
    <row r="454" spans="1:26" s="146" customFormat="1" x14ac:dyDescent="0.3">
      <c r="A454" s="103" t="s">
        <v>897</v>
      </c>
      <c r="B454" s="103" t="s">
        <v>1892</v>
      </c>
      <c r="C454" s="103" t="s">
        <v>1898</v>
      </c>
      <c r="D454" s="106" t="str">
        <f>IF(MouserListTable12[[#This Row],[Vendor]]=FilterSpecs!$A$8,MouserListTable12[[#This Row],[Mouser SKU]], MouserListTable12[[#This Row],[SKU2]])</f>
        <v>366</v>
      </c>
      <c r="E454" s="121">
        <f>MouserListTable12[[#This Row],[Tot '#]]-MouserListTable12[[#This Row],['# Initial]]</f>
        <v>0</v>
      </c>
      <c r="F454" s="121">
        <f>MouserListTable12[[#This Row],['#/Unit]]*FilterSpecs!$B$3+MouserListTable12[[#This Row],[Extra Initial]]</f>
        <v>2</v>
      </c>
      <c r="G454" s="103"/>
      <c r="H454" s="103"/>
      <c r="I454" s="103" t="s">
        <v>2166</v>
      </c>
      <c r="K454" s="171">
        <v>0.95</v>
      </c>
      <c r="L454" s="103" t="s">
        <v>1910</v>
      </c>
      <c r="M454" s="106"/>
      <c r="N454" s="171">
        <f>MouserListTable12[[#This Row],['# Initial]]*MouserListTable12[[#This Row],[Price (USD)]]</f>
        <v>1.9</v>
      </c>
      <c r="O454" s="106" t="s">
        <v>2165</v>
      </c>
      <c r="P454" s="103">
        <f t="shared" si="11"/>
        <v>435</v>
      </c>
      <c r="Q454" s="103">
        <f>IF($D454=$O454,1,0)</f>
        <v>1</v>
      </c>
      <c r="R454" s="103" t="s">
        <v>1898</v>
      </c>
      <c r="S454" s="103" t="str">
        <f>_xlfn.IFS(MouserListTable12[[#This Row],[Supplier]]=FilterSpecs!$A$6, FilterSpecs!$B$6,MouserListTable12[[#This Row],[Supplier]]=FilterSpecs!$A$7,FilterSpecs!$B$7,MouserListTable12[[#This Row],[Supplier]]=FilterSpecs!$A$8,FilterSpecs!$B$8,MouserListTable12[[#This Row],[Supplier]]=FilterSpecs!$A$9,FilterSpecs!$B$9)</f>
        <v>485-</v>
      </c>
      <c r="T45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485-366</v>
      </c>
      <c r="U454" s="121">
        <v>0</v>
      </c>
      <c r="V454" s="121">
        <v>2</v>
      </c>
      <c r="W454" s="121">
        <v>2</v>
      </c>
      <c r="X454" s="121">
        <f>MouserListTable12[[#This Row],['#/Unit]]*FilterSpecs!$C$3+MouserListTable12[[#This Row],[Extra]]</f>
        <v>2</v>
      </c>
      <c r="Y454" s="121">
        <f>IF(MouserListTable12[[#This Row],[Tag]]=FilterSpecs!$F$7,MouserListTable12[[#This Row],[Price (USD)]],0)</f>
        <v>0</v>
      </c>
      <c r="Z454" s="121">
        <f>MouserListTable12[[#This Row],[Tot '#]]*MouserListTable12[[#This Row],[Price (USD)]]</f>
        <v>1.9</v>
      </c>
    </row>
    <row r="455" spans="1:26" s="146" customFormat="1" x14ac:dyDescent="0.3">
      <c r="A455" s="103" t="s">
        <v>897</v>
      </c>
      <c r="B455" s="103" t="s">
        <v>1892</v>
      </c>
      <c r="C455" s="103" t="s">
        <v>1898</v>
      </c>
      <c r="D455" s="106" t="str">
        <f>IF(MouserListTable12[[#This Row],[Vendor]]=FilterSpecs!$A$8,MouserListTable12[[#This Row],[Mouser SKU]], MouserListTable12[[#This Row],[SKU2]])</f>
        <v>2672</v>
      </c>
      <c r="E455" s="121">
        <f>MouserListTable12[[#This Row],[Tot '#]]-MouserListTable12[[#This Row],['# Initial]]</f>
        <v>0</v>
      </c>
      <c r="F455" s="121">
        <f>MouserListTable12[[#This Row],['#/Unit]]*FilterSpecs!$B$3+MouserListTable12[[#This Row],[Extra Initial]]</f>
        <v>1</v>
      </c>
      <c r="G455" s="103"/>
      <c r="H455" s="103"/>
      <c r="I455" s="103" t="s">
        <v>2168</v>
      </c>
      <c r="K455" s="171">
        <v>3.95</v>
      </c>
      <c r="L455" s="103" t="s">
        <v>1910</v>
      </c>
      <c r="M455" s="106"/>
      <c r="N455" s="171">
        <f>MouserListTable12[[#This Row],['# Initial]]*MouserListTable12[[#This Row],[Price (USD)]]</f>
        <v>3.95</v>
      </c>
      <c r="O455" s="106" t="s">
        <v>2167</v>
      </c>
      <c r="P455" s="103">
        <f t="shared" si="11"/>
        <v>436</v>
      </c>
      <c r="Q455" s="103">
        <f>IF($D455=$O455,1,0)</f>
        <v>1</v>
      </c>
      <c r="R455" s="103" t="s">
        <v>1898</v>
      </c>
      <c r="S455" s="103" t="str">
        <f>_xlfn.IFS(MouserListTable12[[#This Row],[Supplier]]=FilterSpecs!$A$6, FilterSpecs!$B$6,MouserListTable12[[#This Row],[Supplier]]=FilterSpecs!$A$7,FilterSpecs!$B$7,MouserListTable12[[#This Row],[Supplier]]=FilterSpecs!$A$8,FilterSpecs!$B$8,MouserListTable12[[#This Row],[Supplier]]=FilterSpecs!$A$9,FilterSpecs!$B$9)</f>
        <v>485-</v>
      </c>
      <c r="T45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485-2672</v>
      </c>
      <c r="U455" s="121">
        <v>0</v>
      </c>
      <c r="V455" s="121">
        <v>1</v>
      </c>
      <c r="W455" s="121">
        <v>1</v>
      </c>
      <c r="X455" s="121">
        <f>MouserListTable12[[#This Row],['#/Unit]]*FilterSpecs!$C$3+MouserListTable12[[#This Row],[Extra]]</f>
        <v>1</v>
      </c>
      <c r="Y455" s="121">
        <f>IF(MouserListTable12[[#This Row],[Tag]]=FilterSpecs!$F$7,MouserListTable12[[#This Row],[Price (USD)]],0)</f>
        <v>0</v>
      </c>
      <c r="Z455" s="121">
        <f>MouserListTable12[[#This Row],[Tot '#]]*MouserListTable12[[#This Row],[Price (USD)]]</f>
        <v>3.95</v>
      </c>
    </row>
    <row r="456" spans="1:26" s="146" customFormat="1" x14ac:dyDescent="0.3">
      <c r="A456" s="103" t="s">
        <v>897</v>
      </c>
      <c r="B456" s="103" t="s">
        <v>1890</v>
      </c>
      <c r="C456" s="103" t="s">
        <v>8</v>
      </c>
      <c r="D456" s="106" t="str">
        <f>IF(MouserListTable12[[#This Row],[Vendor]]=FilterSpecs!$A$8,MouserListTable12[[#This Row],[Mouser SKU]], MouserListTable12[[#This Row],[SKU2]])</f>
        <v>COM-14087</v>
      </c>
      <c r="E456" s="121">
        <f>MouserListTable12[[#This Row],[Tot '#]]-MouserListTable12[[#This Row],['# Initial]]</f>
        <v>0</v>
      </c>
      <c r="F456" s="121">
        <f>MouserListTable12[[#This Row],['#/Unit]]*FilterSpecs!$B$3+MouserListTable12[[#This Row],[Extra Initial]]</f>
        <v>15</v>
      </c>
      <c r="G456" s="103" t="s">
        <v>824</v>
      </c>
      <c r="H456" s="103" t="s">
        <v>825</v>
      </c>
      <c r="I456" s="103" t="s">
        <v>826</v>
      </c>
      <c r="J456" s="103">
        <v>1</v>
      </c>
      <c r="K456" s="171">
        <v>1.95</v>
      </c>
      <c r="L456" s="103" t="s">
        <v>1913</v>
      </c>
      <c r="M456" s="103"/>
      <c r="N456" s="171">
        <f>MouserListTable12[[#This Row],['# Initial]]*MouserListTable12[[#This Row],[Price (USD)]]</f>
        <v>29.25</v>
      </c>
      <c r="O456" s="106" t="s">
        <v>823</v>
      </c>
      <c r="P456" s="103">
        <f t="shared" si="11"/>
        <v>437</v>
      </c>
      <c r="Q456" s="103">
        <f>IF($D456=$O456,1,0)</f>
        <v>1</v>
      </c>
      <c r="R456" s="103" t="s">
        <v>8</v>
      </c>
      <c r="S456" s="103" t="str">
        <f>_xlfn.IFS(MouserListTable12[[#This Row],[Supplier]]=FilterSpecs!$A$6, FilterSpecs!$B$6,MouserListTable12[[#This Row],[Supplier]]=FilterSpecs!$A$7,FilterSpecs!$B$7,MouserListTable12[[#This Row],[Supplier]]=FilterSpecs!$A$8,FilterSpecs!$B$8,MouserListTable12[[#This Row],[Supplier]]=FilterSpecs!$A$9,FilterSpecs!$B$9)</f>
        <v>474-</v>
      </c>
      <c r="T45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474-COM-14087</v>
      </c>
      <c r="U456" s="121">
        <v>3</v>
      </c>
      <c r="V456" s="121">
        <v>0</v>
      </c>
      <c r="W456" s="121">
        <v>0</v>
      </c>
      <c r="X456" s="121">
        <f>MouserListTable12[[#This Row],['#/Unit]]*FilterSpecs!$C$3+MouserListTable12[[#This Row],[Extra]]</f>
        <v>15</v>
      </c>
      <c r="Y456" s="121">
        <f>IF(MouserListTable12[[#This Row],[Tag]]=FilterSpecs!$F$7,MouserListTable12[[#This Row],[Price (USD)]],0)</f>
        <v>0</v>
      </c>
      <c r="Z456" s="121">
        <f>MouserListTable12[[#This Row],[Tot '#]]*MouserListTable12[[#This Row],[Price (USD)]]</f>
        <v>29.25</v>
      </c>
    </row>
    <row r="457" spans="1:26" s="146" customFormat="1" hidden="1" x14ac:dyDescent="0.3">
      <c r="A457" s="126" t="s">
        <v>897</v>
      </c>
      <c r="B457" s="126" t="s">
        <v>1890</v>
      </c>
      <c r="C457" s="126" t="s">
        <v>8</v>
      </c>
      <c r="D457" s="106" t="str">
        <f>IF(MouserListTable12[[#This Row],[Vendor]]=FilterSpecs!$A$8,MouserListTable12[[#This Row],[Mouser SKU]], MouserListTable12[[#This Row],[SKU2]])</f>
        <v>COM-14085</v>
      </c>
      <c r="E457" s="121">
        <f>MouserListTable12[[#This Row],[Tot '#]]-MouserListTable12[[#This Row],['# Initial]]</f>
        <v>0</v>
      </c>
      <c r="F457" s="121">
        <f>MouserListTable12[[#This Row],['#/Unit]]*FilterSpecs!$B$3+MouserListTable12[[#This Row],[Extra Initial]]</f>
        <v>0</v>
      </c>
      <c r="G457" s="103" t="s">
        <v>820</v>
      </c>
      <c r="H457" s="103" t="s">
        <v>821</v>
      </c>
      <c r="I457" s="103" t="s">
        <v>822</v>
      </c>
      <c r="J457" s="103">
        <v>1</v>
      </c>
      <c r="K457" s="171">
        <v>0.95</v>
      </c>
      <c r="L457" s="103" t="s">
        <v>1910</v>
      </c>
      <c r="M457" s="103"/>
      <c r="N457" s="171">
        <f>MouserListTable12[[#This Row],['# Initial]]*MouserListTable12[[#This Row],[Price (USD)]]</f>
        <v>0</v>
      </c>
      <c r="O457" s="106" t="s">
        <v>819</v>
      </c>
      <c r="P457" s="103">
        <f t="shared" si="11"/>
        <v>438</v>
      </c>
      <c r="Q457" s="103">
        <f>IF($D457=$O457,1,0)</f>
        <v>1</v>
      </c>
      <c r="R457" s="103" t="s">
        <v>8</v>
      </c>
      <c r="S457" s="103" t="str">
        <f>_xlfn.IFS(MouserListTable12[[#This Row],[Supplier]]=FilterSpecs!$A$6, FilterSpecs!$B$6,MouserListTable12[[#This Row],[Supplier]]=FilterSpecs!$A$7,FilterSpecs!$B$7,MouserListTable12[[#This Row],[Supplier]]=FilterSpecs!$A$8,FilterSpecs!$B$8,MouserListTable12[[#This Row],[Supplier]]=FilterSpecs!$A$9,FilterSpecs!$B$9)</f>
        <v>474-</v>
      </c>
      <c r="T45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474-COM-14085</v>
      </c>
      <c r="U457" s="121">
        <v>0</v>
      </c>
      <c r="V457" s="121">
        <v>0</v>
      </c>
      <c r="W457" s="121">
        <v>0</v>
      </c>
      <c r="X457" s="121">
        <f>MouserListTable12[[#This Row],['#/Unit]]*FilterSpecs!$C$3+MouserListTable12[[#This Row],[Extra]]</f>
        <v>0</v>
      </c>
      <c r="Y457" s="121">
        <f>IF(MouserListTable12[[#This Row],[Tag]]=FilterSpecs!$F$7,MouserListTable12[[#This Row],[Price (USD)]],0)</f>
        <v>0</v>
      </c>
      <c r="Z457" s="121">
        <f>MouserListTable12[[#This Row],[Tot '#]]*MouserListTable12[[#This Row],[Price (USD)]]</f>
        <v>0</v>
      </c>
    </row>
    <row r="458" spans="1:26" s="144" customFormat="1" x14ac:dyDescent="0.3">
      <c r="A458" s="106" t="s">
        <v>897</v>
      </c>
      <c r="B458" s="106" t="s">
        <v>2025</v>
      </c>
      <c r="C458" s="106" t="s">
        <v>1898</v>
      </c>
      <c r="D458" s="106" t="str">
        <f>IF(MouserListTable12[[#This Row],[Vendor]]=FilterSpecs!$A$8,MouserListTable12[[#This Row],[Mouser SKU]], MouserListTable12[[#This Row],[SKU2]])</f>
        <v>3145</v>
      </c>
      <c r="E458" s="121">
        <f>MouserListTable12[[#This Row],[Tot '#]]-MouserListTable12[[#This Row],['# Initial]]</f>
        <v>0</v>
      </c>
      <c r="F458" s="121">
        <f>MouserListTable12[[#This Row],['#/Unit]]*FilterSpecs!$B$3+MouserListTable12[[#This Row],[Extra Initial]]</f>
        <v>3</v>
      </c>
      <c r="G458" s="103"/>
      <c r="H458" s="103"/>
      <c r="I458" s="106" t="s">
        <v>2206</v>
      </c>
      <c r="J458" s="146"/>
      <c r="K458" s="171">
        <v>1.95</v>
      </c>
      <c r="L458" s="106" t="s">
        <v>1910</v>
      </c>
      <c r="M458" s="106"/>
      <c r="N458" s="171">
        <f>MouserListTable12[[#This Row],['# Initial]]*MouserListTable12[[#This Row],[Price (USD)]]</f>
        <v>5.85</v>
      </c>
      <c r="O458" s="106" t="s">
        <v>2205</v>
      </c>
      <c r="P458" s="103">
        <f t="shared" si="11"/>
        <v>439</v>
      </c>
      <c r="Q458" s="103">
        <f>IF($D458=$O458,1,0)</f>
        <v>1</v>
      </c>
      <c r="R458" s="103" t="s">
        <v>1898</v>
      </c>
      <c r="S458" s="103" t="str">
        <f>_xlfn.IFS(MouserListTable12[[#This Row],[Supplier]]=FilterSpecs!$A$6, FilterSpecs!$B$6,MouserListTable12[[#This Row],[Supplier]]=FilterSpecs!$A$7,FilterSpecs!$B$7,MouserListTable12[[#This Row],[Supplier]]=FilterSpecs!$A$8,FilterSpecs!$B$8,MouserListTable12[[#This Row],[Supplier]]=FilterSpecs!$A$9,FilterSpecs!$B$9)</f>
        <v>485-</v>
      </c>
      <c r="T45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485-3145</v>
      </c>
      <c r="U458" s="121">
        <v>0</v>
      </c>
      <c r="V458" s="121">
        <v>3</v>
      </c>
      <c r="W458" s="121">
        <v>3</v>
      </c>
      <c r="X458" s="121">
        <f>MouserListTable12[[#This Row],['#/Unit]]*FilterSpecs!$C$3+MouserListTable12[[#This Row],[Extra]]</f>
        <v>3</v>
      </c>
      <c r="Y458" s="121">
        <f>IF(MouserListTable12[[#This Row],[Tag]]=FilterSpecs!$F$7,MouserListTable12[[#This Row],[Price (USD)]],0)</f>
        <v>0</v>
      </c>
      <c r="Z458" s="121">
        <f>MouserListTable12[[#This Row],[Tot '#]]*MouserListTable12[[#This Row],[Price (USD)]]</f>
        <v>5.85</v>
      </c>
    </row>
    <row r="459" spans="1:26" s="144" customFormat="1" x14ac:dyDescent="0.3">
      <c r="A459" s="106" t="s">
        <v>897</v>
      </c>
      <c r="B459" s="106" t="s">
        <v>2025</v>
      </c>
      <c r="C459" s="106" t="s">
        <v>1898</v>
      </c>
      <c r="D459" s="106" t="str">
        <f>IF(MouserListTable12[[#This Row],[Vendor]]=FilterSpecs!$A$8,MouserListTable12[[#This Row],[Mouser SKU]], MouserListTable12[[#This Row],[SKU2]])</f>
        <v>3144</v>
      </c>
      <c r="E459" s="121">
        <f>MouserListTable12[[#This Row],[Tot '#]]-MouserListTable12[[#This Row],['# Initial]]</f>
        <v>0</v>
      </c>
      <c r="F459" s="121">
        <f>MouserListTable12[[#This Row],['#/Unit]]*FilterSpecs!$B$3+MouserListTable12[[#This Row],[Extra Initial]]</f>
        <v>1</v>
      </c>
      <c r="G459" s="103"/>
      <c r="H459" s="103"/>
      <c r="I459" s="106" t="s">
        <v>2196</v>
      </c>
      <c r="J459" s="146"/>
      <c r="K459" s="171">
        <v>3.95</v>
      </c>
      <c r="L459" s="106" t="s">
        <v>1910</v>
      </c>
      <c r="M459" s="106"/>
      <c r="N459" s="171">
        <f>MouserListTable12[[#This Row],['# Initial]]*MouserListTable12[[#This Row],[Price (USD)]]</f>
        <v>3.95</v>
      </c>
      <c r="O459" s="106" t="s">
        <v>2195</v>
      </c>
      <c r="P459" s="103">
        <f t="shared" si="11"/>
        <v>440</v>
      </c>
      <c r="Q459" s="103">
        <f>IF($D459=$O459,1,0)</f>
        <v>1</v>
      </c>
      <c r="R459" s="103" t="s">
        <v>1898</v>
      </c>
      <c r="S459" s="103" t="str">
        <f>_xlfn.IFS(MouserListTable12[[#This Row],[Supplier]]=FilterSpecs!$A$6, FilterSpecs!$B$6,MouserListTable12[[#This Row],[Supplier]]=FilterSpecs!$A$7,FilterSpecs!$B$7,MouserListTable12[[#This Row],[Supplier]]=FilterSpecs!$A$8,FilterSpecs!$B$8,MouserListTable12[[#This Row],[Supplier]]=FilterSpecs!$A$9,FilterSpecs!$B$9)</f>
        <v>485-</v>
      </c>
      <c r="T45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485-3144</v>
      </c>
      <c r="U459" s="121">
        <v>0</v>
      </c>
      <c r="V459" s="121">
        <v>1</v>
      </c>
      <c r="W459" s="121">
        <v>1</v>
      </c>
      <c r="X459" s="121">
        <f>MouserListTable12[[#This Row],['#/Unit]]*FilterSpecs!$C$3+MouserListTable12[[#This Row],[Extra]]</f>
        <v>1</v>
      </c>
      <c r="Y459" s="121">
        <f>IF(MouserListTable12[[#This Row],[Tag]]=FilterSpecs!$F$7,MouserListTable12[[#This Row],[Price (USD)]],0)</f>
        <v>0</v>
      </c>
      <c r="Z459" s="121">
        <f>MouserListTable12[[#This Row],[Tot '#]]*MouserListTable12[[#This Row],[Price (USD)]]</f>
        <v>3.95</v>
      </c>
    </row>
    <row r="460" spans="1:26" s="144" customFormat="1" x14ac:dyDescent="0.3">
      <c r="A460" s="106" t="s">
        <v>897</v>
      </c>
      <c r="B460" s="106" t="s">
        <v>2025</v>
      </c>
      <c r="C460" s="106" t="s">
        <v>1898</v>
      </c>
      <c r="D460" s="106" t="str">
        <f>IF(MouserListTable12[[#This Row],[Vendor]]=FilterSpecs!$A$8,MouserListTable12[[#This Row],[Mouser SKU]], MouserListTable12[[#This Row],[SKU2]])</f>
        <v>3143</v>
      </c>
      <c r="E460" s="121">
        <f>MouserListTable12[[#This Row],[Tot '#]]-MouserListTable12[[#This Row],['# Initial]]</f>
        <v>0</v>
      </c>
      <c r="F460" s="121">
        <f>MouserListTable12[[#This Row],['#/Unit]]*FilterSpecs!$B$3+MouserListTable12[[#This Row],[Extra Initial]]</f>
        <v>2</v>
      </c>
      <c r="G460" s="103"/>
      <c r="H460" s="103"/>
      <c r="I460" s="106" t="s">
        <v>2204</v>
      </c>
      <c r="J460" s="146"/>
      <c r="K460" s="171">
        <v>1.95</v>
      </c>
      <c r="L460" s="106" t="s">
        <v>1910</v>
      </c>
      <c r="M460" s="106"/>
      <c r="N460" s="171">
        <f>MouserListTable12[[#This Row],['# Initial]]*MouserListTable12[[#This Row],[Price (USD)]]</f>
        <v>3.9</v>
      </c>
      <c r="O460" s="106" t="s">
        <v>2203</v>
      </c>
      <c r="P460" s="103">
        <f t="shared" si="11"/>
        <v>441</v>
      </c>
      <c r="Q460" s="103">
        <f>IF($D460=$O460,1,0)</f>
        <v>1</v>
      </c>
      <c r="R460" s="103" t="s">
        <v>1898</v>
      </c>
      <c r="S460" s="103" t="str">
        <f>_xlfn.IFS(MouserListTable12[[#This Row],[Supplier]]=FilterSpecs!$A$6, FilterSpecs!$B$6,MouserListTable12[[#This Row],[Supplier]]=FilterSpecs!$A$7,FilterSpecs!$B$7,MouserListTable12[[#This Row],[Supplier]]=FilterSpecs!$A$8,FilterSpecs!$B$8,MouserListTable12[[#This Row],[Supplier]]=FilterSpecs!$A$9,FilterSpecs!$B$9)</f>
        <v>485-</v>
      </c>
      <c r="T46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485-3143</v>
      </c>
      <c r="U460" s="121">
        <v>0</v>
      </c>
      <c r="V460" s="121">
        <v>2</v>
      </c>
      <c r="W460" s="121">
        <v>2</v>
      </c>
      <c r="X460" s="121">
        <f>MouserListTable12[[#This Row],['#/Unit]]*FilterSpecs!$C$3+MouserListTable12[[#This Row],[Extra]]</f>
        <v>2</v>
      </c>
      <c r="Y460" s="121">
        <f>IF(MouserListTable12[[#This Row],[Tag]]=FilterSpecs!$F$7,MouserListTable12[[#This Row],[Price (USD)]],0)</f>
        <v>0</v>
      </c>
      <c r="Z460" s="121">
        <f>MouserListTable12[[#This Row],[Tot '#]]*MouserListTable12[[#This Row],[Price (USD)]]</f>
        <v>3.9</v>
      </c>
    </row>
    <row r="461" spans="1:26" s="144" customFormat="1" x14ac:dyDescent="0.3">
      <c r="A461" s="106" t="s">
        <v>897</v>
      </c>
      <c r="B461" s="106" t="s">
        <v>2025</v>
      </c>
      <c r="C461" s="106" t="s">
        <v>1898</v>
      </c>
      <c r="D461" s="106" t="str">
        <f>IF(MouserListTable12[[#This Row],[Vendor]]=FilterSpecs!$A$8,MouserListTable12[[#This Row],[Mouser SKU]], MouserListTable12[[#This Row],[SKU2]])</f>
        <v>3146</v>
      </c>
      <c r="E461" s="121">
        <f>MouserListTable12[[#This Row],[Tot '#]]-MouserListTable12[[#This Row],['# Initial]]</f>
        <v>0</v>
      </c>
      <c r="F461" s="121">
        <f>MouserListTable12[[#This Row],['#/Unit]]*FilterSpecs!$B$3+MouserListTable12[[#This Row],[Extra Initial]]</f>
        <v>1</v>
      </c>
      <c r="G461" s="103"/>
      <c r="H461" s="103"/>
      <c r="I461" s="106" t="s">
        <v>2198</v>
      </c>
      <c r="J461" s="146"/>
      <c r="K461" s="171">
        <v>2.95</v>
      </c>
      <c r="L461" s="106" t="s">
        <v>1910</v>
      </c>
      <c r="M461" s="106"/>
      <c r="N461" s="171">
        <f>MouserListTable12[[#This Row],['# Initial]]*MouserListTable12[[#This Row],[Price (USD)]]</f>
        <v>2.95</v>
      </c>
      <c r="O461" s="106" t="s">
        <v>2197</v>
      </c>
      <c r="P461" s="103">
        <f t="shared" si="11"/>
        <v>442</v>
      </c>
      <c r="Q461" s="103">
        <f>IF($D461=$O461,1,0)</f>
        <v>1</v>
      </c>
      <c r="R461" s="103" t="s">
        <v>1898</v>
      </c>
      <c r="S461" s="103" t="str">
        <f>_xlfn.IFS(MouserListTable12[[#This Row],[Supplier]]=FilterSpecs!$A$6, FilterSpecs!$B$6,MouserListTable12[[#This Row],[Supplier]]=FilterSpecs!$A$7,FilterSpecs!$B$7,MouserListTable12[[#This Row],[Supplier]]=FilterSpecs!$A$8,FilterSpecs!$B$8,MouserListTable12[[#This Row],[Supplier]]=FilterSpecs!$A$9,FilterSpecs!$B$9)</f>
        <v>485-</v>
      </c>
      <c r="T46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485-3146</v>
      </c>
      <c r="U461" s="121">
        <v>0</v>
      </c>
      <c r="V461" s="121">
        <v>1</v>
      </c>
      <c r="W461" s="121">
        <v>1</v>
      </c>
      <c r="X461" s="121">
        <f>MouserListTable12[[#This Row],['#/Unit]]*FilterSpecs!$C$3+MouserListTable12[[#This Row],[Extra]]</f>
        <v>1</v>
      </c>
      <c r="Y461" s="121">
        <f>IF(MouserListTable12[[#This Row],[Tag]]=FilterSpecs!$F$7,MouserListTable12[[#This Row],[Price (USD)]],0)</f>
        <v>0</v>
      </c>
      <c r="Z461" s="121">
        <f>MouserListTable12[[#This Row],[Tot '#]]*MouserListTable12[[#This Row],[Price (USD)]]</f>
        <v>2.95</v>
      </c>
    </row>
    <row r="462" spans="1:26" s="144" customFormat="1" x14ac:dyDescent="0.3">
      <c r="A462" s="106" t="s">
        <v>897</v>
      </c>
      <c r="B462" s="106" t="s">
        <v>2025</v>
      </c>
      <c r="C462" s="106" t="s">
        <v>1898</v>
      </c>
      <c r="D462" s="106" t="str">
        <f>IF(MouserListTable12[[#This Row],[Vendor]]=FilterSpecs!$A$8,MouserListTable12[[#This Row],[Mouser SKU]], MouserListTable12[[#This Row],[SKU2]])</f>
        <v>3141</v>
      </c>
      <c r="E462" s="121">
        <f>MouserListTable12[[#This Row],[Tot '#]]-MouserListTable12[[#This Row],['# Initial]]</f>
        <v>5</v>
      </c>
      <c r="F462" s="121">
        <f>MouserListTable12[[#This Row],['#/Unit]]*FilterSpecs!$B$3+MouserListTable12[[#This Row],[Extra Initial]]</f>
        <v>5</v>
      </c>
      <c r="G462" s="103"/>
      <c r="H462" s="103"/>
      <c r="I462" s="106" t="s">
        <v>2200</v>
      </c>
      <c r="J462" s="146"/>
      <c r="K462" s="171">
        <v>2.95</v>
      </c>
      <c r="L462" s="106" t="s">
        <v>1911</v>
      </c>
      <c r="M462" s="106"/>
      <c r="N462" s="171">
        <f>MouserListTable12[[#This Row],['# Initial]]*MouserListTable12[[#This Row],[Price (USD)]]</f>
        <v>14.75</v>
      </c>
      <c r="O462" s="106" t="s">
        <v>2199</v>
      </c>
      <c r="P462" s="103">
        <f t="shared" si="11"/>
        <v>443</v>
      </c>
      <c r="Q462" s="103">
        <f>IF($D462=$O462,1,0)</f>
        <v>1</v>
      </c>
      <c r="R462" s="103" t="s">
        <v>1898</v>
      </c>
      <c r="S462" s="103" t="str">
        <f>_xlfn.IFS(MouserListTable12[[#This Row],[Supplier]]=FilterSpecs!$A$6, FilterSpecs!$B$6,MouserListTable12[[#This Row],[Supplier]]=FilterSpecs!$A$7,FilterSpecs!$B$7,MouserListTable12[[#This Row],[Supplier]]=FilterSpecs!$A$8,FilterSpecs!$B$8,MouserListTable12[[#This Row],[Supplier]]=FilterSpecs!$A$9,FilterSpecs!$B$9)</f>
        <v>485-</v>
      </c>
      <c r="T46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485-3141</v>
      </c>
      <c r="U462" s="121">
        <v>1</v>
      </c>
      <c r="V462" s="121">
        <v>5</v>
      </c>
      <c r="W462" s="121">
        <v>0</v>
      </c>
      <c r="X462" s="121">
        <f>MouserListTable12[[#This Row],['#/Unit]]*FilterSpecs!$C$3+MouserListTable12[[#This Row],[Extra]]</f>
        <v>10</v>
      </c>
      <c r="Y462" s="121">
        <f>IF(MouserListTable12[[#This Row],[Tag]]=FilterSpecs!$F$7,MouserListTable12[[#This Row],[Price (USD)]],0)</f>
        <v>2.95</v>
      </c>
      <c r="Z462" s="121">
        <f>MouserListTable12[[#This Row],[Tot '#]]*MouserListTable12[[#This Row],[Price (USD)]]</f>
        <v>29.5</v>
      </c>
    </row>
    <row r="463" spans="1:26" s="144" customFormat="1" x14ac:dyDescent="0.3">
      <c r="A463" s="106" t="s">
        <v>897</v>
      </c>
      <c r="B463" s="106" t="s">
        <v>2025</v>
      </c>
      <c r="C463" s="106" t="s">
        <v>1898</v>
      </c>
      <c r="D463" s="106" t="str">
        <f>IF(MouserListTable12[[#This Row],[Vendor]]=FilterSpecs!$A$8,MouserListTable12[[#This Row],[Mouser SKU]], MouserListTable12[[#This Row],[SKU2]])</f>
        <v>3142</v>
      </c>
      <c r="E463" s="121">
        <f>MouserListTable12[[#This Row],[Tot '#]]-MouserListTable12[[#This Row],['# Initial]]</f>
        <v>5</v>
      </c>
      <c r="F463" s="121">
        <f>MouserListTable12[[#This Row],['#/Unit]]*FilterSpecs!$B$3+MouserListTable12[[#This Row],[Extra Initial]]</f>
        <v>5</v>
      </c>
      <c r="G463" s="103"/>
      <c r="H463" s="103"/>
      <c r="I463" s="106" t="s">
        <v>2202</v>
      </c>
      <c r="J463" s="146"/>
      <c r="K463" s="171">
        <v>3.95</v>
      </c>
      <c r="L463" s="106" t="s">
        <v>1911</v>
      </c>
      <c r="M463" s="106"/>
      <c r="N463" s="171">
        <f>MouserListTable12[[#This Row],['# Initial]]*MouserListTable12[[#This Row],[Price (USD)]]</f>
        <v>19.75</v>
      </c>
      <c r="O463" s="106" t="s">
        <v>2201</v>
      </c>
      <c r="P463" s="103">
        <f t="shared" si="11"/>
        <v>444</v>
      </c>
      <c r="Q463" s="103">
        <f>IF($D463=$O463,1,0)</f>
        <v>1</v>
      </c>
      <c r="R463" s="103" t="s">
        <v>1898</v>
      </c>
      <c r="S463" s="103" t="str">
        <f>_xlfn.IFS(MouserListTable12[[#This Row],[Supplier]]=FilterSpecs!$A$6, FilterSpecs!$B$6,MouserListTable12[[#This Row],[Supplier]]=FilterSpecs!$A$7,FilterSpecs!$B$7,MouserListTable12[[#This Row],[Supplier]]=FilterSpecs!$A$8,FilterSpecs!$B$8,MouserListTable12[[#This Row],[Supplier]]=FilterSpecs!$A$9,FilterSpecs!$B$9)</f>
        <v>485-</v>
      </c>
      <c r="T46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485-3142</v>
      </c>
      <c r="U463" s="121">
        <v>1</v>
      </c>
      <c r="V463" s="121">
        <v>5</v>
      </c>
      <c r="W463" s="121">
        <v>0</v>
      </c>
      <c r="X463" s="121">
        <f>MouserListTable12[[#This Row],['#/Unit]]*FilterSpecs!$C$3+MouserListTable12[[#This Row],[Extra]]</f>
        <v>10</v>
      </c>
      <c r="Y463" s="121">
        <f>IF(MouserListTable12[[#This Row],[Tag]]=FilterSpecs!$F$7,MouserListTable12[[#This Row],[Price (USD)]],0)</f>
        <v>3.95</v>
      </c>
      <c r="Z463" s="121">
        <f>MouserListTable12[[#This Row],[Tot '#]]*MouserListTable12[[#This Row],[Price (USD)]]</f>
        <v>39.5</v>
      </c>
    </row>
    <row r="464" spans="1:26" s="144" customFormat="1" hidden="1" x14ac:dyDescent="0.3">
      <c r="A464" s="146" t="s">
        <v>897</v>
      </c>
      <c r="B464" s="146" t="s">
        <v>2434</v>
      </c>
      <c r="C464" s="146" t="s">
        <v>8</v>
      </c>
      <c r="D464" s="106" t="str">
        <f>IF(MouserListTable12[[#This Row],[Vendor]]=FilterSpecs!$A$8,MouserListTable12[[#This Row],[Mouser SKU]], MouserListTable12[[#This Row],[SKU2]])</f>
        <v>PRT-08671</v>
      </c>
      <c r="E464" s="121">
        <f>MouserListTable12[[#This Row],[Tot '#]]-MouserListTable12[[#This Row],['# Initial]]</f>
        <v>0</v>
      </c>
      <c r="F464" s="121">
        <f>MouserListTable12[[#This Row],['#/Unit]]*FilterSpecs!$B$3+MouserListTable12[[#This Row],[Extra Initial]]</f>
        <v>0</v>
      </c>
      <c r="G464" s="103" t="s">
        <v>596</v>
      </c>
      <c r="H464" s="103" t="s">
        <v>597</v>
      </c>
      <c r="I464" s="106" t="s">
        <v>598</v>
      </c>
      <c r="J464" s="103">
        <v>1</v>
      </c>
      <c r="K464" s="171">
        <v>0.95</v>
      </c>
      <c r="L464" s="106" t="s">
        <v>1910</v>
      </c>
      <c r="M464" s="103" t="s">
        <v>2399</v>
      </c>
      <c r="N464" s="171">
        <f>MouserListTable12[[#This Row],['# Initial]]*MouserListTable12[[#This Row],[Price (USD)]]</f>
        <v>0</v>
      </c>
      <c r="O464" s="106" t="s">
        <v>595</v>
      </c>
      <c r="P464" s="103">
        <f t="shared" si="11"/>
        <v>445</v>
      </c>
      <c r="Q464" s="103">
        <f>IF($D464=$O464,1,0)</f>
        <v>1</v>
      </c>
      <c r="R464" s="103" t="s">
        <v>8</v>
      </c>
      <c r="S464" s="103" t="str">
        <f>_xlfn.IFS(MouserListTable12[[#This Row],[Supplier]]=FilterSpecs!$A$6, FilterSpecs!$B$6,MouserListTable12[[#This Row],[Supplier]]=FilterSpecs!$A$7,FilterSpecs!$B$7,MouserListTable12[[#This Row],[Supplier]]=FilterSpecs!$A$8,FilterSpecs!$B$8,MouserListTable12[[#This Row],[Supplier]]=FilterSpecs!$A$9,FilterSpecs!$B$9)</f>
        <v>474-</v>
      </c>
      <c r="T46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474-PRT-08671</v>
      </c>
      <c r="U464" s="121">
        <v>0</v>
      </c>
      <c r="V464" s="121">
        <v>0</v>
      </c>
      <c r="W464" s="121">
        <v>0</v>
      </c>
      <c r="X464" s="121">
        <f>MouserListTable12[[#This Row],['#/Unit]]*FilterSpecs!$C$3+MouserListTable12[[#This Row],[Extra]]</f>
        <v>0</v>
      </c>
      <c r="Y464" s="121">
        <f>IF(MouserListTable12[[#This Row],[Tag]]=FilterSpecs!$F$7,MouserListTable12[[#This Row],[Price (USD)]],0)</f>
        <v>0</v>
      </c>
      <c r="Z464" s="121">
        <f>MouserListTable12[[#This Row],[Tot '#]]*MouserListTable12[[#This Row],[Price (USD)]]</f>
        <v>0</v>
      </c>
    </row>
    <row r="465" spans="1:26" s="144" customFormat="1" hidden="1" x14ac:dyDescent="0.3">
      <c r="A465" s="146" t="s">
        <v>897</v>
      </c>
      <c r="B465" s="146" t="s">
        <v>2434</v>
      </c>
      <c r="C465" s="146" t="s">
        <v>8</v>
      </c>
      <c r="D465" s="106" t="str">
        <f>IF(MouserListTable12[[#This Row],[Vendor]]=FilterSpecs!$A$8,MouserListTable12[[#This Row],[Mouser SKU]], MouserListTable12[[#This Row],[SKU2]])</f>
        <v>PRT-08670</v>
      </c>
      <c r="E465" s="121">
        <f>MouserListTable12[[#This Row],[Tot '#]]-MouserListTable12[[#This Row],['# Initial]]</f>
        <v>0</v>
      </c>
      <c r="F465" s="121">
        <f>MouserListTable12[[#This Row],['#/Unit]]*FilterSpecs!$B$3+MouserListTable12[[#This Row],[Extra Initial]]</f>
        <v>0</v>
      </c>
      <c r="G465" s="103" t="s">
        <v>592</v>
      </c>
      <c r="H465" s="103" t="s">
        <v>593</v>
      </c>
      <c r="I465" s="106" t="s">
        <v>594</v>
      </c>
      <c r="J465" s="103">
        <v>1</v>
      </c>
      <c r="K465" s="171">
        <v>0.95</v>
      </c>
      <c r="L465" s="106" t="s">
        <v>1910</v>
      </c>
      <c r="M465" s="103" t="s">
        <v>2399</v>
      </c>
      <c r="N465" s="171">
        <f>MouserListTable12[[#This Row],['# Initial]]*MouserListTable12[[#This Row],[Price (USD)]]</f>
        <v>0</v>
      </c>
      <c r="O465" s="106" t="s">
        <v>591</v>
      </c>
      <c r="P465" s="103">
        <f t="shared" si="11"/>
        <v>446</v>
      </c>
      <c r="Q465" s="103">
        <f>IF($D465=$O465,1,0)</f>
        <v>1</v>
      </c>
      <c r="R465" s="103" t="s">
        <v>8</v>
      </c>
      <c r="S465" s="103" t="str">
        <f>_xlfn.IFS(MouserListTable12[[#This Row],[Supplier]]=FilterSpecs!$A$6, FilterSpecs!$B$6,MouserListTable12[[#This Row],[Supplier]]=FilterSpecs!$A$7,FilterSpecs!$B$7,MouserListTable12[[#This Row],[Supplier]]=FilterSpecs!$A$8,FilterSpecs!$B$8,MouserListTable12[[#This Row],[Supplier]]=FilterSpecs!$A$9,FilterSpecs!$B$9)</f>
        <v>474-</v>
      </c>
      <c r="T46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474-PRT-08670</v>
      </c>
      <c r="U465" s="121">
        <v>0</v>
      </c>
      <c r="V465" s="121">
        <v>0</v>
      </c>
      <c r="W465" s="121">
        <v>0</v>
      </c>
      <c r="X465" s="121">
        <f>MouserListTable12[[#This Row],['#/Unit]]*FilterSpecs!$C$3+MouserListTable12[[#This Row],[Extra]]</f>
        <v>0</v>
      </c>
      <c r="Y465" s="121">
        <f>IF(MouserListTable12[[#This Row],[Tag]]=FilterSpecs!$F$7,MouserListTable12[[#This Row],[Price (USD)]],0)</f>
        <v>0</v>
      </c>
      <c r="Z465" s="121">
        <f>MouserListTable12[[#This Row],[Tot '#]]*MouserListTable12[[#This Row],[Price (USD)]]</f>
        <v>0</v>
      </c>
    </row>
    <row r="466" spans="1:26" s="144" customFormat="1" x14ac:dyDescent="0.3">
      <c r="A466" s="106" t="s">
        <v>897</v>
      </c>
      <c r="B466" s="106" t="s">
        <v>2434</v>
      </c>
      <c r="C466" s="106" t="s">
        <v>8</v>
      </c>
      <c r="D466" s="106" t="str">
        <f>IF(MouserListTable12[[#This Row],[Vendor]]=FilterSpecs!$A$8,MouserListTable12[[#This Row],[Mouser SKU]], MouserListTable12[[#This Row],[SKU2]])</f>
        <v>PRT-09914</v>
      </c>
      <c r="E466" s="121">
        <f>MouserListTable12[[#This Row],[Tot '#]]-MouserListTable12[[#This Row],['# Initial]]</f>
        <v>0</v>
      </c>
      <c r="F466" s="121">
        <f>MouserListTable12[[#This Row],['#/Unit]]*FilterSpecs!$B$3+MouserListTable12[[#This Row],[Extra Initial]]</f>
        <v>10</v>
      </c>
      <c r="G466" s="103" t="s">
        <v>512</v>
      </c>
      <c r="H466" s="103" t="s">
        <v>513</v>
      </c>
      <c r="I466" s="106" t="s">
        <v>514</v>
      </c>
      <c r="J466" s="103">
        <v>1</v>
      </c>
      <c r="K466" s="171">
        <v>0.95</v>
      </c>
      <c r="L466" s="106" t="s">
        <v>1911</v>
      </c>
      <c r="M466" s="103" t="s">
        <v>2399</v>
      </c>
      <c r="N466" s="171">
        <f>MouserListTable12[[#This Row],['# Initial]]*MouserListTable12[[#This Row],[Price (USD)]]</f>
        <v>9.5</v>
      </c>
      <c r="O466" s="106" t="s">
        <v>511</v>
      </c>
      <c r="P466" s="103">
        <f t="shared" si="11"/>
        <v>447</v>
      </c>
      <c r="Q466" s="103">
        <f>IF($D466=$O466,1,0)</f>
        <v>1</v>
      </c>
      <c r="R466" s="103" t="s">
        <v>8</v>
      </c>
      <c r="S466" s="103" t="str">
        <f>_xlfn.IFS(MouserListTable12[[#This Row],[Supplier]]=FilterSpecs!$A$6, FilterSpecs!$B$6,MouserListTable12[[#This Row],[Supplier]]=FilterSpecs!$A$7,FilterSpecs!$B$7,MouserListTable12[[#This Row],[Supplier]]=FilterSpecs!$A$8,FilterSpecs!$B$8,MouserListTable12[[#This Row],[Supplier]]=FilterSpecs!$A$9,FilterSpecs!$B$9)</f>
        <v>474-</v>
      </c>
      <c r="T46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474-PRT-09914</v>
      </c>
      <c r="U466" s="121">
        <v>2</v>
      </c>
      <c r="V466" s="121">
        <v>0</v>
      </c>
      <c r="W466" s="121">
        <v>0</v>
      </c>
      <c r="X466" s="121">
        <f>MouserListTable12[[#This Row],['#/Unit]]*FilterSpecs!$C$3+MouserListTable12[[#This Row],[Extra]]</f>
        <v>10</v>
      </c>
      <c r="Y466" s="121">
        <f>IF(MouserListTable12[[#This Row],[Tag]]=FilterSpecs!$F$7,MouserListTable12[[#This Row],[Price (USD)]],0)</f>
        <v>0.95</v>
      </c>
      <c r="Z466" s="121">
        <f>MouserListTable12[[#This Row],[Tot '#]]*MouserListTable12[[#This Row],[Price (USD)]]</f>
        <v>9.5</v>
      </c>
    </row>
    <row r="467" spans="1:26" s="144" customFormat="1" x14ac:dyDescent="0.3">
      <c r="A467" s="106" t="s">
        <v>897</v>
      </c>
      <c r="B467" s="106" t="s">
        <v>2434</v>
      </c>
      <c r="C467" s="106" t="s">
        <v>8</v>
      </c>
      <c r="D467" s="106" t="str">
        <f>IF(MouserListTable12[[#This Row],[Vendor]]=FilterSpecs!$A$8,MouserListTable12[[#This Row],[Mouser SKU]], MouserListTable12[[#This Row],[SKU2]])</f>
        <v>PRT-09915</v>
      </c>
      <c r="E467" s="121">
        <f>MouserListTable12[[#This Row],[Tot '#]]-MouserListTable12[[#This Row],['# Initial]]</f>
        <v>0</v>
      </c>
      <c r="F467" s="121">
        <f>MouserListTable12[[#This Row],['#/Unit]]*FilterSpecs!$B$3+MouserListTable12[[#This Row],[Extra Initial]]</f>
        <v>5</v>
      </c>
      <c r="G467" s="103" t="s">
        <v>1354</v>
      </c>
      <c r="H467" s="103" t="s">
        <v>1355</v>
      </c>
      <c r="I467" s="106" t="s">
        <v>1356</v>
      </c>
      <c r="J467" s="103">
        <v>1</v>
      </c>
      <c r="K467" s="171">
        <v>1.5</v>
      </c>
      <c r="L467" s="106" t="s">
        <v>1911</v>
      </c>
      <c r="M467" s="103" t="s">
        <v>2399</v>
      </c>
      <c r="N467" s="171">
        <f>MouserListTable12[[#This Row],['# Initial]]*MouserListTable12[[#This Row],[Price (USD)]]</f>
        <v>7.5</v>
      </c>
      <c r="O467" s="106" t="s">
        <v>1353</v>
      </c>
      <c r="P467" s="103">
        <f t="shared" si="11"/>
        <v>448</v>
      </c>
      <c r="Q467" s="103">
        <f>IF($D467=$O467,1,0)</f>
        <v>1</v>
      </c>
      <c r="R467" s="103" t="s">
        <v>8</v>
      </c>
      <c r="S467" s="103" t="str">
        <f>_xlfn.IFS(MouserListTable12[[#This Row],[Supplier]]=FilterSpecs!$A$6, FilterSpecs!$B$6,MouserListTable12[[#This Row],[Supplier]]=FilterSpecs!$A$7,FilterSpecs!$B$7,MouserListTable12[[#This Row],[Supplier]]=FilterSpecs!$A$8,FilterSpecs!$B$8,MouserListTable12[[#This Row],[Supplier]]=FilterSpecs!$A$9,FilterSpecs!$B$9)</f>
        <v>474-</v>
      </c>
      <c r="T46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474-PRT-09915</v>
      </c>
      <c r="U467" s="121">
        <v>1</v>
      </c>
      <c r="V467" s="121">
        <v>0</v>
      </c>
      <c r="W467" s="121">
        <v>0</v>
      </c>
      <c r="X467" s="121">
        <f>MouserListTable12[[#This Row],['#/Unit]]*FilterSpecs!$C$3+MouserListTable12[[#This Row],[Extra]]</f>
        <v>5</v>
      </c>
      <c r="Y467" s="121">
        <f>IF(MouserListTable12[[#This Row],[Tag]]=FilterSpecs!$F$7,MouserListTable12[[#This Row],[Price (USD)]],0)</f>
        <v>1.5</v>
      </c>
      <c r="Z467" s="121">
        <f>MouserListTable12[[#This Row],[Tot '#]]*MouserListTable12[[#This Row],[Price (USD)]]</f>
        <v>7.5</v>
      </c>
    </row>
    <row r="468" spans="1:26" s="144" customFormat="1" x14ac:dyDescent="0.3">
      <c r="A468" s="106" t="s">
        <v>897</v>
      </c>
      <c r="B468" s="106" t="s">
        <v>2434</v>
      </c>
      <c r="C468" s="106" t="s">
        <v>8</v>
      </c>
      <c r="D468" s="106" t="str">
        <f>IF(MouserListTable12[[#This Row],[Vendor]]=FilterSpecs!$A$8,MouserListTable12[[#This Row],[Mouser SKU]], MouserListTable12[[#This Row],[SKU2]])</f>
        <v>PRT-09916</v>
      </c>
      <c r="E468" s="121">
        <f>MouserListTable12[[#This Row],[Tot '#]]-MouserListTable12[[#This Row],['# Initial]]</f>
        <v>0</v>
      </c>
      <c r="F468" s="121">
        <f>MouserListTable12[[#This Row],['#/Unit]]*FilterSpecs!$B$3+MouserListTable12[[#This Row],[Extra Initial]]</f>
        <v>10</v>
      </c>
      <c r="G468" s="103" t="s">
        <v>486</v>
      </c>
      <c r="H468" s="103" t="s">
        <v>487</v>
      </c>
      <c r="I468" s="106" t="s">
        <v>488</v>
      </c>
      <c r="J468" s="103"/>
      <c r="K468" s="171">
        <v>1.5</v>
      </c>
      <c r="L468" s="106" t="s">
        <v>1911</v>
      </c>
      <c r="M468" s="103" t="s">
        <v>2399</v>
      </c>
      <c r="N468" s="171">
        <f>MouserListTable12[[#This Row],['# Initial]]*MouserListTable12[[#This Row],[Price (USD)]]</f>
        <v>15</v>
      </c>
      <c r="O468" s="106" t="s">
        <v>485</v>
      </c>
      <c r="P468" s="103">
        <f t="shared" ref="P468:P531" si="12">IF($P467="List #",1,$P467+1)</f>
        <v>449</v>
      </c>
      <c r="Q468" s="103">
        <f>IF($D468=$O468,1,0)</f>
        <v>1</v>
      </c>
      <c r="R468" s="103" t="s">
        <v>8</v>
      </c>
      <c r="S468" s="103" t="str">
        <f>_xlfn.IFS(MouserListTable12[[#This Row],[Supplier]]=FilterSpecs!$A$6, FilterSpecs!$B$6,MouserListTable12[[#This Row],[Supplier]]=FilterSpecs!$A$7,FilterSpecs!$B$7,MouserListTable12[[#This Row],[Supplier]]=FilterSpecs!$A$8,FilterSpecs!$B$8,MouserListTable12[[#This Row],[Supplier]]=FilterSpecs!$A$9,FilterSpecs!$B$9)</f>
        <v>474-</v>
      </c>
      <c r="T46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474-PRT-09916</v>
      </c>
      <c r="U468" s="121">
        <v>2</v>
      </c>
      <c r="V468" s="121">
        <v>0</v>
      </c>
      <c r="W468" s="121">
        <v>0</v>
      </c>
      <c r="X468" s="121">
        <f>MouserListTable12[[#This Row],['#/Unit]]*FilterSpecs!$C$3+MouserListTable12[[#This Row],[Extra]]</f>
        <v>10</v>
      </c>
      <c r="Y468" s="121">
        <f>IF(MouserListTable12[[#This Row],[Tag]]=FilterSpecs!$F$7,MouserListTable12[[#This Row],[Price (USD)]],0)</f>
        <v>1.5</v>
      </c>
      <c r="Z468" s="121">
        <f>MouserListTable12[[#This Row],[Tot '#]]*MouserListTable12[[#This Row],[Price (USD)]]</f>
        <v>15</v>
      </c>
    </row>
    <row r="469" spans="1:26" s="144" customFormat="1" x14ac:dyDescent="0.3">
      <c r="A469" s="106" t="s">
        <v>897</v>
      </c>
      <c r="B469" s="106" t="s">
        <v>2434</v>
      </c>
      <c r="C469" s="106" t="s">
        <v>1898</v>
      </c>
      <c r="D469" s="106" t="str">
        <f>IF(MouserListTable12[[#This Row],[Vendor]]=FilterSpecs!$A$8,MouserListTable12[[#This Row],[Mouser SKU]], MouserListTable12[[#This Row],[SKU2]])</f>
        <v>3064</v>
      </c>
      <c r="E469" s="121">
        <f>MouserListTable12[[#This Row],[Tot '#]]-MouserListTable12[[#This Row],['# Initial]]</f>
        <v>0</v>
      </c>
      <c r="F469" s="121">
        <f>MouserListTable12[[#This Row],['#/Unit]]*FilterSpecs!$B$3+MouserListTable12[[#This Row],[Extra Initial]]</f>
        <v>5</v>
      </c>
      <c r="G469" s="103"/>
      <c r="H469" s="103"/>
      <c r="I469" s="106" t="s">
        <v>2210</v>
      </c>
      <c r="J469" s="146"/>
      <c r="K469" s="171">
        <v>2.95</v>
      </c>
      <c r="L469" s="106" t="s">
        <v>1911</v>
      </c>
      <c r="M469" s="106" t="s">
        <v>2399</v>
      </c>
      <c r="N469" s="171">
        <f>MouserListTable12[[#This Row],['# Initial]]*MouserListTable12[[#This Row],[Price (USD)]]</f>
        <v>14.75</v>
      </c>
      <c r="O469" s="106" t="s">
        <v>2209</v>
      </c>
      <c r="P469" s="103">
        <f t="shared" si="12"/>
        <v>450</v>
      </c>
      <c r="Q469" s="103">
        <f>IF($D469=$O469,1,0)</f>
        <v>1</v>
      </c>
      <c r="R469" s="103" t="s">
        <v>1898</v>
      </c>
      <c r="S469" s="103" t="str">
        <f>_xlfn.IFS(MouserListTable12[[#This Row],[Supplier]]=FilterSpecs!$A$6, FilterSpecs!$B$6,MouserListTable12[[#This Row],[Supplier]]=FilterSpecs!$A$7,FilterSpecs!$B$7,MouserListTable12[[#This Row],[Supplier]]=FilterSpecs!$A$8,FilterSpecs!$B$8,MouserListTable12[[#This Row],[Supplier]]=FilterSpecs!$A$9,FilterSpecs!$B$9)</f>
        <v>485-</v>
      </c>
      <c r="T46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485-3064</v>
      </c>
      <c r="U469" s="121">
        <v>1</v>
      </c>
      <c r="V469" s="121">
        <v>0</v>
      </c>
      <c r="W469" s="121">
        <v>0</v>
      </c>
      <c r="X469" s="121">
        <f>MouserListTable12[[#This Row],['#/Unit]]*FilterSpecs!$C$3+MouserListTable12[[#This Row],[Extra]]</f>
        <v>5</v>
      </c>
      <c r="Y469" s="121">
        <f>IF(MouserListTable12[[#This Row],[Tag]]=FilterSpecs!$F$7,MouserListTable12[[#This Row],[Price (USD)]],0)</f>
        <v>2.95</v>
      </c>
      <c r="Z469" s="121">
        <f>MouserListTable12[[#This Row],[Tot '#]]*MouserListTable12[[#This Row],[Price (USD)]]</f>
        <v>14.75</v>
      </c>
    </row>
    <row r="470" spans="1:26" s="144" customFormat="1" hidden="1" x14ac:dyDescent="0.3">
      <c r="A470" s="106" t="s">
        <v>897</v>
      </c>
      <c r="B470" s="106" t="s">
        <v>2434</v>
      </c>
      <c r="C470" s="106" t="s">
        <v>1898</v>
      </c>
      <c r="D470" s="106" t="str">
        <f>IF(MouserListTable12[[#This Row],[Vendor]]=FilterSpecs!$A$8,MouserListTable12[[#This Row],[Mouser SKU]], MouserListTable12[[#This Row],[SKU2]])</f>
        <v>3568</v>
      </c>
      <c r="E470" s="121">
        <f>MouserListTable12[[#This Row],[Tot '#]]-MouserListTable12[[#This Row],['# Initial]]</f>
        <v>0</v>
      </c>
      <c r="F470" s="121">
        <f>MouserListTable12[[#This Row],['#/Unit]]*FilterSpecs!$B$3+MouserListTable12[[#This Row],[Extra Initial]]</f>
        <v>0</v>
      </c>
      <c r="G470" s="103"/>
      <c r="H470" s="103"/>
      <c r="I470" s="146" t="s">
        <v>2212</v>
      </c>
      <c r="J470" s="146"/>
      <c r="K470" s="172">
        <v>0.75</v>
      </c>
      <c r="L470" s="146" t="s">
        <v>1910</v>
      </c>
      <c r="M470" s="146" t="s">
        <v>2399</v>
      </c>
      <c r="N470" s="171">
        <f>MouserListTable12[[#This Row],['# Initial]]*MouserListTable12[[#This Row],[Price (USD)]]</f>
        <v>0</v>
      </c>
      <c r="O470" s="106" t="s">
        <v>2211</v>
      </c>
      <c r="P470" s="103">
        <f t="shared" si="12"/>
        <v>451</v>
      </c>
      <c r="Q470" s="103">
        <f>IF($D470=$O470,1,0)</f>
        <v>1</v>
      </c>
      <c r="R470" s="103" t="s">
        <v>1898</v>
      </c>
      <c r="S470" s="103" t="str">
        <f>_xlfn.IFS(MouserListTable12[[#This Row],[Supplier]]=FilterSpecs!$A$6, FilterSpecs!$B$6,MouserListTable12[[#This Row],[Supplier]]=FilterSpecs!$A$7,FilterSpecs!$B$7,MouserListTable12[[#This Row],[Supplier]]=FilterSpecs!$A$8,FilterSpecs!$B$8,MouserListTable12[[#This Row],[Supplier]]=FilterSpecs!$A$9,FilterSpecs!$B$9)</f>
        <v>485-</v>
      </c>
      <c r="T47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485-3568</v>
      </c>
      <c r="U470" s="121">
        <v>0</v>
      </c>
      <c r="V470" s="121">
        <v>0</v>
      </c>
      <c r="W470" s="121">
        <v>0</v>
      </c>
      <c r="X470" s="121">
        <f>MouserListTable12[[#This Row],['#/Unit]]*FilterSpecs!$C$3+MouserListTable12[[#This Row],[Extra]]</f>
        <v>0</v>
      </c>
      <c r="Y470" s="121">
        <f>IF(MouserListTable12[[#This Row],[Tag]]=FilterSpecs!$F$7,MouserListTable12[[#This Row],[Price (USD)]],0)</f>
        <v>0</v>
      </c>
      <c r="Z470" s="121">
        <f>MouserListTable12[[#This Row],[Tot '#]]*MouserListTable12[[#This Row],[Price (USD)]]</f>
        <v>0</v>
      </c>
    </row>
    <row r="471" spans="1:26" s="144" customFormat="1" x14ac:dyDescent="0.3">
      <c r="A471" s="106" t="s">
        <v>897</v>
      </c>
      <c r="B471" s="106" t="s">
        <v>2435</v>
      </c>
      <c r="C471" s="106" t="s">
        <v>8</v>
      </c>
      <c r="D471" s="106" t="str">
        <f>IF(MouserListTable12[[#This Row],[Vendor]]=FilterSpecs!$A$8,MouserListTable12[[#This Row],[Mouser SKU]], MouserListTable12[[#This Row],[SKU2]])</f>
        <v>PRT-10359</v>
      </c>
      <c r="E471" s="121">
        <f>MouserListTable12[[#This Row],[Tot '#]]-MouserListTable12[[#This Row],['# Initial]]</f>
        <v>0</v>
      </c>
      <c r="F471" s="121">
        <f>MouserListTable12[[#This Row],['#/Unit]]*FilterSpecs!$B$3+MouserListTable12[[#This Row],[Extra Initial]]</f>
        <v>5</v>
      </c>
      <c r="G471" s="103" t="s">
        <v>1820</v>
      </c>
      <c r="H471" s="103" t="s">
        <v>1821</v>
      </c>
      <c r="I471" s="106" t="s">
        <v>1822</v>
      </c>
      <c r="J471" s="103"/>
      <c r="K471" s="171">
        <v>1.5</v>
      </c>
      <c r="L471" s="106" t="s">
        <v>1911</v>
      </c>
      <c r="M471" s="103" t="s">
        <v>2398</v>
      </c>
      <c r="N471" s="171">
        <f>MouserListTable12[[#This Row],['# Initial]]*MouserListTable12[[#This Row],[Price (USD)]]</f>
        <v>7.5</v>
      </c>
      <c r="O471" s="106" t="s">
        <v>1819</v>
      </c>
      <c r="P471" s="103">
        <f t="shared" si="12"/>
        <v>452</v>
      </c>
      <c r="Q471" s="103">
        <f>IF($D471=$O471,1,0)</f>
        <v>1</v>
      </c>
      <c r="R471" s="103" t="s">
        <v>8</v>
      </c>
      <c r="S471" s="103" t="str">
        <f>_xlfn.IFS(MouserListTable12[[#This Row],[Supplier]]=FilterSpecs!$A$6, FilterSpecs!$B$6,MouserListTable12[[#This Row],[Supplier]]=FilterSpecs!$A$7,FilterSpecs!$B$7,MouserListTable12[[#This Row],[Supplier]]=FilterSpecs!$A$8,FilterSpecs!$B$8,MouserListTable12[[#This Row],[Supplier]]=FilterSpecs!$A$9,FilterSpecs!$B$9)</f>
        <v>474-</v>
      </c>
      <c r="T47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474-PRT-10359</v>
      </c>
      <c r="U471" s="121">
        <v>1</v>
      </c>
      <c r="V471" s="121">
        <v>0</v>
      </c>
      <c r="W471" s="121">
        <v>0</v>
      </c>
      <c r="X471" s="121">
        <f>MouserListTable12[[#This Row],['#/Unit]]*FilterSpecs!$C$3+MouserListTable12[[#This Row],[Extra]]</f>
        <v>5</v>
      </c>
      <c r="Y471" s="121">
        <f>IF(MouserListTable12[[#This Row],[Tag]]=FilterSpecs!$F$7,MouserListTable12[[#This Row],[Price (USD)]],0)</f>
        <v>1.5</v>
      </c>
      <c r="Z471" s="121">
        <f>MouserListTable12[[#This Row],[Tot '#]]*MouserListTable12[[#This Row],[Price (USD)]]</f>
        <v>7.5</v>
      </c>
    </row>
    <row r="472" spans="1:26" s="144" customFormat="1" hidden="1" x14ac:dyDescent="0.3">
      <c r="A472" s="146" t="s">
        <v>897</v>
      </c>
      <c r="B472" s="146" t="s">
        <v>2435</v>
      </c>
      <c r="C472" s="146" t="s">
        <v>8</v>
      </c>
      <c r="D472" s="106" t="str">
        <f>IF(MouserListTable12[[#This Row],[Vendor]]=FilterSpecs!$A$8,MouserListTable12[[#This Row],[Mouser SKU]], MouserListTable12[[#This Row],[SKU2]])</f>
        <v>GPS-00574</v>
      </c>
      <c r="E472" s="121">
        <f>MouserListTable12[[#This Row],[Tot '#]]-MouserListTable12[[#This Row],['# Initial]]</f>
        <v>0</v>
      </c>
      <c r="F472" s="121">
        <f>MouserListTable12[[#This Row],['#/Unit]]*FilterSpecs!$B$3+MouserListTable12[[#This Row],[Extra Initial]]</f>
        <v>0</v>
      </c>
      <c r="G472" s="103" t="s">
        <v>1812</v>
      </c>
      <c r="H472" s="103" t="s">
        <v>1813</v>
      </c>
      <c r="I472" s="106" t="s">
        <v>1814</v>
      </c>
      <c r="J472" s="103"/>
      <c r="K472" s="171">
        <v>2.95</v>
      </c>
      <c r="L472" s="106" t="s">
        <v>1910</v>
      </c>
      <c r="M472" s="103" t="s">
        <v>2398</v>
      </c>
      <c r="N472" s="171">
        <f>MouserListTable12[[#This Row],['# Initial]]*MouserListTable12[[#This Row],[Price (USD)]]</f>
        <v>0</v>
      </c>
      <c r="O472" s="106" t="s">
        <v>1811</v>
      </c>
      <c r="P472" s="103">
        <f t="shared" si="12"/>
        <v>453</v>
      </c>
      <c r="Q472" s="103">
        <f>IF($D472=$O472,1,0)</f>
        <v>1</v>
      </c>
      <c r="R472" s="103" t="s">
        <v>8</v>
      </c>
      <c r="S472" s="103" t="str">
        <f>_xlfn.IFS(MouserListTable12[[#This Row],[Supplier]]=FilterSpecs!$A$6, FilterSpecs!$B$6,MouserListTable12[[#This Row],[Supplier]]=FilterSpecs!$A$7,FilterSpecs!$B$7,MouserListTable12[[#This Row],[Supplier]]=FilterSpecs!$A$8,FilterSpecs!$B$8,MouserListTable12[[#This Row],[Supplier]]=FilterSpecs!$A$9,FilterSpecs!$B$9)</f>
        <v>474-</v>
      </c>
      <c r="T47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474-GPS-00574</v>
      </c>
      <c r="U472" s="121">
        <v>0</v>
      </c>
      <c r="V472" s="121">
        <v>0</v>
      </c>
      <c r="W472" s="121">
        <v>0</v>
      </c>
      <c r="X472" s="121">
        <f>MouserListTable12[[#This Row],['#/Unit]]*FilterSpecs!$C$3+MouserListTable12[[#This Row],[Extra]]</f>
        <v>0</v>
      </c>
      <c r="Y472" s="121">
        <f>IF(MouserListTable12[[#This Row],[Tag]]=FilterSpecs!$F$7,MouserListTable12[[#This Row],[Price (USD)]],0)</f>
        <v>0</v>
      </c>
      <c r="Z472" s="121">
        <f>MouserListTable12[[#This Row],[Tot '#]]*MouserListTable12[[#This Row],[Price (USD)]]</f>
        <v>0</v>
      </c>
    </row>
    <row r="473" spans="1:26" s="144" customFormat="1" hidden="1" x14ac:dyDescent="0.3">
      <c r="A473" s="146" t="s">
        <v>897</v>
      </c>
      <c r="B473" s="146" t="s">
        <v>2435</v>
      </c>
      <c r="C473" s="146" t="s">
        <v>8</v>
      </c>
      <c r="D473" s="106" t="str">
        <f>IF(MouserListTable12[[#This Row],[Vendor]]=FilterSpecs!$A$8,MouserListTable12[[#This Row],[Mouser SKU]], MouserListTable12[[#This Row],[SKU2]])</f>
        <v>PRT-10361</v>
      </c>
      <c r="E473" s="121">
        <f>MouserListTable12[[#This Row],[Tot '#]]-MouserListTable12[[#This Row],['# Initial]]</f>
        <v>0</v>
      </c>
      <c r="F473" s="121">
        <f>MouserListTable12[[#This Row],['#/Unit]]*FilterSpecs!$B$3+MouserListTable12[[#This Row],[Extra Initial]]</f>
        <v>0</v>
      </c>
      <c r="G473" s="103" t="s">
        <v>1804</v>
      </c>
      <c r="H473" s="103" t="s">
        <v>1805</v>
      </c>
      <c r="I473" s="106" t="s">
        <v>1806</v>
      </c>
      <c r="J473" s="103"/>
      <c r="K473" s="171">
        <v>1.5</v>
      </c>
      <c r="L473" s="106" t="s">
        <v>1910</v>
      </c>
      <c r="M473" s="103" t="s">
        <v>2398</v>
      </c>
      <c r="N473" s="171">
        <f>MouserListTable12[[#This Row],['# Initial]]*MouserListTable12[[#This Row],[Price (USD)]]</f>
        <v>0</v>
      </c>
      <c r="O473" s="106" t="s">
        <v>1803</v>
      </c>
      <c r="P473" s="103">
        <f t="shared" si="12"/>
        <v>454</v>
      </c>
      <c r="Q473" s="103">
        <f>IF($D473=$O473,1,0)</f>
        <v>1</v>
      </c>
      <c r="R473" s="103" t="s">
        <v>8</v>
      </c>
      <c r="S473" s="103" t="str">
        <f>_xlfn.IFS(MouserListTable12[[#This Row],[Supplier]]=FilterSpecs!$A$6, FilterSpecs!$B$6,MouserListTable12[[#This Row],[Supplier]]=FilterSpecs!$A$7,FilterSpecs!$B$7,MouserListTable12[[#This Row],[Supplier]]=FilterSpecs!$A$8,FilterSpecs!$B$8,MouserListTable12[[#This Row],[Supplier]]=FilterSpecs!$A$9,FilterSpecs!$B$9)</f>
        <v>474-</v>
      </c>
      <c r="T47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474-PRT-10361</v>
      </c>
      <c r="U473" s="121">
        <v>0</v>
      </c>
      <c r="V473" s="121">
        <v>0</v>
      </c>
      <c r="W473" s="121">
        <v>0</v>
      </c>
      <c r="X473" s="121">
        <f>MouserListTable12[[#This Row],['#/Unit]]*FilterSpecs!$C$3+MouserListTable12[[#This Row],[Extra]]</f>
        <v>0</v>
      </c>
      <c r="Y473" s="121">
        <f>IF(MouserListTable12[[#This Row],[Tag]]=FilterSpecs!$F$7,MouserListTable12[[#This Row],[Price (USD)]],0)</f>
        <v>0</v>
      </c>
      <c r="Z473" s="121">
        <f>MouserListTable12[[#This Row],[Tot '#]]*MouserListTable12[[#This Row],[Price (USD)]]</f>
        <v>0</v>
      </c>
    </row>
    <row r="474" spans="1:26" s="144" customFormat="1" hidden="1" x14ac:dyDescent="0.3">
      <c r="A474" s="146" t="s">
        <v>897</v>
      </c>
      <c r="B474" s="146" t="s">
        <v>2435</v>
      </c>
      <c r="C474" s="146" t="s">
        <v>8</v>
      </c>
      <c r="D474" s="106" t="str">
        <f>IF(MouserListTable12[[#This Row],[Vendor]]=FilterSpecs!$A$8,MouserListTable12[[#This Row],[Mouser SKU]], MouserListTable12[[#This Row],[SKU2]])</f>
        <v>GPS-09123</v>
      </c>
      <c r="E474" s="121">
        <f>MouserListTable12[[#This Row],[Tot '#]]-MouserListTable12[[#This Row],['# Initial]]</f>
        <v>0</v>
      </c>
      <c r="F474" s="121">
        <f>MouserListTable12[[#This Row],['#/Unit]]*FilterSpecs!$B$3+MouserListTable12[[#This Row],[Extra Initial]]</f>
        <v>0</v>
      </c>
      <c r="G474" s="103" t="s">
        <v>1816</v>
      </c>
      <c r="H474" s="103" t="s">
        <v>1817</v>
      </c>
      <c r="I474" s="106" t="s">
        <v>1818</v>
      </c>
      <c r="J474" s="103">
        <v>1</v>
      </c>
      <c r="K474" s="171">
        <v>2.95</v>
      </c>
      <c r="L474" s="106" t="s">
        <v>1910</v>
      </c>
      <c r="M474" s="103" t="s">
        <v>2398</v>
      </c>
      <c r="N474" s="171">
        <f>MouserListTable12[[#This Row],['# Initial]]*MouserListTable12[[#This Row],[Price (USD)]]</f>
        <v>0</v>
      </c>
      <c r="O474" s="106" t="s">
        <v>1815</v>
      </c>
      <c r="P474" s="103">
        <f t="shared" si="12"/>
        <v>455</v>
      </c>
      <c r="Q474" s="103">
        <f>IF($D474=$O474,1,0)</f>
        <v>1</v>
      </c>
      <c r="R474" s="103" t="s">
        <v>8</v>
      </c>
      <c r="S474" s="103" t="str">
        <f>_xlfn.IFS(MouserListTable12[[#This Row],[Supplier]]=FilterSpecs!$A$6, FilterSpecs!$B$6,MouserListTable12[[#This Row],[Supplier]]=FilterSpecs!$A$7,FilterSpecs!$B$7,MouserListTable12[[#This Row],[Supplier]]=FilterSpecs!$A$8,FilterSpecs!$B$8,MouserListTable12[[#This Row],[Supplier]]=FilterSpecs!$A$9,FilterSpecs!$B$9)</f>
        <v>474-</v>
      </c>
      <c r="T47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474-GPS-09123</v>
      </c>
      <c r="U474" s="121">
        <v>0</v>
      </c>
      <c r="V474" s="121">
        <v>0</v>
      </c>
      <c r="W474" s="121">
        <v>0</v>
      </c>
      <c r="X474" s="121">
        <f>MouserListTable12[[#This Row],['#/Unit]]*FilterSpecs!$C$3+MouserListTable12[[#This Row],[Extra]]</f>
        <v>0</v>
      </c>
      <c r="Y474" s="121">
        <f>IF(MouserListTable12[[#This Row],[Tag]]=FilterSpecs!$F$7,MouserListTable12[[#This Row],[Price (USD)]],0)</f>
        <v>0</v>
      </c>
      <c r="Z474" s="121">
        <f>MouserListTable12[[#This Row],[Tot '#]]*MouserListTable12[[#This Row],[Price (USD)]]</f>
        <v>0</v>
      </c>
    </row>
    <row r="475" spans="1:26" s="144" customFormat="1" hidden="1" x14ac:dyDescent="0.3">
      <c r="A475" s="146" t="s">
        <v>897</v>
      </c>
      <c r="B475" s="146" t="s">
        <v>2435</v>
      </c>
      <c r="C475" s="146" t="s">
        <v>8</v>
      </c>
      <c r="D475" s="106" t="str">
        <f>IF(MouserListTable12[[#This Row],[Vendor]]=FilterSpecs!$A$8,MouserListTable12[[#This Row],[Mouser SKU]], MouserListTable12[[#This Row],[SKU2]])</f>
        <v>PRT-10853</v>
      </c>
      <c r="E475" s="121">
        <f>MouserListTable12[[#This Row],[Tot '#]]-MouserListTable12[[#This Row],['# Initial]]</f>
        <v>0</v>
      </c>
      <c r="F475" s="121">
        <f>MouserListTable12[[#This Row],['#/Unit]]*FilterSpecs!$B$3+MouserListTable12[[#This Row],[Extra Initial]]</f>
        <v>0</v>
      </c>
      <c r="G475" s="103" t="s">
        <v>2431</v>
      </c>
      <c r="H475" s="103" t="s">
        <v>2432</v>
      </c>
      <c r="I475" s="106" t="s">
        <v>2433</v>
      </c>
      <c r="J475" s="103">
        <v>1</v>
      </c>
      <c r="K475" s="171">
        <v>0.95</v>
      </c>
      <c r="L475" s="146" t="s">
        <v>1910</v>
      </c>
      <c r="M475" s="146" t="s">
        <v>2398</v>
      </c>
      <c r="N475" s="171">
        <f>MouserListTable12[[#This Row],['# Initial]]*MouserListTable12[[#This Row],[Price (USD)]]</f>
        <v>0</v>
      </c>
      <c r="O475" s="106" t="s">
        <v>2430</v>
      </c>
      <c r="P475" s="103">
        <f t="shared" si="12"/>
        <v>456</v>
      </c>
      <c r="Q475" s="103">
        <f>IF($D475=$O475,1,0)</f>
        <v>1</v>
      </c>
      <c r="R475" s="103" t="s">
        <v>8</v>
      </c>
      <c r="S475" s="103" t="str">
        <f>_xlfn.IFS(MouserListTable12[[#This Row],[Supplier]]=FilterSpecs!$A$6, FilterSpecs!$B$6,MouserListTable12[[#This Row],[Supplier]]=FilterSpecs!$A$7,FilterSpecs!$B$7,MouserListTable12[[#This Row],[Supplier]]=FilterSpecs!$A$8,FilterSpecs!$B$8,MouserListTable12[[#This Row],[Supplier]]=FilterSpecs!$A$9,FilterSpecs!$B$9)</f>
        <v>474-</v>
      </c>
      <c r="T47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474-PRT-10853</v>
      </c>
      <c r="U475" s="121">
        <v>0</v>
      </c>
      <c r="V475" s="121">
        <v>0</v>
      </c>
      <c r="W475" s="121">
        <v>0</v>
      </c>
      <c r="X475" s="121">
        <f>MouserListTable12[[#This Row],['#/Unit]]*FilterSpecs!$C$3+MouserListTable12[[#This Row],[Extra]]</f>
        <v>0</v>
      </c>
      <c r="Y475" s="121">
        <f>IF(MouserListTable12[[#This Row],[Tag]]=FilterSpecs!$F$7,MouserListTable12[[#This Row],[Price (USD)]],0)</f>
        <v>0</v>
      </c>
      <c r="Z475" s="121">
        <f>MouserListTable12[[#This Row],[Tot '#]]*MouserListTable12[[#This Row],[Price (USD)]]</f>
        <v>0</v>
      </c>
    </row>
    <row r="476" spans="1:26" s="144" customFormat="1" hidden="1" x14ac:dyDescent="0.3">
      <c r="A476" s="106" t="s">
        <v>897</v>
      </c>
      <c r="B476" s="106" t="s">
        <v>2436</v>
      </c>
      <c r="C476" s="106" t="s">
        <v>1898</v>
      </c>
      <c r="D476" s="106" t="str">
        <f>IF(MouserListTable12[[#This Row],[Vendor]]=FilterSpecs!$A$8,MouserListTable12[[#This Row],[Mouser SKU]], MouserListTable12[[#This Row],[SKU2]])</f>
        <v>578</v>
      </c>
      <c r="E476" s="121">
        <f>MouserListTable12[[#This Row],[Tot '#]]-MouserListTable12[[#This Row],['# Initial]]</f>
        <v>0</v>
      </c>
      <c r="F476" s="121">
        <f>MouserListTable12[[#This Row],['#/Unit]]*FilterSpecs!$B$3+MouserListTable12[[#This Row],[Extra Initial]]</f>
        <v>0</v>
      </c>
      <c r="G476" s="103"/>
      <c r="H476" s="103"/>
      <c r="I476" s="146" t="s">
        <v>2208</v>
      </c>
      <c r="J476" s="146"/>
      <c r="K476" s="172">
        <v>1.5</v>
      </c>
      <c r="L476" s="146" t="s">
        <v>1913</v>
      </c>
      <c r="M476" s="146" t="s">
        <v>2399</v>
      </c>
      <c r="N476" s="171">
        <f>MouserListTable12[[#This Row],['# Initial]]*MouserListTable12[[#This Row],[Price (USD)]]</f>
        <v>0</v>
      </c>
      <c r="O476" s="106" t="s">
        <v>2207</v>
      </c>
      <c r="P476" s="103">
        <f t="shared" si="12"/>
        <v>457</v>
      </c>
      <c r="Q476" s="103">
        <f>IF($D476=$O476,1,0)</f>
        <v>1</v>
      </c>
      <c r="R476" s="103" t="s">
        <v>1898</v>
      </c>
      <c r="S476" s="103" t="str">
        <f>_xlfn.IFS(MouserListTable12[[#This Row],[Supplier]]=FilterSpecs!$A$6, FilterSpecs!$B$6,MouserListTable12[[#This Row],[Supplier]]=FilterSpecs!$A$7,FilterSpecs!$B$7,MouserListTable12[[#This Row],[Supplier]]=FilterSpecs!$A$8,FilterSpecs!$B$8,MouserListTable12[[#This Row],[Supplier]]=FilterSpecs!$A$9,FilterSpecs!$B$9)</f>
        <v>485-</v>
      </c>
      <c r="T47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485-578</v>
      </c>
      <c r="U476" s="121">
        <v>0</v>
      </c>
      <c r="V476" s="121">
        <v>0</v>
      </c>
      <c r="W476" s="121">
        <v>0</v>
      </c>
      <c r="X476" s="121">
        <f>MouserListTable12[[#This Row],['#/Unit]]*FilterSpecs!$C$3+MouserListTable12[[#This Row],[Extra]]</f>
        <v>0</v>
      </c>
      <c r="Y476" s="121">
        <f>IF(MouserListTable12[[#This Row],[Tag]]=FilterSpecs!$F$7,MouserListTable12[[#This Row],[Price (USD)]],0)</f>
        <v>0</v>
      </c>
      <c r="Z476" s="121">
        <f>MouserListTable12[[#This Row],[Tot '#]]*MouserListTable12[[#This Row],[Price (USD)]]</f>
        <v>0</v>
      </c>
    </row>
    <row r="477" spans="1:26" s="144" customFormat="1" x14ac:dyDescent="0.3">
      <c r="A477" s="106" t="s">
        <v>897</v>
      </c>
      <c r="B477" s="106" t="s">
        <v>1611</v>
      </c>
      <c r="C477" s="106" t="s">
        <v>8</v>
      </c>
      <c r="D477" s="106" t="str">
        <f>IF(MouserListTable12[[#This Row],[Vendor]]=FilterSpecs!$A$8,MouserListTable12[[#This Row],[Mouser SKU]], MouserListTable12[[#This Row],[SKU2]])</f>
        <v>CAB-13685</v>
      </c>
      <c r="E477" s="121">
        <f>MouserListTable12[[#This Row],[Tot '#]]-MouserListTable12[[#This Row],['# Initial]]</f>
        <v>1</v>
      </c>
      <c r="F477" s="121">
        <f>MouserListTable12[[#This Row],['#/Unit]]*FilterSpecs!$B$3+MouserListTable12[[#This Row],[Extra Initial]]</f>
        <v>5</v>
      </c>
      <c r="G477" s="103" t="s">
        <v>520</v>
      </c>
      <c r="H477" s="103" t="s">
        <v>521</v>
      </c>
      <c r="I477" s="106" t="s">
        <v>522</v>
      </c>
      <c r="J477" s="103">
        <v>1</v>
      </c>
      <c r="K477" s="171">
        <v>1.5</v>
      </c>
      <c r="L477" s="106" t="s">
        <v>1911</v>
      </c>
      <c r="M477" s="103" t="s">
        <v>2399</v>
      </c>
      <c r="N477" s="171">
        <f>MouserListTable12[[#This Row],['# Initial]]*MouserListTable12[[#This Row],[Price (USD)]]</f>
        <v>7.5</v>
      </c>
      <c r="O477" s="106" t="s">
        <v>519</v>
      </c>
      <c r="P477" s="103">
        <f t="shared" si="12"/>
        <v>458</v>
      </c>
      <c r="Q477" s="103">
        <f>IF($D477=$O477,1,0)</f>
        <v>1</v>
      </c>
      <c r="R477" s="103" t="s">
        <v>8</v>
      </c>
      <c r="S477" s="103" t="str">
        <f>_xlfn.IFS(MouserListTable12[[#This Row],[Supplier]]=FilterSpecs!$A$6, FilterSpecs!$B$6,MouserListTable12[[#This Row],[Supplier]]=FilterSpecs!$A$7,FilterSpecs!$B$7,MouserListTable12[[#This Row],[Supplier]]=FilterSpecs!$A$8,FilterSpecs!$B$8,MouserListTable12[[#This Row],[Supplier]]=FilterSpecs!$A$9,FilterSpecs!$B$9)</f>
        <v>474-</v>
      </c>
      <c r="T47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474-CAB-13685</v>
      </c>
      <c r="U477" s="121">
        <v>1</v>
      </c>
      <c r="V477" s="121">
        <v>1</v>
      </c>
      <c r="W477" s="121">
        <v>0</v>
      </c>
      <c r="X477" s="121">
        <f>MouserListTable12[[#This Row],['#/Unit]]*FilterSpecs!$C$3+MouserListTable12[[#This Row],[Extra]]</f>
        <v>6</v>
      </c>
      <c r="Y477" s="121">
        <f>IF(MouserListTable12[[#This Row],[Tag]]=FilterSpecs!$F$7,MouserListTable12[[#This Row],[Price (USD)]],0)</f>
        <v>1.5</v>
      </c>
      <c r="Z477" s="121">
        <f>MouserListTable12[[#This Row],[Tot '#]]*MouserListTable12[[#This Row],[Price (USD)]]</f>
        <v>9</v>
      </c>
    </row>
    <row r="478" spans="1:26" s="144" customFormat="1" hidden="1" x14ac:dyDescent="0.3">
      <c r="A478" s="146" t="s">
        <v>897</v>
      </c>
      <c r="B478" s="146" t="s">
        <v>1611</v>
      </c>
      <c r="C478" s="146" t="s">
        <v>8</v>
      </c>
      <c r="D478" s="106" t="str">
        <f>IF(MouserListTable12[[#This Row],[Vendor]]=FilterSpecs!$A$8,MouserListTable12[[#This Row],[Mouser SKU]], MouserListTable12[[#This Row],[SKU2]])</f>
        <v>PRT-08599</v>
      </c>
      <c r="E478" s="121">
        <f>MouserListTable12[[#This Row],[Tot '#]]-MouserListTable12[[#This Row],['# Initial]]</f>
        <v>0</v>
      </c>
      <c r="F478" s="121">
        <f>MouserListTable12[[#This Row],['#/Unit]]*FilterSpecs!$B$3+MouserListTable12[[#This Row],[Extra Initial]]</f>
        <v>0</v>
      </c>
      <c r="G478" s="103" t="s">
        <v>584</v>
      </c>
      <c r="H478" s="103" t="s">
        <v>585</v>
      </c>
      <c r="I478" s="106" t="s">
        <v>586</v>
      </c>
      <c r="J478" s="103">
        <v>1</v>
      </c>
      <c r="K478" s="171">
        <v>1.5</v>
      </c>
      <c r="L478" s="106" t="s">
        <v>1910</v>
      </c>
      <c r="M478" s="103" t="s">
        <v>2399</v>
      </c>
      <c r="N478" s="171">
        <f>MouserListTable12[[#This Row],['# Initial]]*MouserListTable12[[#This Row],[Price (USD)]]</f>
        <v>0</v>
      </c>
      <c r="O478" s="106" t="s">
        <v>583</v>
      </c>
      <c r="P478" s="103">
        <f t="shared" si="12"/>
        <v>459</v>
      </c>
      <c r="Q478" s="103">
        <f>IF($D478=$O478,1,0)</f>
        <v>1</v>
      </c>
      <c r="R478" s="103" t="s">
        <v>8</v>
      </c>
      <c r="S478" s="103" t="str">
        <f>_xlfn.IFS(MouserListTable12[[#This Row],[Supplier]]=FilterSpecs!$A$6, FilterSpecs!$B$6,MouserListTable12[[#This Row],[Supplier]]=FilterSpecs!$A$7,FilterSpecs!$B$7,MouserListTable12[[#This Row],[Supplier]]=FilterSpecs!$A$8,FilterSpecs!$B$8,MouserListTable12[[#This Row],[Supplier]]=FilterSpecs!$A$9,FilterSpecs!$B$9)</f>
        <v>474-</v>
      </c>
      <c r="T47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474-PRT-08599</v>
      </c>
      <c r="U478" s="121">
        <v>0</v>
      </c>
      <c r="V478" s="121">
        <v>0</v>
      </c>
      <c r="W478" s="121">
        <v>0</v>
      </c>
      <c r="X478" s="121">
        <f>MouserListTable12[[#This Row],['#/Unit]]*FilterSpecs!$C$3+MouserListTable12[[#This Row],[Extra]]</f>
        <v>0</v>
      </c>
      <c r="Y478" s="121">
        <f>IF(MouserListTable12[[#This Row],[Tag]]=FilterSpecs!$F$7,MouserListTable12[[#This Row],[Price (USD)]],0)</f>
        <v>0</v>
      </c>
      <c r="Z478" s="121">
        <f>MouserListTable12[[#This Row],[Tot '#]]*MouserListTable12[[#This Row],[Price (USD)]]</f>
        <v>0</v>
      </c>
    </row>
    <row r="479" spans="1:26" s="144" customFormat="1" hidden="1" x14ac:dyDescent="0.3">
      <c r="A479" s="146" t="s">
        <v>897</v>
      </c>
      <c r="B479" s="146" t="s">
        <v>1611</v>
      </c>
      <c r="C479" s="146" t="s">
        <v>8</v>
      </c>
      <c r="D479" s="106" t="str">
        <f>IF(MouserListTable12[[#This Row],[Vendor]]=FilterSpecs!$A$8,MouserListTable12[[#This Row],[Mouser SKU]], MouserListTable12[[#This Row],[SKU2]])</f>
        <v>PRT-08598</v>
      </c>
      <c r="E479" s="121">
        <f>MouserListTable12[[#This Row],[Tot '#]]-MouserListTable12[[#This Row],['# Initial]]</f>
        <v>0</v>
      </c>
      <c r="F479" s="121">
        <f>MouserListTable12[[#This Row],['#/Unit]]*FilterSpecs!$B$3+MouserListTable12[[#This Row],[Extra Initial]]</f>
        <v>0</v>
      </c>
      <c r="G479" s="103" t="s">
        <v>1752</v>
      </c>
      <c r="H479" s="103" t="s">
        <v>1753</v>
      </c>
      <c r="I479" s="106" t="s">
        <v>1754</v>
      </c>
      <c r="J479" s="103">
        <v>1</v>
      </c>
      <c r="K479" s="171">
        <v>1.5</v>
      </c>
      <c r="L479" s="106" t="s">
        <v>1913</v>
      </c>
      <c r="M479" s="103" t="s">
        <v>2399</v>
      </c>
      <c r="N479" s="171">
        <f>MouserListTable12[[#This Row],['# Initial]]*MouserListTable12[[#This Row],[Price (USD)]]</f>
        <v>0</v>
      </c>
      <c r="O479" s="106" t="s">
        <v>1751</v>
      </c>
      <c r="P479" s="103">
        <f t="shared" si="12"/>
        <v>460</v>
      </c>
      <c r="Q479" s="103">
        <f>IF($D479=$O479,1,0)</f>
        <v>1</v>
      </c>
      <c r="R479" s="103" t="s">
        <v>8</v>
      </c>
      <c r="S479" s="103" t="str">
        <f>_xlfn.IFS(MouserListTable12[[#This Row],[Supplier]]=FilterSpecs!$A$6, FilterSpecs!$B$6,MouserListTable12[[#This Row],[Supplier]]=FilterSpecs!$A$7,FilterSpecs!$B$7,MouserListTable12[[#This Row],[Supplier]]=FilterSpecs!$A$8,FilterSpecs!$B$8,MouserListTable12[[#This Row],[Supplier]]=FilterSpecs!$A$9,FilterSpecs!$B$9)</f>
        <v>474-</v>
      </c>
      <c r="T47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474-PRT-08598</v>
      </c>
      <c r="U479" s="121">
        <v>0</v>
      </c>
      <c r="V479" s="121">
        <v>0</v>
      </c>
      <c r="W479" s="121">
        <v>0</v>
      </c>
      <c r="X479" s="121">
        <f>MouserListTable12[[#This Row],['#/Unit]]*FilterSpecs!$C$3+MouserListTable12[[#This Row],[Extra]]</f>
        <v>0</v>
      </c>
      <c r="Y479" s="121">
        <f>IF(MouserListTable12[[#This Row],[Tag]]=FilterSpecs!$F$7,MouserListTable12[[#This Row],[Price (USD)]],0)</f>
        <v>0</v>
      </c>
      <c r="Z479" s="121">
        <f>MouserListTable12[[#This Row],[Tot '#]]*MouserListTable12[[#This Row],[Price (USD)]]</f>
        <v>0</v>
      </c>
    </row>
    <row r="480" spans="1:26" s="144" customFormat="1" hidden="1" x14ac:dyDescent="0.3">
      <c r="A480" s="128" t="s">
        <v>897</v>
      </c>
      <c r="B480" s="128" t="s">
        <v>1611</v>
      </c>
      <c r="C480" s="128" t="s">
        <v>1898</v>
      </c>
      <c r="D480" s="106" t="str">
        <f>IF(MouserListTable12[[#This Row],[Vendor]]=FilterSpecs!$A$8,MouserListTable12[[#This Row],[Mouser SKU]], MouserListTable12[[#This Row],[SKU2]])</f>
        <v>425</v>
      </c>
      <c r="E480" s="121">
        <f>MouserListTable12[[#This Row],[Tot '#]]-MouserListTable12[[#This Row],['# Initial]]</f>
        <v>0</v>
      </c>
      <c r="F480" s="121">
        <f>MouserListTable12[[#This Row],['#/Unit]]*FilterSpecs!$B$3+MouserListTable12[[#This Row],[Extra Initial]]</f>
        <v>0</v>
      </c>
      <c r="G480" s="146"/>
      <c r="H480" s="146"/>
      <c r="I480" s="128" t="s">
        <v>2462</v>
      </c>
      <c r="J480" s="155">
        <v>107</v>
      </c>
      <c r="K480" s="173">
        <v>1.95</v>
      </c>
      <c r="L480" s="126" t="s">
        <v>1910</v>
      </c>
      <c r="M480" s="146"/>
      <c r="N480" s="171">
        <f>MouserListTable12[[#This Row],['# Initial]]*MouserListTable12[[#This Row],[Price (USD)]]</f>
        <v>0</v>
      </c>
      <c r="O480" s="155" t="s">
        <v>2463</v>
      </c>
      <c r="P480" s="103">
        <f t="shared" si="12"/>
        <v>461</v>
      </c>
      <c r="Q480" s="103">
        <f>IF($D480=$O480,1,0)</f>
        <v>1</v>
      </c>
      <c r="R480" s="103" t="s">
        <v>1898</v>
      </c>
      <c r="S480" s="103" t="str">
        <f>_xlfn.IFS(MouserListTable12[[#This Row],[Supplier]]=FilterSpecs!$A$6, FilterSpecs!$B$6,MouserListTable12[[#This Row],[Supplier]]=FilterSpecs!$A$7,FilterSpecs!$B$7,MouserListTable12[[#This Row],[Supplier]]=FilterSpecs!$A$8,FilterSpecs!$B$8,MouserListTable12[[#This Row],[Supplier]]=FilterSpecs!$A$9,FilterSpecs!$B$9)</f>
        <v>485-</v>
      </c>
      <c r="T48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485-425</v>
      </c>
      <c r="U480" s="121">
        <v>0</v>
      </c>
      <c r="V480" s="121">
        <v>0</v>
      </c>
      <c r="W480" s="121">
        <v>0</v>
      </c>
      <c r="X480" s="121">
        <f>MouserListTable12[[#This Row],['#/Unit]]*FilterSpecs!$C$3+MouserListTable12[[#This Row],[Extra]]</f>
        <v>0</v>
      </c>
      <c r="Y480" s="121">
        <f>IF(MouserListTable12[[#This Row],[Tag]]=FilterSpecs!$F$7,MouserListTable12[[#This Row],[Price (USD)]],0)</f>
        <v>0</v>
      </c>
      <c r="Z480" s="121">
        <f>MouserListTable12[[#This Row],[Tot '#]]*MouserListTable12[[#This Row],[Price (USD)]]</f>
        <v>0</v>
      </c>
    </row>
    <row r="481" spans="1:26" s="144" customFormat="1" hidden="1" x14ac:dyDescent="0.3">
      <c r="A481" s="128" t="s">
        <v>897</v>
      </c>
      <c r="B481" s="128" t="s">
        <v>2436</v>
      </c>
      <c r="C481" s="128" t="s">
        <v>1898</v>
      </c>
      <c r="D481" s="106" t="str">
        <f>IF(MouserListTable12[[#This Row],[Vendor]]=FilterSpecs!$A$8,MouserListTable12[[#This Row],[Mouser SKU]], MouserListTable12[[#This Row],[SKU2]])</f>
        <v>2880</v>
      </c>
      <c r="E481" s="121">
        <f>MouserListTable12[[#This Row],[Tot '#]]-MouserListTable12[[#This Row],['# Initial]]</f>
        <v>0</v>
      </c>
      <c r="F481" s="121">
        <f>MouserListTable12[[#This Row],['#/Unit]]*FilterSpecs!$B$3+MouserListTable12[[#This Row],[Extra Initial]]</f>
        <v>0</v>
      </c>
      <c r="G481" s="146"/>
      <c r="H481" s="146"/>
      <c r="I481" s="128" t="s">
        <v>2449</v>
      </c>
      <c r="J481" s="155">
        <v>100</v>
      </c>
      <c r="K481" s="173">
        <v>0.75</v>
      </c>
      <c r="L481" s="126" t="s">
        <v>1910</v>
      </c>
      <c r="M481" s="146"/>
      <c r="N481" s="171">
        <f>MouserListTable12[[#This Row],['# Initial]]*MouserListTable12[[#This Row],[Price (USD)]]</f>
        <v>0</v>
      </c>
      <c r="O481" s="155" t="s">
        <v>2450</v>
      </c>
      <c r="P481" s="103">
        <f t="shared" si="12"/>
        <v>462</v>
      </c>
      <c r="Q481" s="103">
        <f>IF($D481=$O481,1,0)</f>
        <v>1</v>
      </c>
      <c r="R481" s="103" t="s">
        <v>1898</v>
      </c>
      <c r="S481" s="103" t="str">
        <f>_xlfn.IFS(MouserListTable12[[#This Row],[Supplier]]=FilterSpecs!$A$6, FilterSpecs!$B$6,MouserListTable12[[#This Row],[Supplier]]=FilterSpecs!$A$7,FilterSpecs!$B$7,MouserListTable12[[#This Row],[Supplier]]=FilterSpecs!$A$8,FilterSpecs!$B$8,MouserListTable12[[#This Row],[Supplier]]=FilterSpecs!$A$9,FilterSpecs!$B$9)</f>
        <v>485-</v>
      </c>
      <c r="T48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485-2880</v>
      </c>
      <c r="U481" s="121">
        <v>0</v>
      </c>
      <c r="V481" s="121">
        <v>0</v>
      </c>
      <c r="W481" s="121">
        <v>0</v>
      </c>
      <c r="X481" s="121">
        <f>MouserListTable12[[#This Row],['#/Unit]]*FilterSpecs!$C$3+MouserListTable12[[#This Row],[Extra]]</f>
        <v>0</v>
      </c>
      <c r="Y481" s="121">
        <f>IF(MouserListTable12[[#This Row],[Tag]]=FilterSpecs!$F$7,MouserListTable12[[#This Row],[Price (USD)]],0)</f>
        <v>0</v>
      </c>
      <c r="Z481" s="121">
        <f>MouserListTable12[[#This Row],[Tot '#]]*MouserListTable12[[#This Row],[Price (USD)]]</f>
        <v>0</v>
      </c>
    </row>
    <row r="482" spans="1:26" s="144" customFormat="1" hidden="1" x14ac:dyDescent="0.3">
      <c r="A482" s="128" t="s">
        <v>897</v>
      </c>
      <c r="B482" s="128" t="s">
        <v>2434</v>
      </c>
      <c r="C482" s="128" t="s">
        <v>1898</v>
      </c>
      <c r="D482" s="106" t="str">
        <f>IF(MouserListTable12[[#This Row],[Vendor]]=FilterSpecs!$A$8,MouserListTable12[[#This Row],[Mouser SKU]], MouserListTable12[[#This Row],[SKU2]])</f>
        <v>261</v>
      </c>
      <c r="E482" s="121">
        <f>MouserListTable12[[#This Row],[Tot '#]]-MouserListTable12[[#This Row],['# Initial]]</f>
        <v>0</v>
      </c>
      <c r="F482" s="121">
        <f>MouserListTable12[[#This Row],['#/Unit]]*FilterSpecs!$B$3+MouserListTable12[[#This Row],[Extra Initial]]</f>
        <v>0</v>
      </c>
      <c r="G482" s="146"/>
      <c r="H482" s="146"/>
      <c r="I482" s="128" t="s">
        <v>2451</v>
      </c>
      <c r="J482" s="155">
        <v>101</v>
      </c>
      <c r="K482" s="173">
        <v>0.75</v>
      </c>
      <c r="L482" s="126" t="s">
        <v>1910</v>
      </c>
      <c r="M482" s="146"/>
      <c r="N482" s="171">
        <f>MouserListTable12[[#This Row],['# Initial]]*MouserListTable12[[#This Row],[Price (USD)]]</f>
        <v>0</v>
      </c>
      <c r="O482" s="155" t="s">
        <v>2452</v>
      </c>
      <c r="P482" s="103">
        <f t="shared" si="12"/>
        <v>463</v>
      </c>
      <c r="Q482" s="103">
        <f>IF($D482=$O482,1,0)</f>
        <v>1</v>
      </c>
      <c r="R482" s="103" t="s">
        <v>1898</v>
      </c>
      <c r="S482" s="103" t="str">
        <f>_xlfn.IFS(MouserListTable12[[#This Row],[Supplier]]=FilterSpecs!$A$6, FilterSpecs!$B$6,MouserListTable12[[#This Row],[Supplier]]=FilterSpecs!$A$7,FilterSpecs!$B$7,MouserListTable12[[#This Row],[Supplier]]=FilterSpecs!$A$8,FilterSpecs!$B$8,MouserListTable12[[#This Row],[Supplier]]=FilterSpecs!$A$9,FilterSpecs!$B$9)</f>
        <v>485-</v>
      </c>
      <c r="T48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485-261</v>
      </c>
      <c r="U482" s="121">
        <v>0</v>
      </c>
      <c r="V482" s="121">
        <v>0</v>
      </c>
      <c r="W482" s="121">
        <v>0</v>
      </c>
      <c r="X482" s="121">
        <f>MouserListTable12[[#This Row],['#/Unit]]*FilterSpecs!$C$3+MouserListTable12[[#This Row],[Extra]]</f>
        <v>0</v>
      </c>
      <c r="Y482" s="121">
        <f>IF(MouserListTable12[[#This Row],[Tag]]=FilterSpecs!$F$7,MouserListTable12[[#This Row],[Price (USD)]],0)</f>
        <v>0</v>
      </c>
      <c r="Z482" s="121">
        <f>MouserListTable12[[#This Row],[Tot '#]]*MouserListTable12[[#This Row],[Price (USD)]]</f>
        <v>0</v>
      </c>
    </row>
    <row r="483" spans="1:26" s="144" customFormat="1" hidden="1" x14ac:dyDescent="0.3">
      <c r="A483" s="128" t="s">
        <v>897</v>
      </c>
      <c r="B483" s="128" t="s">
        <v>2434</v>
      </c>
      <c r="C483" s="128" t="s">
        <v>1898</v>
      </c>
      <c r="D483" s="106" t="str">
        <f>IF(MouserListTable12[[#This Row],[Vendor]]=FilterSpecs!$A$8,MouserListTable12[[#This Row],[Mouser SKU]], MouserListTable12[[#This Row],[SKU2]])</f>
        <v>1769</v>
      </c>
      <c r="E483" s="121">
        <f>MouserListTable12[[#This Row],[Tot '#]]-MouserListTable12[[#This Row],['# Initial]]</f>
        <v>0</v>
      </c>
      <c r="F483" s="121">
        <f>MouserListTable12[[#This Row],['#/Unit]]*FilterSpecs!$B$3+MouserListTable12[[#This Row],[Extra Initial]]</f>
        <v>0</v>
      </c>
      <c r="G483" s="146"/>
      <c r="H483" s="146"/>
      <c r="I483" s="128" t="s">
        <v>2453</v>
      </c>
      <c r="J483" s="155">
        <v>102</v>
      </c>
      <c r="K483" s="173">
        <v>0.75</v>
      </c>
      <c r="L483" s="126" t="s">
        <v>1910</v>
      </c>
      <c r="M483" s="146"/>
      <c r="N483" s="171">
        <f>MouserListTable12[[#This Row],['# Initial]]*MouserListTable12[[#This Row],[Price (USD)]]</f>
        <v>0</v>
      </c>
      <c r="O483" s="155" t="s">
        <v>2146</v>
      </c>
      <c r="P483" s="103">
        <f t="shared" si="12"/>
        <v>464</v>
      </c>
      <c r="Q483" s="103">
        <f>IF($D483=$O483,1,0)</f>
        <v>1</v>
      </c>
      <c r="R483" s="103" t="s">
        <v>1898</v>
      </c>
      <c r="S483" s="103" t="str">
        <f>_xlfn.IFS(MouserListTable12[[#This Row],[Supplier]]=FilterSpecs!$A$6, FilterSpecs!$B$6,MouserListTable12[[#This Row],[Supplier]]=FilterSpecs!$A$7,FilterSpecs!$B$7,MouserListTable12[[#This Row],[Supplier]]=FilterSpecs!$A$8,FilterSpecs!$B$8,MouserListTable12[[#This Row],[Supplier]]=FilterSpecs!$A$9,FilterSpecs!$B$9)</f>
        <v>485-</v>
      </c>
      <c r="T48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485-1769</v>
      </c>
      <c r="U483" s="121">
        <v>0</v>
      </c>
      <c r="V483" s="121">
        <v>0</v>
      </c>
      <c r="W483" s="121">
        <v>0</v>
      </c>
      <c r="X483" s="121">
        <f>MouserListTable12[[#This Row],['#/Unit]]*FilterSpecs!$C$3+MouserListTable12[[#This Row],[Extra]]</f>
        <v>0</v>
      </c>
      <c r="Y483" s="121">
        <f>IF(MouserListTable12[[#This Row],[Tag]]=FilterSpecs!$F$7,MouserListTable12[[#This Row],[Price (USD)]],0)</f>
        <v>0</v>
      </c>
      <c r="Z483" s="121">
        <f>MouserListTable12[[#This Row],[Tot '#]]*MouserListTable12[[#This Row],[Price (USD)]]</f>
        <v>0</v>
      </c>
    </row>
    <row r="484" spans="1:26" s="144" customFormat="1" x14ac:dyDescent="0.3">
      <c r="A484" s="106" t="s">
        <v>897</v>
      </c>
      <c r="B484" s="106" t="s">
        <v>1883</v>
      </c>
      <c r="C484" s="106" t="s">
        <v>8</v>
      </c>
      <c r="D484" s="106" t="str">
        <f>IF(MouserListTable12[[#This Row],[Vendor]]=FilterSpecs!$A$8,MouserListTable12[[#This Row],[Mouser SKU]], MouserListTable12[[#This Row],[SKU2]])</f>
        <v>PRT-09918</v>
      </c>
      <c r="E484" s="121">
        <f>MouserListTable12[[#This Row],[Tot '#]]-MouserListTable12[[#This Row],['# Initial]]</f>
        <v>0</v>
      </c>
      <c r="F484" s="121">
        <f>MouserListTable12[[#This Row],['#/Unit]]*FilterSpecs!$B$3+MouserListTable12[[#This Row],[Extra Initial]]</f>
        <v>10</v>
      </c>
      <c r="G484" s="103" t="s">
        <v>1756</v>
      </c>
      <c r="H484" s="103" t="s">
        <v>1757</v>
      </c>
      <c r="I484" s="106" t="s">
        <v>1758</v>
      </c>
      <c r="J484" s="103"/>
      <c r="K484" s="171">
        <v>0.95</v>
      </c>
      <c r="L484" s="106" t="s">
        <v>1911</v>
      </c>
      <c r="M484" s="103"/>
      <c r="N484" s="171">
        <f>MouserListTable12[[#This Row],['# Initial]]*MouserListTable12[[#This Row],[Price (USD)]]</f>
        <v>9.5</v>
      </c>
      <c r="O484" s="106" t="s">
        <v>1755</v>
      </c>
      <c r="P484" s="103">
        <f t="shared" si="12"/>
        <v>465</v>
      </c>
      <c r="Q484" s="103">
        <f>IF($D484=$O484,1,0)</f>
        <v>1</v>
      </c>
      <c r="R484" s="103" t="s">
        <v>8</v>
      </c>
      <c r="S484" s="103" t="str">
        <f>_xlfn.IFS(MouserListTable12[[#This Row],[Supplier]]=FilterSpecs!$A$6, FilterSpecs!$B$6,MouserListTable12[[#This Row],[Supplier]]=FilterSpecs!$A$7,FilterSpecs!$B$7,MouserListTable12[[#This Row],[Supplier]]=FilterSpecs!$A$8,FilterSpecs!$B$8,MouserListTable12[[#This Row],[Supplier]]=FilterSpecs!$A$9,FilterSpecs!$B$9)</f>
        <v>474-</v>
      </c>
      <c r="T48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474-PRT-09918</v>
      </c>
      <c r="U484" s="121">
        <v>2</v>
      </c>
      <c r="V484" s="121">
        <v>0</v>
      </c>
      <c r="W484" s="121">
        <v>0</v>
      </c>
      <c r="X484" s="121">
        <f>MouserListTable12[[#This Row],['#/Unit]]*FilterSpecs!$C$3+MouserListTable12[[#This Row],[Extra]]</f>
        <v>10</v>
      </c>
      <c r="Y484" s="121">
        <f>IF(MouserListTable12[[#This Row],[Tag]]=FilterSpecs!$F$7,MouserListTable12[[#This Row],[Price (USD)]],0)</f>
        <v>0.95</v>
      </c>
      <c r="Z484" s="121">
        <f>MouserListTable12[[#This Row],[Tot '#]]*MouserListTable12[[#This Row],[Price (USD)]]</f>
        <v>9.5</v>
      </c>
    </row>
    <row r="485" spans="1:26" s="144" customFormat="1" x14ac:dyDescent="0.3">
      <c r="A485" s="106" t="s">
        <v>897</v>
      </c>
      <c r="B485" s="106" t="s">
        <v>1883</v>
      </c>
      <c r="C485" s="106" t="s">
        <v>8</v>
      </c>
      <c r="D485" s="106" t="str">
        <f>IF(MouserListTable12[[#This Row],[Vendor]]=FilterSpecs!$A$8,MouserListTable12[[#This Row],[Mouser SKU]], MouserListTable12[[#This Row],[SKU2]])</f>
        <v>PRT-09922</v>
      </c>
      <c r="E485" s="121">
        <f>MouserListTable12[[#This Row],[Tot '#]]-MouserListTable12[[#This Row],['# Initial]]</f>
        <v>0</v>
      </c>
      <c r="F485" s="121">
        <f>MouserListTable12[[#This Row],['#/Unit]]*FilterSpecs!$B$3+MouserListTable12[[#This Row],[Extra Initial]]</f>
        <v>10</v>
      </c>
      <c r="G485" s="103" t="s">
        <v>1768</v>
      </c>
      <c r="H485" s="103" t="s">
        <v>1769</v>
      </c>
      <c r="I485" s="106" t="s">
        <v>1770</v>
      </c>
      <c r="J485" s="103">
        <v>1</v>
      </c>
      <c r="K485" s="171">
        <v>1.95</v>
      </c>
      <c r="L485" s="106" t="s">
        <v>1911</v>
      </c>
      <c r="M485" s="103"/>
      <c r="N485" s="171">
        <f>MouserListTable12[[#This Row],['# Initial]]*MouserListTable12[[#This Row],[Price (USD)]]</f>
        <v>19.5</v>
      </c>
      <c r="O485" s="106" t="s">
        <v>1767</v>
      </c>
      <c r="P485" s="103">
        <f t="shared" si="12"/>
        <v>466</v>
      </c>
      <c r="Q485" s="103">
        <f>IF($D485=$O485,1,0)</f>
        <v>1</v>
      </c>
      <c r="R485" s="103" t="s">
        <v>8</v>
      </c>
      <c r="S485" s="103" t="str">
        <f>_xlfn.IFS(MouserListTable12[[#This Row],[Supplier]]=FilterSpecs!$A$6, FilterSpecs!$B$6,MouserListTable12[[#This Row],[Supplier]]=FilterSpecs!$A$7,FilterSpecs!$B$7,MouserListTable12[[#This Row],[Supplier]]=FilterSpecs!$A$8,FilterSpecs!$B$8,MouserListTable12[[#This Row],[Supplier]]=FilterSpecs!$A$9,FilterSpecs!$B$9)</f>
        <v>474-</v>
      </c>
      <c r="T48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474-PRT-09922</v>
      </c>
      <c r="U485" s="121">
        <v>2</v>
      </c>
      <c r="V485" s="121">
        <v>0</v>
      </c>
      <c r="W485" s="121">
        <v>0</v>
      </c>
      <c r="X485" s="121">
        <f>MouserListTable12[[#This Row],['#/Unit]]*FilterSpecs!$C$3+MouserListTable12[[#This Row],[Extra]]</f>
        <v>10</v>
      </c>
      <c r="Y485" s="121">
        <f>IF(MouserListTable12[[#This Row],[Tag]]=FilterSpecs!$F$7,MouserListTable12[[#This Row],[Price (USD)]],0)</f>
        <v>1.95</v>
      </c>
      <c r="Z485" s="121">
        <f>MouserListTable12[[#This Row],[Tot '#]]*MouserListTable12[[#This Row],[Price (USD)]]</f>
        <v>19.5</v>
      </c>
    </row>
    <row r="486" spans="1:26" s="144" customFormat="1" hidden="1" x14ac:dyDescent="0.3">
      <c r="A486" s="146" t="s">
        <v>897</v>
      </c>
      <c r="B486" s="146" t="s">
        <v>1608</v>
      </c>
      <c r="C486" s="146" t="s">
        <v>8</v>
      </c>
      <c r="D486" s="106" t="str">
        <f>IF(MouserListTable12[[#This Row],[Vendor]]=FilterSpecs!$A$8,MouserListTable12[[#This Row],[Mouser SKU]], MouserListTable12[[#This Row],[SKU2]])</f>
        <v>PRT-08614</v>
      </c>
      <c r="E486" s="121">
        <f>MouserListTable12[[#This Row],[Tot '#]]-MouserListTable12[[#This Row],['# Initial]]</f>
        <v>0</v>
      </c>
      <c r="F486" s="121">
        <f>MouserListTable12[[#This Row],['#/Unit]]*FilterSpecs!$B$3+MouserListTable12[[#This Row],[Extra Initial]]</f>
        <v>0</v>
      </c>
      <c r="G486" s="103" t="s">
        <v>470</v>
      </c>
      <c r="H486" s="103" t="s">
        <v>471</v>
      </c>
      <c r="I486" s="106" t="s">
        <v>472</v>
      </c>
      <c r="J486" s="103">
        <v>1</v>
      </c>
      <c r="K486" s="171">
        <v>1.5</v>
      </c>
      <c r="L486" s="106" t="s">
        <v>1910</v>
      </c>
      <c r="M486" s="103"/>
      <c r="N486" s="171">
        <f>MouserListTable12[[#This Row],['# Initial]]*MouserListTable12[[#This Row],[Price (USD)]]</f>
        <v>0</v>
      </c>
      <c r="O486" s="106" t="s">
        <v>469</v>
      </c>
      <c r="P486" s="103">
        <f t="shared" si="12"/>
        <v>467</v>
      </c>
      <c r="Q486" s="103">
        <f>IF($D486=$O486,1,0)</f>
        <v>1</v>
      </c>
      <c r="R486" s="103" t="s">
        <v>8</v>
      </c>
      <c r="S486" s="103" t="str">
        <f>_xlfn.IFS(MouserListTable12[[#This Row],[Supplier]]=FilterSpecs!$A$6, FilterSpecs!$B$6,MouserListTable12[[#This Row],[Supplier]]=FilterSpecs!$A$7,FilterSpecs!$B$7,MouserListTable12[[#This Row],[Supplier]]=FilterSpecs!$A$8,FilterSpecs!$B$8,MouserListTable12[[#This Row],[Supplier]]=FilterSpecs!$A$9,FilterSpecs!$B$9)</f>
        <v>474-</v>
      </c>
      <c r="T48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474-PRT-08614</v>
      </c>
      <c r="U486" s="121">
        <v>0</v>
      </c>
      <c r="V486" s="121">
        <v>0</v>
      </c>
      <c r="W486" s="121">
        <v>0</v>
      </c>
      <c r="X486" s="121">
        <f>MouserListTable12[[#This Row],['#/Unit]]*FilterSpecs!$C$3+MouserListTable12[[#This Row],[Extra]]</f>
        <v>0</v>
      </c>
      <c r="Y486" s="121">
        <f>IF(MouserListTable12[[#This Row],[Tag]]=FilterSpecs!$F$7,MouserListTable12[[#This Row],[Price (USD)]],0)</f>
        <v>0</v>
      </c>
      <c r="Z486" s="121">
        <f>MouserListTable12[[#This Row],[Tot '#]]*MouserListTable12[[#This Row],[Price (USD)]]</f>
        <v>0</v>
      </c>
    </row>
    <row r="487" spans="1:26" s="144" customFormat="1" hidden="1" x14ac:dyDescent="0.3">
      <c r="A487" s="146" t="s">
        <v>897</v>
      </c>
      <c r="B487" s="146" t="s">
        <v>1608</v>
      </c>
      <c r="C487" s="146" t="s">
        <v>8</v>
      </c>
      <c r="D487" s="106" t="str">
        <f>IF(MouserListTable12[[#This Row],[Vendor]]=FilterSpecs!$A$8,MouserListTable12[[#This Row],[Mouser SKU]], MouserListTable12[[#This Row],[SKU2]])</f>
        <v>PRT-08672</v>
      </c>
      <c r="E487" s="121">
        <f>MouserListTable12[[#This Row],[Tot '#]]-MouserListTable12[[#This Row],['# Initial]]</f>
        <v>0</v>
      </c>
      <c r="F487" s="121">
        <f>MouserListTable12[[#This Row],['#/Unit]]*FilterSpecs!$B$3+MouserListTable12[[#This Row],[Extra Initial]]</f>
        <v>0</v>
      </c>
      <c r="G487" s="103" t="s">
        <v>466</v>
      </c>
      <c r="H487" s="103" t="s">
        <v>467</v>
      </c>
      <c r="I487" s="106" t="s">
        <v>468</v>
      </c>
      <c r="J487" s="103">
        <v>1</v>
      </c>
      <c r="K487" s="171">
        <v>0.95</v>
      </c>
      <c r="L487" s="106" t="s">
        <v>1910</v>
      </c>
      <c r="M487" s="103"/>
      <c r="N487" s="171">
        <f>MouserListTable12[[#This Row],['# Initial]]*MouserListTable12[[#This Row],[Price (USD)]]</f>
        <v>0</v>
      </c>
      <c r="O487" s="106" t="s">
        <v>465</v>
      </c>
      <c r="P487" s="103">
        <f t="shared" si="12"/>
        <v>468</v>
      </c>
      <c r="Q487" s="103">
        <f>IF($D487=$O487,1,0)</f>
        <v>1</v>
      </c>
      <c r="R487" s="103" t="s">
        <v>8</v>
      </c>
      <c r="S487" s="103" t="str">
        <f>_xlfn.IFS(MouserListTable12[[#This Row],[Supplier]]=FilterSpecs!$A$6, FilterSpecs!$B$6,MouserListTable12[[#This Row],[Supplier]]=FilterSpecs!$A$7,FilterSpecs!$B$7,MouserListTable12[[#This Row],[Supplier]]=FilterSpecs!$A$8,FilterSpecs!$B$8,MouserListTable12[[#This Row],[Supplier]]=FilterSpecs!$A$9,FilterSpecs!$B$9)</f>
        <v>474-</v>
      </c>
      <c r="T48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474-PRT-08672</v>
      </c>
      <c r="U487" s="121">
        <v>0</v>
      </c>
      <c r="V487" s="121">
        <v>0</v>
      </c>
      <c r="W487" s="121">
        <v>0</v>
      </c>
      <c r="X487" s="121">
        <f>MouserListTable12[[#This Row],['#/Unit]]*FilterSpecs!$C$3+MouserListTable12[[#This Row],[Extra]]</f>
        <v>0</v>
      </c>
      <c r="Y487" s="121">
        <f>IF(MouserListTable12[[#This Row],[Tag]]=FilterSpecs!$F$7,MouserListTable12[[#This Row],[Price (USD)]],0)</f>
        <v>0</v>
      </c>
      <c r="Z487" s="121">
        <f>MouserListTable12[[#This Row],[Tot '#]]*MouserListTable12[[#This Row],[Price (USD)]]</f>
        <v>0</v>
      </c>
    </row>
    <row r="488" spans="1:26" s="144" customFormat="1" hidden="1" x14ac:dyDescent="0.3">
      <c r="A488" s="146" t="s">
        <v>897</v>
      </c>
      <c r="B488" s="146" t="s">
        <v>1608</v>
      </c>
      <c r="C488" s="146" t="s">
        <v>8</v>
      </c>
      <c r="D488" s="106" t="str">
        <f>IF(MouserListTable12[[#This Row],[Vendor]]=FilterSpecs!$A$8,MouserListTable12[[#This Row],[Mouser SKU]], MouserListTable12[[#This Row],[SKU2]])</f>
        <v>PRT-10367</v>
      </c>
      <c r="E488" s="121">
        <f>MouserListTable12[[#This Row],[Tot '#]]-MouserListTable12[[#This Row],['# Initial]]</f>
        <v>0</v>
      </c>
      <c r="F488" s="121">
        <f>MouserListTable12[[#This Row],['#/Unit]]*FilterSpecs!$B$3+MouserListTable12[[#This Row],[Extra Initial]]</f>
        <v>0</v>
      </c>
      <c r="G488" s="103" t="s">
        <v>588</v>
      </c>
      <c r="H488" s="103" t="s">
        <v>589</v>
      </c>
      <c r="I488" s="106" t="s">
        <v>590</v>
      </c>
      <c r="J488" s="103"/>
      <c r="K488" s="171">
        <v>1.5</v>
      </c>
      <c r="L488" s="106" t="s">
        <v>1910</v>
      </c>
      <c r="M488" s="103"/>
      <c r="N488" s="171">
        <f>MouserListTable12[[#This Row],['# Initial]]*MouserListTable12[[#This Row],[Price (USD)]]</f>
        <v>0</v>
      </c>
      <c r="O488" s="106" t="s">
        <v>587</v>
      </c>
      <c r="P488" s="103">
        <f t="shared" si="12"/>
        <v>469</v>
      </c>
      <c r="Q488" s="103">
        <f>IF($D488=$O488,1,0)</f>
        <v>1</v>
      </c>
      <c r="R488" s="103" t="s">
        <v>8</v>
      </c>
      <c r="S488" s="103" t="str">
        <f>_xlfn.IFS(MouserListTable12[[#This Row],[Supplier]]=FilterSpecs!$A$6, FilterSpecs!$B$6,MouserListTable12[[#This Row],[Supplier]]=FilterSpecs!$A$7,FilterSpecs!$B$7,MouserListTable12[[#This Row],[Supplier]]=FilterSpecs!$A$8,FilterSpecs!$B$8,MouserListTable12[[#This Row],[Supplier]]=FilterSpecs!$A$9,FilterSpecs!$B$9)</f>
        <v>474-</v>
      </c>
      <c r="T48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474-PRT-10367</v>
      </c>
      <c r="U488" s="121">
        <v>0</v>
      </c>
      <c r="V488" s="121">
        <v>0</v>
      </c>
      <c r="W488" s="121">
        <v>0</v>
      </c>
      <c r="X488" s="121">
        <f>MouserListTable12[[#This Row],['#/Unit]]*FilterSpecs!$C$3+MouserListTable12[[#This Row],[Extra]]</f>
        <v>0</v>
      </c>
      <c r="Y488" s="121">
        <f>IF(MouserListTable12[[#This Row],[Tag]]=FilterSpecs!$F$7,MouserListTable12[[#This Row],[Price (USD)]],0)</f>
        <v>0</v>
      </c>
      <c r="Z488" s="121">
        <f>MouserListTable12[[#This Row],[Tot '#]]*MouserListTable12[[#This Row],[Price (USD)]]</f>
        <v>0</v>
      </c>
    </row>
    <row r="489" spans="1:26" s="144" customFormat="1" hidden="1" x14ac:dyDescent="0.3">
      <c r="A489" s="146" t="s">
        <v>897</v>
      </c>
      <c r="B489" s="146" t="s">
        <v>1608</v>
      </c>
      <c r="C489" s="146" t="s">
        <v>8</v>
      </c>
      <c r="D489" s="106" t="str">
        <f>IF(MouserListTable12[[#This Row],[Vendor]]=FilterSpecs!$A$8,MouserListTable12[[#This Row],[Mouser SKU]], MouserListTable12[[#This Row],[SKU2]])</f>
        <v>PRT-10373</v>
      </c>
      <c r="E489" s="121">
        <f>MouserListTable12[[#This Row],[Tot '#]]-MouserListTable12[[#This Row],['# Initial]]</f>
        <v>0</v>
      </c>
      <c r="F489" s="121">
        <f>MouserListTable12[[#This Row],['#/Unit]]*FilterSpecs!$B$3+MouserListTable12[[#This Row],[Extra Initial]]</f>
        <v>0</v>
      </c>
      <c r="G489" s="103" t="s">
        <v>576</v>
      </c>
      <c r="H489" s="103" t="s">
        <v>577</v>
      </c>
      <c r="I489" s="106" t="s">
        <v>578</v>
      </c>
      <c r="J489" s="103"/>
      <c r="K489" s="171">
        <v>1.95</v>
      </c>
      <c r="L489" s="106" t="s">
        <v>1910</v>
      </c>
      <c r="M489" s="103"/>
      <c r="N489" s="171">
        <f>MouserListTable12[[#This Row],['# Initial]]*MouserListTable12[[#This Row],[Price (USD)]]</f>
        <v>0</v>
      </c>
      <c r="O489" s="106" t="s">
        <v>575</v>
      </c>
      <c r="P489" s="103">
        <f t="shared" si="12"/>
        <v>470</v>
      </c>
      <c r="Q489" s="103">
        <f>IF($D489=$O489,1,0)</f>
        <v>1</v>
      </c>
      <c r="R489" s="103" t="s">
        <v>8</v>
      </c>
      <c r="S489" s="103" t="str">
        <f>_xlfn.IFS(MouserListTable12[[#This Row],[Supplier]]=FilterSpecs!$A$6, FilterSpecs!$B$6,MouserListTable12[[#This Row],[Supplier]]=FilterSpecs!$A$7,FilterSpecs!$B$7,MouserListTable12[[#This Row],[Supplier]]=FilterSpecs!$A$8,FilterSpecs!$B$8,MouserListTable12[[#This Row],[Supplier]]=FilterSpecs!$A$9,FilterSpecs!$B$9)</f>
        <v>474-</v>
      </c>
      <c r="T48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474-PRT-10373</v>
      </c>
      <c r="U489" s="121">
        <v>0</v>
      </c>
      <c r="V489" s="121">
        <v>0</v>
      </c>
      <c r="W489" s="121">
        <v>0</v>
      </c>
      <c r="X489" s="121">
        <f>MouserListTable12[[#This Row],['#/Unit]]*FilterSpecs!$C$3+MouserListTable12[[#This Row],[Extra]]</f>
        <v>0</v>
      </c>
      <c r="Y489" s="121">
        <f>IF(MouserListTable12[[#This Row],[Tag]]=FilterSpecs!$F$7,MouserListTable12[[#This Row],[Price (USD)]],0)</f>
        <v>0</v>
      </c>
      <c r="Z489" s="121">
        <f>MouserListTable12[[#This Row],[Tot '#]]*MouserListTable12[[#This Row],[Price (USD)]]</f>
        <v>0</v>
      </c>
    </row>
    <row r="490" spans="1:26" s="144" customFormat="1" hidden="1" x14ac:dyDescent="0.3">
      <c r="A490" s="146" t="s">
        <v>897</v>
      </c>
      <c r="B490" s="146" t="s">
        <v>1608</v>
      </c>
      <c r="C490" s="146" t="s">
        <v>8</v>
      </c>
      <c r="D490" s="106" t="str">
        <f>IF(MouserListTable12[[#This Row],[Vendor]]=FilterSpecs!$A$8,MouserListTable12[[#This Row],[Mouser SKU]], MouserListTable12[[#This Row],[SKU2]])</f>
        <v>PRT-13164</v>
      </c>
      <c r="E490" s="121">
        <f>MouserListTable12[[#This Row],[Tot '#]]-MouserListTable12[[#This Row],['# Initial]]</f>
        <v>0</v>
      </c>
      <c r="F490" s="121">
        <f>MouserListTable12[[#This Row],['#/Unit]]*FilterSpecs!$B$3+MouserListTable12[[#This Row],[Extra Initial]]</f>
        <v>0</v>
      </c>
      <c r="G490" s="103" t="s">
        <v>540</v>
      </c>
      <c r="H490" s="103" t="s">
        <v>541</v>
      </c>
      <c r="I490" s="106" t="s">
        <v>542</v>
      </c>
      <c r="J490" s="103">
        <v>1</v>
      </c>
      <c r="K490" s="171">
        <v>1.5</v>
      </c>
      <c r="L490" s="106" t="s">
        <v>1910</v>
      </c>
      <c r="M490" s="103"/>
      <c r="N490" s="171">
        <f>MouserListTable12[[#This Row],['# Initial]]*MouserListTable12[[#This Row],[Price (USD)]]</f>
        <v>0</v>
      </c>
      <c r="O490" s="106" t="s">
        <v>539</v>
      </c>
      <c r="P490" s="103">
        <f t="shared" si="12"/>
        <v>471</v>
      </c>
      <c r="Q490" s="103">
        <f>IF($D490=$O490,1,0)</f>
        <v>1</v>
      </c>
      <c r="R490" s="103" t="s">
        <v>8</v>
      </c>
      <c r="S490" s="103" t="str">
        <f>_xlfn.IFS(MouserListTable12[[#This Row],[Supplier]]=FilterSpecs!$A$6, FilterSpecs!$B$6,MouserListTable12[[#This Row],[Supplier]]=FilterSpecs!$A$7,FilterSpecs!$B$7,MouserListTable12[[#This Row],[Supplier]]=FilterSpecs!$A$8,FilterSpecs!$B$8,MouserListTable12[[#This Row],[Supplier]]=FilterSpecs!$A$9,FilterSpecs!$B$9)</f>
        <v>474-</v>
      </c>
      <c r="T49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474-PRT-13164</v>
      </c>
      <c r="U490" s="121">
        <v>0</v>
      </c>
      <c r="V490" s="121">
        <v>0</v>
      </c>
      <c r="W490" s="121">
        <v>0</v>
      </c>
      <c r="X490" s="121">
        <f>MouserListTable12[[#This Row],['#/Unit]]*FilterSpecs!$C$3+MouserListTable12[[#This Row],[Extra]]</f>
        <v>0</v>
      </c>
      <c r="Y490" s="121">
        <f>IF(MouserListTable12[[#This Row],[Tag]]=FilterSpecs!$F$7,MouserListTable12[[#This Row],[Price (USD)]],0)</f>
        <v>0</v>
      </c>
      <c r="Z490" s="121">
        <f>MouserListTable12[[#This Row],[Tot '#]]*MouserListTable12[[#This Row],[Price (USD)]]</f>
        <v>0</v>
      </c>
    </row>
    <row r="491" spans="1:26" s="144" customFormat="1" hidden="1" x14ac:dyDescent="0.3">
      <c r="A491" s="146" t="s">
        <v>897</v>
      </c>
      <c r="B491" s="146" t="s">
        <v>1608</v>
      </c>
      <c r="C491" s="146" t="s">
        <v>8</v>
      </c>
      <c r="D491" s="106" t="str">
        <f>IF(MouserListTable12[[#This Row],[Vendor]]=FilterSpecs!$A$8,MouserListTable12[[#This Row],[Mouser SKU]], MouserListTable12[[#This Row],[SKU2]])</f>
        <v>PRT-10369</v>
      </c>
      <c r="E491" s="121">
        <f>MouserListTable12[[#This Row],[Tot '#]]-MouserListTable12[[#This Row],['# Initial]]</f>
        <v>0</v>
      </c>
      <c r="F491" s="121">
        <f>MouserListTable12[[#This Row],['#/Unit]]*FilterSpecs!$B$3+MouserListTable12[[#This Row],[Extra Initial]]</f>
        <v>0</v>
      </c>
      <c r="G491" s="103" t="s">
        <v>500</v>
      </c>
      <c r="H491" s="103" t="s">
        <v>501</v>
      </c>
      <c r="I491" s="106" t="s">
        <v>502</v>
      </c>
      <c r="J491" s="103"/>
      <c r="K491" s="171">
        <v>1.5</v>
      </c>
      <c r="L491" s="106" t="s">
        <v>1910</v>
      </c>
      <c r="M491" s="103"/>
      <c r="N491" s="171">
        <f>MouserListTable12[[#This Row],['# Initial]]*MouserListTable12[[#This Row],[Price (USD)]]</f>
        <v>0</v>
      </c>
      <c r="O491" s="106" t="s">
        <v>499</v>
      </c>
      <c r="P491" s="103">
        <f t="shared" si="12"/>
        <v>472</v>
      </c>
      <c r="Q491" s="103">
        <f>IF($D491=$O491,1,0)</f>
        <v>1</v>
      </c>
      <c r="R491" s="103" t="s">
        <v>8</v>
      </c>
      <c r="S491" s="103" t="str">
        <f>_xlfn.IFS(MouserListTable12[[#This Row],[Supplier]]=FilterSpecs!$A$6, FilterSpecs!$B$6,MouserListTable12[[#This Row],[Supplier]]=FilterSpecs!$A$7,FilterSpecs!$B$7,MouserListTable12[[#This Row],[Supplier]]=FilterSpecs!$A$8,FilterSpecs!$B$8,MouserListTable12[[#This Row],[Supplier]]=FilterSpecs!$A$9,FilterSpecs!$B$9)</f>
        <v>474-</v>
      </c>
      <c r="T49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474-PRT-10369</v>
      </c>
      <c r="U491" s="121">
        <v>0</v>
      </c>
      <c r="V491" s="121">
        <v>0</v>
      </c>
      <c r="W491" s="121">
        <v>0</v>
      </c>
      <c r="X491" s="121">
        <f>MouserListTable12[[#This Row],['#/Unit]]*FilterSpecs!$C$3+MouserListTable12[[#This Row],[Extra]]</f>
        <v>0</v>
      </c>
      <c r="Y491" s="121">
        <f>IF(MouserListTable12[[#This Row],[Tag]]=FilterSpecs!$F$7,MouserListTable12[[#This Row],[Price (USD)]],0)</f>
        <v>0</v>
      </c>
      <c r="Z491" s="121">
        <f>MouserListTable12[[#This Row],[Tot '#]]*MouserListTable12[[#This Row],[Price (USD)]]</f>
        <v>0</v>
      </c>
    </row>
    <row r="492" spans="1:26" s="144" customFormat="1" hidden="1" x14ac:dyDescent="0.3">
      <c r="A492" s="146" t="s">
        <v>897</v>
      </c>
      <c r="B492" s="146" t="s">
        <v>1608</v>
      </c>
      <c r="C492" s="146" t="s">
        <v>8</v>
      </c>
      <c r="D492" s="106" t="str">
        <f>IF(MouserListTable12[[#This Row],[Vendor]]=FilterSpecs!$A$8,MouserListTable12[[#This Row],[Mouser SKU]], MouserListTable12[[#This Row],[SKU2]])</f>
        <v>PRT-10370</v>
      </c>
      <c r="E492" s="121">
        <f>MouserListTable12[[#This Row],[Tot '#]]-MouserListTable12[[#This Row],['# Initial]]</f>
        <v>0</v>
      </c>
      <c r="F492" s="121">
        <f>MouserListTable12[[#This Row],['#/Unit]]*FilterSpecs!$B$3+MouserListTable12[[#This Row],[Extra Initial]]</f>
        <v>0</v>
      </c>
      <c r="G492" s="103" t="s">
        <v>536</v>
      </c>
      <c r="H492" s="103" t="s">
        <v>537</v>
      </c>
      <c r="I492" s="106" t="s">
        <v>538</v>
      </c>
      <c r="J492" s="103"/>
      <c r="K492" s="171">
        <v>1.5</v>
      </c>
      <c r="L492" s="106" t="s">
        <v>1910</v>
      </c>
      <c r="M492" s="103"/>
      <c r="N492" s="171">
        <f>MouserListTable12[[#This Row],['# Initial]]*MouserListTable12[[#This Row],[Price (USD)]]</f>
        <v>0</v>
      </c>
      <c r="O492" s="106" t="s">
        <v>535</v>
      </c>
      <c r="P492" s="103">
        <f t="shared" si="12"/>
        <v>473</v>
      </c>
      <c r="Q492" s="103">
        <f>IF($D492=$O492,1,0)</f>
        <v>1</v>
      </c>
      <c r="R492" s="103" t="s">
        <v>8</v>
      </c>
      <c r="S492" s="103" t="str">
        <f>_xlfn.IFS(MouserListTable12[[#This Row],[Supplier]]=FilterSpecs!$A$6, FilterSpecs!$B$6,MouserListTable12[[#This Row],[Supplier]]=FilterSpecs!$A$7,FilterSpecs!$B$7,MouserListTable12[[#This Row],[Supplier]]=FilterSpecs!$A$8,FilterSpecs!$B$8,MouserListTable12[[#This Row],[Supplier]]=FilterSpecs!$A$9,FilterSpecs!$B$9)</f>
        <v>474-</v>
      </c>
      <c r="T49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474-PRT-10370</v>
      </c>
      <c r="U492" s="121">
        <v>0</v>
      </c>
      <c r="V492" s="121">
        <v>0</v>
      </c>
      <c r="W492" s="121">
        <v>0</v>
      </c>
      <c r="X492" s="121">
        <f>MouserListTable12[[#This Row],['#/Unit]]*FilterSpecs!$C$3+MouserListTable12[[#This Row],[Extra]]</f>
        <v>0</v>
      </c>
      <c r="Y492" s="121">
        <f>IF(MouserListTable12[[#This Row],[Tag]]=FilterSpecs!$F$7,MouserListTable12[[#This Row],[Price (USD)]],0)</f>
        <v>0</v>
      </c>
      <c r="Z492" s="121">
        <f>MouserListTable12[[#This Row],[Tot '#]]*MouserListTable12[[#This Row],[Price (USD)]]</f>
        <v>0</v>
      </c>
    </row>
    <row r="493" spans="1:26" s="144" customFormat="1" hidden="1" x14ac:dyDescent="0.3">
      <c r="A493" s="146" t="s">
        <v>897</v>
      </c>
      <c r="B493" s="146" t="s">
        <v>1608</v>
      </c>
      <c r="C493" s="146" t="s">
        <v>8</v>
      </c>
      <c r="D493" s="106" t="str">
        <f>IF(MouserListTable12[[#This Row],[Vendor]]=FilterSpecs!$A$8,MouserListTable12[[#This Row],[Mouser SKU]], MouserListTable12[[#This Row],[SKU2]])</f>
        <v>PRT-10376</v>
      </c>
      <c r="E493" s="121">
        <f>MouserListTable12[[#This Row],[Tot '#]]-MouserListTable12[[#This Row],['# Initial]]</f>
        <v>0</v>
      </c>
      <c r="F493" s="121">
        <f>MouserListTable12[[#This Row],['#/Unit]]*FilterSpecs!$B$3+MouserListTable12[[#This Row],[Extra Initial]]</f>
        <v>0</v>
      </c>
      <c r="G493" s="103" t="s">
        <v>504</v>
      </c>
      <c r="H493" s="103" t="s">
        <v>505</v>
      </c>
      <c r="I493" s="106" t="s">
        <v>506</v>
      </c>
      <c r="J493" s="103"/>
      <c r="K493" s="171">
        <v>1.95</v>
      </c>
      <c r="L493" s="106" t="s">
        <v>1910</v>
      </c>
      <c r="M493" s="103"/>
      <c r="N493" s="171">
        <f>MouserListTable12[[#This Row],['# Initial]]*MouserListTable12[[#This Row],[Price (USD)]]</f>
        <v>0</v>
      </c>
      <c r="O493" s="106" t="s">
        <v>503</v>
      </c>
      <c r="P493" s="103">
        <f t="shared" si="12"/>
        <v>474</v>
      </c>
      <c r="Q493" s="103">
        <f>IF($D493=$O493,1,0)</f>
        <v>1</v>
      </c>
      <c r="R493" s="103" t="s">
        <v>8</v>
      </c>
      <c r="S493" s="103" t="str">
        <f>_xlfn.IFS(MouserListTable12[[#This Row],[Supplier]]=FilterSpecs!$A$6, FilterSpecs!$B$6,MouserListTable12[[#This Row],[Supplier]]=FilterSpecs!$A$7,FilterSpecs!$B$7,MouserListTable12[[#This Row],[Supplier]]=FilterSpecs!$A$8,FilterSpecs!$B$8,MouserListTable12[[#This Row],[Supplier]]=FilterSpecs!$A$9,FilterSpecs!$B$9)</f>
        <v>474-</v>
      </c>
      <c r="T49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474-PRT-10376</v>
      </c>
      <c r="U493" s="121">
        <v>0</v>
      </c>
      <c r="V493" s="121">
        <v>0</v>
      </c>
      <c r="W493" s="121">
        <v>0</v>
      </c>
      <c r="X493" s="121">
        <f>MouserListTable12[[#This Row],['#/Unit]]*FilterSpecs!$C$3+MouserListTable12[[#This Row],[Extra]]</f>
        <v>0</v>
      </c>
      <c r="Y493" s="121">
        <f>IF(MouserListTable12[[#This Row],[Tag]]=FilterSpecs!$F$7,MouserListTable12[[#This Row],[Price (USD)]],0)</f>
        <v>0</v>
      </c>
      <c r="Z493" s="121">
        <f>MouserListTable12[[#This Row],[Tot '#]]*MouserListTable12[[#This Row],[Price (USD)]]</f>
        <v>0</v>
      </c>
    </row>
    <row r="494" spans="1:26" s="144" customFormat="1" hidden="1" x14ac:dyDescent="0.3">
      <c r="A494" s="146" t="s">
        <v>897</v>
      </c>
      <c r="B494" s="146" t="s">
        <v>1608</v>
      </c>
      <c r="C494" s="146" t="s">
        <v>8</v>
      </c>
      <c r="D494" s="106" t="str">
        <f>IF(MouserListTable12[[#This Row],[Vendor]]=FilterSpecs!$A$8,MouserListTable12[[#This Row],[Mouser SKU]], MouserListTable12[[#This Row],[SKU2]])</f>
        <v>PRT-10371</v>
      </c>
      <c r="E494" s="121">
        <f>MouserListTable12[[#This Row],[Tot '#]]-MouserListTable12[[#This Row],['# Initial]]</f>
        <v>0</v>
      </c>
      <c r="F494" s="121">
        <f>MouserListTable12[[#This Row],['#/Unit]]*FilterSpecs!$B$3+MouserListTable12[[#This Row],[Extra Initial]]</f>
        <v>0</v>
      </c>
      <c r="G494" s="103" t="s">
        <v>508</v>
      </c>
      <c r="H494" s="103" t="s">
        <v>509</v>
      </c>
      <c r="I494" s="106" t="s">
        <v>510</v>
      </c>
      <c r="J494" s="103"/>
      <c r="K494" s="171">
        <v>1.5</v>
      </c>
      <c r="L494" s="106" t="s">
        <v>1910</v>
      </c>
      <c r="M494" s="103"/>
      <c r="N494" s="171">
        <f>MouserListTable12[[#This Row],['# Initial]]*MouserListTable12[[#This Row],[Price (USD)]]</f>
        <v>0</v>
      </c>
      <c r="O494" s="106" t="s">
        <v>507</v>
      </c>
      <c r="P494" s="103">
        <f t="shared" si="12"/>
        <v>475</v>
      </c>
      <c r="Q494" s="103">
        <f>IF($D494=$O494,1,0)</f>
        <v>1</v>
      </c>
      <c r="R494" s="103" t="s">
        <v>8</v>
      </c>
      <c r="S494" s="103" t="str">
        <f>_xlfn.IFS(MouserListTable12[[#This Row],[Supplier]]=FilterSpecs!$A$6, FilterSpecs!$B$6,MouserListTable12[[#This Row],[Supplier]]=FilterSpecs!$A$7,FilterSpecs!$B$7,MouserListTable12[[#This Row],[Supplier]]=FilterSpecs!$A$8,FilterSpecs!$B$8,MouserListTable12[[#This Row],[Supplier]]=FilterSpecs!$A$9,FilterSpecs!$B$9)</f>
        <v>474-</v>
      </c>
      <c r="T49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474-PRT-10371</v>
      </c>
      <c r="U494" s="121">
        <v>0</v>
      </c>
      <c r="V494" s="121">
        <v>0</v>
      </c>
      <c r="W494" s="121">
        <v>0</v>
      </c>
      <c r="X494" s="121">
        <f>MouserListTable12[[#This Row],['#/Unit]]*FilterSpecs!$C$3+MouserListTable12[[#This Row],[Extra]]</f>
        <v>0</v>
      </c>
      <c r="Y494" s="121">
        <f>IF(MouserListTable12[[#This Row],[Tag]]=FilterSpecs!$F$7,MouserListTable12[[#This Row],[Price (USD)]],0)</f>
        <v>0</v>
      </c>
      <c r="Z494" s="121">
        <f>MouserListTable12[[#This Row],[Tot '#]]*MouserListTable12[[#This Row],[Price (USD)]]</f>
        <v>0</v>
      </c>
    </row>
    <row r="495" spans="1:26" s="144" customFormat="1" hidden="1" x14ac:dyDescent="0.3">
      <c r="A495" s="146" t="s">
        <v>897</v>
      </c>
      <c r="B495" s="146" t="s">
        <v>1608</v>
      </c>
      <c r="C495" s="146" t="s">
        <v>8</v>
      </c>
      <c r="D495" s="106" t="str">
        <f>IF(MouserListTable12[[#This Row],[Vendor]]=FilterSpecs!$A$8,MouserListTable12[[#This Row],[Mouser SKU]], MouserListTable12[[#This Row],[SKU2]])</f>
        <v>PRT-12796</v>
      </c>
      <c r="E495" s="121">
        <f>MouserListTable12[[#This Row],[Tot '#]]-MouserListTable12[[#This Row],['# Initial]]</f>
        <v>0</v>
      </c>
      <c r="F495" s="121">
        <f>MouserListTable12[[#This Row],['#/Unit]]*FilterSpecs!$B$3+MouserListTable12[[#This Row],[Extra Initial]]</f>
        <v>0</v>
      </c>
      <c r="G495" s="103" t="s">
        <v>548</v>
      </c>
      <c r="H495" s="103" t="s">
        <v>549</v>
      </c>
      <c r="I495" s="106" t="s">
        <v>550</v>
      </c>
      <c r="J495" s="103">
        <v>1</v>
      </c>
      <c r="K495" s="171">
        <v>1.95</v>
      </c>
      <c r="L495" s="106" t="s">
        <v>1910</v>
      </c>
      <c r="M495" s="103"/>
      <c r="N495" s="171">
        <f>MouserListTable12[[#This Row],['# Initial]]*MouserListTable12[[#This Row],[Price (USD)]]</f>
        <v>0</v>
      </c>
      <c r="O495" s="106" t="s">
        <v>547</v>
      </c>
      <c r="P495" s="103">
        <f t="shared" si="12"/>
        <v>476</v>
      </c>
      <c r="Q495" s="103">
        <f>IF($D495=$O495,1,0)</f>
        <v>1</v>
      </c>
      <c r="R495" s="103" t="s">
        <v>8</v>
      </c>
      <c r="S495" s="103" t="str">
        <f>_xlfn.IFS(MouserListTable12[[#This Row],[Supplier]]=FilterSpecs!$A$6, FilterSpecs!$B$6,MouserListTable12[[#This Row],[Supplier]]=FilterSpecs!$A$7,FilterSpecs!$B$7,MouserListTable12[[#This Row],[Supplier]]=FilterSpecs!$A$8,FilterSpecs!$B$8,MouserListTable12[[#This Row],[Supplier]]=FilterSpecs!$A$9,FilterSpecs!$B$9)</f>
        <v>474-</v>
      </c>
      <c r="T49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474-PRT-12796</v>
      </c>
      <c r="U495" s="121">
        <v>0</v>
      </c>
      <c r="V495" s="121">
        <v>0</v>
      </c>
      <c r="W495" s="121">
        <v>0</v>
      </c>
      <c r="X495" s="121">
        <f>MouserListTable12[[#This Row],['#/Unit]]*FilterSpecs!$C$3+MouserListTable12[[#This Row],[Extra]]</f>
        <v>0</v>
      </c>
      <c r="Y495" s="121">
        <f>IF(MouserListTable12[[#This Row],[Tag]]=FilterSpecs!$F$7,MouserListTable12[[#This Row],[Price (USD)]],0)</f>
        <v>0</v>
      </c>
      <c r="Z495" s="121">
        <f>MouserListTable12[[#This Row],[Tot '#]]*MouserListTable12[[#This Row],[Price (USD)]]</f>
        <v>0</v>
      </c>
    </row>
    <row r="496" spans="1:26" s="144" customFormat="1" hidden="1" x14ac:dyDescent="0.3">
      <c r="A496" s="146" t="s">
        <v>897</v>
      </c>
      <c r="B496" s="146" t="s">
        <v>1608</v>
      </c>
      <c r="C496" s="146" t="s">
        <v>8</v>
      </c>
      <c r="D496" s="106" t="str">
        <f>IF(MouserListTable12[[#This Row],[Vendor]]=FilterSpecs!$A$8,MouserListTable12[[#This Row],[Mouser SKU]], MouserListTable12[[#This Row],[SKU2]])</f>
        <v>PRT-11710</v>
      </c>
      <c r="E496" s="121">
        <f>MouserListTable12[[#This Row],[Tot '#]]-MouserListTable12[[#This Row],['# Initial]]</f>
        <v>0</v>
      </c>
      <c r="F496" s="121">
        <f>MouserListTable12[[#This Row],['#/Unit]]*FilterSpecs!$B$3+MouserListTable12[[#This Row],[Extra Initial]]</f>
        <v>0</v>
      </c>
      <c r="G496" s="103" t="s">
        <v>552</v>
      </c>
      <c r="H496" s="103" t="s">
        <v>553</v>
      </c>
      <c r="I496" s="106" t="s">
        <v>554</v>
      </c>
      <c r="J496" s="103">
        <v>1</v>
      </c>
      <c r="K496" s="171">
        <v>4.95</v>
      </c>
      <c r="L496" s="106" t="s">
        <v>1910</v>
      </c>
      <c r="M496" s="103"/>
      <c r="N496" s="171">
        <f>MouserListTable12[[#This Row],['# Initial]]*MouserListTable12[[#This Row],[Price (USD)]]</f>
        <v>0</v>
      </c>
      <c r="O496" s="106" t="s">
        <v>551</v>
      </c>
      <c r="P496" s="103">
        <f t="shared" si="12"/>
        <v>477</v>
      </c>
      <c r="Q496" s="103">
        <f>IF($D496=$O496,1,0)</f>
        <v>1</v>
      </c>
      <c r="R496" s="103" t="s">
        <v>8</v>
      </c>
      <c r="S496" s="103" t="str">
        <f>_xlfn.IFS(MouserListTable12[[#This Row],[Supplier]]=FilterSpecs!$A$6, FilterSpecs!$B$6,MouserListTable12[[#This Row],[Supplier]]=FilterSpecs!$A$7,FilterSpecs!$B$7,MouserListTable12[[#This Row],[Supplier]]=FilterSpecs!$A$8,FilterSpecs!$B$8,MouserListTable12[[#This Row],[Supplier]]=FilterSpecs!$A$9,FilterSpecs!$B$9)</f>
        <v>474-</v>
      </c>
      <c r="T49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474-PRT-11710</v>
      </c>
      <c r="U496" s="121">
        <v>0</v>
      </c>
      <c r="V496" s="121">
        <v>0</v>
      </c>
      <c r="W496" s="121">
        <v>0</v>
      </c>
      <c r="X496" s="121">
        <f>MouserListTable12[[#This Row],['#/Unit]]*FilterSpecs!$C$3+MouserListTable12[[#This Row],[Extra]]</f>
        <v>0</v>
      </c>
      <c r="Y496" s="121">
        <f>IF(MouserListTable12[[#This Row],[Tag]]=FilterSpecs!$F$7,MouserListTable12[[#This Row],[Price (USD)]],0)</f>
        <v>0</v>
      </c>
      <c r="Z496" s="121">
        <f>MouserListTable12[[#This Row],[Tot '#]]*MouserListTable12[[#This Row],[Price (USD)]]</f>
        <v>0</v>
      </c>
    </row>
    <row r="497" spans="1:26" s="144" customFormat="1" hidden="1" x14ac:dyDescent="0.3">
      <c r="A497" s="146" t="s">
        <v>897</v>
      </c>
      <c r="B497" s="146" t="s">
        <v>1608</v>
      </c>
      <c r="C497" s="146" t="s">
        <v>8</v>
      </c>
      <c r="D497" s="106" t="str">
        <f>IF(MouserListTable12[[#This Row],[Vendor]]=FilterSpecs!$A$8,MouserListTable12[[#This Row],[Mouser SKU]], MouserListTable12[[#This Row],[SKU2]])</f>
        <v>PRT-09389</v>
      </c>
      <c r="E497" s="121">
        <f>MouserListTable12[[#This Row],[Tot '#]]-MouserListTable12[[#This Row],['# Initial]]</f>
        <v>0</v>
      </c>
      <c r="F497" s="121">
        <f>MouserListTable12[[#This Row],['#/Unit]]*FilterSpecs!$B$3+MouserListTable12[[#This Row],[Extra Initial]]</f>
        <v>0</v>
      </c>
      <c r="G497" s="103" t="s">
        <v>600</v>
      </c>
      <c r="H497" s="103" t="s">
        <v>601</v>
      </c>
      <c r="I497" s="106" t="s">
        <v>602</v>
      </c>
      <c r="J497" s="103">
        <v>1</v>
      </c>
      <c r="K497" s="171">
        <v>4.5</v>
      </c>
      <c r="L497" s="106" t="s">
        <v>1910</v>
      </c>
      <c r="M497" s="103"/>
      <c r="N497" s="171">
        <f>MouserListTable12[[#This Row],['# Initial]]*MouserListTable12[[#This Row],[Price (USD)]]</f>
        <v>0</v>
      </c>
      <c r="O497" s="106" t="s">
        <v>599</v>
      </c>
      <c r="P497" s="103">
        <f t="shared" si="12"/>
        <v>478</v>
      </c>
      <c r="Q497" s="103">
        <f>IF($D497=$O497,1,0)</f>
        <v>1</v>
      </c>
      <c r="R497" s="103" t="s">
        <v>8</v>
      </c>
      <c r="S497" s="103" t="str">
        <f>_xlfn.IFS(MouserListTable12[[#This Row],[Supplier]]=FilterSpecs!$A$6, FilterSpecs!$B$6,MouserListTable12[[#This Row],[Supplier]]=FilterSpecs!$A$7,FilterSpecs!$B$7,MouserListTable12[[#This Row],[Supplier]]=FilterSpecs!$A$8,FilterSpecs!$B$8,MouserListTable12[[#This Row],[Supplier]]=FilterSpecs!$A$9,FilterSpecs!$B$9)</f>
        <v>474-</v>
      </c>
      <c r="T49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474-PRT-09389</v>
      </c>
      <c r="U497" s="121">
        <v>0</v>
      </c>
      <c r="V497" s="121">
        <v>0</v>
      </c>
      <c r="W497" s="121">
        <v>0</v>
      </c>
      <c r="X497" s="121">
        <f>MouserListTable12[[#This Row],['#/Unit]]*FilterSpecs!$C$3+MouserListTable12[[#This Row],[Extra]]</f>
        <v>0</v>
      </c>
      <c r="Y497" s="121">
        <f>IF(MouserListTable12[[#This Row],[Tag]]=FilterSpecs!$F$7,MouserListTable12[[#This Row],[Price (USD)]],0)</f>
        <v>0</v>
      </c>
      <c r="Z497" s="121">
        <f>MouserListTable12[[#This Row],[Tot '#]]*MouserListTable12[[#This Row],[Price (USD)]]</f>
        <v>0</v>
      </c>
    </row>
    <row r="498" spans="1:26" s="144" customFormat="1" hidden="1" x14ac:dyDescent="0.3">
      <c r="A498" s="146" t="s">
        <v>897</v>
      </c>
      <c r="B498" s="146" t="s">
        <v>1608</v>
      </c>
      <c r="C498" s="146" t="s">
        <v>8</v>
      </c>
      <c r="D498" s="106" t="str">
        <f>IF(MouserListTable12[[#This Row],[Vendor]]=FilterSpecs!$A$8,MouserListTable12[[#This Row],[Mouser SKU]], MouserListTable12[[#This Row],[SKU2]])</f>
        <v>PRT-09140</v>
      </c>
      <c r="E498" s="121">
        <f>MouserListTable12[[#This Row],[Tot '#]]-MouserListTable12[[#This Row],['# Initial]]</f>
        <v>0</v>
      </c>
      <c r="F498" s="121">
        <f>MouserListTable12[[#This Row],['#/Unit]]*FilterSpecs!$B$3+MouserListTable12[[#This Row],[Extra Initial]]</f>
        <v>0</v>
      </c>
      <c r="G498" s="103" t="s">
        <v>560</v>
      </c>
      <c r="H498" s="103" t="s">
        <v>561</v>
      </c>
      <c r="I498" s="106" t="s">
        <v>562</v>
      </c>
      <c r="J498" s="103">
        <v>1</v>
      </c>
      <c r="K498" s="171">
        <v>3.95</v>
      </c>
      <c r="L498" s="106" t="s">
        <v>1910</v>
      </c>
      <c r="M498" s="103"/>
      <c r="N498" s="171">
        <f>MouserListTable12[[#This Row],['# Initial]]*MouserListTable12[[#This Row],[Price (USD)]]</f>
        <v>0</v>
      </c>
      <c r="O498" s="106" t="s">
        <v>559</v>
      </c>
      <c r="P498" s="103">
        <f t="shared" si="12"/>
        <v>479</v>
      </c>
      <c r="Q498" s="103">
        <f>IF($D498=$O498,1,0)</f>
        <v>1</v>
      </c>
      <c r="R498" s="103" t="s">
        <v>8</v>
      </c>
      <c r="S498" s="103" t="str">
        <f>_xlfn.IFS(MouserListTable12[[#This Row],[Supplier]]=FilterSpecs!$A$6, FilterSpecs!$B$6,MouserListTable12[[#This Row],[Supplier]]=FilterSpecs!$A$7,FilterSpecs!$B$7,MouserListTable12[[#This Row],[Supplier]]=FilterSpecs!$A$8,FilterSpecs!$B$8,MouserListTable12[[#This Row],[Supplier]]=FilterSpecs!$A$9,FilterSpecs!$B$9)</f>
        <v>474-</v>
      </c>
      <c r="T49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474-PRT-09140</v>
      </c>
      <c r="U498" s="121">
        <v>0</v>
      </c>
      <c r="V498" s="121">
        <v>0</v>
      </c>
      <c r="W498" s="121">
        <v>0</v>
      </c>
      <c r="X498" s="121">
        <f>MouserListTable12[[#This Row],['#/Unit]]*FilterSpecs!$C$3+MouserListTable12[[#This Row],[Extra]]</f>
        <v>0</v>
      </c>
      <c r="Y498" s="121">
        <f>IF(MouserListTable12[[#This Row],[Tag]]=FilterSpecs!$F$7,MouserListTable12[[#This Row],[Price (USD)]],0)</f>
        <v>0</v>
      </c>
      <c r="Z498" s="121">
        <f>MouserListTable12[[#This Row],[Tot '#]]*MouserListTable12[[#This Row],[Price (USD)]]</f>
        <v>0</v>
      </c>
    </row>
    <row r="499" spans="1:26" s="144" customFormat="1" hidden="1" x14ac:dyDescent="0.3">
      <c r="A499" s="146" t="s">
        <v>897</v>
      </c>
      <c r="B499" s="146" t="s">
        <v>1608</v>
      </c>
      <c r="C499" s="146" t="s">
        <v>8</v>
      </c>
      <c r="D499" s="106" t="str">
        <f>IF(MouserListTable12[[#This Row],[Vendor]]=FilterSpecs!$A$8,MouserListTable12[[#This Row],[Mouser SKU]], MouserListTable12[[#This Row],[SKU2]])</f>
        <v>PRT-09385</v>
      </c>
      <c r="E499" s="121">
        <f>MouserListTable12[[#This Row],[Tot '#]]-MouserListTable12[[#This Row],['# Initial]]</f>
        <v>0</v>
      </c>
      <c r="F499" s="121">
        <f>MouserListTable12[[#This Row],['#/Unit]]*FilterSpecs!$B$3+MouserListTable12[[#This Row],[Extra Initial]]</f>
        <v>0</v>
      </c>
      <c r="G499" s="103" t="s">
        <v>568</v>
      </c>
      <c r="H499" s="103" t="s">
        <v>569</v>
      </c>
      <c r="I499" s="106" t="s">
        <v>570</v>
      </c>
      <c r="J499" s="103">
        <v>1</v>
      </c>
      <c r="K499" s="171">
        <v>4.5</v>
      </c>
      <c r="L499" s="106" t="s">
        <v>1910</v>
      </c>
      <c r="M499" s="103"/>
      <c r="N499" s="171">
        <f>MouserListTable12[[#This Row],['# Initial]]*MouserListTable12[[#This Row],[Price (USD)]]</f>
        <v>0</v>
      </c>
      <c r="O499" s="106" t="s">
        <v>567</v>
      </c>
      <c r="P499" s="103">
        <f t="shared" si="12"/>
        <v>480</v>
      </c>
      <c r="Q499" s="103">
        <f>IF($D499=$O499,1,0)</f>
        <v>1</v>
      </c>
      <c r="R499" s="103" t="s">
        <v>8</v>
      </c>
      <c r="S499" s="103" t="str">
        <f>_xlfn.IFS(MouserListTable12[[#This Row],[Supplier]]=FilterSpecs!$A$6, FilterSpecs!$B$6,MouserListTable12[[#This Row],[Supplier]]=FilterSpecs!$A$7,FilterSpecs!$B$7,MouserListTable12[[#This Row],[Supplier]]=FilterSpecs!$A$8,FilterSpecs!$B$8,MouserListTable12[[#This Row],[Supplier]]=FilterSpecs!$A$9,FilterSpecs!$B$9)</f>
        <v>474-</v>
      </c>
      <c r="T49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474-PRT-09385</v>
      </c>
      <c r="U499" s="121">
        <v>0</v>
      </c>
      <c r="V499" s="121">
        <v>0</v>
      </c>
      <c r="W499" s="121">
        <v>0</v>
      </c>
      <c r="X499" s="121">
        <f>MouserListTable12[[#This Row],['#/Unit]]*FilterSpecs!$C$3+MouserListTable12[[#This Row],[Extra]]</f>
        <v>0</v>
      </c>
      <c r="Y499" s="121">
        <f>IF(MouserListTable12[[#This Row],[Tag]]=FilterSpecs!$F$7,MouserListTable12[[#This Row],[Price (USD)]],0)</f>
        <v>0</v>
      </c>
      <c r="Z499" s="121">
        <f>MouserListTable12[[#This Row],[Tot '#]]*MouserListTable12[[#This Row],[Price (USD)]]</f>
        <v>0</v>
      </c>
    </row>
    <row r="500" spans="1:26" s="144" customFormat="1" hidden="1" x14ac:dyDescent="0.3">
      <c r="A500" s="146" t="s">
        <v>897</v>
      </c>
      <c r="B500" s="146" t="s">
        <v>1608</v>
      </c>
      <c r="C500" s="146" t="s">
        <v>8</v>
      </c>
      <c r="D500" s="106" t="str">
        <f>IF(MouserListTable12[[#This Row],[Vendor]]=FilterSpecs!$A$8,MouserListTable12[[#This Row],[Mouser SKU]], MouserListTable12[[#This Row],[SKU2]])</f>
        <v>PRT-14284</v>
      </c>
      <c r="E500" s="121">
        <f>MouserListTable12[[#This Row],[Tot '#]]-MouserListTable12[[#This Row],['# Initial]]</f>
        <v>0</v>
      </c>
      <c r="F500" s="121">
        <f>MouserListTable12[[#This Row],['#/Unit]]*FilterSpecs!$B$3+MouserListTable12[[#This Row],[Extra Initial]]</f>
        <v>0</v>
      </c>
      <c r="G500" s="103" t="s">
        <v>544</v>
      </c>
      <c r="H500" s="103" t="s">
        <v>545</v>
      </c>
      <c r="I500" s="106" t="s">
        <v>546</v>
      </c>
      <c r="J500" s="103">
        <v>1</v>
      </c>
      <c r="K500" s="171">
        <v>1.95</v>
      </c>
      <c r="L500" s="106" t="s">
        <v>1910</v>
      </c>
      <c r="M500" s="103"/>
      <c r="N500" s="171">
        <f>MouserListTable12[[#This Row],['# Initial]]*MouserListTable12[[#This Row],[Price (USD)]]</f>
        <v>0</v>
      </c>
      <c r="O500" s="106" t="s">
        <v>543</v>
      </c>
      <c r="P500" s="103">
        <f t="shared" si="12"/>
        <v>481</v>
      </c>
      <c r="Q500" s="103">
        <f>IF($D500=$O500,1,0)</f>
        <v>1</v>
      </c>
      <c r="R500" s="103" t="s">
        <v>8</v>
      </c>
      <c r="S500" s="103" t="str">
        <f>_xlfn.IFS(MouserListTable12[[#This Row],[Supplier]]=FilterSpecs!$A$6, FilterSpecs!$B$6,MouserListTable12[[#This Row],[Supplier]]=FilterSpecs!$A$7,FilterSpecs!$B$7,MouserListTable12[[#This Row],[Supplier]]=FilterSpecs!$A$8,FilterSpecs!$B$8,MouserListTable12[[#This Row],[Supplier]]=FilterSpecs!$A$9,FilterSpecs!$B$9)</f>
        <v>474-</v>
      </c>
      <c r="T50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474-PRT-14284</v>
      </c>
      <c r="U500" s="121">
        <v>0</v>
      </c>
      <c r="V500" s="121">
        <v>0</v>
      </c>
      <c r="W500" s="121">
        <v>0</v>
      </c>
      <c r="X500" s="121">
        <f>MouserListTable12[[#This Row],['#/Unit]]*FilterSpecs!$C$3+MouserListTable12[[#This Row],[Extra]]</f>
        <v>0</v>
      </c>
      <c r="Y500" s="121">
        <f>IF(MouserListTable12[[#This Row],[Tag]]=FilterSpecs!$F$7,MouserListTable12[[#This Row],[Price (USD)]],0)</f>
        <v>0</v>
      </c>
      <c r="Z500" s="121">
        <f>MouserListTable12[[#This Row],[Tot '#]]*MouserListTable12[[#This Row],[Price (USD)]]</f>
        <v>0</v>
      </c>
    </row>
    <row r="501" spans="1:26" s="144" customFormat="1" hidden="1" x14ac:dyDescent="0.3">
      <c r="A501" s="146" t="s">
        <v>897</v>
      </c>
      <c r="B501" s="146" t="s">
        <v>1608</v>
      </c>
      <c r="C501" s="146" t="s">
        <v>8</v>
      </c>
      <c r="D501" s="106" t="str">
        <f>IF(MouserListTable12[[#This Row],[Vendor]]=FilterSpecs!$A$8,MouserListTable12[[#This Row],[Mouser SKU]], MouserListTable12[[#This Row],[SKU2]])</f>
        <v>PRT-11709</v>
      </c>
      <c r="E501" s="121">
        <f>MouserListTable12[[#This Row],[Tot '#]]-MouserListTable12[[#This Row],['# Initial]]</f>
        <v>0</v>
      </c>
      <c r="F501" s="121">
        <f>MouserListTable12[[#This Row],['#/Unit]]*FilterSpecs!$B$3+MouserListTable12[[#This Row],[Extra Initial]]</f>
        <v>0</v>
      </c>
      <c r="G501" s="103" t="s">
        <v>552</v>
      </c>
      <c r="H501" s="103" t="s">
        <v>553</v>
      </c>
      <c r="I501" s="106" t="s">
        <v>1351</v>
      </c>
      <c r="J501" s="103">
        <v>1</v>
      </c>
      <c r="K501" s="171">
        <v>4.95</v>
      </c>
      <c r="L501" s="106" t="s">
        <v>1910</v>
      </c>
      <c r="M501" s="103"/>
      <c r="N501" s="171">
        <f>MouserListTable12[[#This Row],['# Initial]]*MouserListTable12[[#This Row],[Price (USD)]]</f>
        <v>0</v>
      </c>
      <c r="O501" s="106" t="s">
        <v>1352</v>
      </c>
      <c r="P501" s="103">
        <f t="shared" si="12"/>
        <v>482</v>
      </c>
      <c r="Q501" s="103">
        <f>IF($D501=$O501,1,0)</f>
        <v>1</v>
      </c>
      <c r="R501" s="103" t="s">
        <v>8</v>
      </c>
      <c r="S501" s="103" t="str">
        <f>_xlfn.IFS(MouserListTable12[[#This Row],[Supplier]]=FilterSpecs!$A$6, FilterSpecs!$B$6,MouserListTable12[[#This Row],[Supplier]]=FilterSpecs!$A$7,FilterSpecs!$B$7,MouserListTable12[[#This Row],[Supplier]]=FilterSpecs!$A$8,FilterSpecs!$B$8,MouserListTable12[[#This Row],[Supplier]]=FilterSpecs!$A$9,FilterSpecs!$B$9)</f>
        <v>474-</v>
      </c>
      <c r="T50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474-PRT-11709</v>
      </c>
      <c r="U501" s="121">
        <v>0</v>
      </c>
      <c r="V501" s="121">
        <v>0</v>
      </c>
      <c r="W501" s="121">
        <v>0</v>
      </c>
      <c r="X501" s="121">
        <f>MouserListTable12[[#This Row],['#/Unit]]*FilterSpecs!$C$3+MouserListTable12[[#This Row],[Extra]]</f>
        <v>0</v>
      </c>
      <c r="Y501" s="121">
        <f>IF(MouserListTable12[[#This Row],[Tag]]=FilterSpecs!$F$7,MouserListTable12[[#This Row],[Price (USD)]],0)</f>
        <v>0</v>
      </c>
      <c r="Z501" s="121">
        <f>MouserListTable12[[#This Row],[Tot '#]]*MouserListTable12[[#This Row],[Price (USD)]]</f>
        <v>0</v>
      </c>
    </row>
    <row r="502" spans="1:26" s="144" customFormat="1" hidden="1" x14ac:dyDescent="0.3">
      <c r="A502" s="146" t="s">
        <v>897</v>
      </c>
      <c r="B502" s="146" t="s">
        <v>1608</v>
      </c>
      <c r="C502" s="146" t="s">
        <v>8</v>
      </c>
      <c r="D502" s="106" t="str">
        <f>IF(MouserListTable12[[#This Row],[Vendor]]=FilterSpecs!$A$8,MouserListTable12[[#This Row],[Mouser SKU]], MouserListTable12[[#This Row],[SKU2]])</f>
        <v>PRT-08431</v>
      </c>
      <c r="E502" s="121">
        <f>MouserListTable12[[#This Row],[Tot '#]]-MouserListTable12[[#This Row],['# Initial]]</f>
        <v>0</v>
      </c>
      <c r="F502" s="121">
        <f>MouserListTable12[[#This Row],['#/Unit]]*FilterSpecs!$B$3+MouserListTable12[[#This Row],[Extra Initial]]</f>
        <v>0</v>
      </c>
      <c r="G502" s="103" t="s">
        <v>564</v>
      </c>
      <c r="H502" s="103" t="s">
        <v>565</v>
      </c>
      <c r="I502" s="106" t="s">
        <v>566</v>
      </c>
      <c r="J502" s="103">
        <v>1</v>
      </c>
      <c r="K502" s="171">
        <v>3.95</v>
      </c>
      <c r="L502" s="106" t="s">
        <v>1910</v>
      </c>
      <c r="M502" s="103"/>
      <c r="N502" s="171">
        <f>MouserListTable12[[#This Row],['# Initial]]*MouserListTable12[[#This Row],[Price (USD)]]</f>
        <v>0</v>
      </c>
      <c r="O502" s="106" t="s">
        <v>563</v>
      </c>
      <c r="P502" s="103">
        <f t="shared" si="12"/>
        <v>483</v>
      </c>
      <c r="Q502" s="103">
        <f>IF($D502=$O502,1,0)</f>
        <v>1</v>
      </c>
      <c r="R502" s="103" t="s">
        <v>8</v>
      </c>
      <c r="S502" s="103" t="str">
        <f>_xlfn.IFS(MouserListTable12[[#This Row],[Supplier]]=FilterSpecs!$A$6, FilterSpecs!$B$6,MouserListTable12[[#This Row],[Supplier]]=FilterSpecs!$A$7,FilterSpecs!$B$7,MouserListTable12[[#This Row],[Supplier]]=FilterSpecs!$A$8,FilterSpecs!$B$8,MouserListTable12[[#This Row],[Supplier]]=FilterSpecs!$A$9,FilterSpecs!$B$9)</f>
        <v>474-</v>
      </c>
      <c r="T50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474-PRT-08431</v>
      </c>
      <c r="U502" s="121">
        <v>0</v>
      </c>
      <c r="V502" s="121">
        <v>0</v>
      </c>
      <c r="W502" s="121">
        <v>0</v>
      </c>
      <c r="X502" s="121">
        <f>MouserListTable12[[#This Row],['#/Unit]]*FilterSpecs!$C$3+MouserListTable12[[#This Row],[Extra]]</f>
        <v>0</v>
      </c>
      <c r="Y502" s="121">
        <f>IF(MouserListTable12[[#This Row],[Tag]]=FilterSpecs!$F$7,MouserListTable12[[#This Row],[Price (USD)]],0)</f>
        <v>0</v>
      </c>
      <c r="Z502" s="121">
        <f>MouserListTable12[[#This Row],[Tot '#]]*MouserListTable12[[#This Row],[Price (USD)]]</f>
        <v>0</v>
      </c>
    </row>
    <row r="503" spans="1:26" s="144" customFormat="1" hidden="1" x14ac:dyDescent="0.3">
      <c r="A503" s="146" t="s">
        <v>897</v>
      </c>
      <c r="B503" s="146" t="s">
        <v>1608</v>
      </c>
      <c r="C503" s="146" t="s">
        <v>8</v>
      </c>
      <c r="D503" s="106" t="str">
        <f>IF(MouserListTable12[[#This Row],[Vendor]]=FilterSpecs!$A$8,MouserListTable12[[#This Row],[Mouser SKU]], MouserListTable12[[#This Row],[SKU2]])</f>
        <v>PRT-11026</v>
      </c>
      <c r="E503" s="121">
        <f>MouserListTable12[[#This Row],[Tot '#]]-MouserListTable12[[#This Row],['# Initial]]</f>
        <v>0</v>
      </c>
      <c r="F503" s="121">
        <f>MouserListTable12[[#This Row],['#/Unit]]*FilterSpecs!$B$3+MouserListTable12[[#This Row],[Extra Initial]]</f>
        <v>0</v>
      </c>
      <c r="G503" s="103" t="s">
        <v>556</v>
      </c>
      <c r="H503" s="103" t="s">
        <v>557</v>
      </c>
      <c r="I503" s="106" t="s">
        <v>558</v>
      </c>
      <c r="J503" s="103">
        <v>1</v>
      </c>
      <c r="K503" s="171">
        <v>1.95</v>
      </c>
      <c r="L503" s="106" t="s">
        <v>1910</v>
      </c>
      <c r="M503" s="103"/>
      <c r="N503" s="171">
        <f>MouserListTable12[[#This Row],['# Initial]]*MouserListTable12[[#This Row],[Price (USD)]]</f>
        <v>0</v>
      </c>
      <c r="O503" s="106" t="s">
        <v>555</v>
      </c>
      <c r="P503" s="103">
        <f t="shared" si="12"/>
        <v>484</v>
      </c>
      <c r="Q503" s="103">
        <f>IF($D503=$O503,1,0)</f>
        <v>1</v>
      </c>
      <c r="R503" s="103" t="s">
        <v>8</v>
      </c>
      <c r="S503" s="103" t="str">
        <f>_xlfn.IFS(MouserListTable12[[#This Row],[Supplier]]=FilterSpecs!$A$6, FilterSpecs!$B$6,MouserListTable12[[#This Row],[Supplier]]=FilterSpecs!$A$7,FilterSpecs!$B$7,MouserListTable12[[#This Row],[Supplier]]=FilterSpecs!$A$8,FilterSpecs!$B$8,MouserListTable12[[#This Row],[Supplier]]=FilterSpecs!$A$9,FilterSpecs!$B$9)</f>
        <v>474-</v>
      </c>
      <c r="T50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474-PRT-11026</v>
      </c>
      <c r="U503" s="121">
        <v>0</v>
      </c>
      <c r="V503" s="121">
        <v>0</v>
      </c>
      <c r="W503" s="121">
        <v>0</v>
      </c>
      <c r="X503" s="121">
        <f>MouserListTable12[[#This Row],['#/Unit]]*FilterSpecs!$C$3+MouserListTable12[[#This Row],[Extra]]</f>
        <v>0</v>
      </c>
      <c r="Y503" s="121">
        <f>IF(MouserListTable12[[#This Row],[Tag]]=FilterSpecs!$F$7,MouserListTable12[[#This Row],[Price (USD)]],0)</f>
        <v>0</v>
      </c>
      <c r="Z503" s="121">
        <f>MouserListTable12[[#This Row],[Tot '#]]*MouserListTable12[[#This Row],[Price (USD)]]</f>
        <v>0</v>
      </c>
    </row>
    <row r="504" spans="1:26" s="146" customFormat="1" x14ac:dyDescent="0.3">
      <c r="A504" s="103" t="s">
        <v>897</v>
      </c>
      <c r="B504" s="103" t="s">
        <v>1012</v>
      </c>
      <c r="C504" s="103" t="s">
        <v>8</v>
      </c>
      <c r="D504" s="106" t="str">
        <f>IF(MouserListTable12[[#This Row],[Vendor]]=FilterSpecs!$A$8,MouserListTable12[[#This Row],[Mouser SKU]], MouserListTable12[[#This Row],[SKU2]])</f>
        <v>COM-10969</v>
      </c>
      <c r="E504" s="121">
        <f>MouserListTable12[[#This Row],[Tot '#]]-MouserListTable12[[#This Row],['# Initial]]</f>
        <v>0</v>
      </c>
      <c r="F504" s="121">
        <f>MouserListTable12[[#This Row],['#/Unit]]*FilterSpecs!$B$3+MouserListTable12[[#This Row],[Extra Initial]]</f>
        <v>1</v>
      </c>
      <c r="G504" s="103" t="s">
        <v>372</v>
      </c>
      <c r="H504" s="103" t="s">
        <v>373</v>
      </c>
      <c r="I504" s="103" t="s">
        <v>374</v>
      </c>
      <c r="J504" s="103">
        <v>1</v>
      </c>
      <c r="K504" s="171">
        <v>7.95</v>
      </c>
      <c r="L504" s="103" t="s">
        <v>1910</v>
      </c>
      <c r="M504" s="103"/>
      <c r="N504" s="171">
        <f>MouserListTable12[[#This Row],['# Initial]]*MouserListTable12[[#This Row],[Price (USD)]]</f>
        <v>7.95</v>
      </c>
      <c r="O504" s="106" t="s">
        <v>371</v>
      </c>
      <c r="P504" s="103">
        <f t="shared" si="12"/>
        <v>485</v>
      </c>
      <c r="Q504" s="103">
        <f>IF($D504=$O504,1,0)</f>
        <v>1</v>
      </c>
      <c r="R504" s="103" t="s">
        <v>8</v>
      </c>
      <c r="S504" s="103" t="str">
        <f>_xlfn.IFS(MouserListTable12[[#This Row],[Supplier]]=FilterSpecs!$A$6, FilterSpecs!$B$6,MouserListTable12[[#This Row],[Supplier]]=FilterSpecs!$A$7,FilterSpecs!$B$7,MouserListTable12[[#This Row],[Supplier]]=FilterSpecs!$A$8,FilterSpecs!$B$8,MouserListTable12[[#This Row],[Supplier]]=FilterSpecs!$A$9,FilterSpecs!$B$9)</f>
        <v>474-</v>
      </c>
      <c r="T50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474-COM-10969</v>
      </c>
      <c r="U504" s="121">
        <v>0</v>
      </c>
      <c r="V504" s="121">
        <v>1</v>
      </c>
      <c r="W504" s="121">
        <v>1</v>
      </c>
      <c r="X504" s="121">
        <f>MouserListTable12[[#This Row],['#/Unit]]*FilterSpecs!$C$3+MouserListTable12[[#This Row],[Extra]]</f>
        <v>1</v>
      </c>
      <c r="Y504" s="121">
        <f>IF(MouserListTable12[[#This Row],[Tag]]=FilterSpecs!$F$7,MouserListTable12[[#This Row],[Price (USD)]],0)</f>
        <v>0</v>
      </c>
      <c r="Z504" s="121">
        <f>MouserListTable12[[#This Row],[Tot '#]]*MouserListTable12[[#This Row],[Price (USD)]]</f>
        <v>7.95</v>
      </c>
    </row>
    <row r="505" spans="1:26" s="146" customFormat="1" x14ac:dyDescent="0.3">
      <c r="A505" s="103" t="s">
        <v>897</v>
      </c>
      <c r="B505" s="103" t="s">
        <v>1012</v>
      </c>
      <c r="C505" s="103" t="s">
        <v>8</v>
      </c>
      <c r="D505" s="106" t="str">
        <f>IF(MouserListTable12[[#This Row],[Vendor]]=FilterSpecs!$A$8,MouserListTable12[[#This Row],[Mouser SKU]], MouserListTable12[[#This Row],[SKU2]])</f>
        <v>COM-10856</v>
      </c>
      <c r="E505" s="121">
        <f>MouserListTable12[[#This Row],[Tot '#]]-MouserListTable12[[#This Row],['# Initial]]</f>
        <v>0</v>
      </c>
      <c r="F505" s="121">
        <f>MouserListTable12[[#This Row],['#/Unit]]*FilterSpecs!$B$3+MouserListTable12[[#This Row],[Extra Initial]]</f>
        <v>5</v>
      </c>
      <c r="G505" s="103" t="s">
        <v>438</v>
      </c>
      <c r="H505" s="103" t="s">
        <v>439</v>
      </c>
      <c r="I505" s="103" t="s">
        <v>440</v>
      </c>
      <c r="J505" s="103">
        <v>1</v>
      </c>
      <c r="K505" s="171">
        <v>0.5</v>
      </c>
      <c r="L505" s="103" t="s">
        <v>1911</v>
      </c>
      <c r="M505" s="103"/>
      <c r="N505" s="171">
        <f>MouserListTable12[[#This Row],['# Initial]]*MouserListTable12[[#This Row],[Price (USD)]]</f>
        <v>2.5</v>
      </c>
      <c r="O505" s="106" t="s">
        <v>437</v>
      </c>
      <c r="P505" s="103">
        <f t="shared" si="12"/>
        <v>486</v>
      </c>
      <c r="Q505" s="103">
        <f>IF($D505=$O505,1,0)</f>
        <v>1</v>
      </c>
      <c r="R505" s="103" t="s">
        <v>8</v>
      </c>
      <c r="S505" s="103" t="str">
        <f>_xlfn.IFS(MouserListTable12[[#This Row],[Supplier]]=FilterSpecs!$A$6, FilterSpecs!$B$6,MouserListTable12[[#This Row],[Supplier]]=FilterSpecs!$A$7,FilterSpecs!$B$7,MouserListTable12[[#This Row],[Supplier]]=FilterSpecs!$A$8,FilterSpecs!$B$8,MouserListTable12[[#This Row],[Supplier]]=FilterSpecs!$A$9,FilterSpecs!$B$9)</f>
        <v>474-</v>
      </c>
      <c r="T50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474-COM-10856</v>
      </c>
      <c r="U505" s="121">
        <v>1</v>
      </c>
      <c r="V505" s="121">
        <v>0</v>
      </c>
      <c r="W505" s="121">
        <v>0</v>
      </c>
      <c r="X505" s="121">
        <f>MouserListTable12[[#This Row],['#/Unit]]*FilterSpecs!$C$3+MouserListTable12[[#This Row],[Extra]]</f>
        <v>5</v>
      </c>
      <c r="Y505" s="121">
        <f>IF(MouserListTable12[[#This Row],[Tag]]=FilterSpecs!$F$7,MouserListTable12[[#This Row],[Price (USD)]],0)</f>
        <v>0.5</v>
      </c>
      <c r="Z505" s="121">
        <f>MouserListTable12[[#This Row],[Tot '#]]*MouserListTable12[[#This Row],[Price (USD)]]</f>
        <v>2.5</v>
      </c>
    </row>
    <row r="506" spans="1:26" s="146" customFormat="1" x14ac:dyDescent="0.3">
      <c r="A506" s="103" t="s">
        <v>897</v>
      </c>
      <c r="B506" s="103" t="s">
        <v>1012</v>
      </c>
      <c r="C506" s="103" t="s">
        <v>8</v>
      </c>
      <c r="D506" s="106" t="str">
        <f>IF(MouserListTable12[[#This Row],[Vendor]]=FilterSpecs!$A$8,MouserListTable12[[#This Row],[Mouser SKU]], MouserListTable12[[#This Row],[SKU2]])</f>
        <v>COM-10855</v>
      </c>
      <c r="E506" s="121">
        <f>MouserListTable12[[#This Row],[Tot '#]]-MouserListTable12[[#This Row],['# Initial]]</f>
        <v>0</v>
      </c>
      <c r="F506" s="121">
        <f>MouserListTable12[[#This Row],['#/Unit]]*FilterSpecs!$B$3+MouserListTable12[[#This Row],[Extra Initial]]</f>
        <v>5</v>
      </c>
      <c r="G506" s="103" t="s">
        <v>442</v>
      </c>
      <c r="H506" s="103" t="s">
        <v>443</v>
      </c>
      <c r="I506" s="103" t="s">
        <v>444</v>
      </c>
      <c r="J506" s="103">
        <v>1</v>
      </c>
      <c r="K506" s="171">
        <v>0.5</v>
      </c>
      <c r="L506" s="103" t="s">
        <v>1911</v>
      </c>
      <c r="M506" s="103"/>
      <c r="N506" s="171">
        <f>MouserListTable12[[#This Row],['# Initial]]*MouserListTable12[[#This Row],[Price (USD)]]</f>
        <v>2.5</v>
      </c>
      <c r="O506" s="106" t="s">
        <v>441</v>
      </c>
      <c r="P506" s="103">
        <f t="shared" si="12"/>
        <v>487</v>
      </c>
      <c r="Q506" s="103">
        <f>IF($D506=$O506,1,0)</f>
        <v>1</v>
      </c>
      <c r="R506" s="103" t="s">
        <v>8</v>
      </c>
      <c r="S506" s="103" t="str">
        <f>_xlfn.IFS(MouserListTable12[[#This Row],[Supplier]]=FilterSpecs!$A$6, FilterSpecs!$B$6,MouserListTable12[[#This Row],[Supplier]]=FilterSpecs!$A$7,FilterSpecs!$B$7,MouserListTable12[[#This Row],[Supplier]]=FilterSpecs!$A$8,FilterSpecs!$B$8,MouserListTable12[[#This Row],[Supplier]]=FilterSpecs!$A$9,FilterSpecs!$B$9)</f>
        <v>474-</v>
      </c>
      <c r="T50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474-COM-10855</v>
      </c>
      <c r="U506" s="121">
        <v>1</v>
      </c>
      <c r="V506" s="121">
        <v>0</v>
      </c>
      <c r="W506" s="121">
        <v>0</v>
      </c>
      <c r="X506" s="121">
        <f>MouserListTable12[[#This Row],['#/Unit]]*FilterSpecs!$C$3+MouserListTable12[[#This Row],[Extra]]</f>
        <v>5</v>
      </c>
      <c r="Y506" s="121">
        <f>IF(MouserListTable12[[#This Row],[Tag]]=FilterSpecs!$F$7,MouserListTable12[[#This Row],[Price (USD)]],0)</f>
        <v>0.5</v>
      </c>
      <c r="Z506" s="121">
        <f>MouserListTable12[[#This Row],[Tot '#]]*MouserListTable12[[#This Row],[Price (USD)]]</f>
        <v>2.5</v>
      </c>
    </row>
    <row r="507" spans="1:26" s="146" customFormat="1" hidden="1" x14ac:dyDescent="0.3">
      <c r="A507" s="103" t="s">
        <v>897</v>
      </c>
      <c r="B507" s="103" t="s">
        <v>1012</v>
      </c>
      <c r="C507" s="103" t="s">
        <v>8</v>
      </c>
      <c r="D507" s="106" t="str">
        <f>IF(MouserListTable12[[#This Row],[Vendor]]=FilterSpecs!$A$8,MouserListTable12[[#This Row],[Mouser SKU]], MouserListTable12[[#This Row],[SKU2]])</f>
        <v>COM-09120</v>
      </c>
      <c r="E507" s="121">
        <f>MouserListTable12[[#This Row],[Tot '#]]-MouserListTable12[[#This Row],['# Initial]]</f>
        <v>1</v>
      </c>
      <c r="F507" s="121">
        <f>MouserListTable12[[#This Row],['#/Unit]]*FilterSpecs!$B$3+MouserListTable12[[#This Row],[Extra Initial]]</f>
        <v>0</v>
      </c>
      <c r="G507" s="103" t="s">
        <v>1698</v>
      </c>
      <c r="H507" s="103" t="s">
        <v>1699</v>
      </c>
      <c r="I507" s="103" t="s">
        <v>1700</v>
      </c>
      <c r="J507" s="103">
        <v>1</v>
      </c>
      <c r="K507" s="171">
        <v>0.95</v>
      </c>
      <c r="L507" s="106" t="s">
        <v>1911</v>
      </c>
      <c r="M507" s="103"/>
      <c r="N507" s="171">
        <f>MouserListTable12[[#This Row],['# Initial]]*MouserListTable12[[#This Row],[Price (USD)]]</f>
        <v>0</v>
      </c>
      <c r="O507" s="106" t="s">
        <v>1697</v>
      </c>
      <c r="P507" s="103">
        <f t="shared" si="12"/>
        <v>488</v>
      </c>
      <c r="Q507" s="103">
        <f>IF($D507=$O507,1,0)</f>
        <v>1</v>
      </c>
      <c r="R507" s="103" t="s">
        <v>8</v>
      </c>
      <c r="S507" s="103" t="str">
        <f>_xlfn.IFS(MouserListTable12[[#This Row],[Supplier]]=FilterSpecs!$A$6, FilterSpecs!$B$6,MouserListTable12[[#This Row],[Supplier]]=FilterSpecs!$A$7,FilterSpecs!$B$7,MouserListTable12[[#This Row],[Supplier]]=FilterSpecs!$A$8,FilterSpecs!$B$8,MouserListTable12[[#This Row],[Supplier]]=FilterSpecs!$A$9,FilterSpecs!$B$9)</f>
        <v>474-</v>
      </c>
      <c r="T50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474-COM-09120</v>
      </c>
      <c r="U507" s="121">
        <v>0</v>
      </c>
      <c r="V507" s="121">
        <v>1</v>
      </c>
      <c r="W507" s="121">
        <v>0</v>
      </c>
      <c r="X507" s="121">
        <f>MouserListTable12[[#This Row],['#/Unit]]*FilterSpecs!$C$3+MouserListTable12[[#This Row],[Extra]]</f>
        <v>1</v>
      </c>
      <c r="Y507" s="121">
        <f>IF(MouserListTable12[[#This Row],[Tag]]=FilterSpecs!$F$7,MouserListTable12[[#This Row],[Price (USD)]],0)</f>
        <v>0.95</v>
      </c>
      <c r="Z507" s="121">
        <f>MouserListTable12[[#This Row],[Tot '#]]*MouserListTable12[[#This Row],[Price (USD)]]</f>
        <v>0.95</v>
      </c>
    </row>
    <row r="508" spans="1:26" s="146" customFormat="1" hidden="1" x14ac:dyDescent="0.3">
      <c r="A508" s="103" t="s">
        <v>897</v>
      </c>
      <c r="B508" s="103" t="s">
        <v>1012</v>
      </c>
      <c r="C508" s="103" t="s">
        <v>8</v>
      </c>
      <c r="D508" s="106" t="str">
        <f>IF(MouserListTable12[[#This Row],[Vendor]]=FilterSpecs!$A$8,MouserListTable12[[#This Row],[Mouser SKU]], MouserListTable12[[#This Row],[SKU2]])</f>
        <v>COM-11620</v>
      </c>
      <c r="E508" s="121">
        <f>MouserListTable12[[#This Row],[Tot '#]]-MouserListTable12[[#This Row],['# Initial]]</f>
        <v>1</v>
      </c>
      <c r="F508" s="121">
        <f>MouserListTable12[[#This Row],['#/Unit]]*FilterSpecs!$B$3+MouserListTable12[[#This Row],[Extra Initial]]</f>
        <v>0</v>
      </c>
      <c r="G508" s="103" t="s">
        <v>1702</v>
      </c>
      <c r="H508" s="103" t="s">
        <v>1703</v>
      </c>
      <c r="I508" s="103" t="s">
        <v>1704</v>
      </c>
      <c r="J508" s="103">
        <v>1</v>
      </c>
      <c r="K508" s="171">
        <v>1.95</v>
      </c>
      <c r="L508" s="103" t="s">
        <v>1910</v>
      </c>
      <c r="M508" s="103"/>
      <c r="N508" s="171">
        <f>MouserListTable12[[#This Row],['# Initial]]*MouserListTable12[[#This Row],[Price (USD)]]</f>
        <v>0</v>
      </c>
      <c r="O508" s="106" t="s">
        <v>1701</v>
      </c>
      <c r="P508" s="103">
        <f t="shared" si="12"/>
        <v>489</v>
      </c>
      <c r="Q508" s="103">
        <f>IF($D508=$O508,1,0)</f>
        <v>1</v>
      </c>
      <c r="R508" s="103" t="s">
        <v>8</v>
      </c>
      <c r="S508" s="103" t="str">
        <f>_xlfn.IFS(MouserListTable12[[#This Row],[Supplier]]=FilterSpecs!$A$6, FilterSpecs!$B$6,MouserListTable12[[#This Row],[Supplier]]=FilterSpecs!$A$7,FilterSpecs!$B$7,MouserListTable12[[#This Row],[Supplier]]=FilterSpecs!$A$8,FilterSpecs!$B$8,MouserListTable12[[#This Row],[Supplier]]=FilterSpecs!$A$9,FilterSpecs!$B$9)</f>
        <v>474-</v>
      </c>
      <c r="T50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474-COM-11620</v>
      </c>
      <c r="U508" s="121">
        <v>0</v>
      </c>
      <c r="V508" s="121">
        <v>1</v>
      </c>
      <c r="W508" s="121">
        <v>0</v>
      </c>
      <c r="X508" s="121">
        <f>MouserListTable12[[#This Row],['#/Unit]]*FilterSpecs!$C$3+MouserListTable12[[#This Row],[Extra]]</f>
        <v>1</v>
      </c>
      <c r="Y508" s="121">
        <f>IF(MouserListTable12[[#This Row],[Tag]]=FilterSpecs!$F$7,MouserListTable12[[#This Row],[Price (USD)]],0)</f>
        <v>0</v>
      </c>
      <c r="Z508" s="121">
        <f>MouserListTable12[[#This Row],[Tot '#]]*MouserListTable12[[#This Row],[Price (USD)]]</f>
        <v>1.95</v>
      </c>
    </row>
    <row r="509" spans="1:26" s="146" customFormat="1" hidden="1" x14ac:dyDescent="0.3">
      <c r="A509" s="103" t="s">
        <v>897</v>
      </c>
      <c r="B509" s="103" t="s">
        <v>1012</v>
      </c>
      <c r="C509" s="103" t="s">
        <v>8</v>
      </c>
      <c r="D509" s="106" t="str">
        <f>IF(MouserListTable12[[#This Row],[Vendor]]=FilterSpecs!$A$8,MouserListTable12[[#This Row],[Mouser SKU]], MouserListTable12[[#This Row],[SKU2]])</f>
        <v>COM-11621</v>
      </c>
      <c r="E509" s="121">
        <f>MouserListTable12[[#This Row],[Tot '#]]-MouserListTable12[[#This Row],['# Initial]]</f>
        <v>1</v>
      </c>
      <c r="F509" s="121">
        <f>MouserListTable12[[#This Row],['#/Unit]]*FilterSpecs!$B$3+MouserListTable12[[#This Row],[Extra Initial]]</f>
        <v>0</v>
      </c>
      <c r="G509" s="103" t="s">
        <v>1682</v>
      </c>
      <c r="H509" s="103" t="s">
        <v>1683</v>
      </c>
      <c r="I509" s="103" t="s">
        <v>1684</v>
      </c>
      <c r="J509" s="103">
        <v>1</v>
      </c>
      <c r="K509" s="171">
        <v>2.5</v>
      </c>
      <c r="L509" s="103" t="s">
        <v>1910</v>
      </c>
      <c r="M509" s="103"/>
      <c r="N509" s="171">
        <f>MouserListTable12[[#This Row],['# Initial]]*MouserListTable12[[#This Row],[Price (USD)]]</f>
        <v>0</v>
      </c>
      <c r="O509" s="106" t="s">
        <v>1681</v>
      </c>
      <c r="P509" s="103">
        <f t="shared" si="12"/>
        <v>490</v>
      </c>
      <c r="Q509" s="103">
        <f>IF($D509=$O509,1,0)</f>
        <v>1</v>
      </c>
      <c r="R509" s="103" t="s">
        <v>8</v>
      </c>
      <c r="S509" s="103" t="str">
        <f>_xlfn.IFS(MouserListTable12[[#This Row],[Supplier]]=FilterSpecs!$A$6, FilterSpecs!$B$6,MouserListTable12[[#This Row],[Supplier]]=FilterSpecs!$A$7,FilterSpecs!$B$7,MouserListTable12[[#This Row],[Supplier]]=FilterSpecs!$A$8,FilterSpecs!$B$8,MouserListTable12[[#This Row],[Supplier]]=FilterSpecs!$A$9,FilterSpecs!$B$9)</f>
        <v>474-</v>
      </c>
      <c r="T50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474-COM-11621</v>
      </c>
      <c r="U509" s="121">
        <v>0</v>
      </c>
      <c r="V509" s="121">
        <v>1</v>
      </c>
      <c r="W509" s="121">
        <v>0</v>
      </c>
      <c r="X509" s="121">
        <f>MouserListTable12[[#This Row],['#/Unit]]*FilterSpecs!$C$3+MouserListTable12[[#This Row],[Extra]]</f>
        <v>1</v>
      </c>
      <c r="Y509" s="121">
        <f>IF(MouserListTable12[[#This Row],[Tag]]=FilterSpecs!$F$7,MouserListTable12[[#This Row],[Price (USD)]],0)</f>
        <v>0</v>
      </c>
      <c r="Z509" s="121">
        <f>MouserListTable12[[#This Row],[Tot '#]]*MouserListTable12[[#This Row],[Price (USD)]]</f>
        <v>2.5</v>
      </c>
    </row>
    <row r="510" spans="1:26" s="146" customFormat="1" hidden="1" x14ac:dyDescent="0.3">
      <c r="A510" s="103" t="s">
        <v>897</v>
      </c>
      <c r="B510" s="103" t="s">
        <v>1012</v>
      </c>
      <c r="C510" s="103" t="s">
        <v>8</v>
      </c>
      <c r="D510" s="106" t="str">
        <f>IF(MouserListTable12[[#This Row],[Vendor]]=FilterSpecs!$A$8,MouserListTable12[[#This Row],[Mouser SKU]], MouserListTable12[[#This Row],[SKU2]])</f>
        <v>COM-09119</v>
      </c>
      <c r="E510" s="121">
        <f>MouserListTable12[[#This Row],[Tot '#]]-MouserListTable12[[#This Row],['# Initial]]</f>
        <v>1</v>
      </c>
      <c r="F510" s="121">
        <f>MouserListTable12[[#This Row],['#/Unit]]*FilterSpecs!$B$3+MouserListTable12[[#This Row],[Extra Initial]]</f>
        <v>0</v>
      </c>
      <c r="G510" s="103" t="s">
        <v>1836</v>
      </c>
      <c r="H510" s="103" t="s">
        <v>1837</v>
      </c>
      <c r="I510" s="103" t="s">
        <v>1838</v>
      </c>
      <c r="J510" s="103">
        <v>1</v>
      </c>
      <c r="K510" s="171">
        <v>2.95</v>
      </c>
      <c r="L510" s="103" t="s">
        <v>1910</v>
      </c>
      <c r="M510" s="103"/>
      <c r="N510" s="171">
        <f>MouserListTable12[[#This Row],['# Initial]]*MouserListTable12[[#This Row],[Price (USD)]]</f>
        <v>0</v>
      </c>
      <c r="O510" s="106" t="s">
        <v>1835</v>
      </c>
      <c r="P510" s="103">
        <f t="shared" si="12"/>
        <v>491</v>
      </c>
      <c r="Q510" s="103">
        <f>IF($D510=$O510,1,0)</f>
        <v>1</v>
      </c>
      <c r="R510" s="103" t="s">
        <v>8</v>
      </c>
      <c r="S510" s="103" t="str">
        <f>_xlfn.IFS(MouserListTable12[[#This Row],[Supplier]]=FilterSpecs!$A$6, FilterSpecs!$B$6,MouserListTable12[[#This Row],[Supplier]]=FilterSpecs!$A$7,FilterSpecs!$B$7,MouserListTable12[[#This Row],[Supplier]]=FilterSpecs!$A$8,FilterSpecs!$B$8,MouserListTable12[[#This Row],[Supplier]]=FilterSpecs!$A$9,FilterSpecs!$B$9)</f>
        <v>474-</v>
      </c>
      <c r="T51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474-COM-09119</v>
      </c>
      <c r="U510" s="121">
        <v>0</v>
      </c>
      <c r="V510" s="121">
        <v>1</v>
      </c>
      <c r="W510" s="121">
        <v>0</v>
      </c>
      <c r="X510" s="121">
        <f>MouserListTable12[[#This Row],['#/Unit]]*FilterSpecs!$C$3+MouserListTable12[[#This Row],[Extra]]</f>
        <v>1</v>
      </c>
      <c r="Y510" s="121">
        <f>IF(MouserListTable12[[#This Row],[Tag]]=FilterSpecs!$F$7,MouserListTable12[[#This Row],[Price (USD)]],0)</f>
        <v>0</v>
      </c>
      <c r="Z510" s="121">
        <f>MouserListTable12[[#This Row],[Tot '#]]*MouserListTable12[[#This Row],[Price (USD)]]</f>
        <v>2.95</v>
      </c>
    </row>
    <row r="511" spans="1:26" s="146" customFormat="1" x14ac:dyDescent="0.3">
      <c r="A511" s="103" t="s">
        <v>897</v>
      </c>
      <c r="B511" s="103" t="s">
        <v>1012</v>
      </c>
      <c r="C511" s="103" t="s">
        <v>8</v>
      </c>
      <c r="D511" s="106" t="str">
        <f>IF(MouserListTable12[[#This Row],[Vendor]]=FilterSpecs!$A$8,MouserListTable12[[#This Row],[Mouser SKU]], MouserListTable12[[#This Row],[SKU2]])</f>
        <v>COM-09806</v>
      </c>
      <c r="E511" s="121">
        <f>MouserListTable12[[#This Row],[Tot '#]]-MouserListTable12[[#This Row],['# Initial]]</f>
        <v>0</v>
      </c>
      <c r="F511" s="121">
        <f>MouserListTable12[[#This Row],['#/Unit]]*FilterSpecs!$B$3+MouserListTable12[[#This Row],[Extra Initial]]</f>
        <v>5</v>
      </c>
      <c r="G511" s="103" t="s">
        <v>612</v>
      </c>
      <c r="H511" s="103" t="s">
        <v>613</v>
      </c>
      <c r="I511" s="103" t="s">
        <v>614</v>
      </c>
      <c r="J511" s="103">
        <v>1</v>
      </c>
      <c r="K511" s="171">
        <v>0.95</v>
      </c>
      <c r="L511" s="103" t="s">
        <v>1911</v>
      </c>
      <c r="M511" s="103"/>
      <c r="N511" s="171">
        <f>MouserListTable12[[#This Row],['# Initial]]*MouserListTable12[[#This Row],[Price (USD)]]</f>
        <v>4.75</v>
      </c>
      <c r="O511" s="106" t="s">
        <v>611</v>
      </c>
      <c r="P511" s="103">
        <f t="shared" si="12"/>
        <v>492</v>
      </c>
      <c r="Q511" s="103">
        <f>IF($D511=$O511,1,0)</f>
        <v>1</v>
      </c>
      <c r="R511" s="103" t="s">
        <v>8</v>
      </c>
      <c r="S511" s="103" t="str">
        <f>_xlfn.IFS(MouserListTable12[[#This Row],[Supplier]]=FilterSpecs!$A$6, FilterSpecs!$B$6,MouserListTable12[[#This Row],[Supplier]]=FilterSpecs!$A$7,FilterSpecs!$B$7,MouserListTable12[[#This Row],[Supplier]]=FilterSpecs!$A$8,FilterSpecs!$B$8,MouserListTable12[[#This Row],[Supplier]]=FilterSpecs!$A$9,FilterSpecs!$B$9)</f>
        <v>474-</v>
      </c>
      <c r="T51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474-COM-09806</v>
      </c>
      <c r="U511" s="121">
        <v>1</v>
      </c>
      <c r="V511" s="121">
        <v>0</v>
      </c>
      <c r="W511" s="121">
        <v>0</v>
      </c>
      <c r="X511" s="121">
        <f>MouserListTable12[[#This Row],['#/Unit]]*FilterSpecs!$C$3+MouserListTable12[[#This Row],[Extra]]</f>
        <v>5</v>
      </c>
      <c r="Y511" s="121">
        <f>IF(MouserListTable12[[#This Row],[Tag]]=FilterSpecs!$F$7,MouserListTable12[[#This Row],[Price (USD)]],0)</f>
        <v>0.95</v>
      </c>
      <c r="Z511" s="121">
        <f>MouserListTable12[[#This Row],[Tot '#]]*MouserListTable12[[#This Row],[Price (USD)]]</f>
        <v>4.75</v>
      </c>
    </row>
    <row r="512" spans="1:26" s="146" customFormat="1" x14ac:dyDescent="0.3">
      <c r="A512" s="103" t="s">
        <v>897</v>
      </c>
      <c r="B512" s="103" t="s">
        <v>1012</v>
      </c>
      <c r="C512" s="103" t="s">
        <v>8</v>
      </c>
      <c r="D512" s="106" t="str">
        <f>IF(MouserListTable12[[#This Row],[Vendor]]=FilterSpecs!$A$8,MouserListTable12[[#This Row],[Mouser SKU]], MouserListTable12[[#This Row],[SKU2]])</f>
        <v>KIT-13698</v>
      </c>
      <c r="E512" s="121">
        <f>MouserListTable12[[#This Row],[Tot '#]]-MouserListTable12[[#This Row],['# Initial]]</f>
        <v>0</v>
      </c>
      <c r="F512" s="121">
        <f>MouserListTable12[[#This Row],['#/Unit]]*FilterSpecs!$B$3+MouserListTable12[[#This Row],[Extra Initial]]</f>
        <v>1</v>
      </c>
      <c r="G512" s="103" t="s">
        <v>376</v>
      </c>
      <c r="H512" s="103" t="s">
        <v>377</v>
      </c>
      <c r="I512" s="103" t="s">
        <v>378</v>
      </c>
      <c r="J512" s="103"/>
      <c r="K512" s="171">
        <v>6.95</v>
      </c>
      <c r="L512" s="103" t="s">
        <v>1910</v>
      </c>
      <c r="M512" s="103"/>
      <c r="N512" s="171">
        <f>MouserListTable12[[#This Row],['# Initial]]*MouserListTable12[[#This Row],[Price (USD)]]</f>
        <v>6.95</v>
      </c>
      <c r="O512" s="106" t="s">
        <v>375</v>
      </c>
      <c r="P512" s="103">
        <f t="shared" si="12"/>
        <v>493</v>
      </c>
      <c r="Q512" s="103">
        <f>IF($D512=$O512,1,0)</f>
        <v>1</v>
      </c>
      <c r="R512" s="103" t="s">
        <v>8</v>
      </c>
      <c r="S512" s="103" t="str">
        <f>_xlfn.IFS(MouserListTable12[[#This Row],[Supplier]]=FilterSpecs!$A$6, FilterSpecs!$B$6,MouserListTable12[[#This Row],[Supplier]]=FilterSpecs!$A$7,FilterSpecs!$B$7,MouserListTable12[[#This Row],[Supplier]]=FilterSpecs!$A$8,FilterSpecs!$B$8,MouserListTable12[[#This Row],[Supplier]]=FilterSpecs!$A$9,FilterSpecs!$B$9)</f>
        <v>474-</v>
      </c>
      <c r="T51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474-KIT-13698</v>
      </c>
      <c r="U512" s="121">
        <v>0</v>
      </c>
      <c r="V512" s="121">
        <v>1</v>
      </c>
      <c r="W512" s="121">
        <v>1</v>
      </c>
      <c r="X512" s="121">
        <f>MouserListTable12[[#This Row],['#/Unit]]*FilterSpecs!$C$3+MouserListTable12[[#This Row],[Extra]]</f>
        <v>1</v>
      </c>
      <c r="Y512" s="121">
        <f>IF(MouserListTable12[[#This Row],[Tag]]=FilterSpecs!$F$7,MouserListTable12[[#This Row],[Price (USD)]],0)</f>
        <v>0</v>
      </c>
      <c r="Z512" s="121">
        <f>MouserListTable12[[#This Row],[Tot '#]]*MouserListTable12[[#This Row],[Price (USD)]]</f>
        <v>6.95</v>
      </c>
    </row>
    <row r="513" spans="1:26" s="146" customFormat="1" x14ac:dyDescent="0.3">
      <c r="A513" s="103" t="s">
        <v>897</v>
      </c>
      <c r="B513" s="103" t="s">
        <v>1012</v>
      </c>
      <c r="C513" s="103" t="s">
        <v>8</v>
      </c>
      <c r="D513" s="106" t="str">
        <f>IF(MouserListTable12[[#This Row],[Vendor]]=FilterSpecs!$A$8,MouserListTable12[[#This Row],[Mouser SKU]], MouserListTable12[[#This Row],[SKU2]])</f>
        <v>COM-00096</v>
      </c>
      <c r="E513" s="121">
        <f>MouserListTable12[[#This Row],[Tot '#]]-MouserListTable12[[#This Row],['# Initial]]</f>
        <v>0</v>
      </c>
      <c r="F513" s="121">
        <f>MouserListTable12[[#This Row],['#/Unit]]*FilterSpecs!$B$3+MouserListTable12[[#This Row],[Extra Initial]]</f>
        <v>5</v>
      </c>
      <c r="G513" s="103" t="s">
        <v>728</v>
      </c>
      <c r="H513" s="103" t="s">
        <v>729</v>
      </c>
      <c r="I513" s="103" t="s">
        <v>730</v>
      </c>
      <c r="J513" s="103">
        <v>1</v>
      </c>
      <c r="K513" s="171">
        <v>0.35</v>
      </c>
      <c r="L513" s="103" t="s">
        <v>1911</v>
      </c>
      <c r="M513" s="103"/>
      <c r="N513" s="171">
        <f>MouserListTable12[[#This Row],['# Initial]]*MouserListTable12[[#This Row],[Price (USD)]]</f>
        <v>1.75</v>
      </c>
      <c r="O513" s="106" t="s">
        <v>727</v>
      </c>
      <c r="P513" s="103">
        <f t="shared" si="12"/>
        <v>494</v>
      </c>
      <c r="Q513" s="103">
        <f>IF($D513=$O513,1,0)</f>
        <v>1</v>
      </c>
      <c r="R513" s="103" t="s">
        <v>8</v>
      </c>
      <c r="S513" s="103" t="str">
        <f>_xlfn.IFS(MouserListTable12[[#This Row],[Supplier]]=FilterSpecs!$A$6, FilterSpecs!$B$6,MouserListTable12[[#This Row],[Supplier]]=FilterSpecs!$A$7,FilterSpecs!$B$7,MouserListTable12[[#This Row],[Supplier]]=FilterSpecs!$A$8,FilterSpecs!$B$8,MouserListTable12[[#This Row],[Supplier]]=FilterSpecs!$A$9,FilterSpecs!$B$9)</f>
        <v>474-</v>
      </c>
      <c r="T51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474-COM-00096</v>
      </c>
      <c r="U513" s="121">
        <v>1</v>
      </c>
      <c r="V513" s="121">
        <v>0</v>
      </c>
      <c r="W513" s="121">
        <v>0</v>
      </c>
      <c r="X513" s="121">
        <f>MouserListTable12[[#This Row],['#/Unit]]*FilterSpecs!$C$3+MouserListTable12[[#This Row],[Extra]]</f>
        <v>5</v>
      </c>
      <c r="Y513" s="121">
        <f>IF(MouserListTable12[[#This Row],[Tag]]=FilterSpecs!$F$7,MouserListTable12[[#This Row],[Price (USD)]],0)</f>
        <v>0.35</v>
      </c>
      <c r="Z513" s="121">
        <f>MouserListTable12[[#This Row],[Tot '#]]*MouserListTable12[[#This Row],[Price (USD)]]</f>
        <v>1.75</v>
      </c>
    </row>
    <row r="514" spans="1:26" s="146" customFormat="1" x14ac:dyDescent="0.3">
      <c r="A514" s="103" t="s">
        <v>897</v>
      </c>
      <c r="B514" s="103" t="s">
        <v>1012</v>
      </c>
      <c r="C514" s="103" t="s">
        <v>8</v>
      </c>
      <c r="D514" s="106" t="str">
        <f>IF(MouserListTable12[[#This Row],[Vendor]]=FilterSpecs!$A$8,MouserListTable12[[#This Row],[Mouser SKU]], MouserListTable12[[#This Row],[SKU2]])</f>
        <v>COM-00523</v>
      </c>
      <c r="E514" s="121">
        <f>MouserListTable12[[#This Row],[Tot '#]]-MouserListTable12[[#This Row],['# Initial]]</f>
        <v>0</v>
      </c>
      <c r="F514" s="121">
        <f>MouserListTable12[[#This Row],['#/Unit]]*FilterSpecs!$B$3+MouserListTable12[[#This Row],[Extra Initial]]</f>
        <v>5</v>
      </c>
      <c r="G514" s="103" t="s">
        <v>724</v>
      </c>
      <c r="H514" s="103" t="s">
        <v>725</v>
      </c>
      <c r="I514" s="103" t="s">
        <v>726</v>
      </c>
      <c r="J514" s="103">
        <v>1</v>
      </c>
      <c r="K514" s="171">
        <v>0.45</v>
      </c>
      <c r="L514" s="103" t="s">
        <v>1911</v>
      </c>
      <c r="M514" s="103"/>
      <c r="N514" s="171">
        <f>MouserListTable12[[#This Row],['# Initial]]*MouserListTable12[[#This Row],[Price (USD)]]</f>
        <v>2.25</v>
      </c>
      <c r="O514" s="106" t="s">
        <v>723</v>
      </c>
      <c r="P514" s="103">
        <f t="shared" si="12"/>
        <v>495</v>
      </c>
      <c r="Q514" s="103">
        <f>IF($D514=$O514,1,0)</f>
        <v>1</v>
      </c>
      <c r="R514" s="103" t="s">
        <v>8</v>
      </c>
      <c r="S514" s="103" t="str">
        <f>_xlfn.IFS(MouserListTable12[[#This Row],[Supplier]]=FilterSpecs!$A$6, FilterSpecs!$B$6,MouserListTable12[[#This Row],[Supplier]]=FilterSpecs!$A$7,FilterSpecs!$B$7,MouserListTable12[[#This Row],[Supplier]]=FilterSpecs!$A$8,FilterSpecs!$B$8,MouserListTable12[[#This Row],[Supplier]]=FilterSpecs!$A$9,FilterSpecs!$B$9)</f>
        <v>474-</v>
      </c>
      <c r="T51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474-COM-00523</v>
      </c>
      <c r="U514" s="121">
        <v>1</v>
      </c>
      <c r="V514" s="121">
        <v>0</v>
      </c>
      <c r="W514" s="121">
        <v>0</v>
      </c>
      <c r="X514" s="121">
        <f>MouserListTable12[[#This Row],['#/Unit]]*FilterSpecs!$C$3+MouserListTable12[[#This Row],[Extra]]</f>
        <v>5</v>
      </c>
      <c r="Y514" s="121">
        <f>IF(MouserListTable12[[#This Row],[Tag]]=FilterSpecs!$F$7,MouserListTable12[[#This Row],[Price (USD)]],0)</f>
        <v>0.45</v>
      </c>
      <c r="Z514" s="121">
        <f>MouserListTable12[[#This Row],[Tot '#]]*MouserListTable12[[#This Row],[Price (USD)]]</f>
        <v>2.25</v>
      </c>
    </row>
    <row r="515" spans="1:26" s="146" customFormat="1" hidden="1" x14ac:dyDescent="0.3">
      <c r="A515" s="103" t="s">
        <v>897</v>
      </c>
      <c r="B515" s="103" t="s">
        <v>1012</v>
      </c>
      <c r="C515" s="103" t="s">
        <v>8</v>
      </c>
      <c r="D515" s="106" t="str">
        <f>IF(MouserListTable12[[#This Row],[Vendor]]=FilterSpecs!$A$8,MouserListTable12[[#This Row],[Mouser SKU]], MouserListTable12[[#This Row],[SKU2]])</f>
        <v>COM-00746</v>
      </c>
      <c r="E515" s="121">
        <f>MouserListTable12[[#This Row],[Tot '#]]-MouserListTable12[[#This Row],['# Initial]]</f>
        <v>3</v>
      </c>
      <c r="F515" s="121">
        <f>MouserListTable12[[#This Row],['#/Unit]]*FilterSpecs!$B$3+MouserListTable12[[#This Row],[Extra Initial]]</f>
        <v>0</v>
      </c>
      <c r="G515" s="103" t="s">
        <v>716</v>
      </c>
      <c r="H515" s="103" t="s">
        <v>717</v>
      </c>
      <c r="I515" s="103" t="s">
        <v>718</v>
      </c>
      <c r="J515" s="103">
        <v>1</v>
      </c>
      <c r="K515" s="171">
        <v>4.95</v>
      </c>
      <c r="L515" s="103" t="s">
        <v>1910</v>
      </c>
      <c r="M515" s="103"/>
      <c r="N515" s="171">
        <f>MouserListTable12[[#This Row],['# Initial]]*MouserListTable12[[#This Row],[Price (USD)]]</f>
        <v>0</v>
      </c>
      <c r="O515" s="106" t="s">
        <v>715</v>
      </c>
      <c r="P515" s="103">
        <f t="shared" si="12"/>
        <v>496</v>
      </c>
      <c r="Q515" s="103">
        <f>IF($D515=$O515,1,0)</f>
        <v>1</v>
      </c>
      <c r="R515" s="103" t="s">
        <v>8</v>
      </c>
      <c r="S515" s="103" t="str">
        <f>_xlfn.IFS(MouserListTable12[[#This Row],[Supplier]]=FilterSpecs!$A$6, FilterSpecs!$B$6,MouserListTable12[[#This Row],[Supplier]]=FilterSpecs!$A$7,FilterSpecs!$B$7,MouserListTable12[[#This Row],[Supplier]]=FilterSpecs!$A$8,FilterSpecs!$B$8,MouserListTable12[[#This Row],[Supplier]]=FilterSpecs!$A$9,FilterSpecs!$B$9)</f>
        <v>474-</v>
      </c>
      <c r="T51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474-COM-00746</v>
      </c>
      <c r="U515" s="121">
        <v>0</v>
      </c>
      <c r="V515" s="121">
        <v>3</v>
      </c>
      <c r="W515" s="121">
        <v>0</v>
      </c>
      <c r="X515" s="121">
        <f>MouserListTable12[[#This Row],['#/Unit]]*FilterSpecs!$C$3+MouserListTable12[[#This Row],[Extra]]</f>
        <v>3</v>
      </c>
      <c r="Y515" s="121">
        <f>IF(MouserListTable12[[#This Row],[Tag]]=FilterSpecs!$F$7,MouserListTable12[[#This Row],[Price (USD)]],0)</f>
        <v>0</v>
      </c>
      <c r="Z515" s="121">
        <f>MouserListTable12[[#This Row],[Tot '#]]*MouserListTable12[[#This Row],[Price (USD)]]</f>
        <v>14.850000000000001</v>
      </c>
    </row>
    <row r="516" spans="1:26" s="146" customFormat="1" x14ac:dyDescent="0.3">
      <c r="A516" s="103" t="s">
        <v>897</v>
      </c>
      <c r="B516" s="103" t="s">
        <v>1012</v>
      </c>
      <c r="C516" s="103" t="s">
        <v>8</v>
      </c>
      <c r="D516" s="106" t="str">
        <f>IF(MouserListTable12[[#This Row],[Vendor]]=FilterSpecs!$A$8,MouserListTable12[[#This Row],[Mouser SKU]], MouserListTable12[[#This Row],[SKU2]])</f>
        <v>SEN-00250</v>
      </c>
      <c r="E516" s="121">
        <f>MouserListTable12[[#This Row],[Tot '#]]-MouserListTable12[[#This Row],['# Initial]]</f>
        <v>0</v>
      </c>
      <c r="F516" s="121">
        <f>MouserListTable12[[#This Row],['#/Unit]]*FilterSpecs!$B$3+MouserListTable12[[#This Row],[Extra Initial]]</f>
        <v>10</v>
      </c>
      <c r="G516" s="103" t="s">
        <v>712</v>
      </c>
      <c r="H516" s="103" t="s">
        <v>713</v>
      </c>
      <c r="I516" s="103" t="s">
        <v>714</v>
      </c>
      <c r="J516" s="103">
        <v>1</v>
      </c>
      <c r="K516" s="171">
        <v>0.75</v>
      </c>
      <c r="L516" s="103" t="s">
        <v>1911</v>
      </c>
      <c r="M516" s="103"/>
      <c r="N516" s="171">
        <f>MouserListTable12[[#This Row],['# Initial]]*MouserListTable12[[#This Row],[Price (USD)]]</f>
        <v>7.5</v>
      </c>
      <c r="O516" s="106" t="s">
        <v>711</v>
      </c>
      <c r="P516" s="103">
        <f t="shared" si="12"/>
        <v>497</v>
      </c>
      <c r="Q516" s="103">
        <f>IF($D516=$O516,1,0)</f>
        <v>1</v>
      </c>
      <c r="R516" s="103" t="s">
        <v>8</v>
      </c>
      <c r="S516" s="103" t="str">
        <f>_xlfn.IFS(MouserListTable12[[#This Row],[Supplier]]=FilterSpecs!$A$6, FilterSpecs!$B$6,MouserListTable12[[#This Row],[Supplier]]=FilterSpecs!$A$7,FilterSpecs!$B$7,MouserListTable12[[#This Row],[Supplier]]=FilterSpecs!$A$8,FilterSpecs!$B$8,MouserListTable12[[#This Row],[Supplier]]=FilterSpecs!$A$9,FilterSpecs!$B$9)</f>
        <v>474-</v>
      </c>
      <c r="T51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474-SEN-00250</v>
      </c>
      <c r="U516" s="121">
        <v>2</v>
      </c>
      <c r="V516" s="121">
        <v>0</v>
      </c>
      <c r="W516" s="121">
        <v>0</v>
      </c>
      <c r="X516" s="121">
        <f>MouserListTable12[[#This Row],['#/Unit]]*FilterSpecs!$C$3+MouserListTable12[[#This Row],[Extra]]</f>
        <v>10</v>
      </c>
      <c r="Y516" s="121">
        <f>IF(MouserListTable12[[#This Row],[Tag]]=FilterSpecs!$F$7,MouserListTable12[[#This Row],[Price (USD)]],0)</f>
        <v>0.75</v>
      </c>
      <c r="Z516" s="121">
        <f>MouserListTable12[[#This Row],[Tot '#]]*MouserListTable12[[#This Row],[Price (USD)]]</f>
        <v>7.5</v>
      </c>
    </row>
    <row r="517" spans="1:26" s="146" customFormat="1" x14ac:dyDescent="0.3">
      <c r="A517" s="103" t="s">
        <v>897</v>
      </c>
      <c r="B517" s="103" t="s">
        <v>1012</v>
      </c>
      <c r="C517" s="103" t="s">
        <v>8</v>
      </c>
      <c r="D517" s="106" t="str">
        <f>IF(MouserListTable12[[#This Row],[Vendor]]=FilterSpecs!$A$8,MouserListTable12[[#This Row],[Mouser SKU]], MouserListTable12[[#This Row],[SKU2]])</f>
        <v>COM-08589</v>
      </c>
      <c r="E517" s="121">
        <f>MouserListTable12[[#This Row],[Tot '#]]-MouserListTable12[[#This Row],['# Initial]]</f>
        <v>0</v>
      </c>
      <c r="F517" s="121">
        <f>MouserListTable12[[#This Row],['#/Unit]]*FilterSpecs!$B$3+MouserListTable12[[#This Row],[Extra Initial]]</f>
        <v>10</v>
      </c>
      <c r="G517" s="103" t="s">
        <v>426</v>
      </c>
      <c r="H517" s="103" t="s">
        <v>427</v>
      </c>
      <c r="I517" s="103" t="s">
        <v>428</v>
      </c>
      <c r="J517" s="103">
        <v>1</v>
      </c>
      <c r="K517" s="171">
        <v>0.15</v>
      </c>
      <c r="L517" s="103" t="s">
        <v>1911</v>
      </c>
      <c r="M517" s="103"/>
      <c r="N517" s="171">
        <f>MouserListTable12[[#This Row],['# Initial]]*MouserListTable12[[#This Row],[Price (USD)]]</f>
        <v>1.5</v>
      </c>
      <c r="O517" s="106" t="s">
        <v>425</v>
      </c>
      <c r="P517" s="103">
        <f t="shared" si="12"/>
        <v>498</v>
      </c>
      <c r="Q517" s="103">
        <f>IF($D517=$O517,1,0)</f>
        <v>1</v>
      </c>
      <c r="R517" s="103" t="s">
        <v>8</v>
      </c>
      <c r="S517" s="103" t="str">
        <f>_xlfn.IFS(MouserListTable12[[#This Row],[Supplier]]=FilterSpecs!$A$6, FilterSpecs!$B$6,MouserListTable12[[#This Row],[Supplier]]=FilterSpecs!$A$7,FilterSpecs!$B$7,MouserListTable12[[#This Row],[Supplier]]=FilterSpecs!$A$8,FilterSpecs!$B$8,MouserListTable12[[#This Row],[Supplier]]=FilterSpecs!$A$9,FilterSpecs!$B$9)</f>
        <v>474-</v>
      </c>
      <c r="T51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474-COM-08589</v>
      </c>
      <c r="U517" s="121">
        <v>2</v>
      </c>
      <c r="V517" s="121">
        <v>0</v>
      </c>
      <c r="W517" s="121">
        <v>0</v>
      </c>
      <c r="X517" s="121">
        <f>MouserListTable12[[#This Row],['#/Unit]]*FilterSpecs!$C$3+MouserListTable12[[#This Row],[Extra]]</f>
        <v>10</v>
      </c>
      <c r="Y517" s="121">
        <f>IF(MouserListTable12[[#This Row],[Tag]]=FilterSpecs!$F$7,MouserListTable12[[#This Row],[Price (USD)]],0)</f>
        <v>0.15</v>
      </c>
      <c r="Z517" s="121">
        <f>MouserListTable12[[#This Row],[Tot '#]]*MouserListTable12[[#This Row],[Price (USD)]]</f>
        <v>1.5</v>
      </c>
    </row>
    <row r="518" spans="1:26" s="146" customFormat="1" x14ac:dyDescent="0.3">
      <c r="A518" s="103" t="s">
        <v>897</v>
      </c>
      <c r="B518" s="103" t="s">
        <v>1012</v>
      </c>
      <c r="C518" s="103" t="s">
        <v>8</v>
      </c>
      <c r="D518" s="106" t="str">
        <f>IF(MouserListTable12[[#This Row],[Vendor]]=FilterSpecs!$A$8,MouserListTable12[[#This Row],[Mouser SKU]], MouserListTable12[[#This Row],[SKU2]])</f>
        <v>COM-08588</v>
      </c>
      <c r="E518" s="121">
        <f>MouserListTable12[[#This Row],[Tot '#]]-MouserListTable12[[#This Row],['# Initial]]</f>
        <v>0</v>
      </c>
      <c r="F518" s="121">
        <f>MouserListTable12[[#This Row],['#/Unit]]*FilterSpecs!$B$3+MouserListTable12[[#This Row],[Extra Initial]]</f>
        <v>10</v>
      </c>
      <c r="G518" s="103" t="s">
        <v>430</v>
      </c>
      <c r="H518" s="103" t="s">
        <v>431</v>
      </c>
      <c r="I518" s="103" t="s">
        <v>432</v>
      </c>
      <c r="J518" s="103">
        <v>1</v>
      </c>
      <c r="K518" s="171">
        <v>0.15</v>
      </c>
      <c r="L518" s="103" t="s">
        <v>1911</v>
      </c>
      <c r="M518" s="103"/>
      <c r="N518" s="171">
        <f>MouserListTable12[[#This Row],['# Initial]]*MouserListTable12[[#This Row],[Price (USD)]]</f>
        <v>1.5</v>
      </c>
      <c r="O518" s="106" t="s">
        <v>429</v>
      </c>
      <c r="P518" s="103">
        <f t="shared" si="12"/>
        <v>499</v>
      </c>
      <c r="Q518" s="103">
        <f>IF($D518=$O518,1,0)</f>
        <v>1</v>
      </c>
      <c r="R518" s="103" t="s">
        <v>8</v>
      </c>
      <c r="S518" s="103" t="str">
        <f>_xlfn.IFS(MouserListTable12[[#This Row],[Supplier]]=FilterSpecs!$A$6, FilterSpecs!$B$6,MouserListTable12[[#This Row],[Supplier]]=FilterSpecs!$A$7,FilterSpecs!$B$7,MouserListTable12[[#This Row],[Supplier]]=FilterSpecs!$A$8,FilterSpecs!$B$8,MouserListTable12[[#This Row],[Supplier]]=FilterSpecs!$A$9,FilterSpecs!$B$9)</f>
        <v>474-</v>
      </c>
      <c r="T51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474-COM-08588</v>
      </c>
      <c r="U518" s="121">
        <v>2</v>
      </c>
      <c r="V518" s="121">
        <v>0</v>
      </c>
      <c r="W518" s="121">
        <v>0</v>
      </c>
      <c r="X518" s="121">
        <f>MouserListTable12[[#This Row],['#/Unit]]*FilterSpecs!$C$3+MouserListTable12[[#This Row],[Extra]]</f>
        <v>10</v>
      </c>
      <c r="Y518" s="121">
        <f>IF(MouserListTable12[[#This Row],[Tag]]=FilterSpecs!$F$7,MouserListTable12[[#This Row],[Price (USD)]],0)</f>
        <v>0.15</v>
      </c>
      <c r="Z518" s="121">
        <f>MouserListTable12[[#This Row],[Tot '#]]*MouserListTable12[[#This Row],[Price (USD)]]</f>
        <v>1.5</v>
      </c>
    </row>
    <row r="519" spans="1:26" s="146" customFormat="1" x14ac:dyDescent="0.3">
      <c r="A519" s="103" t="s">
        <v>897</v>
      </c>
      <c r="B519" s="103" t="s">
        <v>1012</v>
      </c>
      <c r="C519" s="103" t="s">
        <v>8</v>
      </c>
      <c r="D519" s="106" t="str">
        <f>IF(MouserListTable12[[#This Row],[Vendor]]=FilterSpecs!$A$8,MouserListTable12[[#This Row],[Mouser SKU]], MouserListTable12[[#This Row],[SKU2]])</f>
        <v>COM-10926</v>
      </c>
      <c r="E519" s="121">
        <f>MouserListTable12[[#This Row],[Tot '#]]-MouserListTable12[[#This Row],['# Initial]]</f>
        <v>0</v>
      </c>
      <c r="F519" s="121">
        <f>MouserListTable12[[#This Row],['#/Unit]]*FilterSpecs!$B$3+MouserListTable12[[#This Row],[Extra Initial]]</f>
        <v>10</v>
      </c>
      <c r="G519" s="103" t="s">
        <v>672</v>
      </c>
      <c r="H519" s="103" t="s">
        <v>673</v>
      </c>
      <c r="I519" s="103" t="s">
        <v>674</v>
      </c>
      <c r="J519" s="103">
        <v>1</v>
      </c>
      <c r="K519" s="171">
        <v>0.15</v>
      </c>
      <c r="L519" s="103" t="s">
        <v>1911</v>
      </c>
      <c r="M519" s="103"/>
      <c r="N519" s="171">
        <f>MouserListTable12[[#This Row],['# Initial]]*MouserListTable12[[#This Row],[Price (USD)]]</f>
        <v>1.5</v>
      </c>
      <c r="O519" s="106" t="s">
        <v>671</v>
      </c>
      <c r="P519" s="103">
        <f t="shared" si="12"/>
        <v>500</v>
      </c>
      <c r="Q519" s="103">
        <f>IF($D519=$O519,1,0)</f>
        <v>1</v>
      </c>
      <c r="R519" s="103" t="s">
        <v>8</v>
      </c>
      <c r="S519" s="103" t="str">
        <f>_xlfn.IFS(MouserListTable12[[#This Row],[Supplier]]=FilterSpecs!$A$6, FilterSpecs!$B$6,MouserListTable12[[#This Row],[Supplier]]=FilterSpecs!$A$7,FilterSpecs!$B$7,MouserListTable12[[#This Row],[Supplier]]=FilterSpecs!$A$8,FilterSpecs!$B$8,MouserListTable12[[#This Row],[Supplier]]=FilterSpecs!$A$9,FilterSpecs!$B$9)</f>
        <v>474-</v>
      </c>
      <c r="T51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474-COM-10926</v>
      </c>
      <c r="U519" s="121">
        <v>2</v>
      </c>
      <c r="V519" s="121">
        <v>0</v>
      </c>
      <c r="W519" s="121">
        <v>0</v>
      </c>
      <c r="X519" s="121">
        <f>MouserListTable12[[#This Row],['#/Unit]]*FilterSpecs!$C$3+MouserListTable12[[#This Row],[Extra]]</f>
        <v>10</v>
      </c>
      <c r="Y519" s="121">
        <f>IF(MouserListTable12[[#This Row],[Tag]]=FilterSpecs!$F$7,MouserListTable12[[#This Row],[Price (USD)]],0)</f>
        <v>0.15</v>
      </c>
      <c r="Z519" s="121">
        <f>MouserListTable12[[#This Row],[Tot '#]]*MouserListTable12[[#This Row],[Price (USD)]]</f>
        <v>1.5</v>
      </c>
    </row>
    <row r="520" spans="1:26" s="146" customFormat="1" x14ac:dyDescent="0.3">
      <c r="A520" s="103" t="s">
        <v>897</v>
      </c>
      <c r="B520" s="103" t="s">
        <v>1012</v>
      </c>
      <c r="C520" s="103" t="s">
        <v>8</v>
      </c>
      <c r="D520" s="106" t="str">
        <f>IF(MouserListTable12[[#This Row],[Vendor]]=FilterSpecs!$A$8,MouserListTable12[[#This Row],[Mouser SKU]], MouserListTable12[[#This Row],[SKU2]])</f>
        <v>COM-10301</v>
      </c>
      <c r="E520" s="121">
        <f>MouserListTable12[[#This Row],[Tot '#]]-MouserListTable12[[#This Row],['# Initial]]</f>
        <v>0</v>
      </c>
      <c r="F520" s="121">
        <f>MouserListTable12[[#This Row],['#/Unit]]*FilterSpecs!$B$3+MouserListTable12[[#This Row],[Extra Initial]]</f>
        <v>10</v>
      </c>
      <c r="G520" s="103" t="s">
        <v>422</v>
      </c>
      <c r="H520" s="103" t="s">
        <v>423</v>
      </c>
      <c r="I520" s="103" t="s">
        <v>424</v>
      </c>
      <c r="J520" s="103">
        <v>1</v>
      </c>
      <c r="K520" s="171">
        <v>0.25</v>
      </c>
      <c r="L520" s="103" t="s">
        <v>1911</v>
      </c>
      <c r="M520" s="103"/>
      <c r="N520" s="171">
        <f>MouserListTable12[[#This Row],['# Initial]]*MouserListTable12[[#This Row],[Price (USD)]]</f>
        <v>2.5</v>
      </c>
      <c r="O520" s="106" t="s">
        <v>421</v>
      </c>
      <c r="P520" s="103">
        <f t="shared" si="12"/>
        <v>501</v>
      </c>
      <c r="Q520" s="103">
        <f>IF($D520=$O520,1,0)</f>
        <v>1</v>
      </c>
      <c r="R520" s="103" t="s">
        <v>8</v>
      </c>
      <c r="S520" s="103" t="str">
        <f>_xlfn.IFS(MouserListTable12[[#This Row],[Supplier]]=FilterSpecs!$A$6, FilterSpecs!$B$6,MouserListTable12[[#This Row],[Supplier]]=FilterSpecs!$A$7,FilterSpecs!$B$7,MouserListTable12[[#This Row],[Supplier]]=FilterSpecs!$A$8,FilterSpecs!$B$8,MouserListTable12[[#This Row],[Supplier]]=FilterSpecs!$A$9,FilterSpecs!$B$9)</f>
        <v>474-</v>
      </c>
      <c r="T52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474-COM-10301</v>
      </c>
      <c r="U520" s="121">
        <v>2</v>
      </c>
      <c r="V520" s="121">
        <v>0</v>
      </c>
      <c r="W520" s="121">
        <v>0</v>
      </c>
      <c r="X520" s="121">
        <f>MouserListTable12[[#This Row],['#/Unit]]*FilterSpecs!$C$3+MouserListTable12[[#This Row],[Extra]]</f>
        <v>10</v>
      </c>
      <c r="Y520" s="121">
        <f>IF(MouserListTable12[[#This Row],[Tag]]=FilterSpecs!$F$7,MouserListTable12[[#This Row],[Price (USD)]],0)</f>
        <v>0.25</v>
      </c>
      <c r="Z520" s="121">
        <f>MouserListTable12[[#This Row],[Tot '#]]*MouserListTable12[[#This Row],[Price (USD)]]</f>
        <v>2.5</v>
      </c>
    </row>
    <row r="521" spans="1:26" s="146" customFormat="1" hidden="1" x14ac:dyDescent="0.3">
      <c r="A521" s="103" t="s">
        <v>897</v>
      </c>
      <c r="B521" s="103" t="s">
        <v>1894</v>
      </c>
      <c r="C521" s="103" t="s">
        <v>8</v>
      </c>
      <c r="D521" s="106" t="str">
        <f>IF(MouserListTable12[[#This Row],[Vendor]]=FilterSpecs!$A$8,MouserListTable12[[#This Row],[Mouser SKU]], MouserListTable12[[#This Row],[SKU2]])</f>
        <v>COM-11154</v>
      </c>
      <c r="E521" s="121">
        <f>MouserListTable12[[#This Row],[Tot '#]]-MouserListTable12[[#This Row],['# Initial]]</f>
        <v>2</v>
      </c>
      <c r="F521" s="121">
        <f>MouserListTable12[[#This Row],['#/Unit]]*FilterSpecs!$B$3+MouserListTable12[[#This Row],[Extra Initial]]</f>
        <v>0</v>
      </c>
      <c r="G521" s="103" t="s">
        <v>748</v>
      </c>
      <c r="H521" s="103" t="s">
        <v>749</v>
      </c>
      <c r="I521" s="103" t="s">
        <v>750</v>
      </c>
      <c r="J521" s="103"/>
      <c r="K521" s="171">
        <v>0.5</v>
      </c>
      <c r="L521" s="103" t="s">
        <v>1910</v>
      </c>
      <c r="M521" s="103"/>
      <c r="N521" s="171">
        <f>MouserListTable12[[#This Row],['# Initial]]*MouserListTable12[[#This Row],[Price (USD)]]</f>
        <v>0</v>
      </c>
      <c r="O521" s="106" t="s">
        <v>747</v>
      </c>
      <c r="P521" s="103">
        <f t="shared" si="12"/>
        <v>502</v>
      </c>
      <c r="Q521" s="103">
        <f>IF($D521=$O521,1,0)</f>
        <v>1</v>
      </c>
      <c r="R521" s="103" t="s">
        <v>8</v>
      </c>
      <c r="S521" s="103" t="str">
        <f>_xlfn.IFS(MouserListTable12[[#This Row],[Supplier]]=FilterSpecs!$A$6, FilterSpecs!$B$6,MouserListTable12[[#This Row],[Supplier]]=FilterSpecs!$A$7,FilterSpecs!$B$7,MouserListTable12[[#This Row],[Supplier]]=FilterSpecs!$A$8,FilterSpecs!$B$8,MouserListTable12[[#This Row],[Supplier]]=FilterSpecs!$A$9,FilterSpecs!$B$9)</f>
        <v>474-</v>
      </c>
      <c r="T52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474-COM-11154</v>
      </c>
      <c r="U521" s="121">
        <v>0</v>
      </c>
      <c r="V521" s="121">
        <v>2</v>
      </c>
      <c r="W521" s="121">
        <v>0</v>
      </c>
      <c r="X521" s="121">
        <f>MouserListTable12[[#This Row],['#/Unit]]*FilterSpecs!$C$3+MouserListTable12[[#This Row],[Extra]]</f>
        <v>2</v>
      </c>
      <c r="Y521" s="121">
        <f>IF(MouserListTable12[[#This Row],[Tag]]=FilterSpecs!$F$7,MouserListTable12[[#This Row],[Price (USD)]],0)</f>
        <v>0</v>
      </c>
      <c r="Z521" s="121">
        <f>MouserListTable12[[#This Row],[Tot '#]]*MouserListTable12[[#This Row],[Price (USD)]]</f>
        <v>1</v>
      </c>
    </row>
    <row r="522" spans="1:26" s="146" customFormat="1" hidden="1" x14ac:dyDescent="0.3">
      <c r="A522" s="103" t="s">
        <v>897</v>
      </c>
      <c r="B522" s="103" t="s">
        <v>1894</v>
      </c>
      <c r="C522" s="103" t="s">
        <v>8</v>
      </c>
      <c r="D522" s="106" t="str">
        <f>IF(MouserListTable12[[#This Row],[Vendor]]=FilterSpecs!$A$8,MouserListTable12[[#This Row],[Mouser SKU]], MouserListTable12[[#This Row],[SKU2]])</f>
        <v>PRT-08032</v>
      </c>
      <c r="E522" s="121">
        <f>MouserListTable12[[#This Row],[Tot '#]]-MouserListTable12[[#This Row],['# Initial]]</f>
        <v>4</v>
      </c>
      <c r="F522" s="121">
        <f>MouserListTable12[[#This Row],['#/Unit]]*FilterSpecs!$B$3+MouserListTable12[[#This Row],[Extra Initial]]</f>
        <v>0</v>
      </c>
      <c r="G522" s="103" t="s">
        <v>744</v>
      </c>
      <c r="H522" s="103" t="s">
        <v>745</v>
      </c>
      <c r="I522" s="103" t="s">
        <v>746</v>
      </c>
      <c r="J522" s="103">
        <v>1</v>
      </c>
      <c r="K522" s="171">
        <v>1.5</v>
      </c>
      <c r="L522" s="103" t="s">
        <v>1910</v>
      </c>
      <c r="M522" s="103"/>
      <c r="N522" s="171">
        <f>MouserListTable12[[#This Row],['# Initial]]*MouserListTable12[[#This Row],[Price (USD)]]</f>
        <v>0</v>
      </c>
      <c r="O522" s="106" t="s">
        <v>743</v>
      </c>
      <c r="P522" s="103">
        <f t="shared" si="12"/>
        <v>503</v>
      </c>
      <c r="Q522" s="103">
        <f>IF($D522=$O522,1,0)</f>
        <v>1</v>
      </c>
      <c r="R522" s="103" t="s">
        <v>8</v>
      </c>
      <c r="S522" s="103" t="str">
        <f>_xlfn.IFS(MouserListTable12[[#This Row],[Supplier]]=FilterSpecs!$A$6, FilterSpecs!$B$6,MouserListTable12[[#This Row],[Supplier]]=FilterSpecs!$A$7,FilterSpecs!$B$7,MouserListTable12[[#This Row],[Supplier]]=FilterSpecs!$A$8,FilterSpecs!$B$8,MouserListTable12[[#This Row],[Supplier]]=FilterSpecs!$A$9,FilterSpecs!$B$9)</f>
        <v>474-</v>
      </c>
      <c r="T52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474-PRT-08032</v>
      </c>
      <c r="U522" s="121">
        <v>0</v>
      </c>
      <c r="V522" s="121">
        <v>4</v>
      </c>
      <c r="W522" s="121">
        <v>0</v>
      </c>
      <c r="X522" s="121">
        <f>MouserListTable12[[#This Row],['#/Unit]]*FilterSpecs!$C$3+MouserListTable12[[#This Row],[Extra]]</f>
        <v>4</v>
      </c>
      <c r="Y522" s="121">
        <f>IF(MouserListTable12[[#This Row],[Tag]]=FilterSpecs!$F$7,MouserListTable12[[#This Row],[Price (USD)]],0)</f>
        <v>0</v>
      </c>
      <c r="Z522" s="121">
        <f>MouserListTable12[[#This Row],[Tot '#]]*MouserListTable12[[#This Row],[Price (USD)]]</f>
        <v>6</v>
      </c>
    </row>
    <row r="523" spans="1:26" s="146" customFormat="1" hidden="1" x14ac:dyDescent="0.3">
      <c r="A523" s="103" t="s">
        <v>897</v>
      </c>
      <c r="B523" s="103" t="s">
        <v>1894</v>
      </c>
      <c r="C523" s="103" t="s">
        <v>8</v>
      </c>
      <c r="D523" s="106" t="str">
        <f>IF(MouserListTable12[[#This Row],[Vendor]]=FilterSpecs!$A$8,MouserListTable12[[#This Row],[Mouser SKU]], MouserListTable12[[#This Row],[SKU2]])</f>
        <v>COM-11143</v>
      </c>
      <c r="E523" s="121">
        <f>MouserListTable12[[#This Row],[Tot '#]]-MouserListTable12[[#This Row],['# Initial]]</f>
        <v>8</v>
      </c>
      <c r="F523" s="121">
        <f>MouserListTable12[[#This Row],['#/Unit]]*FilterSpecs!$B$3+MouserListTable12[[#This Row],[Extra Initial]]</f>
        <v>0</v>
      </c>
      <c r="G523" s="103" t="s">
        <v>740</v>
      </c>
      <c r="H523" s="103" t="s">
        <v>741</v>
      </c>
      <c r="I523" s="103" t="s">
        <v>742</v>
      </c>
      <c r="J523" s="103"/>
      <c r="K523" s="171">
        <v>0.5</v>
      </c>
      <c r="L523" s="103" t="s">
        <v>1910</v>
      </c>
      <c r="M523" s="103"/>
      <c r="N523" s="171">
        <f>MouserListTable12[[#This Row],['# Initial]]*MouserListTable12[[#This Row],[Price (USD)]]</f>
        <v>0</v>
      </c>
      <c r="O523" s="106" t="s">
        <v>739</v>
      </c>
      <c r="P523" s="103">
        <f t="shared" si="12"/>
        <v>504</v>
      </c>
      <c r="Q523" s="103">
        <f>IF($D523=$O523,1,0)</f>
        <v>1</v>
      </c>
      <c r="R523" s="103" t="s">
        <v>8</v>
      </c>
      <c r="S523" s="103" t="str">
        <f>_xlfn.IFS(MouserListTable12[[#This Row],[Supplier]]=FilterSpecs!$A$6, FilterSpecs!$B$6,MouserListTable12[[#This Row],[Supplier]]=FilterSpecs!$A$7,FilterSpecs!$B$7,MouserListTable12[[#This Row],[Supplier]]=FilterSpecs!$A$8,FilterSpecs!$B$8,MouserListTable12[[#This Row],[Supplier]]=FilterSpecs!$A$9,FilterSpecs!$B$9)</f>
        <v>474-</v>
      </c>
      <c r="T52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474-COM-11143</v>
      </c>
      <c r="U523" s="121">
        <v>0</v>
      </c>
      <c r="V523" s="121">
        <v>8</v>
      </c>
      <c r="W523" s="121">
        <v>0</v>
      </c>
      <c r="X523" s="121">
        <f>MouserListTable12[[#This Row],['#/Unit]]*FilterSpecs!$C$3+MouserListTable12[[#This Row],[Extra]]</f>
        <v>8</v>
      </c>
      <c r="Y523" s="121">
        <f>IF(MouserListTable12[[#This Row],[Tag]]=FilterSpecs!$F$7,MouserListTable12[[#This Row],[Price (USD)]],0)</f>
        <v>0</v>
      </c>
      <c r="Z523" s="121">
        <f>MouserListTable12[[#This Row],[Tot '#]]*MouserListTable12[[#This Row],[Price (USD)]]</f>
        <v>4</v>
      </c>
    </row>
    <row r="524" spans="1:26" s="146" customFormat="1" hidden="1" x14ac:dyDescent="0.3">
      <c r="A524" s="103" t="s">
        <v>897</v>
      </c>
      <c r="B524" s="103" t="s">
        <v>1894</v>
      </c>
      <c r="C524" s="103" t="s">
        <v>8</v>
      </c>
      <c r="D524" s="106" t="str">
        <f>IF(MouserListTable12[[#This Row],[Vendor]]=FilterSpecs!$A$8,MouserListTable12[[#This Row],[Mouser SKU]], MouserListTable12[[#This Row],[SKU2]])</f>
        <v>PRT-10588</v>
      </c>
      <c r="E524" s="121">
        <f>MouserListTable12[[#This Row],[Tot '#]]-MouserListTable12[[#This Row],['# Initial]]</f>
        <v>2</v>
      </c>
      <c r="F524" s="121">
        <f>MouserListTable12[[#This Row],['#/Unit]]*FilterSpecs!$B$3+MouserListTable12[[#This Row],[Extra Initial]]</f>
        <v>0</v>
      </c>
      <c r="G524" s="103" t="s">
        <v>906</v>
      </c>
      <c r="H524" s="103" t="s">
        <v>907</v>
      </c>
      <c r="I524" s="103" t="s">
        <v>908</v>
      </c>
      <c r="J524" s="103">
        <v>1</v>
      </c>
      <c r="K524" s="171">
        <v>0.95</v>
      </c>
      <c r="L524" s="106" t="s">
        <v>1910</v>
      </c>
      <c r="M524" s="103"/>
      <c r="N524" s="171">
        <f>MouserListTable12[[#This Row],['# Initial]]*MouserListTable12[[#This Row],[Price (USD)]]</f>
        <v>0</v>
      </c>
      <c r="O524" s="106" t="s">
        <v>905</v>
      </c>
      <c r="P524" s="103">
        <f t="shared" si="12"/>
        <v>505</v>
      </c>
      <c r="Q524" s="103">
        <f>IF($D524=$O524,1,0)</f>
        <v>1</v>
      </c>
      <c r="R524" s="103" t="s">
        <v>8</v>
      </c>
      <c r="S524" s="103" t="str">
        <f>_xlfn.IFS(MouserListTable12[[#This Row],[Supplier]]=FilterSpecs!$A$6, FilterSpecs!$B$6,MouserListTable12[[#This Row],[Supplier]]=FilterSpecs!$A$7,FilterSpecs!$B$7,MouserListTable12[[#This Row],[Supplier]]=FilterSpecs!$A$8,FilterSpecs!$B$8,MouserListTable12[[#This Row],[Supplier]]=FilterSpecs!$A$9,FilterSpecs!$B$9)</f>
        <v>474-</v>
      </c>
      <c r="T52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474-PRT-10588</v>
      </c>
      <c r="U524" s="121">
        <v>0</v>
      </c>
      <c r="V524" s="121">
        <v>2</v>
      </c>
      <c r="W524" s="121">
        <v>0</v>
      </c>
      <c r="X524" s="121">
        <f>MouserListTable12[[#This Row],['#/Unit]]*FilterSpecs!$C$3+MouserListTable12[[#This Row],[Extra]]</f>
        <v>2</v>
      </c>
      <c r="Y524" s="121">
        <f>IF(MouserListTable12[[#This Row],[Tag]]=FilterSpecs!$F$7,MouserListTable12[[#This Row],[Price (USD)]],0)</f>
        <v>0</v>
      </c>
      <c r="Z524" s="121">
        <f>MouserListTable12[[#This Row],[Tot '#]]*MouserListTable12[[#This Row],[Price (USD)]]</f>
        <v>1.9</v>
      </c>
    </row>
    <row r="525" spans="1:26" s="146" customFormat="1" hidden="1" x14ac:dyDescent="0.3">
      <c r="A525" s="103" t="s">
        <v>897</v>
      </c>
      <c r="B525" s="103" t="s">
        <v>1894</v>
      </c>
      <c r="C525" s="103" t="s">
        <v>1898</v>
      </c>
      <c r="D525" s="106" t="str">
        <f>IF(MouserListTable12[[#This Row],[Vendor]]=FilterSpecs!$A$8,MouserListTable12[[#This Row],[Mouser SKU]], MouserListTable12[[#This Row],[SKU2]])</f>
        <v>2911</v>
      </c>
      <c r="E525" s="121">
        <f>MouserListTable12[[#This Row],[Tot '#]]-MouserListTable12[[#This Row],['# Initial]]</f>
        <v>0</v>
      </c>
      <c r="F525" s="121">
        <f>MouserListTable12[[#This Row],['#/Unit]]*FilterSpecs!$B$3+MouserListTable12[[#This Row],[Extra Initial]]</f>
        <v>0</v>
      </c>
      <c r="G525" s="103"/>
      <c r="H525" s="103"/>
      <c r="I525" s="126" t="s">
        <v>2214</v>
      </c>
      <c r="K525" s="172">
        <v>1.95</v>
      </c>
      <c r="L525" s="126" t="s">
        <v>1910</v>
      </c>
      <c r="N525" s="171">
        <f>MouserListTable12[[#This Row],['# Initial]]*MouserListTable12[[#This Row],[Price (USD)]]</f>
        <v>0</v>
      </c>
      <c r="O525" s="106" t="s">
        <v>2213</v>
      </c>
      <c r="P525" s="103">
        <f t="shared" si="12"/>
        <v>506</v>
      </c>
      <c r="Q525" s="103">
        <f>IF($D525=$O525,1,0)</f>
        <v>1</v>
      </c>
      <c r="R525" s="103" t="s">
        <v>1898</v>
      </c>
      <c r="S525" s="103" t="str">
        <f>_xlfn.IFS(MouserListTable12[[#This Row],[Supplier]]=FilterSpecs!$A$6, FilterSpecs!$B$6,MouserListTable12[[#This Row],[Supplier]]=FilterSpecs!$A$7,FilterSpecs!$B$7,MouserListTable12[[#This Row],[Supplier]]=FilterSpecs!$A$8,FilterSpecs!$B$8,MouserListTable12[[#This Row],[Supplier]]=FilterSpecs!$A$9,FilterSpecs!$B$9)</f>
        <v>485-</v>
      </c>
      <c r="T52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485-2911</v>
      </c>
      <c r="U525" s="121">
        <v>0</v>
      </c>
      <c r="V525" s="121">
        <v>0</v>
      </c>
      <c r="W525" s="121">
        <v>0</v>
      </c>
      <c r="X525" s="121">
        <f>MouserListTable12[[#This Row],['#/Unit]]*FilterSpecs!$C$3+MouserListTable12[[#This Row],[Extra]]</f>
        <v>0</v>
      </c>
      <c r="Y525" s="121">
        <f>IF(MouserListTable12[[#This Row],[Tag]]=FilterSpecs!$F$7,MouserListTable12[[#This Row],[Price (USD)]],0)</f>
        <v>0</v>
      </c>
      <c r="Z525" s="121">
        <f>MouserListTable12[[#This Row],[Tot '#]]*MouserListTable12[[#This Row],[Price (USD)]]</f>
        <v>0</v>
      </c>
    </row>
    <row r="526" spans="1:26" s="146" customFormat="1" hidden="1" x14ac:dyDescent="0.3">
      <c r="A526" s="103" t="s">
        <v>897</v>
      </c>
      <c r="B526" s="103" t="s">
        <v>1894</v>
      </c>
      <c r="C526" s="103" t="s">
        <v>1898</v>
      </c>
      <c r="D526" s="106" t="str">
        <f>IF(MouserListTable12[[#This Row],[Vendor]]=FilterSpecs!$A$8,MouserListTable12[[#This Row],[Mouser SKU]], MouserListTable12[[#This Row],[SKU2]])</f>
        <v>2791</v>
      </c>
      <c r="E526" s="121">
        <f>MouserListTable12[[#This Row],[Tot '#]]-MouserListTable12[[#This Row],['# Initial]]</f>
        <v>0</v>
      </c>
      <c r="F526" s="121">
        <f>MouserListTable12[[#This Row],['#/Unit]]*FilterSpecs!$B$3+MouserListTable12[[#This Row],[Extra Initial]]</f>
        <v>0</v>
      </c>
      <c r="G526" s="103"/>
      <c r="H526" s="103"/>
      <c r="I526" s="126" t="s">
        <v>2216</v>
      </c>
      <c r="K526" s="172">
        <v>2.5</v>
      </c>
      <c r="L526" s="126" t="s">
        <v>1910</v>
      </c>
      <c r="N526" s="171">
        <f>MouserListTable12[[#This Row],['# Initial]]*MouserListTable12[[#This Row],[Price (USD)]]</f>
        <v>0</v>
      </c>
      <c r="O526" s="106" t="s">
        <v>2215</v>
      </c>
      <c r="P526" s="103">
        <f t="shared" si="12"/>
        <v>507</v>
      </c>
      <c r="Q526" s="103">
        <f>IF($D526=$O526,1,0)</f>
        <v>1</v>
      </c>
      <c r="R526" s="103" t="s">
        <v>1898</v>
      </c>
      <c r="S526" s="103" t="str">
        <f>_xlfn.IFS(MouserListTable12[[#This Row],[Supplier]]=FilterSpecs!$A$6, FilterSpecs!$B$6,MouserListTable12[[#This Row],[Supplier]]=FilterSpecs!$A$7,FilterSpecs!$B$7,MouserListTable12[[#This Row],[Supplier]]=FilterSpecs!$A$8,FilterSpecs!$B$8,MouserListTable12[[#This Row],[Supplier]]=FilterSpecs!$A$9,FilterSpecs!$B$9)</f>
        <v>485-</v>
      </c>
      <c r="T52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485-2791</v>
      </c>
      <c r="U526" s="121">
        <v>0</v>
      </c>
      <c r="V526" s="121">
        <v>0</v>
      </c>
      <c r="W526" s="121">
        <v>0</v>
      </c>
      <c r="X526" s="121">
        <f>MouserListTable12[[#This Row],['#/Unit]]*FilterSpecs!$C$3+MouserListTable12[[#This Row],[Extra]]</f>
        <v>0</v>
      </c>
      <c r="Y526" s="121">
        <f>IF(MouserListTable12[[#This Row],[Tag]]=FilterSpecs!$F$7,MouserListTable12[[#This Row],[Price (USD)]],0)</f>
        <v>0</v>
      </c>
      <c r="Z526" s="121">
        <f>MouserListTable12[[#This Row],[Tot '#]]*MouserListTable12[[#This Row],[Price (USD)]]</f>
        <v>0</v>
      </c>
    </row>
    <row r="527" spans="1:26" s="146" customFormat="1" hidden="1" x14ac:dyDescent="0.3">
      <c r="A527" s="103" t="s">
        <v>897</v>
      </c>
      <c r="B527" s="103" t="s">
        <v>1894</v>
      </c>
      <c r="C527" s="103" t="s">
        <v>1898</v>
      </c>
      <c r="D527" s="106" t="str">
        <f>IF(MouserListTable12[[#This Row],[Vendor]]=FilterSpecs!$A$8,MouserListTable12[[#This Row],[Mouser SKU]], MouserListTable12[[#This Row],[SKU2]])</f>
        <v>2790</v>
      </c>
      <c r="E527" s="121">
        <f>MouserListTable12[[#This Row],[Tot '#]]-MouserListTable12[[#This Row],['# Initial]]</f>
        <v>0</v>
      </c>
      <c r="F527" s="121">
        <f>MouserListTable12[[#This Row],['#/Unit]]*FilterSpecs!$B$3+MouserListTable12[[#This Row],[Extra Initial]]</f>
        <v>0</v>
      </c>
      <c r="G527" s="103"/>
      <c r="H527" s="103"/>
      <c r="I527" s="126" t="s">
        <v>2218</v>
      </c>
      <c r="K527" s="172">
        <v>2.5</v>
      </c>
      <c r="L527" s="126" t="s">
        <v>1910</v>
      </c>
      <c r="N527" s="171">
        <f>MouserListTable12[[#This Row],['# Initial]]*MouserListTable12[[#This Row],[Price (USD)]]</f>
        <v>0</v>
      </c>
      <c r="O527" s="106" t="s">
        <v>2217</v>
      </c>
      <c r="P527" s="103">
        <f t="shared" si="12"/>
        <v>508</v>
      </c>
      <c r="Q527" s="103">
        <f>IF($D527=$O527,1,0)</f>
        <v>1</v>
      </c>
      <c r="R527" s="103" t="s">
        <v>1898</v>
      </c>
      <c r="S527" s="103" t="str">
        <f>_xlfn.IFS(MouserListTable12[[#This Row],[Supplier]]=FilterSpecs!$A$6, FilterSpecs!$B$6,MouserListTable12[[#This Row],[Supplier]]=FilterSpecs!$A$7,FilterSpecs!$B$7,MouserListTable12[[#This Row],[Supplier]]=FilterSpecs!$A$8,FilterSpecs!$B$8,MouserListTable12[[#This Row],[Supplier]]=FilterSpecs!$A$9,FilterSpecs!$B$9)</f>
        <v>485-</v>
      </c>
      <c r="T52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485-2790</v>
      </c>
      <c r="U527" s="121">
        <v>0</v>
      </c>
      <c r="V527" s="121">
        <v>0</v>
      </c>
      <c r="W527" s="121">
        <v>0</v>
      </c>
      <c r="X527" s="121">
        <f>MouserListTable12[[#This Row],['#/Unit]]*FilterSpecs!$C$3+MouserListTable12[[#This Row],[Extra]]</f>
        <v>0</v>
      </c>
      <c r="Y527" s="121">
        <f>IF(MouserListTable12[[#This Row],[Tag]]=FilterSpecs!$F$7,MouserListTable12[[#This Row],[Price (USD)]],0)</f>
        <v>0</v>
      </c>
      <c r="Z527" s="121">
        <f>MouserListTable12[[#This Row],[Tot '#]]*MouserListTable12[[#This Row],[Price (USD)]]</f>
        <v>0</v>
      </c>
    </row>
    <row r="528" spans="1:26" s="146" customFormat="1" hidden="1" x14ac:dyDescent="0.3">
      <c r="A528" s="103" t="s">
        <v>897</v>
      </c>
      <c r="B528" s="103" t="s">
        <v>1894</v>
      </c>
      <c r="C528" s="103" t="s">
        <v>1898</v>
      </c>
      <c r="D528" s="106" t="str">
        <f>IF(MouserListTable12[[#This Row],[Vendor]]=FilterSpecs!$A$8,MouserListTable12[[#This Row],[Mouser SKU]], MouserListTable12[[#This Row],[SKU2]])</f>
        <v>1699</v>
      </c>
      <c r="E528" s="121">
        <f>MouserListTable12[[#This Row],[Tot '#]]-MouserListTable12[[#This Row],['# Initial]]</f>
        <v>0</v>
      </c>
      <c r="F528" s="121">
        <f>MouserListTable12[[#This Row],['#/Unit]]*FilterSpecs!$B$3+MouserListTable12[[#This Row],[Extra Initial]]</f>
        <v>0</v>
      </c>
      <c r="G528" s="103"/>
      <c r="H528" s="103"/>
      <c r="I528" s="126" t="s">
        <v>2220</v>
      </c>
      <c r="K528" s="172">
        <v>0.95</v>
      </c>
      <c r="L528" s="126" t="s">
        <v>1910</v>
      </c>
      <c r="N528" s="171">
        <f>MouserListTable12[[#This Row],['# Initial]]*MouserListTable12[[#This Row],[Price (USD)]]</f>
        <v>0</v>
      </c>
      <c r="O528" s="106" t="s">
        <v>2219</v>
      </c>
      <c r="P528" s="103">
        <f t="shared" si="12"/>
        <v>509</v>
      </c>
      <c r="Q528" s="103">
        <f>IF($D528=$O528,1,0)</f>
        <v>1</v>
      </c>
      <c r="R528" s="103" t="s">
        <v>1898</v>
      </c>
      <c r="S528" s="103" t="str">
        <f>_xlfn.IFS(MouserListTable12[[#This Row],[Supplier]]=FilterSpecs!$A$6, FilterSpecs!$B$6,MouserListTable12[[#This Row],[Supplier]]=FilterSpecs!$A$7,FilterSpecs!$B$7,MouserListTable12[[#This Row],[Supplier]]=FilterSpecs!$A$8,FilterSpecs!$B$8,MouserListTable12[[#This Row],[Supplier]]=FilterSpecs!$A$9,FilterSpecs!$B$9)</f>
        <v>485-</v>
      </c>
      <c r="T52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485-1699</v>
      </c>
      <c r="U528" s="121">
        <v>0</v>
      </c>
      <c r="V528" s="121">
        <v>0</v>
      </c>
      <c r="W528" s="121">
        <v>0</v>
      </c>
      <c r="X528" s="121">
        <f>MouserListTable12[[#This Row],['#/Unit]]*FilterSpecs!$C$3+MouserListTable12[[#This Row],[Extra]]</f>
        <v>0</v>
      </c>
      <c r="Y528" s="121">
        <f>IF(MouserListTable12[[#This Row],[Tag]]=FilterSpecs!$F$7,MouserListTable12[[#This Row],[Price (USD)]],0)</f>
        <v>0</v>
      </c>
      <c r="Z528" s="121">
        <f>MouserListTable12[[#This Row],[Tot '#]]*MouserListTable12[[#This Row],[Price (USD)]]</f>
        <v>0</v>
      </c>
    </row>
    <row r="529" spans="1:26" s="146" customFormat="1" x14ac:dyDescent="0.3">
      <c r="A529" s="103" t="s">
        <v>897</v>
      </c>
      <c r="B529" s="103" t="s">
        <v>2022</v>
      </c>
      <c r="C529" s="103" t="s">
        <v>1898</v>
      </c>
      <c r="D529" s="106" t="str">
        <f>IF(MouserListTable12[[#This Row],[Vendor]]=FilterSpecs!$A$8,MouserListTable12[[#This Row],[Mouser SKU]], MouserListTable12[[#This Row],[SKU2]])</f>
        <v>2429</v>
      </c>
      <c r="E529" s="121">
        <f>MouserListTable12[[#This Row],[Tot '#]]-MouserListTable12[[#This Row],['# Initial]]</f>
        <v>0</v>
      </c>
      <c r="F529" s="121">
        <f>MouserListTable12[[#This Row],['#/Unit]]*FilterSpecs!$B$3+MouserListTable12[[#This Row],[Extra Initial]]</f>
        <v>1</v>
      </c>
      <c r="G529" s="103"/>
      <c r="H529" s="103"/>
      <c r="I529" s="103" t="s">
        <v>2228</v>
      </c>
      <c r="K529" s="171">
        <v>4.95</v>
      </c>
      <c r="L529" s="103" t="s">
        <v>1910</v>
      </c>
      <c r="M529" s="106"/>
      <c r="N529" s="171">
        <f>MouserListTable12[[#This Row],['# Initial]]*MouserListTable12[[#This Row],[Price (USD)]]</f>
        <v>4.95</v>
      </c>
      <c r="O529" s="106" t="s">
        <v>2227</v>
      </c>
      <c r="P529" s="103">
        <f t="shared" si="12"/>
        <v>510</v>
      </c>
      <c r="Q529" s="103">
        <f>IF($D529=$O529,1,0)</f>
        <v>1</v>
      </c>
      <c r="R529" s="103" t="s">
        <v>1898</v>
      </c>
      <c r="S529" s="103" t="str">
        <f>_xlfn.IFS(MouserListTable12[[#This Row],[Supplier]]=FilterSpecs!$A$6, FilterSpecs!$B$6,MouserListTable12[[#This Row],[Supplier]]=FilterSpecs!$A$7,FilterSpecs!$B$7,MouserListTable12[[#This Row],[Supplier]]=FilterSpecs!$A$8,FilterSpecs!$B$8,MouserListTable12[[#This Row],[Supplier]]=FilterSpecs!$A$9,FilterSpecs!$B$9)</f>
        <v>485-</v>
      </c>
      <c r="T52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485-2429</v>
      </c>
      <c r="U529" s="121">
        <v>0</v>
      </c>
      <c r="V529" s="121">
        <v>1</v>
      </c>
      <c r="W529" s="121">
        <v>1</v>
      </c>
      <c r="X529" s="121">
        <f>MouserListTable12[[#This Row],['#/Unit]]*FilterSpecs!$C$3+MouserListTable12[[#This Row],[Extra]]</f>
        <v>1</v>
      </c>
      <c r="Y529" s="121">
        <f>IF(MouserListTable12[[#This Row],[Tag]]=FilterSpecs!$F$7,MouserListTable12[[#This Row],[Price (USD)]],0)</f>
        <v>0</v>
      </c>
      <c r="Z529" s="121">
        <f>MouserListTable12[[#This Row],[Tot '#]]*MouserListTable12[[#This Row],[Price (USD)]]</f>
        <v>4.95</v>
      </c>
    </row>
    <row r="530" spans="1:26" s="146" customFormat="1" x14ac:dyDescent="0.3">
      <c r="A530" s="103" t="s">
        <v>897</v>
      </c>
      <c r="B530" s="103" t="s">
        <v>2022</v>
      </c>
      <c r="C530" s="103" t="s">
        <v>1898</v>
      </c>
      <c r="D530" s="106" t="str">
        <f>IF(MouserListTable12[[#This Row],[Vendor]]=FilterSpecs!$A$8,MouserListTable12[[#This Row],[Mouser SKU]], MouserListTable12[[#This Row],[SKU2]])</f>
        <v>2428</v>
      </c>
      <c r="E530" s="121">
        <f>MouserListTable12[[#This Row],[Tot '#]]-MouserListTable12[[#This Row],['# Initial]]</f>
        <v>0</v>
      </c>
      <c r="F530" s="121">
        <f>MouserListTable12[[#This Row],['#/Unit]]*FilterSpecs!$B$3+MouserListTable12[[#This Row],[Extra Initial]]</f>
        <v>1</v>
      </c>
      <c r="G530" s="103"/>
      <c r="H530" s="103"/>
      <c r="I530" s="103" t="s">
        <v>2230</v>
      </c>
      <c r="K530" s="171">
        <v>4.95</v>
      </c>
      <c r="L530" s="103" t="s">
        <v>1910</v>
      </c>
      <c r="M530" s="106"/>
      <c r="N530" s="171">
        <f>MouserListTable12[[#This Row],['# Initial]]*MouserListTable12[[#This Row],[Price (USD)]]</f>
        <v>4.95</v>
      </c>
      <c r="O530" s="106" t="s">
        <v>2229</v>
      </c>
      <c r="P530" s="103">
        <f t="shared" si="12"/>
        <v>511</v>
      </c>
      <c r="Q530" s="103">
        <f>IF($D530=$O530,1,0)</f>
        <v>1</v>
      </c>
      <c r="R530" s="103" t="s">
        <v>1898</v>
      </c>
      <c r="S530" s="103" t="str">
        <f>_xlfn.IFS(MouserListTable12[[#This Row],[Supplier]]=FilterSpecs!$A$6, FilterSpecs!$B$6,MouserListTable12[[#This Row],[Supplier]]=FilterSpecs!$A$7,FilterSpecs!$B$7,MouserListTable12[[#This Row],[Supplier]]=FilterSpecs!$A$8,FilterSpecs!$B$8,MouserListTable12[[#This Row],[Supplier]]=FilterSpecs!$A$9,FilterSpecs!$B$9)</f>
        <v>485-</v>
      </c>
      <c r="T53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485-2428</v>
      </c>
      <c r="U530" s="121">
        <v>0</v>
      </c>
      <c r="V530" s="121">
        <v>1</v>
      </c>
      <c r="W530" s="121">
        <v>1</v>
      </c>
      <c r="X530" s="121">
        <f>MouserListTable12[[#This Row],['#/Unit]]*FilterSpecs!$C$3+MouserListTable12[[#This Row],[Extra]]</f>
        <v>1</v>
      </c>
      <c r="Y530" s="121">
        <f>IF(MouserListTable12[[#This Row],[Tag]]=FilterSpecs!$F$7,MouserListTable12[[#This Row],[Price (USD)]],0)</f>
        <v>0</v>
      </c>
      <c r="Z530" s="121">
        <f>MouserListTable12[[#This Row],[Tot '#]]*MouserListTable12[[#This Row],[Price (USD)]]</f>
        <v>4.95</v>
      </c>
    </row>
    <row r="531" spans="1:26" s="146" customFormat="1" x14ac:dyDescent="0.3">
      <c r="A531" s="103" t="s">
        <v>897</v>
      </c>
      <c r="B531" s="103" t="s">
        <v>2022</v>
      </c>
      <c r="C531" s="103" t="s">
        <v>1898</v>
      </c>
      <c r="D531" s="106" t="str">
        <f>IF(MouserListTable12[[#This Row],[Vendor]]=FilterSpecs!$A$8,MouserListTable12[[#This Row],[Mouser SKU]], MouserListTable12[[#This Row],[SKU2]])</f>
        <v>2430</v>
      </c>
      <c r="E531" s="121">
        <f>MouserListTable12[[#This Row],[Tot '#]]-MouserListTable12[[#This Row],['# Initial]]</f>
        <v>0</v>
      </c>
      <c r="F531" s="121">
        <f>MouserListTable12[[#This Row],['#/Unit]]*FilterSpecs!$B$3+MouserListTable12[[#This Row],[Extra Initial]]</f>
        <v>1</v>
      </c>
      <c r="G531" s="103"/>
      <c r="H531" s="103"/>
      <c r="I531" s="103" t="s">
        <v>2232</v>
      </c>
      <c r="K531" s="171">
        <v>4.95</v>
      </c>
      <c r="L531" s="103" t="s">
        <v>1910</v>
      </c>
      <c r="M531" s="106"/>
      <c r="N531" s="171">
        <f>MouserListTable12[[#This Row],['# Initial]]*MouserListTable12[[#This Row],[Price (USD)]]</f>
        <v>4.95</v>
      </c>
      <c r="O531" s="106" t="s">
        <v>2231</v>
      </c>
      <c r="P531" s="103">
        <f t="shared" si="12"/>
        <v>512</v>
      </c>
      <c r="Q531" s="103">
        <f>IF($D531=$O531,1,0)</f>
        <v>1</v>
      </c>
      <c r="R531" s="103" t="s">
        <v>1898</v>
      </c>
      <c r="S531" s="103" t="str">
        <f>_xlfn.IFS(MouserListTable12[[#This Row],[Supplier]]=FilterSpecs!$A$6, FilterSpecs!$B$6,MouserListTable12[[#This Row],[Supplier]]=FilterSpecs!$A$7,FilterSpecs!$B$7,MouserListTable12[[#This Row],[Supplier]]=FilterSpecs!$A$8,FilterSpecs!$B$8,MouserListTable12[[#This Row],[Supplier]]=FilterSpecs!$A$9,FilterSpecs!$B$9)</f>
        <v>485-</v>
      </c>
      <c r="T53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485-2430</v>
      </c>
      <c r="U531" s="121">
        <v>0</v>
      </c>
      <c r="V531" s="121">
        <v>1</v>
      </c>
      <c r="W531" s="121">
        <v>1</v>
      </c>
      <c r="X531" s="121">
        <f>MouserListTable12[[#This Row],['#/Unit]]*FilterSpecs!$C$3+MouserListTable12[[#This Row],[Extra]]</f>
        <v>1</v>
      </c>
      <c r="Y531" s="121">
        <f>IF(MouserListTable12[[#This Row],[Tag]]=FilterSpecs!$F$7,MouserListTable12[[#This Row],[Price (USD)]],0)</f>
        <v>0</v>
      </c>
      <c r="Z531" s="121">
        <f>MouserListTable12[[#This Row],[Tot '#]]*MouserListTable12[[#This Row],[Price (USD)]]</f>
        <v>4.95</v>
      </c>
    </row>
    <row r="532" spans="1:26" s="146" customFormat="1" x14ac:dyDescent="0.3">
      <c r="A532" s="103" t="s">
        <v>897</v>
      </c>
      <c r="B532" s="103" t="s">
        <v>2022</v>
      </c>
      <c r="C532" s="103" t="s">
        <v>1898</v>
      </c>
      <c r="D532" s="106" t="str">
        <f>IF(MouserListTable12[[#This Row],[Vendor]]=FilterSpecs!$A$8,MouserListTable12[[#This Row],[Mouser SKU]], MouserListTable12[[#This Row],[SKU2]])</f>
        <v>394</v>
      </c>
      <c r="E532" s="121">
        <f>MouserListTable12[[#This Row],[Tot '#]]-MouserListTable12[[#This Row],['# Initial]]</f>
        <v>0</v>
      </c>
      <c r="F532" s="121">
        <f>MouserListTable12[[#This Row],['#/Unit]]*FilterSpecs!$B$3+MouserListTable12[[#This Row],[Extra Initial]]</f>
        <v>1</v>
      </c>
      <c r="G532" s="103"/>
      <c r="H532" s="103"/>
      <c r="I532" s="103" t="s">
        <v>2234</v>
      </c>
      <c r="K532" s="171">
        <v>7.5</v>
      </c>
      <c r="L532" s="103" t="s">
        <v>1910</v>
      </c>
      <c r="M532" s="106"/>
      <c r="N532" s="171">
        <f>MouserListTable12[[#This Row],['# Initial]]*MouserListTable12[[#This Row],[Price (USD)]]</f>
        <v>7.5</v>
      </c>
      <c r="O532" s="106" t="s">
        <v>2233</v>
      </c>
      <c r="P532" s="103">
        <f t="shared" ref="P532:P595" si="13">IF($P531="List #",1,$P531+1)</f>
        <v>513</v>
      </c>
      <c r="Q532" s="103">
        <f>IF($D532=$O532,1,0)</f>
        <v>1</v>
      </c>
      <c r="R532" s="103" t="s">
        <v>1898</v>
      </c>
      <c r="S532" s="103" t="str">
        <f>_xlfn.IFS(MouserListTable12[[#This Row],[Supplier]]=FilterSpecs!$A$6, FilterSpecs!$B$6,MouserListTable12[[#This Row],[Supplier]]=FilterSpecs!$A$7,FilterSpecs!$B$7,MouserListTable12[[#This Row],[Supplier]]=FilterSpecs!$A$8,FilterSpecs!$B$8,MouserListTable12[[#This Row],[Supplier]]=FilterSpecs!$A$9,FilterSpecs!$B$9)</f>
        <v>485-</v>
      </c>
      <c r="T53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485-394</v>
      </c>
      <c r="U532" s="121">
        <v>0</v>
      </c>
      <c r="V532" s="121">
        <v>1</v>
      </c>
      <c r="W532" s="121">
        <v>1</v>
      </c>
      <c r="X532" s="121">
        <f>MouserListTable12[[#This Row],['#/Unit]]*FilterSpecs!$C$3+MouserListTable12[[#This Row],[Extra]]</f>
        <v>1</v>
      </c>
      <c r="Y532" s="121">
        <f>IF(MouserListTable12[[#This Row],[Tag]]=FilterSpecs!$F$7,MouserListTable12[[#This Row],[Price (USD)]],0)</f>
        <v>0</v>
      </c>
      <c r="Z532" s="121">
        <f>MouserListTable12[[#This Row],[Tot '#]]*MouserListTable12[[#This Row],[Price (USD)]]</f>
        <v>7.5</v>
      </c>
    </row>
    <row r="533" spans="1:26" s="146" customFormat="1" x14ac:dyDescent="0.3">
      <c r="A533" s="106" t="s">
        <v>897</v>
      </c>
      <c r="B533" s="106" t="s">
        <v>2024</v>
      </c>
      <c r="C533" s="106" t="s">
        <v>8</v>
      </c>
      <c r="D533" s="106" t="str">
        <f>IF(MouserListTable12[[#This Row],[Vendor]]=FilterSpecs!$A$8,MouserListTable12[[#This Row],[Mouser SKU]], MouserListTable12[[#This Row],[SKU2]])</f>
        <v>CAB-10646</v>
      </c>
      <c r="E533" s="121">
        <f>MouserListTable12[[#This Row],[Tot '#]]-MouserListTable12[[#This Row],['# Initial]]</f>
        <v>0</v>
      </c>
      <c r="F533" s="121">
        <f>MouserListTable12[[#This Row],['#/Unit]]*FilterSpecs!$B$3+MouserListTable12[[#This Row],[Extra Initial]]</f>
        <v>2</v>
      </c>
      <c r="G533" s="103" t="s">
        <v>1596</v>
      </c>
      <c r="H533" s="103" t="s">
        <v>1597</v>
      </c>
      <c r="I533" s="106" t="s">
        <v>1598</v>
      </c>
      <c r="J533" s="103">
        <v>1</v>
      </c>
      <c r="K533" s="171">
        <v>2.95</v>
      </c>
      <c r="L533" s="106" t="s">
        <v>1910</v>
      </c>
      <c r="M533" s="103"/>
      <c r="N533" s="171">
        <f>MouserListTable12[[#This Row],['# Initial]]*MouserListTable12[[#This Row],[Price (USD)]]</f>
        <v>5.9</v>
      </c>
      <c r="O533" s="106" t="s">
        <v>1595</v>
      </c>
      <c r="P533" s="103">
        <f t="shared" si="13"/>
        <v>514</v>
      </c>
      <c r="Q533" s="103">
        <f>IF($D533=$O533,1,0)</f>
        <v>1</v>
      </c>
      <c r="R533" s="103" t="s">
        <v>8</v>
      </c>
      <c r="S533" s="103" t="str">
        <f>_xlfn.IFS(MouserListTable12[[#This Row],[Supplier]]=FilterSpecs!$A$6, FilterSpecs!$B$6,MouserListTable12[[#This Row],[Supplier]]=FilterSpecs!$A$7,FilterSpecs!$B$7,MouserListTable12[[#This Row],[Supplier]]=FilterSpecs!$A$8,FilterSpecs!$B$8,MouserListTable12[[#This Row],[Supplier]]=FilterSpecs!$A$9,FilterSpecs!$B$9)</f>
        <v>474-</v>
      </c>
      <c r="T53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474-CAB-10646</v>
      </c>
      <c r="U533" s="121">
        <v>0</v>
      </c>
      <c r="V533" s="121">
        <v>2</v>
      </c>
      <c r="W533" s="121">
        <v>2</v>
      </c>
      <c r="X533" s="121">
        <f>MouserListTable12[[#This Row],['#/Unit]]*FilterSpecs!$C$3+MouserListTable12[[#This Row],[Extra]]</f>
        <v>2</v>
      </c>
      <c r="Y533" s="121">
        <f>IF(MouserListTable12[[#This Row],[Tag]]=FilterSpecs!$F$7,MouserListTable12[[#This Row],[Price (USD)]],0)</f>
        <v>0</v>
      </c>
      <c r="Z533" s="121">
        <f>MouserListTable12[[#This Row],[Tot '#]]*MouserListTable12[[#This Row],[Price (USD)]]</f>
        <v>5.9</v>
      </c>
    </row>
    <row r="534" spans="1:26" s="146" customFormat="1" hidden="1" x14ac:dyDescent="0.3">
      <c r="A534" s="128" t="s">
        <v>897</v>
      </c>
      <c r="B534" s="128" t="s">
        <v>2024</v>
      </c>
      <c r="C534" s="128" t="s">
        <v>1898</v>
      </c>
      <c r="D534" s="106" t="str">
        <f>IF(MouserListTable12[[#This Row],[Vendor]]=FilterSpecs!$A$8,MouserListTable12[[#This Row],[Mouser SKU]], MouserListTable12[[#This Row],[SKU2]])</f>
        <v>371</v>
      </c>
      <c r="E534" s="121">
        <f>MouserListTable12[[#This Row],[Tot '#]]-MouserListTable12[[#This Row],['# Initial]]</f>
        <v>0</v>
      </c>
      <c r="F534" s="121">
        <f>MouserListTable12[[#This Row],['#/Unit]]*FilterSpecs!$B$3+MouserListTable12[[#This Row],[Extra Initial]]</f>
        <v>0</v>
      </c>
      <c r="I534" s="128" t="s">
        <v>2460</v>
      </c>
      <c r="J534" s="155">
        <v>106</v>
      </c>
      <c r="K534" s="173">
        <v>2</v>
      </c>
      <c r="L534" s="126" t="s">
        <v>1910</v>
      </c>
      <c r="N534" s="171">
        <f>MouserListTable12[[#This Row],['# Initial]]*MouserListTable12[[#This Row],[Price (USD)]]</f>
        <v>0</v>
      </c>
      <c r="O534" s="155" t="s">
        <v>2461</v>
      </c>
      <c r="P534" s="103">
        <f t="shared" si="13"/>
        <v>515</v>
      </c>
      <c r="Q534" s="103">
        <f>IF($D534=$O534,1,0)</f>
        <v>1</v>
      </c>
      <c r="R534" s="103" t="s">
        <v>1898</v>
      </c>
      <c r="S534" s="103" t="str">
        <f>_xlfn.IFS(MouserListTable12[[#This Row],[Supplier]]=FilterSpecs!$A$6, FilterSpecs!$B$6,MouserListTable12[[#This Row],[Supplier]]=FilterSpecs!$A$7,FilterSpecs!$B$7,MouserListTable12[[#This Row],[Supplier]]=FilterSpecs!$A$8,FilterSpecs!$B$8,MouserListTable12[[#This Row],[Supplier]]=FilterSpecs!$A$9,FilterSpecs!$B$9)</f>
        <v>485-</v>
      </c>
      <c r="T53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485-371</v>
      </c>
      <c r="U534" s="121">
        <v>0</v>
      </c>
      <c r="V534" s="121">
        <v>0</v>
      </c>
      <c r="W534" s="121">
        <v>0</v>
      </c>
      <c r="X534" s="121">
        <f>MouserListTable12[[#This Row],['#/Unit]]*FilterSpecs!$C$3+MouserListTable12[[#This Row],[Extra]]</f>
        <v>0</v>
      </c>
      <c r="Y534" s="121">
        <f>IF(MouserListTable12[[#This Row],[Tag]]=FilterSpecs!$F$7,MouserListTable12[[#This Row],[Price (USD)]],0)</f>
        <v>0</v>
      </c>
      <c r="Z534" s="121">
        <f>MouserListTable12[[#This Row],[Tot '#]]*MouserListTable12[[#This Row],[Price (USD)]]</f>
        <v>0</v>
      </c>
    </row>
    <row r="535" spans="1:26" s="146" customFormat="1" hidden="1" x14ac:dyDescent="0.3">
      <c r="A535" s="146" t="s">
        <v>897</v>
      </c>
      <c r="B535" s="146" t="s">
        <v>2024</v>
      </c>
      <c r="C535" s="146" t="s">
        <v>8</v>
      </c>
      <c r="D535" s="106" t="str">
        <f>IF(MouserListTable12[[#This Row],[Vendor]]=FilterSpecs!$A$8,MouserListTable12[[#This Row],[Mouser SKU]], MouserListTable12[[#This Row],[SKU2]])</f>
        <v>CAB-10649</v>
      </c>
      <c r="E535" s="121">
        <f>MouserListTable12[[#This Row],[Tot '#]]-MouserListTable12[[#This Row],['# Initial]]</f>
        <v>0</v>
      </c>
      <c r="F535" s="121">
        <f>MouserListTable12[[#This Row],['#/Unit]]*FilterSpecs!$B$3+MouserListTable12[[#This Row],[Extra Initial]]</f>
        <v>0</v>
      </c>
      <c r="G535" s="103" t="s">
        <v>1592</v>
      </c>
      <c r="H535" s="103" t="s">
        <v>1593</v>
      </c>
      <c r="I535" s="106" t="s">
        <v>1594</v>
      </c>
      <c r="J535" s="103">
        <v>1</v>
      </c>
      <c r="K535" s="171">
        <v>0.95</v>
      </c>
      <c r="L535" s="106" t="s">
        <v>1910</v>
      </c>
      <c r="M535" s="103"/>
      <c r="N535" s="171">
        <f>MouserListTable12[[#This Row],['# Initial]]*MouserListTable12[[#This Row],[Price (USD)]]</f>
        <v>0</v>
      </c>
      <c r="O535" s="106" t="s">
        <v>1591</v>
      </c>
      <c r="P535" s="103">
        <f t="shared" si="13"/>
        <v>516</v>
      </c>
      <c r="Q535" s="103">
        <f>IF($D535=$O535,1,0)</f>
        <v>1</v>
      </c>
      <c r="R535" s="103" t="s">
        <v>8</v>
      </c>
      <c r="S535" s="103" t="str">
        <f>_xlfn.IFS(MouserListTable12[[#This Row],[Supplier]]=FilterSpecs!$A$6, FilterSpecs!$B$6,MouserListTable12[[#This Row],[Supplier]]=FilterSpecs!$A$7,FilterSpecs!$B$7,MouserListTable12[[#This Row],[Supplier]]=FilterSpecs!$A$8,FilterSpecs!$B$8,MouserListTable12[[#This Row],[Supplier]]=FilterSpecs!$A$9,FilterSpecs!$B$9)</f>
        <v>474-</v>
      </c>
      <c r="T53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474-CAB-10649</v>
      </c>
      <c r="U535" s="121">
        <v>0</v>
      </c>
      <c r="V535" s="121">
        <v>0</v>
      </c>
      <c r="W535" s="121">
        <v>0</v>
      </c>
      <c r="X535" s="121">
        <f>MouserListTable12[[#This Row],['#/Unit]]*FilterSpecs!$C$3+MouserListTable12[[#This Row],[Extra]]</f>
        <v>0</v>
      </c>
      <c r="Y535" s="121">
        <f>IF(MouserListTable12[[#This Row],[Tag]]=FilterSpecs!$F$7,MouserListTable12[[#This Row],[Price (USD)]],0)</f>
        <v>0</v>
      </c>
      <c r="Z535" s="121">
        <f>MouserListTable12[[#This Row],[Tot '#]]*MouserListTable12[[#This Row],[Price (USD)]]</f>
        <v>0</v>
      </c>
    </row>
    <row r="536" spans="1:26" s="146" customFormat="1" x14ac:dyDescent="0.3">
      <c r="A536" s="106" t="s">
        <v>897</v>
      </c>
      <c r="B536" s="106" t="s">
        <v>2024</v>
      </c>
      <c r="C536" s="106" t="s">
        <v>8</v>
      </c>
      <c r="D536" s="106" t="str">
        <f>IF(MouserListTable12[[#This Row],[Vendor]]=FilterSpecs!$A$8,MouserListTable12[[#This Row],[Mouser SKU]], MouserListTable12[[#This Row],[SKU2]])</f>
        <v>CAB-10647</v>
      </c>
      <c r="E536" s="121">
        <f>MouserListTable12[[#This Row],[Tot '#]]-MouserListTable12[[#This Row],['# Initial]]</f>
        <v>0</v>
      </c>
      <c r="F536" s="121">
        <f>MouserListTable12[[#This Row],['#/Unit]]*FilterSpecs!$B$3+MouserListTable12[[#This Row],[Extra Initial]]</f>
        <v>1</v>
      </c>
      <c r="G536" s="103" t="s">
        <v>1600</v>
      </c>
      <c r="H536" s="103" t="s">
        <v>1601</v>
      </c>
      <c r="I536" s="106" t="s">
        <v>1602</v>
      </c>
      <c r="J536" s="103">
        <v>1</v>
      </c>
      <c r="K536" s="171">
        <v>4.95</v>
      </c>
      <c r="L536" s="106" t="s">
        <v>1910</v>
      </c>
      <c r="M536" s="103"/>
      <c r="N536" s="171">
        <f>MouserListTable12[[#This Row],['# Initial]]*MouserListTable12[[#This Row],[Price (USD)]]</f>
        <v>4.95</v>
      </c>
      <c r="O536" s="106" t="s">
        <v>1599</v>
      </c>
      <c r="P536" s="103">
        <f t="shared" si="13"/>
        <v>517</v>
      </c>
      <c r="Q536" s="103">
        <f>IF($D536=$O536,1,0)</f>
        <v>1</v>
      </c>
      <c r="R536" s="103" t="s">
        <v>8</v>
      </c>
      <c r="S536" s="103" t="str">
        <f>_xlfn.IFS(MouserListTable12[[#This Row],[Supplier]]=FilterSpecs!$A$6, FilterSpecs!$B$6,MouserListTable12[[#This Row],[Supplier]]=FilterSpecs!$A$7,FilterSpecs!$B$7,MouserListTable12[[#This Row],[Supplier]]=FilterSpecs!$A$8,FilterSpecs!$B$8,MouserListTable12[[#This Row],[Supplier]]=FilterSpecs!$A$9,FilterSpecs!$B$9)</f>
        <v>474-</v>
      </c>
      <c r="T53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474-CAB-10647</v>
      </c>
      <c r="U536" s="121">
        <v>0</v>
      </c>
      <c r="V536" s="121">
        <v>1</v>
      </c>
      <c r="W536" s="121">
        <v>1</v>
      </c>
      <c r="X536" s="121">
        <f>MouserListTable12[[#This Row],['#/Unit]]*FilterSpecs!$C$3+MouserListTable12[[#This Row],[Extra]]</f>
        <v>1</v>
      </c>
      <c r="Y536" s="121">
        <f>IF(MouserListTable12[[#This Row],[Tag]]=FilterSpecs!$F$7,MouserListTable12[[#This Row],[Price (USD)]],0)</f>
        <v>0</v>
      </c>
      <c r="Z536" s="121">
        <f>MouserListTable12[[#This Row],[Tot '#]]*MouserListTable12[[#This Row],[Price (USD)]]</f>
        <v>4.95</v>
      </c>
    </row>
    <row r="537" spans="1:26" s="146" customFormat="1" hidden="1" x14ac:dyDescent="0.3">
      <c r="A537" s="128" t="s">
        <v>897</v>
      </c>
      <c r="B537" s="128" t="s">
        <v>2024</v>
      </c>
      <c r="C537" s="128" t="s">
        <v>1898</v>
      </c>
      <c r="D537" s="106" t="str">
        <f>IF(MouserListTable12[[#This Row],[Vendor]]=FilterSpecs!$A$8,MouserListTable12[[#This Row],[Mouser SKU]], MouserListTable12[[#This Row],[SKU2]])</f>
        <v>556</v>
      </c>
      <c r="E537" s="121">
        <f>MouserListTable12[[#This Row],[Tot '#]]-MouserListTable12[[#This Row],['# Initial]]</f>
        <v>0</v>
      </c>
      <c r="F537" s="121">
        <f>MouserListTable12[[#This Row],['#/Unit]]*FilterSpecs!$B$3+MouserListTable12[[#This Row],[Extra Initial]]</f>
        <v>0</v>
      </c>
      <c r="I537" s="128" t="s">
        <v>2458</v>
      </c>
      <c r="J537" s="155">
        <v>105</v>
      </c>
      <c r="K537" s="173">
        <v>1.5</v>
      </c>
      <c r="L537" s="126" t="s">
        <v>1910</v>
      </c>
      <c r="N537" s="171">
        <f>MouserListTable12[[#This Row],['# Initial]]*MouserListTable12[[#This Row],[Price (USD)]]</f>
        <v>0</v>
      </c>
      <c r="O537" s="155" t="s">
        <v>2459</v>
      </c>
      <c r="P537" s="103">
        <f t="shared" si="13"/>
        <v>518</v>
      </c>
      <c r="Q537" s="103">
        <f>IF($D537=$O537,1,0)</f>
        <v>1</v>
      </c>
      <c r="R537" s="103" t="s">
        <v>1898</v>
      </c>
      <c r="S537" s="103" t="str">
        <f>_xlfn.IFS(MouserListTable12[[#This Row],[Supplier]]=FilterSpecs!$A$6, FilterSpecs!$B$6,MouserListTable12[[#This Row],[Supplier]]=FilterSpecs!$A$7,FilterSpecs!$B$7,MouserListTable12[[#This Row],[Supplier]]=FilterSpecs!$A$8,FilterSpecs!$B$8,MouserListTable12[[#This Row],[Supplier]]=FilterSpecs!$A$9,FilterSpecs!$B$9)</f>
        <v>485-</v>
      </c>
      <c r="T53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485-556</v>
      </c>
      <c r="U537" s="121">
        <v>0</v>
      </c>
      <c r="V537" s="121">
        <v>0</v>
      </c>
      <c r="W537" s="121">
        <v>0</v>
      </c>
      <c r="X537" s="121">
        <f>MouserListTable12[[#This Row],['#/Unit]]*FilterSpecs!$C$3+MouserListTable12[[#This Row],[Extra]]</f>
        <v>0</v>
      </c>
      <c r="Y537" s="121">
        <f>IF(MouserListTable12[[#This Row],[Tag]]=FilterSpecs!$F$7,MouserListTable12[[#This Row],[Price (USD)]],0)</f>
        <v>0</v>
      </c>
      <c r="Z537" s="121">
        <f>MouserListTable12[[#This Row],[Tot '#]]*MouserListTable12[[#This Row],[Price (USD)]]</f>
        <v>0</v>
      </c>
    </row>
    <row r="538" spans="1:26" s="146" customFormat="1" hidden="1" x14ac:dyDescent="0.3">
      <c r="A538" s="106" t="s">
        <v>897</v>
      </c>
      <c r="B538" s="106" t="s">
        <v>2024</v>
      </c>
      <c r="C538" s="106" t="s">
        <v>1898</v>
      </c>
      <c r="D538" s="106" t="str">
        <f>IF(MouserListTable12[[#This Row],[Vendor]]=FilterSpecs!$A$8,MouserListTable12[[#This Row],[Mouser SKU]], MouserListTable12[[#This Row],[SKU2]])</f>
        <v>370</v>
      </c>
      <c r="E538" s="121">
        <f>MouserListTable12[[#This Row],[Tot '#]]-MouserListTable12[[#This Row],['# Initial]]</f>
        <v>0</v>
      </c>
      <c r="F538" s="121">
        <f>MouserListTable12[[#This Row],['#/Unit]]*FilterSpecs!$B$3+MouserListTable12[[#This Row],[Extra Initial]]</f>
        <v>0</v>
      </c>
      <c r="G538" s="103"/>
      <c r="H538" s="103"/>
      <c r="I538" s="146" t="s">
        <v>2236</v>
      </c>
      <c r="K538" s="172">
        <v>2</v>
      </c>
      <c r="L538" s="146" t="s">
        <v>1910</v>
      </c>
      <c r="N538" s="171">
        <f>MouserListTable12[[#This Row],['# Initial]]*MouserListTable12[[#This Row],[Price (USD)]]</f>
        <v>0</v>
      </c>
      <c r="O538" s="106" t="s">
        <v>2235</v>
      </c>
      <c r="P538" s="103">
        <f t="shared" si="13"/>
        <v>519</v>
      </c>
      <c r="Q538" s="103">
        <f>IF($D538=$O538,1,0)</f>
        <v>1</v>
      </c>
      <c r="R538" s="103" t="s">
        <v>1898</v>
      </c>
      <c r="S538" s="103" t="str">
        <f>_xlfn.IFS(MouserListTable12[[#This Row],[Supplier]]=FilterSpecs!$A$6, FilterSpecs!$B$6,MouserListTable12[[#This Row],[Supplier]]=FilterSpecs!$A$7,FilterSpecs!$B$7,MouserListTable12[[#This Row],[Supplier]]=FilterSpecs!$A$8,FilterSpecs!$B$8,MouserListTable12[[#This Row],[Supplier]]=FilterSpecs!$A$9,FilterSpecs!$B$9)</f>
        <v>485-</v>
      </c>
      <c r="T53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485-370</v>
      </c>
      <c r="U538" s="121">
        <v>0</v>
      </c>
      <c r="V538" s="121">
        <v>0</v>
      </c>
      <c r="W538" s="121">
        <v>0</v>
      </c>
      <c r="X538" s="121">
        <f>MouserListTable12[[#This Row],['#/Unit]]*FilterSpecs!$C$3+MouserListTable12[[#This Row],[Extra]]</f>
        <v>0</v>
      </c>
      <c r="Y538" s="121">
        <f>IF(MouserListTable12[[#This Row],[Tag]]=FilterSpecs!$F$7,MouserListTable12[[#This Row],[Price (USD)]],0)</f>
        <v>0</v>
      </c>
      <c r="Z538" s="121">
        <f>MouserListTable12[[#This Row],[Tot '#]]*MouserListTable12[[#This Row],[Price (USD)]]</f>
        <v>0</v>
      </c>
    </row>
    <row r="539" spans="1:26" s="146" customFormat="1" hidden="1" x14ac:dyDescent="0.3">
      <c r="A539" s="128" t="s">
        <v>897</v>
      </c>
      <c r="B539" s="146" t="s">
        <v>2024</v>
      </c>
      <c r="C539" s="128" t="s">
        <v>1898</v>
      </c>
      <c r="D539" s="106" t="str">
        <f>IF(MouserListTable12[[#This Row],[Vendor]]=FilterSpecs!$A$8,MouserListTable12[[#This Row],[Mouser SKU]], MouserListTable12[[#This Row],[SKU2]])</f>
        <v>1199</v>
      </c>
      <c r="E539" s="121">
        <f>MouserListTable12[[#This Row],[Tot '#]]-MouserListTable12[[#This Row],['# Initial]]</f>
        <v>0</v>
      </c>
      <c r="F539" s="121">
        <f>MouserListTable12[[#This Row],['#/Unit]]*FilterSpecs!$B$3+MouserListTable12[[#This Row],[Extra Initial]]</f>
        <v>0</v>
      </c>
      <c r="I539" s="128" t="s">
        <v>2456</v>
      </c>
      <c r="J539" s="155">
        <v>104</v>
      </c>
      <c r="K539" s="173">
        <v>3.95</v>
      </c>
      <c r="L539" s="126" t="s">
        <v>1910</v>
      </c>
      <c r="N539" s="171">
        <f>MouserListTable12[[#This Row],['# Initial]]*MouserListTable12[[#This Row],[Price (USD)]]</f>
        <v>0</v>
      </c>
      <c r="O539" s="155" t="s">
        <v>2457</v>
      </c>
      <c r="P539" s="103">
        <f t="shared" si="13"/>
        <v>520</v>
      </c>
      <c r="Q539" s="103">
        <f>IF($D539=$O539,1,0)</f>
        <v>1</v>
      </c>
      <c r="R539" s="103" t="s">
        <v>1898</v>
      </c>
      <c r="S539" s="103" t="str">
        <f>_xlfn.IFS(MouserListTable12[[#This Row],[Supplier]]=FilterSpecs!$A$6, FilterSpecs!$B$6,MouserListTable12[[#This Row],[Supplier]]=FilterSpecs!$A$7,FilterSpecs!$B$7,MouserListTable12[[#This Row],[Supplier]]=FilterSpecs!$A$8,FilterSpecs!$B$8,MouserListTable12[[#This Row],[Supplier]]=FilterSpecs!$A$9,FilterSpecs!$B$9)</f>
        <v>485-</v>
      </c>
      <c r="T53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485-1199</v>
      </c>
      <c r="U539" s="121">
        <v>0</v>
      </c>
      <c r="V539" s="121">
        <v>0</v>
      </c>
      <c r="W539" s="121">
        <v>0</v>
      </c>
      <c r="X539" s="121">
        <f>MouserListTable12[[#This Row],['#/Unit]]*FilterSpecs!$C$3+MouserListTable12[[#This Row],[Extra]]</f>
        <v>0</v>
      </c>
      <c r="Y539" s="121">
        <f>IF(MouserListTable12[[#This Row],[Tag]]=FilterSpecs!$F$7,MouserListTable12[[#This Row],[Price (USD)]],0)</f>
        <v>0</v>
      </c>
      <c r="Z539" s="121">
        <f>MouserListTable12[[#This Row],[Tot '#]]*MouserListTable12[[#This Row],[Price (USD)]]</f>
        <v>0</v>
      </c>
    </row>
    <row r="540" spans="1:26" s="146" customFormat="1" hidden="1" x14ac:dyDescent="0.3">
      <c r="A540" s="146" t="s">
        <v>897</v>
      </c>
      <c r="B540" s="146" t="s">
        <v>2024</v>
      </c>
      <c r="C540" s="146" t="s">
        <v>8</v>
      </c>
      <c r="D540" s="106" t="str">
        <f>IF(MouserListTable12[[#This Row],[Vendor]]=FilterSpecs!$A$8,MouserListTable12[[#This Row],[Mouser SKU]], MouserListTable12[[#This Row],[SKU2]])</f>
        <v>PRT-08535</v>
      </c>
      <c r="E540" s="121">
        <f>MouserListTable12[[#This Row],[Tot '#]]-MouserListTable12[[#This Row],['# Initial]]</f>
        <v>0</v>
      </c>
      <c r="F540" s="121">
        <f>MouserListTable12[[#This Row],['#/Unit]]*FilterSpecs!$B$3+MouserListTable12[[#This Row],[Extra Initial]]</f>
        <v>0</v>
      </c>
      <c r="G540" s="103" t="s">
        <v>1532</v>
      </c>
      <c r="H540" s="103" t="s">
        <v>1533</v>
      </c>
      <c r="I540" s="106" t="s">
        <v>1534</v>
      </c>
      <c r="J540" s="103">
        <v>1</v>
      </c>
      <c r="K540" s="171">
        <v>1.5</v>
      </c>
      <c r="L540" s="106" t="s">
        <v>1910</v>
      </c>
      <c r="M540" s="103"/>
      <c r="N540" s="171">
        <f>MouserListTable12[[#This Row],['# Initial]]*MouserListTable12[[#This Row],[Price (USD)]]</f>
        <v>0</v>
      </c>
      <c r="O540" s="106" t="s">
        <v>1531</v>
      </c>
      <c r="P540" s="103">
        <f t="shared" si="13"/>
        <v>521</v>
      </c>
      <c r="Q540" s="103">
        <f>IF($D540=$O540,1,0)</f>
        <v>1</v>
      </c>
      <c r="R540" s="103" t="s">
        <v>8</v>
      </c>
      <c r="S540" s="103" t="str">
        <f>_xlfn.IFS(MouserListTable12[[#This Row],[Supplier]]=FilterSpecs!$A$6, FilterSpecs!$B$6,MouserListTable12[[#This Row],[Supplier]]=FilterSpecs!$A$7,FilterSpecs!$B$7,MouserListTable12[[#This Row],[Supplier]]=FilterSpecs!$A$8,FilterSpecs!$B$8,MouserListTable12[[#This Row],[Supplier]]=FilterSpecs!$A$9,FilterSpecs!$B$9)</f>
        <v>474-</v>
      </c>
      <c r="T54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474-PRT-08535</v>
      </c>
      <c r="U540" s="121">
        <v>0</v>
      </c>
      <c r="V540" s="121">
        <v>0</v>
      </c>
      <c r="W540" s="121">
        <v>0</v>
      </c>
      <c r="X540" s="121">
        <f>MouserListTable12[[#This Row],['#/Unit]]*FilterSpecs!$C$3+MouserListTable12[[#This Row],[Extra]]</f>
        <v>0</v>
      </c>
      <c r="Y540" s="121">
        <f>IF(MouserListTable12[[#This Row],[Tag]]=FilterSpecs!$F$7,MouserListTable12[[#This Row],[Price (USD)]],0)</f>
        <v>0</v>
      </c>
      <c r="Z540" s="121">
        <f>MouserListTable12[[#This Row],[Tot '#]]*MouserListTable12[[#This Row],[Price (USD)]]</f>
        <v>0</v>
      </c>
    </row>
    <row r="541" spans="1:26" s="146" customFormat="1" hidden="1" x14ac:dyDescent="0.3">
      <c r="A541" s="128" t="s">
        <v>897</v>
      </c>
      <c r="B541" s="128" t="s">
        <v>2024</v>
      </c>
      <c r="C541" s="128" t="s">
        <v>1898</v>
      </c>
      <c r="D541" s="106" t="str">
        <f>IF(MouserListTable12[[#This Row],[Vendor]]=FilterSpecs!$A$8,MouserListTable12[[#This Row],[Mouser SKU]], MouserListTable12[[#This Row],[SKU2]])</f>
        <v>1675</v>
      </c>
      <c r="E541" s="121">
        <f>MouserListTable12[[#This Row],[Tot '#]]-MouserListTable12[[#This Row],['# Initial]]</f>
        <v>0</v>
      </c>
      <c r="F541" s="121">
        <f>MouserListTable12[[#This Row],['#/Unit]]*FilterSpecs!$B$3+MouserListTable12[[#This Row],[Extra Initial]]</f>
        <v>0</v>
      </c>
      <c r="I541" s="128" t="s">
        <v>2454</v>
      </c>
      <c r="J541" s="155">
        <v>103</v>
      </c>
      <c r="K541" s="173">
        <v>2.95</v>
      </c>
      <c r="L541" s="126" t="s">
        <v>1910</v>
      </c>
      <c r="N541" s="171">
        <f>MouserListTable12[[#This Row],['# Initial]]*MouserListTable12[[#This Row],[Price (USD)]]</f>
        <v>0</v>
      </c>
      <c r="O541" s="155" t="s">
        <v>2455</v>
      </c>
      <c r="P541" s="103">
        <f t="shared" si="13"/>
        <v>522</v>
      </c>
      <c r="Q541" s="103">
        <f>IF($D541=$O541,1,0)</f>
        <v>1</v>
      </c>
      <c r="R541" s="103" t="s">
        <v>1898</v>
      </c>
      <c r="S541" s="103" t="str">
        <f>_xlfn.IFS(MouserListTable12[[#This Row],[Supplier]]=FilterSpecs!$A$6, FilterSpecs!$B$6,MouserListTable12[[#This Row],[Supplier]]=FilterSpecs!$A$7,FilterSpecs!$B$7,MouserListTable12[[#This Row],[Supplier]]=FilterSpecs!$A$8,FilterSpecs!$B$8,MouserListTable12[[#This Row],[Supplier]]=FilterSpecs!$A$9,FilterSpecs!$B$9)</f>
        <v>485-</v>
      </c>
      <c r="T54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485-1675</v>
      </c>
      <c r="U541" s="121">
        <v>0</v>
      </c>
      <c r="V541" s="121">
        <v>0</v>
      </c>
      <c r="W541" s="121">
        <v>0</v>
      </c>
      <c r="X541" s="121">
        <f>MouserListTable12[[#This Row],['#/Unit]]*FilterSpecs!$C$3+MouserListTable12[[#This Row],[Extra]]</f>
        <v>0</v>
      </c>
      <c r="Y541" s="121">
        <f>IF(MouserListTable12[[#This Row],[Tag]]=FilterSpecs!$F$7,MouserListTable12[[#This Row],[Price (USD)]],0)</f>
        <v>0</v>
      </c>
      <c r="Z541" s="121">
        <f>MouserListTable12[[#This Row],[Tot '#]]*MouserListTable12[[#This Row],[Price (USD)]]</f>
        <v>0</v>
      </c>
    </row>
    <row r="542" spans="1:26" s="146" customFormat="1" hidden="1" x14ac:dyDescent="0.3">
      <c r="A542" s="126" t="s">
        <v>897</v>
      </c>
      <c r="B542" s="126" t="s">
        <v>2033</v>
      </c>
      <c r="C542" s="126" t="s">
        <v>8</v>
      </c>
      <c r="D542" s="106" t="str">
        <f>IF(MouserListTable12[[#This Row],[Vendor]]=FilterSpecs!$A$8,MouserListTable12[[#This Row],[Mouser SKU]], MouserListTable12[[#This Row],[SKU2]])</f>
        <v>COM-09939</v>
      </c>
      <c r="E542" s="121">
        <f>MouserListTable12[[#This Row],[Tot '#]]-MouserListTable12[[#This Row],['# Initial]]</f>
        <v>0</v>
      </c>
      <c r="F542" s="121">
        <f>MouserListTable12[[#This Row],['#/Unit]]*FilterSpecs!$B$3+MouserListTable12[[#This Row],[Extra Initial]]</f>
        <v>0</v>
      </c>
      <c r="G542" s="103" t="s">
        <v>1001</v>
      </c>
      <c r="H542" s="103" t="s">
        <v>1002</v>
      </c>
      <c r="I542" s="103" t="s">
        <v>1003</v>
      </c>
      <c r="J542" s="103"/>
      <c r="K542" s="171">
        <v>0.95</v>
      </c>
      <c r="L542" s="103" t="s">
        <v>1910</v>
      </c>
      <c r="M542" s="103"/>
      <c r="N542" s="171">
        <f>MouserListTable12[[#This Row],['# Initial]]*MouserListTable12[[#This Row],[Price (USD)]]</f>
        <v>0</v>
      </c>
      <c r="O542" s="106" t="s">
        <v>1000</v>
      </c>
      <c r="P542" s="103">
        <f t="shared" si="13"/>
        <v>523</v>
      </c>
      <c r="Q542" s="103">
        <f>IF($D542=$O542,1,0)</f>
        <v>1</v>
      </c>
      <c r="R542" s="103" t="s">
        <v>8</v>
      </c>
      <c r="S542" s="103" t="str">
        <f>_xlfn.IFS(MouserListTable12[[#This Row],[Supplier]]=FilterSpecs!$A$6, FilterSpecs!$B$6,MouserListTable12[[#This Row],[Supplier]]=FilterSpecs!$A$7,FilterSpecs!$B$7,MouserListTable12[[#This Row],[Supplier]]=FilterSpecs!$A$8,FilterSpecs!$B$8,MouserListTable12[[#This Row],[Supplier]]=FilterSpecs!$A$9,FilterSpecs!$B$9)</f>
        <v>474-</v>
      </c>
      <c r="T54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474-COM-09939</v>
      </c>
      <c r="U542" s="121">
        <v>0</v>
      </c>
      <c r="V542" s="121">
        <v>0</v>
      </c>
      <c r="W542" s="121">
        <v>0</v>
      </c>
      <c r="X542" s="121">
        <f>MouserListTable12[[#This Row],['#/Unit]]*FilterSpecs!$C$3+MouserListTable12[[#This Row],[Extra]]</f>
        <v>0</v>
      </c>
      <c r="Y542" s="121">
        <f>IF(MouserListTable12[[#This Row],[Tag]]=FilterSpecs!$F$7,MouserListTable12[[#This Row],[Price (USD)]],0)</f>
        <v>0</v>
      </c>
      <c r="Z542" s="121">
        <f>MouserListTable12[[#This Row],[Tot '#]]*MouserListTable12[[#This Row],[Price (USD)]]</f>
        <v>0</v>
      </c>
    </row>
    <row r="543" spans="1:26" s="146" customFormat="1" hidden="1" x14ac:dyDescent="0.3">
      <c r="A543" s="126" t="s">
        <v>897</v>
      </c>
      <c r="B543" s="126" t="s">
        <v>2033</v>
      </c>
      <c r="C543" s="126" t="s">
        <v>8</v>
      </c>
      <c r="D543" s="106" t="str">
        <f>IF(MouserListTable12[[#This Row],[Vendor]]=FilterSpecs!$A$8,MouserListTable12[[#This Row],[Mouser SKU]], MouserListTable12[[#This Row],[SKU2]])</f>
        <v>COM-09940</v>
      </c>
      <c r="E543" s="121">
        <f>MouserListTable12[[#This Row],[Tot '#]]-MouserListTable12[[#This Row],['# Initial]]</f>
        <v>0</v>
      </c>
      <c r="F543" s="121">
        <f>MouserListTable12[[#This Row],['#/Unit]]*FilterSpecs!$B$3+MouserListTable12[[#This Row],[Extra Initial]]</f>
        <v>0</v>
      </c>
      <c r="G543" s="103" t="s">
        <v>997</v>
      </c>
      <c r="H543" s="103" t="s">
        <v>998</v>
      </c>
      <c r="I543" s="103" t="s">
        <v>999</v>
      </c>
      <c r="J543" s="103">
        <v>1</v>
      </c>
      <c r="K543" s="171">
        <v>0.95</v>
      </c>
      <c r="L543" s="103" t="s">
        <v>1910</v>
      </c>
      <c r="M543" s="103"/>
      <c r="N543" s="171">
        <f>MouserListTable12[[#This Row],['# Initial]]*MouserListTable12[[#This Row],[Price (USD)]]</f>
        <v>0</v>
      </c>
      <c r="O543" s="106" t="s">
        <v>996</v>
      </c>
      <c r="P543" s="103">
        <f t="shared" si="13"/>
        <v>524</v>
      </c>
      <c r="Q543" s="103">
        <f>IF($D543=$O543,1,0)</f>
        <v>1</v>
      </c>
      <c r="R543" s="103" t="s">
        <v>8</v>
      </c>
      <c r="S543" s="103" t="str">
        <f>_xlfn.IFS(MouserListTable12[[#This Row],[Supplier]]=FilterSpecs!$A$6, FilterSpecs!$B$6,MouserListTable12[[#This Row],[Supplier]]=FilterSpecs!$A$7,FilterSpecs!$B$7,MouserListTable12[[#This Row],[Supplier]]=FilterSpecs!$A$8,FilterSpecs!$B$8,MouserListTable12[[#This Row],[Supplier]]=FilterSpecs!$A$9,FilterSpecs!$B$9)</f>
        <v>474-</v>
      </c>
      <c r="T54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474-COM-09940</v>
      </c>
      <c r="U543" s="121">
        <v>0</v>
      </c>
      <c r="V543" s="121">
        <v>0</v>
      </c>
      <c r="W543" s="121">
        <v>0</v>
      </c>
      <c r="X543" s="121">
        <f>MouserListTable12[[#This Row],['#/Unit]]*FilterSpecs!$C$3+MouserListTable12[[#This Row],[Extra]]</f>
        <v>0</v>
      </c>
      <c r="Y543" s="121">
        <f>IF(MouserListTable12[[#This Row],[Tag]]=FilterSpecs!$F$7,MouserListTable12[[#This Row],[Price (USD)]],0)</f>
        <v>0</v>
      </c>
      <c r="Z543" s="121">
        <f>MouserListTable12[[#This Row],[Tot '#]]*MouserListTable12[[#This Row],[Price (USD)]]</f>
        <v>0</v>
      </c>
    </row>
    <row r="544" spans="1:26" s="146" customFormat="1" x14ac:dyDescent="0.3">
      <c r="A544" s="103" t="s">
        <v>897</v>
      </c>
      <c r="B544" s="103" t="s">
        <v>2033</v>
      </c>
      <c r="C544" s="103" t="s">
        <v>8</v>
      </c>
      <c r="D544" s="106" t="str">
        <f>IF(MouserListTable12[[#This Row],[Vendor]]=FilterSpecs!$A$8,MouserListTable12[[#This Row],[Mouser SKU]], MouserListTable12[[#This Row],[SKU2]])</f>
        <v>COM-09288</v>
      </c>
      <c r="E544" s="121">
        <f>MouserListTable12[[#This Row],[Tot '#]]-MouserListTable12[[#This Row],['# Initial]]</f>
        <v>0</v>
      </c>
      <c r="F544" s="121">
        <f>MouserListTable12[[#This Row],['#/Unit]]*FilterSpecs!$B$3+MouserListTable12[[#This Row],[Extra Initial]]</f>
        <v>5</v>
      </c>
      <c r="G544" s="103" t="s">
        <v>1005</v>
      </c>
      <c r="H544" s="103" t="s">
        <v>1006</v>
      </c>
      <c r="I544" s="103" t="s">
        <v>1007</v>
      </c>
      <c r="J544" s="103">
        <v>1</v>
      </c>
      <c r="K544" s="171">
        <v>0.95</v>
      </c>
      <c r="L544" s="106" t="s">
        <v>1911</v>
      </c>
      <c r="M544" s="103"/>
      <c r="N544" s="171">
        <f>MouserListTable12[[#This Row],['# Initial]]*MouserListTable12[[#This Row],[Price (USD)]]</f>
        <v>4.75</v>
      </c>
      <c r="O544" s="106" t="s">
        <v>1004</v>
      </c>
      <c r="P544" s="103">
        <f t="shared" si="13"/>
        <v>525</v>
      </c>
      <c r="Q544" s="103">
        <f>IF($D544=$O544,1,0)</f>
        <v>1</v>
      </c>
      <c r="R544" s="103" t="s">
        <v>8</v>
      </c>
      <c r="S544" s="103" t="str">
        <f>_xlfn.IFS(MouserListTable12[[#This Row],[Supplier]]=FilterSpecs!$A$6, FilterSpecs!$B$6,MouserListTable12[[#This Row],[Supplier]]=FilterSpecs!$A$7,FilterSpecs!$B$7,MouserListTable12[[#This Row],[Supplier]]=FilterSpecs!$A$8,FilterSpecs!$B$8,MouserListTable12[[#This Row],[Supplier]]=FilterSpecs!$A$9,FilterSpecs!$B$9)</f>
        <v>474-</v>
      </c>
      <c r="T54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474-COM-09288</v>
      </c>
      <c r="U544" s="121">
        <v>1</v>
      </c>
      <c r="V544" s="121">
        <v>0</v>
      </c>
      <c r="W544" s="121">
        <v>0</v>
      </c>
      <c r="X544" s="121">
        <f>MouserListTable12[[#This Row],['#/Unit]]*FilterSpecs!$C$3+MouserListTable12[[#This Row],[Extra]]</f>
        <v>5</v>
      </c>
      <c r="Y544" s="121">
        <f>IF(MouserListTable12[[#This Row],[Tag]]=FilterSpecs!$F$7,MouserListTable12[[#This Row],[Price (USD)]],0)</f>
        <v>0.95</v>
      </c>
      <c r="Z544" s="121">
        <f>MouserListTable12[[#This Row],[Tot '#]]*MouserListTable12[[#This Row],[Price (USD)]]</f>
        <v>4.75</v>
      </c>
    </row>
    <row r="545" spans="1:26" s="146" customFormat="1" hidden="1" x14ac:dyDescent="0.3">
      <c r="A545" s="103" t="s">
        <v>897</v>
      </c>
      <c r="B545" s="103" t="s">
        <v>2033</v>
      </c>
      <c r="C545" s="103" t="s">
        <v>1898</v>
      </c>
      <c r="D545" s="106" t="str">
        <f>IF(MouserListTable12[[#This Row],[Vendor]]=FilterSpecs!$A$8,MouserListTable12[[#This Row],[Mouser SKU]], MouserListTable12[[#This Row],[SKU2]])</f>
        <v>3392</v>
      </c>
      <c r="E545" s="121">
        <f>MouserListTable12[[#This Row],[Tot '#]]-MouserListTable12[[#This Row],['# Initial]]</f>
        <v>0</v>
      </c>
      <c r="F545" s="121">
        <f>MouserListTable12[[#This Row],['#/Unit]]*FilterSpecs!$B$3+MouserListTable12[[#This Row],[Extra Initial]]</f>
        <v>0</v>
      </c>
      <c r="G545" s="103"/>
      <c r="H545" s="103"/>
      <c r="I545" s="126" t="s">
        <v>2240</v>
      </c>
      <c r="K545" s="172">
        <v>1.5</v>
      </c>
      <c r="L545" s="126" t="s">
        <v>1910</v>
      </c>
      <c r="N545" s="171">
        <f>MouserListTable12[[#This Row],['# Initial]]*MouserListTable12[[#This Row],[Price (USD)]]</f>
        <v>0</v>
      </c>
      <c r="O545" s="106" t="s">
        <v>2239</v>
      </c>
      <c r="P545" s="103">
        <f t="shared" si="13"/>
        <v>526</v>
      </c>
      <c r="Q545" s="103">
        <f>IF($D545=$O545,1,0)</f>
        <v>1</v>
      </c>
      <c r="R545" s="103" t="s">
        <v>1898</v>
      </c>
      <c r="S545" s="103" t="str">
        <f>_xlfn.IFS(MouserListTable12[[#This Row],[Supplier]]=FilterSpecs!$A$6, FilterSpecs!$B$6,MouserListTable12[[#This Row],[Supplier]]=FilterSpecs!$A$7,FilterSpecs!$B$7,MouserListTable12[[#This Row],[Supplier]]=FilterSpecs!$A$8,FilterSpecs!$B$8,MouserListTable12[[#This Row],[Supplier]]=FilterSpecs!$A$9,FilterSpecs!$B$9)</f>
        <v>485-</v>
      </c>
      <c r="T54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485-3392</v>
      </c>
      <c r="U545" s="121">
        <v>0</v>
      </c>
      <c r="V545" s="121">
        <v>0</v>
      </c>
      <c r="W545" s="121">
        <v>0</v>
      </c>
      <c r="X545" s="121">
        <f>MouserListTable12[[#This Row],['#/Unit]]*FilterSpecs!$C$3+MouserListTable12[[#This Row],[Extra]]</f>
        <v>0</v>
      </c>
      <c r="Y545" s="121">
        <f>IF(MouserListTable12[[#This Row],[Tag]]=FilterSpecs!$F$7,MouserListTable12[[#This Row],[Price (USD)]],0)</f>
        <v>0</v>
      </c>
      <c r="Z545" s="121">
        <f>MouserListTable12[[#This Row],[Tot '#]]*MouserListTable12[[#This Row],[Price (USD)]]</f>
        <v>0</v>
      </c>
    </row>
    <row r="546" spans="1:26" s="146" customFormat="1" hidden="1" x14ac:dyDescent="0.3">
      <c r="A546" s="103" t="s">
        <v>897</v>
      </c>
      <c r="B546" s="103" t="s">
        <v>2033</v>
      </c>
      <c r="C546" s="103" t="s">
        <v>1898</v>
      </c>
      <c r="D546" s="106" t="str">
        <f>IF(MouserListTable12[[#This Row],[Vendor]]=FilterSpecs!$A$8,MouserListTable12[[#This Row],[Mouser SKU]], MouserListTable12[[#This Row],[SKU2]])</f>
        <v>3393</v>
      </c>
      <c r="E546" s="121">
        <f>MouserListTable12[[#This Row],[Tot '#]]-MouserListTable12[[#This Row],['# Initial]]</f>
        <v>0</v>
      </c>
      <c r="F546" s="121">
        <f>MouserListTable12[[#This Row],['#/Unit]]*FilterSpecs!$B$3+MouserListTable12[[#This Row],[Extra Initial]]</f>
        <v>0</v>
      </c>
      <c r="G546" s="103"/>
      <c r="H546" s="103"/>
      <c r="I546" s="126" t="s">
        <v>2242</v>
      </c>
      <c r="K546" s="172">
        <v>1.75</v>
      </c>
      <c r="L546" s="126" t="s">
        <v>1910</v>
      </c>
      <c r="N546" s="171">
        <f>MouserListTable12[[#This Row],['# Initial]]*MouserListTable12[[#This Row],[Price (USD)]]</f>
        <v>0</v>
      </c>
      <c r="O546" s="106" t="s">
        <v>2241</v>
      </c>
      <c r="P546" s="103">
        <f t="shared" si="13"/>
        <v>527</v>
      </c>
      <c r="Q546" s="103">
        <f>IF($D546=$O546,1,0)</f>
        <v>1</v>
      </c>
      <c r="R546" s="103" t="s">
        <v>1898</v>
      </c>
      <c r="S546" s="103" t="str">
        <f>_xlfn.IFS(MouserListTable12[[#This Row],[Supplier]]=FilterSpecs!$A$6, FilterSpecs!$B$6,MouserListTable12[[#This Row],[Supplier]]=FilterSpecs!$A$7,FilterSpecs!$B$7,MouserListTable12[[#This Row],[Supplier]]=FilterSpecs!$A$8,FilterSpecs!$B$8,MouserListTable12[[#This Row],[Supplier]]=FilterSpecs!$A$9,FilterSpecs!$B$9)</f>
        <v>485-</v>
      </c>
      <c r="T54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485-3393</v>
      </c>
      <c r="U546" s="121">
        <v>0</v>
      </c>
      <c r="V546" s="121">
        <v>0</v>
      </c>
      <c r="W546" s="121">
        <v>0</v>
      </c>
      <c r="X546" s="121">
        <f>MouserListTable12[[#This Row],['#/Unit]]*FilterSpecs!$C$3+MouserListTable12[[#This Row],[Extra]]</f>
        <v>0</v>
      </c>
      <c r="Y546" s="121">
        <f>IF(MouserListTable12[[#This Row],[Tag]]=FilterSpecs!$F$7,MouserListTable12[[#This Row],[Price (USD)]],0)</f>
        <v>0</v>
      </c>
      <c r="Z546" s="121">
        <f>MouserListTable12[[#This Row],[Tot '#]]*MouserListTable12[[#This Row],[Price (USD)]]</f>
        <v>0</v>
      </c>
    </row>
    <row r="547" spans="1:26" s="146" customFormat="1" hidden="1" x14ac:dyDescent="0.3">
      <c r="A547" s="103" t="s">
        <v>897</v>
      </c>
      <c r="B547" s="103" t="s">
        <v>2033</v>
      </c>
      <c r="C547" s="103" t="s">
        <v>1898</v>
      </c>
      <c r="D547" s="106" t="str">
        <f>IF(MouserListTable12[[#This Row],[Vendor]]=FilterSpecs!$A$8,MouserListTable12[[#This Row],[Mouser SKU]], MouserListTable12[[#This Row],[SKU2]])</f>
        <v>562</v>
      </c>
      <c r="E547" s="121">
        <f>MouserListTable12[[#This Row],[Tot '#]]-MouserListTable12[[#This Row],['# Initial]]</f>
        <v>0</v>
      </c>
      <c r="F547" s="121">
        <f>MouserListTable12[[#This Row],['#/Unit]]*FilterSpecs!$B$3+MouserListTable12[[#This Row],[Extra Initial]]</f>
        <v>0</v>
      </c>
      <c r="G547" s="103"/>
      <c r="H547" s="103"/>
      <c r="I547" s="126" t="s">
        <v>2244</v>
      </c>
      <c r="K547" s="172">
        <v>0.95</v>
      </c>
      <c r="L547" s="126" t="s">
        <v>1910</v>
      </c>
      <c r="N547" s="171">
        <f>MouserListTable12[[#This Row],['# Initial]]*MouserListTable12[[#This Row],[Price (USD)]]</f>
        <v>0</v>
      </c>
      <c r="O547" s="106" t="s">
        <v>2243</v>
      </c>
      <c r="P547" s="103">
        <f t="shared" si="13"/>
        <v>528</v>
      </c>
      <c r="Q547" s="103">
        <f>IF($D547=$O547,1,0)</f>
        <v>1</v>
      </c>
      <c r="R547" s="103" t="s">
        <v>1898</v>
      </c>
      <c r="S547" s="103" t="str">
        <f>_xlfn.IFS(MouserListTable12[[#This Row],[Supplier]]=FilterSpecs!$A$6, FilterSpecs!$B$6,MouserListTable12[[#This Row],[Supplier]]=FilterSpecs!$A$7,FilterSpecs!$B$7,MouserListTable12[[#This Row],[Supplier]]=FilterSpecs!$A$8,FilterSpecs!$B$8,MouserListTable12[[#This Row],[Supplier]]=FilterSpecs!$A$9,FilterSpecs!$B$9)</f>
        <v>485-</v>
      </c>
      <c r="T54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485-562</v>
      </c>
      <c r="U547" s="121">
        <v>0</v>
      </c>
      <c r="V547" s="121">
        <v>0</v>
      </c>
      <c r="W547" s="121">
        <v>0</v>
      </c>
      <c r="X547" s="121">
        <f>MouserListTable12[[#This Row],['#/Unit]]*FilterSpecs!$C$3+MouserListTable12[[#This Row],[Extra]]</f>
        <v>0</v>
      </c>
      <c r="Y547" s="121">
        <f>IF(MouserListTable12[[#This Row],[Tag]]=FilterSpecs!$F$7,MouserListTable12[[#This Row],[Price (USD)]],0)</f>
        <v>0</v>
      </c>
      <c r="Z547" s="121">
        <f>MouserListTable12[[#This Row],[Tot '#]]*MouserListTable12[[#This Row],[Price (USD)]]</f>
        <v>0</v>
      </c>
    </row>
    <row r="548" spans="1:26" s="146" customFormat="1" hidden="1" x14ac:dyDescent="0.3">
      <c r="A548" s="103" t="s">
        <v>897</v>
      </c>
      <c r="B548" s="103" t="s">
        <v>2033</v>
      </c>
      <c r="C548" s="103" t="s">
        <v>1898</v>
      </c>
      <c r="D548" s="106" t="str">
        <f>IF(MouserListTable12[[#This Row],[Vendor]]=FilterSpecs!$A$8,MouserListTable12[[#This Row],[Mouser SKU]], MouserListTable12[[#This Row],[SKU2]])</f>
        <v>1789</v>
      </c>
      <c r="E548" s="121">
        <f>MouserListTable12[[#This Row],[Tot '#]]-MouserListTable12[[#This Row],['# Initial]]</f>
        <v>0</v>
      </c>
      <c r="F548" s="121">
        <f>MouserListTable12[[#This Row],['#/Unit]]*FilterSpecs!$B$3+MouserListTable12[[#This Row],[Extra Initial]]</f>
        <v>0</v>
      </c>
      <c r="G548" s="103"/>
      <c r="H548" s="103"/>
      <c r="I548" s="126" t="s">
        <v>2246</v>
      </c>
      <c r="K548" s="172">
        <v>0.95</v>
      </c>
      <c r="L548" s="126" t="s">
        <v>1910</v>
      </c>
      <c r="N548" s="171">
        <f>MouserListTable12[[#This Row],['# Initial]]*MouserListTable12[[#This Row],[Price (USD)]]</f>
        <v>0</v>
      </c>
      <c r="O548" s="106" t="s">
        <v>2245</v>
      </c>
      <c r="P548" s="103">
        <f t="shared" si="13"/>
        <v>529</v>
      </c>
      <c r="Q548" s="103">
        <f>IF($D548=$O548,1,0)</f>
        <v>1</v>
      </c>
      <c r="R548" s="103" t="s">
        <v>1898</v>
      </c>
      <c r="S548" s="103" t="str">
        <f>_xlfn.IFS(MouserListTable12[[#This Row],[Supplier]]=FilterSpecs!$A$6, FilterSpecs!$B$6,MouserListTable12[[#This Row],[Supplier]]=FilterSpecs!$A$7,FilterSpecs!$B$7,MouserListTable12[[#This Row],[Supplier]]=FilterSpecs!$A$8,FilterSpecs!$B$8,MouserListTable12[[#This Row],[Supplier]]=FilterSpecs!$A$9,FilterSpecs!$B$9)</f>
        <v>485-</v>
      </c>
      <c r="T54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485-1789</v>
      </c>
      <c r="U548" s="121">
        <v>0</v>
      </c>
      <c r="V548" s="121">
        <v>0</v>
      </c>
      <c r="W548" s="121">
        <v>0</v>
      </c>
      <c r="X548" s="121">
        <f>MouserListTable12[[#This Row],['#/Unit]]*FilterSpecs!$C$3+MouserListTable12[[#This Row],[Extra]]</f>
        <v>0</v>
      </c>
      <c r="Y548" s="121">
        <f>IF(MouserListTable12[[#This Row],[Tag]]=FilterSpecs!$F$7,MouserListTable12[[#This Row],[Price (USD)]],0)</f>
        <v>0</v>
      </c>
      <c r="Z548" s="121">
        <f>MouserListTable12[[#This Row],[Tot '#]]*MouserListTable12[[#This Row],[Price (USD)]]</f>
        <v>0</v>
      </c>
    </row>
    <row r="549" spans="1:26" s="146" customFormat="1" x14ac:dyDescent="0.3">
      <c r="A549" s="103" t="s">
        <v>897</v>
      </c>
      <c r="B549" s="103" t="s">
        <v>2033</v>
      </c>
      <c r="C549" s="103" t="s">
        <v>1898</v>
      </c>
      <c r="D549" s="106" t="str">
        <f>IF(MouserListTable12[[#This Row],[Vendor]]=FilterSpecs!$A$8,MouserListTable12[[#This Row],[Mouser SKU]], MouserListTable12[[#This Row],[SKU2]])</f>
        <v>3395</v>
      </c>
      <c r="E549" s="121">
        <f>MouserListTable12[[#This Row],[Tot '#]]-MouserListTable12[[#This Row],['# Initial]]</f>
        <v>0</v>
      </c>
      <c r="F549" s="121">
        <f>MouserListTable12[[#This Row],['#/Unit]]*FilterSpecs!$B$3+MouserListTable12[[#This Row],[Extra Initial]]</f>
        <v>5</v>
      </c>
      <c r="G549" s="103"/>
      <c r="H549" s="103"/>
      <c r="I549" s="103" t="s">
        <v>2248</v>
      </c>
      <c r="K549" s="171">
        <v>1.5</v>
      </c>
      <c r="L549" s="106" t="s">
        <v>1911</v>
      </c>
      <c r="M549" s="106"/>
      <c r="N549" s="171">
        <f>MouserListTable12[[#This Row],['# Initial]]*MouserListTable12[[#This Row],[Price (USD)]]</f>
        <v>7.5</v>
      </c>
      <c r="O549" s="106" t="s">
        <v>2247</v>
      </c>
      <c r="P549" s="103">
        <f t="shared" si="13"/>
        <v>530</v>
      </c>
      <c r="Q549" s="103">
        <f>IF($D549=$O549,1,0)</f>
        <v>1</v>
      </c>
      <c r="R549" s="103" t="s">
        <v>1898</v>
      </c>
      <c r="S549" s="103" t="str">
        <f>_xlfn.IFS(MouserListTable12[[#This Row],[Supplier]]=FilterSpecs!$A$6, FilterSpecs!$B$6,MouserListTable12[[#This Row],[Supplier]]=FilterSpecs!$A$7,FilterSpecs!$B$7,MouserListTable12[[#This Row],[Supplier]]=FilterSpecs!$A$8,FilterSpecs!$B$8,MouserListTable12[[#This Row],[Supplier]]=FilterSpecs!$A$9,FilterSpecs!$B$9)</f>
        <v>485-</v>
      </c>
      <c r="T54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485-3395</v>
      </c>
      <c r="U549" s="121">
        <v>1</v>
      </c>
      <c r="V549" s="121">
        <v>0</v>
      </c>
      <c r="W549" s="121">
        <v>0</v>
      </c>
      <c r="X549" s="121">
        <f>MouserListTable12[[#This Row],['#/Unit]]*FilterSpecs!$C$3+MouserListTable12[[#This Row],[Extra]]</f>
        <v>5</v>
      </c>
      <c r="Y549" s="121">
        <f>IF(MouserListTable12[[#This Row],[Tag]]=FilterSpecs!$F$7,MouserListTable12[[#This Row],[Price (USD)]],0)</f>
        <v>1.5</v>
      </c>
      <c r="Z549" s="121">
        <f>MouserListTable12[[#This Row],[Tot '#]]*MouserListTable12[[#This Row],[Price (USD)]]</f>
        <v>7.5</v>
      </c>
    </row>
    <row r="550" spans="1:26" s="146" customFormat="1" hidden="1" x14ac:dyDescent="0.3">
      <c r="A550" s="126" t="s">
        <v>897</v>
      </c>
      <c r="B550" s="126" t="s">
        <v>2033</v>
      </c>
      <c r="C550" s="126" t="s">
        <v>8</v>
      </c>
      <c r="D550" s="106" t="str">
        <f>IF(MouserListTable12[[#This Row],[Vendor]]=FilterSpecs!$A$8,MouserListTable12[[#This Row],[Mouser SKU]], MouserListTable12[[#This Row],[SKU2]])</f>
        <v>COM-09117</v>
      </c>
      <c r="E550" s="121">
        <f>MouserListTable12[[#This Row],[Tot '#]]-MouserListTable12[[#This Row],['# Initial]]</f>
        <v>0</v>
      </c>
      <c r="F550" s="121">
        <f>MouserListTable12[[#This Row],['#/Unit]]*FilterSpecs!$B$3+MouserListTable12[[#This Row],[Extra Initial]]</f>
        <v>0</v>
      </c>
      <c r="G550" s="103" t="s">
        <v>1009</v>
      </c>
      <c r="H550" s="103" t="s">
        <v>1010</v>
      </c>
      <c r="I550" s="103" t="s">
        <v>1011</v>
      </c>
      <c r="J550" s="103">
        <v>1</v>
      </c>
      <c r="K550" s="171">
        <v>2.95</v>
      </c>
      <c r="L550" s="103" t="s">
        <v>1910</v>
      </c>
      <c r="M550" s="103"/>
      <c r="N550" s="171">
        <f>MouserListTable12[[#This Row],['# Initial]]*MouserListTable12[[#This Row],[Price (USD)]]</f>
        <v>0</v>
      </c>
      <c r="O550" s="106" t="s">
        <v>1008</v>
      </c>
      <c r="P550" s="103">
        <f t="shared" si="13"/>
        <v>531</v>
      </c>
      <c r="Q550" s="103">
        <f>IF($D550=$O550,1,0)</f>
        <v>1</v>
      </c>
      <c r="R550" s="103" t="s">
        <v>8</v>
      </c>
      <c r="S550" s="103" t="str">
        <f>_xlfn.IFS(MouserListTable12[[#This Row],[Supplier]]=FilterSpecs!$A$6, FilterSpecs!$B$6,MouserListTable12[[#This Row],[Supplier]]=FilterSpecs!$A$7,FilterSpecs!$B$7,MouserListTable12[[#This Row],[Supplier]]=FilterSpecs!$A$8,FilterSpecs!$B$8,MouserListTable12[[#This Row],[Supplier]]=FilterSpecs!$A$9,FilterSpecs!$B$9)</f>
        <v>474-</v>
      </c>
      <c r="T55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474-COM-09117</v>
      </c>
      <c r="U550" s="121">
        <v>0</v>
      </c>
      <c r="V550" s="121">
        <v>0</v>
      </c>
      <c r="W550" s="121">
        <v>0</v>
      </c>
      <c r="X550" s="121">
        <f>MouserListTable12[[#This Row],['#/Unit]]*FilterSpecs!$C$3+MouserListTable12[[#This Row],[Extra]]</f>
        <v>0</v>
      </c>
      <c r="Y550" s="121">
        <f>IF(MouserListTable12[[#This Row],[Tag]]=FilterSpecs!$F$7,MouserListTable12[[#This Row],[Price (USD)]],0)</f>
        <v>0</v>
      </c>
      <c r="Z550" s="121">
        <f>MouserListTable12[[#This Row],[Tot '#]]*MouserListTable12[[#This Row],[Price (USD)]]</f>
        <v>0</v>
      </c>
    </row>
    <row r="551" spans="1:26" s="146" customFormat="1" hidden="1" x14ac:dyDescent="0.3">
      <c r="A551" s="126" t="s">
        <v>897</v>
      </c>
      <c r="B551" s="126" t="s">
        <v>2033</v>
      </c>
      <c r="C551" s="126" t="s">
        <v>8</v>
      </c>
      <c r="D551" s="106" t="str">
        <f>IF(MouserListTable12[[#This Row],[Vendor]]=FilterSpecs!$A$8,MouserListTable12[[#This Row],[Mouser SKU]], MouserListTable12[[#This Row],[SKU2]])</f>
        <v>COM-10596</v>
      </c>
      <c r="E551" s="121">
        <f>MouserListTable12[[#This Row],[Tot '#]]-MouserListTable12[[#This Row],['# Initial]]</f>
        <v>0</v>
      </c>
      <c r="F551" s="121">
        <f>MouserListTable12[[#This Row],['#/Unit]]*FilterSpecs!$B$3+MouserListTable12[[#This Row],[Extra Initial]]</f>
        <v>0</v>
      </c>
      <c r="G551" s="103" t="s">
        <v>1706</v>
      </c>
      <c r="H551" s="103" t="s">
        <v>1707</v>
      </c>
      <c r="I551" s="103" t="s">
        <v>1708</v>
      </c>
      <c r="J551" s="103">
        <v>1</v>
      </c>
      <c r="K551" s="171">
        <v>2.95</v>
      </c>
      <c r="L551" s="103" t="s">
        <v>1913</v>
      </c>
      <c r="M551" s="103"/>
      <c r="N551" s="171">
        <f>MouserListTable12[[#This Row],['# Initial]]*MouserListTable12[[#This Row],[Price (USD)]]</f>
        <v>0</v>
      </c>
      <c r="O551" s="106" t="s">
        <v>1705</v>
      </c>
      <c r="P551" s="103">
        <f t="shared" si="13"/>
        <v>532</v>
      </c>
      <c r="Q551" s="103">
        <f>IF($D551=$O551,1,0)</f>
        <v>1</v>
      </c>
      <c r="R551" s="103" t="s">
        <v>8</v>
      </c>
      <c r="S551" s="103" t="str">
        <f>_xlfn.IFS(MouserListTable12[[#This Row],[Supplier]]=FilterSpecs!$A$6, FilterSpecs!$B$6,MouserListTable12[[#This Row],[Supplier]]=FilterSpecs!$A$7,FilterSpecs!$B$7,MouserListTable12[[#This Row],[Supplier]]=FilterSpecs!$A$8,FilterSpecs!$B$8,MouserListTable12[[#This Row],[Supplier]]=FilterSpecs!$A$9,FilterSpecs!$B$9)</f>
        <v>474-</v>
      </c>
      <c r="T55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474-COM-10596</v>
      </c>
      <c r="U551" s="121">
        <v>0</v>
      </c>
      <c r="V551" s="121">
        <v>0</v>
      </c>
      <c r="W551" s="121">
        <v>0</v>
      </c>
      <c r="X551" s="121">
        <f>MouserListTable12[[#This Row],['#/Unit]]*FilterSpecs!$C$3+MouserListTable12[[#This Row],[Extra]]</f>
        <v>0</v>
      </c>
      <c r="Y551" s="121">
        <f>IF(MouserListTable12[[#This Row],[Tag]]=FilterSpecs!$F$7,MouserListTable12[[#This Row],[Price (USD)]],0)</f>
        <v>0</v>
      </c>
      <c r="Z551" s="121">
        <f>MouserListTable12[[#This Row],[Tot '#]]*MouserListTable12[[#This Row],[Price (USD)]]</f>
        <v>0</v>
      </c>
    </row>
    <row r="552" spans="1:26" s="146" customFormat="1" hidden="1" x14ac:dyDescent="0.3">
      <c r="A552" s="126" t="s">
        <v>897</v>
      </c>
      <c r="B552" s="126" t="s">
        <v>2033</v>
      </c>
      <c r="C552" s="126" t="s">
        <v>8</v>
      </c>
      <c r="D552" s="106" t="str">
        <f>IF(MouserListTable12[[#This Row],[Vendor]]=FilterSpecs!$A$8,MouserListTable12[[#This Row],[Mouser SKU]], MouserListTable12[[#This Row],[SKU2]])</f>
        <v>COM-10982</v>
      </c>
      <c r="E552" s="121">
        <f>MouserListTable12[[#This Row],[Tot '#]]-MouserListTable12[[#This Row],['# Initial]]</f>
        <v>0</v>
      </c>
      <c r="F552" s="121">
        <f>MouserListTable12[[#This Row],['#/Unit]]*FilterSpecs!$B$3+MouserListTable12[[#This Row],[Extra Initial]]</f>
        <v>0</v>
      </c>
      <c r="G552" s="103" t="s">
        <v>1686</v>
      </c>
      <c r="H552" s="103" t="s">
        <v>1687</v>
      </c>
      <c r="I552" s="103" t="s">
        <v>1688</v>
      </c>
      <c r="J552" s="103">
        <v>1</v>
      </c>
      <c r="K552" s="171">
        <v>3.95</v>
      </c>
      <c r="L552" s="103" t="s">
        <v>1910</v>
      </c>
      <c r="M552" s="103"/>
      <c r="N552" s="171">
        <f>MouserListTable12[[#This Row],['# Initial]]*MouserListTable12[[#This Row],[Price (USD)]]</f>
        <v>0</v>
      </c>
      <c r="O552" s="106" t="s">
        <v>1685</v>
      </c>
      <c r="P552" s="103">
        <f t="shared" si="13"/>
        <v>533</v>
      </c>
      <c r="Q552" s="103">
        <f>IF($D552=$O552,1,0)</f>
        <v>1</v>
      </c>
      <c r="R552" s="103" t="s">
        <v>8</v>
      </c>
      <c r="S552" s="103" t="str">
        <f>_xlfn.IFS(MouserListTable12[[#This Row],[Supplier]]=FilterSpecs!$A$6, FilterSpecs!$B$6,MouserListTable12[[#This Row],[Supplier]]=FilterSpecs!$A$7,FilterSpecs!$B$7,MouserListTable12[[#This Row],[Supplier]]=FilterSpecs!$A$8,FilterSpecs!$B$8,MouserListTable12[[#This Row],[Supplier]]=FilterSpecs!$A$9,FilterSpecs!$B$9)</f>
        <v>474-</v>
      </c>
      <c r="T55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474-COM-10982</v>
      </c>
      <c r="U552" s="121">
        <v>0</v>
      </c>
      <c r="V552" s="121">
        <v>0</v>
      </c>
      <c r="W552" s="121">
        <v>0</v>
      </c>
      <c r="X552" s="121">
        <f>MouserListTable12[[#This Row],['#/Unit]]*FilterSpecs!$C$3+MouserListTable12[[#This Row],[Extra]]</f>
        <v>0</v>
      </c>
      <c r="Y552" s="121">
        <f>IF(MouserListTable12[[#This Row],[Tag]]=FilterSpecs!$F$7,MouserListTable12[[#This Row],[Price (USD)]],0)</f>
        <v>0</v>
      </c>
      <c r="Z552" s="121">
        <f>MouserListTable12[[#This Row],[Tot '#]]*MouserListTable12[[#This Row],[Price (USD)]]</f>
        <v>0</v>
      </c>
    </row>
    <row r="553" spans="1:26" s="146" customFormat="1" hidden="1" x14ac:dyDescent="0.3">
      <c r="A553" s="126" t="s">
        <v>897</v>
      </c>
      <c r="B553" s="126" t="s">
        <v>2033</v>
      </c>
      <c r="C553" s="126" t="s">
        <v>8</v>
      </c>
      <c r="D553" s="106" t="str">
        <f>IF(MouserListTable12[[#This Row],[Vendor]]=FilterSpecs!$A$8,MouserListTable12[[#This Row],[Mouser SKU]], MouserListTable12[[#This Row],[SKU2]])</f>
        <v>BOB-11722</v>
      </c>
      <c r="E553" s="121">
        <f>MouserListTable12[[#This Row],[Tot '#]]-MouserListTable12[[#This Row],['# Initial]]</f>
        <v>0</v>
      </c>
      <c r="F553" s="121">
        <f>MouserListTable12[[#This Row],['#/Unit]]*FilterSpecs!$B$3+MouserListTable12[[#This Row],[Extra Initial]]</f>
        <v>0</v>
      </c>
      <c r="G553" s="103" t="s">
        <v>1734</v>
      </c>
      <c r="H553" s="103" t="s">
        <v>1735</v>
      </c>
      <c r="I553" s="103" t="s">
        <v>1736</v>
      </c>
      <c r="J553" s="103">
        <v>1</v>
      </c>
      <c r="K553" s="171">
        <v>2.95</v>
      </c>
      <c r="L553" s="103" t="s">
        <v>1912</v>
      </c>
      <c r="M553" s="103"/>
      <c r="N553" s="171">
        <f>MouserListTable12[[#This Row],['# Initial]]*MouserListTable12[[#This Row],[Price (USD)]]</f>
        <v>0</v>
      </c>
      <c r="O553" s="106" t="s">
        <v>1733</v>
      </c>
      <c r="P553" s="103">
        <f t="shared" si="13"/>
        <v>534</v>
      </c>
      <c r="Q553" s="103">
        <f>IF($D553=$O553,1,0)</f>
        <v>1</v>
      </c>
      <c r="R553" s="103" t="s">
        <v>8</v>
      </c>
      <c r="S553" s="103" t="str">
        <f>_xlfn.IFS(MouserListTable12[[#This Row],[Supplier]]=FilterSpecs!$A$6, FilterSpecs!$B$6,MouserListTable12[[#This Row],[Supplier]]=FilterSpecs!$A$7,FilterSpecs!$B$7,MouserListTable12[[#This Row],[Supplier]]=FilterSpecs!$A$8,FilterSpecs!$B$8,MouserListTable12[[#This Row],[Supplier]]=FilterSpecs!$A$9,FilterSpecs!$B$9)</f>
        <v>474-</v>
      </c>
      <c r="T55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474-BOB-11722</v>
      </c>
      <c r="U553" s="121">
        <v>0</v>
      </c>
      <c r="V553" s="121">
        <v>0</v>
      </c>
      <c r="W553" s="121">
        <v>0</v>
      </c>
      <c r="X553" s="121">
        <f>MouserListTable12[[#This Row],['#/Unit]]*FilterSpecs!$C$3+MouserListTable12[[#This Row],[Extra]]</f>
        <v>0</v>
      </c>
      <c r="Y553" s="121">
        <f>IF(MouserListTable12[[#This Row],[Tag]]=FilterSpecs!$F$7,MouserListTable12[[#This Row],[Price (USD)]],0)</f>
        <v>0</v>
      </c>
      <c r="Z553" s="121">
        <f>MouserListTable12[[#This Row],[Tot '#]]*MouserListTable12[[#This Row],[Price (USD)]]</f>
        <v>0</v>
      </c>
    </row>
    <row r="554" spans="1:26" s="146" customFormat="1" hidden="1" x14ac:dyDescent="0.3">
      <c r="A554" s="103" t="s">
        <v>897</v>
      </c>
      <c r="B554" s="103" t="s">
        <v>2033</v>
      </c>
      <c r="C554" s="103" t="s">
        <v>1898</v>
      </c>
      <c r="D554" s="106" t="str">
        <f>IF(MouserListTable12[[#This Row],[Vendor]]=FilterSpecs!$A$8,MouserListTable12[[#This Row],[Mouser SKU]], MouserListTable12[[#This Row],[SKU2]])</f>
        <v>377</v>
      </c>
      <c r="E554" s="121">
        <f>MouserListTable12[[#This Row],[Tot '#]]-MouserListTable12[[#This Row],['# Initial]]</f>
        <v>0</v>
      </c>
      <c r="F554" s="121">
        <f>MouserListTable12[[#This Row],['#/Unit]]*FilterSpecs!$B$3+MouserListTable12[[#This Row],[Extra Initial]]</f>
        <v>0</v>
      </c>
      <c r="G554" s="103"/>
      <c r="H554" s="103"/>
      <c r="I554" s="126" t="s">
        <v>2250</v>
      </c>
      <c r="K554" s="172">
        <v>4.5</v>
      </c>
      <c r="L554" s="126" t="s">
        <v>1912</v>
      </c>
      <c r="N554" s="171">
        <f>MouserListTable12[[#This Row],['# Initial]]*MouserListTable12[[#This Row],[Price (USD)]]</f>
        <v>0</v>
      </c>
      <c r="O554" s="106" t="s">
        <v>2249</v>
      </c>
      <c r="P554" s="103">
        <f t="shared" si="13"/>
        <v>535</v>
      </c>
      <c r="Q554" s="103">
        <f>IF($D554=$O554,1,0)</f>
        <v>1</v>
      </c>
      <c r="R554" s="103" t="s">
        <v>1898</v>
      </c>
      <c r="S554" s="103" t="str">
        <f>_xlfn.IFS(MouserListTable12[[#This Row],[Supplier]]=FilterSpecs!$A$6, FilterSpecs!$B$6,MouserListTable12[[#This Row],[Supplier]]=FilterSpecs!$A$7,FilterSpecs!$B$7,MouserListTable12[[#This Row],[Supplier]]=FilterSpecs!$A$8,FilterSpecs!$B$8,MouserListTable12[[#This Row],[Supplier]]=FilterSpecs!$A$9,FilterSpecs!$B$9)</f>
        <v>485-</v>
      </c>
      <c r="T55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485-377</v>
      </c>
      <c r="U554" s="121">
        <v>0</v>
      </c>
      <c r="V554" s="121">
        <v>0</v>
      </c>
      <c r="W554" s="121">
        <v>0</v>
      </c>
      <c r="X554" s="121">
        <f>MouserListTable12[[#This Row],['#/Unit]]*FilterSpecs!$C$3+MouserListTable12[[#This Row],[Extra]]</f>
        <v>0</v>
      </c>
      <c r="Y554" s="121">
        <f>IF(MouserListTable12[[#This Row],[Tag]]=FilterSpecs!$F$7,MouserListTable12[[#This Row],[Price (USD)]],0)</f>
        <v>0</v>
      </c>
      <c r="Z554" s="121">
        <f>MouserListTable12[[#This Row],[Tot '#]]*MouserListTable12[[#This Row],[Price (USD)]]</f>
        <v>0</v>
      </c>
    </row>
    <row r="555" spans="1:26" s="146" customFormat="1" x14ac:dyDescent="0.3">
      <c r="A555" s="103" t="s">
        <v>897</v>
      </c>
      <c r="B555" s="103" t="s">
        <v>2033</v>
      </c>
      <c r="C555" s="103" t="s">
        <v>8</v>
      </c>
      <c r="D555" s="106" t="str">
        <f>IF(MouserListTable12[[#This Row],[Vendor]]=FilterSpecs!$A$8,MouserListTable12[[#This Row],[Mouser SKU]], MouserListTable12[[#This Row],[SKU2]])</f>
        <v>COM-13253</v>
      </c>
      <c r="E555" s="121">
        <f>MouserListTable12[[#This Row],[Tot '#]]-MouserListTable12[[#This Row],['# Initial]]</f>
        <v>0</v>
      </c>
      <c r="F555" s="121">
        <f>MouserListTable12[[#This Row],['#/Unit]]*FilterSpecs!$B$3+MouserListTable12[[#This Row],[Extra Initial]]</f>
        <v>5</v>
      </c>
      <c r="G555" s="103" t="s">
        <v>1121</v>
      </c>
      <c r="H555" s="103" t="s">
        <v>1122</v>
      </c>
      <c r="I555" s="103" t="s">
        <v>1123</v>
      </c>
      <c r="J555" s="103">
        <v>1</v>
      </c>
      <c r="K555" s="171">
        <v>1.95</v>
      </c>
      <c r="L555" s="106" t="s">
        <v>1911</v>
      </c>
      <c r="M555" s="103"/>
      <c r="N555" s="171">
        <f>MouserListTable12[[#This Row],['# Initial]]*MouserListTable12[[#This Row],[Price (USD)]]</f>
        <v>9.75</v>
      </c>
      <c r="O555" s="106" t="s">
        <v>1120</v>
      </c>
      <c r="P555" s="103">
        <f t="shared" si="13"/>
        <v>536</v>
      </c>
      <c r="Q555" s="103">
        <f>IF($D555=$O555,1,0)</f>
        <v>1</v>
      </c>
      <c r="R555" s="103" t="s">
        <v>8</v>
      </c>
      <c r="S555" s="103" t="str">
        <f>_xlfn.IFS(MouserListTable12[[#This Row],[Supplier]]=FilterSpecs!$A$6, FilterSpecs!$B$6,MouserListTable12[[#This Row],[Supplier]]=FilterSpecs!$A$7,FilterSpecs!$B$7,MouserListTable12[[#This Row],[Supplier]]=FilterSpecs!$A$8,FilterSpecs!$B$8,MouserListTable12[[#This Row],[Supplier]]=FilterSpecs!$A$9,FilterSpecs!$B$9)</f>
        <v>474-</v>
      </c>
      <c r="T55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474-COM-13253</v>
      </c>
      <c r="U555" s="121">
        <v>1</v>
      </c>
      <c r="V555" s="121">
        <v>0</v>
      </c>
      <c r="W555" s="121">
        <v>0</v>
      </c>
      <c r="X555" s="121">
        <f>MouserListTable12[[#This Row],['#/Unit]]*FilterSpecs!$C$3+MouserListTable12[[#This Row],[Extra]]</f>
        <v>5</v>
      </c>
      <c r="Y555" s="121">
        <f>IF(MouserListTable12[[#This Row],[Tag]]=FilterSpecs!$F$7,MouserListTable12[[#This Row],[Price (USD)]],0)</f>
        <v>1.95</v>
      </c>
      <c r="Z555" s="121">
        <f>MouserListTable12[[#This Row],[Tot '#]]*MouserListTable12[[#This Row],[Price (USD)]]</f>
        <v>9.75</v>
      </c>
    </row>
    <row r="556" spans="1:26" s="146" customFormat="1" x14ac:dyDescent="0.3">
      <c r="A556" s="103" t="s">
        <v>897</v>
      </c>
      <c r="B556" s="103" t="s">
        <v>2033</v>
      </c>
      <c r="C556" s="103" t="s">
        <v>8</v>
      </c>
      <c r="D556" s="106" t="str">
        <f>IF(MouserListTable12[[#This Row],[Vendor]]=FilterSpecs!$A$8,MouserListTable12[[#This Row],[Mouser SKU]], MouserListTable12[[#This Row],[SKU2]])</f>
        <v>BOB-13098</v>
      </c>
      <c r="E556" s="121">
        <f>MouserListTable12[[#This Row],[Tot '#]]-MouserListTable12[[#This Row],['# Initial]]</f>
        <v>0</v>
      </c>
      <c r="F556" s="121">
        <f>MouserListTable12[[#This Row],['#/Unit]]*FilterSpecs!$B$3+MouserListTable12[[#This Row],[Extra Initial]]</f>
        <v>5</v>
      </c>
      <c r="G556" s="103" t="s">
        <v>1117</v>
      </c>
      <c r="H556" s="103" t="s">
        <v>1118</v>
      </c>
      <c r="I556" s="103" t="s">
        <v>1119</v>
      </c>
      <c r="J556" s="103">
        <v>1</v>
      </c>
      <c r="K556" s="171">
        <v>1.95</v>
      </c>
      <c r="L556" s="106" t="s">
        <v>1911</v>
      </c>
      <c r="M556" s="103"/>
      <c r="N556" s="171">
        <f>MouserListTable12[[#This Row],['# Initial]]*MouserListTable12[[#This Row],[Price (USD)]]</f>
        <v>9.75</v>
      </c>
      <c r="O556" s="106" t="s">
        <v>1116</v>
      </c>
      <c r="P556" s="103">
        <f t="shared" si="13"/>
        <v>537</v>
      </c>
      <c r="Q556" s="103">
        <f>IF($D556=$O556,1,0)</f>
        <v>1</v>
      </c>
      <c r="R556" s="103" t="s">
        <v>8</v>
      </c>
      <c r="S556" s="103" t="str">
        <f>_xlfn.IFS(MouserListTable12[[#This Row],[Supplier]]=FilterSpecs!$A$6, FilterSpecs!$B$6,MouserListTable12[[#This Row],[Supplier]]=FilterSpecs!$A$7,FilterSpecs!$B$7,MouserListTable12[[#This Row],[Supplier]]=FilterSpecs!$A$8,FilterSpecs!$B$8,MouserListTable12[[#This Row],[Supplier]]=FilterSpecs!$A$9,FilterSpecs!$B$9)</f>
        <v>474-</v>
      </c>
      <c r="T55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474-BOB-13098</v>
      </c>
      <c r="U556" s="121">
        <v>1</v>
      </c>
      <c r="V556" s="121">
        <v>0</v>
      </c>
      <c r="W556" s="121">
        <v>0</v>
      </c>
      <c r="X556" s="121">
        <f>MouserListTable12[[#This Row],['#/Unit]]*FilterSpecs!$C$3+MouserListTable12[[#This Row],[Extra]]</f>
        <v>5</v>
      </c>
      <c r="Y556" s="121">
        <f>IF(MouserListTable12[[#This Row],[Tag]]=FilterSpecs!$F$7,MouserListTable12[[#This Row],[Price (USD)]],0)</f>
        <v>1.95</v>
      </c>
      <c r="Z556" s="121">
        <f>MouserListTable12[[#This Row],[Tot '#]]*MouserListTable12[[#This Row],[Price (USD)]]</f>
        <v>9.75</v>
      </c>
    </row>
    <row r="557" spans="1:26" s="146" customFormat="1" x14ac:dyDescent="0.3">
      <c r="A557" s="103" t="s">
        <v>897</v>
      </c>
      <c r="B557" s="103" t="s">
        <v>2033</v>
      </c>
      <c r="C557" s="103" t="s">
        <v>8</v>
      </c>
      <c r="D557" s="106" t="str">
        <f>IF(MouserListTable12[[#This Row],[Vendor]]=FilterSpecs!$A$8,MouserListTable12[[#This Row],[Mouser SKU]], MouserListTable12[[#This Row],[SKU2]])</f>
        <v>BOB-13099</v>
      </c>
      <c r="E557" s="121">
        <f>MouserListTable12[[#This Row],[Tot '#]]-MouserListTable12[[#This Row],['# Initial]]</f>
        <v>0</v>
      </c>
      <c r="F557" s="121">
        <f>MouserListTable12[[#This Row],['#/Unit]]*FilterSpecs!$B$3+MouserListTable12[[#This Row],[Extra Initial]]</f>
        <v>5</v>
      </c>
      <c r="G557" s="103" t="s">
        <v>1125</v>
      </c>
      <c r="H557" s="103" t="s">
        <v>1126</v>
      </c>
      <c r="I557" s="103" t="s">
        <v>1127</v>
      </c>
      <c r="J557" s="103">
        <v>1</v>
      </c>
      <c r="K557" s="171">
        <v>1.95</v>
      </c>
      <c r="L557" s="106" t="s">
        <v>1911</v>
      </c>
      <c r="M557" s="103"/>
      <c r="N557" s="171">
        <f>MouserListTable12[[#This Row],['# Initial]]*MouserListTable12[[#This Row],[Price (USD)]]</f>
        <v>9.75</v>
      </c>
      <c r="O557" s="106" t="s">
        <v>1124</v>
      </c>
      <c r="P557" s="103">
        <f t="shared" si="13"/>
        <v>538</v>
      </c>
      <c r="Q557" s="103">
        <f>IF($D557=$O557,1,0)</f>
        <v>1</v>
      </c>
      <c r="R557" s="103" t="s">
        <v>8</v>
      </c>
      <c r="S557" s="103" t="str">
        <f>_xlfn.IFS(MouserListTable12[[#This Row],[Supplier]]=FilterSpecs!$A$6, FilterSpecs!$B$6,MouserListTable12[[#This Row],[Supplier]]=FilterSpecs!$A$7,FilterSpecs!$B$7,MouserListTable12[[#This Row],[Supplier]]=FilterSpecs!$A$8,FilterSpecs!$B$8,MouserListTable12[[#This Row],[Supplier]]=FilterSpecs!$A$9,FilterSpecs!$B$9)</f>
        <v>474-</v>
      </c>
      <c r="T55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474-BOB-13099</v>
      </c>
      <c r="U557" s="121">
        <v>1</v>
      </c>
      <c r="V557" s="121">
        <v>0</v>
      </c>
      <c r="W557" s="121">
        <v>0</v>
      </c>
      <c r="X557" s="121">
        <f>MouserListTable12[[#This Row],['#/Unit]]*FilterSpecs!$C$3+MouserListTable12[[#This Row],[Extra]]</f>
        <v>5</v>
      </c>
      <c r="Y557" s="121">
        <f>IF(MouserListTable12[[#This Row],[Tag]]=FilterSpecs!$F$7,MouserListTable12[[#This Row],[Price (USD)]],0)</f>
        <v>1.95</v>
      </c>
      <c r="Z557" s="121">
        <f>MouserListTable12[[#This Row],[Tot '#]]*MouserListTable12[[#This Row],[Price (USD)]]</f>
        <v>9.75</v>
      </c>
    </row>
    <row r="558" spans="1:26" s="146" customFormat="1" hidden="1" x14ac:dyDescent="0.3">
      <c r="A558" s="103" t="s">
        <v>897</v>
      </c>
      <c r="B558" s="103" t="s">
        <v>2033</v>
      </c>
      <c r="C558" s="103" t="s">
        <v>1898</v>
      </c>
      <c r="D558" s="106" t="str">
        <f>IF(MouserListTable12[[#This Row],[Vendor]]=FilterSpecs!$A$8,MouserListTable12[[#This Row],[Mouser SKU]], MouserListTable12[[#This Row],[SKU2]])</f>
        <v>2925</v>
      </c>
      <c r="E558" s="121">
        <f>MouserListTable12[[#This Row],[Tot '#]]-MouserListTable12[[#This Row],['# Initial]]</f>
        <v>0</v>
      </c>
      <c r="F558" s="121">
        <f>MouserListTable12[[#This Row],['#/Unit]]*FilterSpecs!$B$3+MouserListTable12[[#This Row],[Extra Initial]]</f>
        <v>0</v>
      </c>
      <c r="G558" s="103"/>
      <c r="H558" s="103"/>
      <c r="I558" s="126" t="s">
        <v>2238</v>
      </c>
      <c r="K558" s="172">
        <v>1.95</v>
      </c>
      <c r="L558" s="126" t="s">
        <v>1910</v>
      </c>
      <c r="N558" s="171">
        <f>MouserListTable12[[#This Row],['# Initial]]*MouserListTable12[[#This Row],[Price (USD)]]</f>
        <v>0</v>
      </c>
      <c r="O558" s="106" t="s">
        <v>2237</v>
      </c>
      <c r="P558" s="103">
        <f t="shared" si="13"/>
        <v>539</v>
      </c>
      <c r="Q558" s="103">
        <f>IF($D558=$O558,1,0)</f>
        <v>1</v>
      </c>
      <c r="R558" s="103" t="s">
        <v>1898</v>
      </c>
      <c r="S558" s="103" t="str">
        <f>_xlfn.IFS(MouserListTable12[[#This Row],[Supplier]]=FilterSpecs!$A$6, FilterSpecs!$B$6,MouserListTable12[[#This Row],[Supplier]]=FilterSpecs!$A$7,FilterSpecs!$B$7,MouserListTable12[[#This Row],[Supplier]]=FilterSpecs!$A$8,FilterSpecs!$B$8,MouserListTable12[[#This Row],[Supplier]]=FilterSpecs!$A$9,FilterSpecs!$B$9)</f>
        <v>485-</v>
      </c>
      <c r="T55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485-2925</v>
      </c>
      <c r="U558" s="121">
        <v>0</v>
      </c>
      <c r="V558" s="121">
        <v>0</v>
      </c>
      <c r="W558" s="121">
        <v>0</v>
      </c>
      <c r="X558" s="121">
        <f>MouserListTable12[[#This Row],['#/Unit]]*FilterSpecs!$C$3+MouserListTable12[[#This Row],[Extra]]</f>
        <v>0</v>
      </c>
      <c r="Y558" s="121">
        <f>IF(MouserListTable12[[#This Row],[Tag]]=FilterSpecs!$F$7,MouserListTable12[[#This Row],[Price (USD)]],0)</f>
        <v>0</v>
      </c>
      <c r="Z558" s="121">
        <f>MouserListTable12[[#This Row],[Tot '#]]*MouserListTable12[[#This Row],[Price (USD)]]</f>
        <v>0</v>
      </c>
    </row>
    <row r="559" spans="1:26" s="146" customFormat="1" hidden="1" x14ac:dyDescent="0.3">
      <c r="A559" s="126" t="s">
        <v>897</v>
      </c>
      <c r="B559" s="126" t="s">
        <v>1612</v>
      </c>
      <c r="C559" s="126" t="s">
        <v>8</v>
      </c>
      <c r="D559" s="106" t="str">
        <f>IF(MouserListTable12[[#This Row],[Vendor]]=FilterSpecs!$A$8,MouserListTable12[[#This Row],[Mouser SKU]], MouserListTable12[[#This Row],[SKU2]])</f>
        <v>PRT-11367</v>
      </c>
      <c r="E559" s="121">
        <f>MouserListTable12[[#This Row],[Tot '#]]-MouserListTable12[[#This Row],['# Initial]]</f>
        <v>0</v>
      </c>
      <c r="F559" s="121">
        <f>MouserListTable12[[#This Row],['#/Unit]]*FilterSpecs!$B$3+MouserListTable12[[#This Row],[Extra Initial]]</f>
        <v>0</v>
      </c>
      <c r="G559" s="103" t="s">
        <v>1664</v>
      </c>
      <c r="H559" s="103" t="s">
        <v>1665</v>
      </c>
      <c r="I559" s="103" t="s">
        <v>1666</v>
      </c>
      <c r="J559" s="103">
        <v>1</v>
      </c>
      <c r="K559" s="171">
        <v>16.95</v>
      </c>
      <c r="L559" s="103" t="s">
        <v>1910</v>
      </c>
      <c r="M559" s="103"/>
      <c r="N559" s="171">
        <f>MouserListTable12[[#This Row],['# Initial]]*MouserListTable12[[#This Row],[Price (USD)]]</f>
        <v>0</v>
      </c>
      <c r="O559" s="106" t="s">
        <v>1663</v>
      </c>
      <c r="P559" s="103">
        <f t="shared" si="13"/>
        <v>540</v>
      </c>
      <c r="Q559" s="103">
        <f>IF($D559=$O559,1,0)</f>
        <v>1</v>
      </c>
      <c r="R559" s="103" t="s">
        <v>8</v>
      </c>
      <c r="S559" s="103" t="str">
        <f>_xlfn.IFS(MouserListTable12[[#This Row],[Supplier]]=FilterSpecs!$A$6, FilterSpecs!$B$6,MouserListTable12[[#This Row],[Supplier]]=FilterSpecs!$A$7,FilterSpecs!$B$7,MouserListTable12[[#This Row],[Supplier]]=FilterSpecs!$A$8,FilterSpecs!$B$8,MouserListTable12[[#This Row],[Supplier]]=FilterSpecs!$A$9,FilterSpecs!$B$9)</f>
        <v>474-</v>
      </c>
      <c r="T55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474-PRT-11367</v>
      </c>
      <c r="U559" s="121">
        <v>0</v>
      </c>
      <c r="V559" s="121">
        <v>0</v>
      </c>
      <c r="W559" s="121">
        <v>0</v>
      </c>
      <c r="X559" s="121">
        <f>MouserListTable12[[#This Row],['#/Unit]]*FilterSpecs!$C$3+MouserListTable12[[#This Row],[Extra]]</f>
        <v>0</v>
      </c>
      <c r="Y559" s="121">
        <f>IF(MouserListTable12[[#This Row],[Tag]]=FilterSpecs!$F$7,MouserListTable12[[#This Row],[Price (USD)]],0)</f>
        <v>0</v>
      </c>
      <c r="Z559" s="121">
        <f>MouserListTable12[[#This Row],[Tot '#]]*MouserListTable12[[#This Row],[Price (USD)]]</f>
        <v>0</v>
      </c>
    </row>
    <row r="560" spans="1:26" s="146" customFormat="1" x14ac:dyDescent="0.3">
      <c r="A560" s="103" t="s">
        <v>897</v>
      </c>
      <c r="B560" s="103" t="s">
        <v>1612</v>
      </c>
      <c r="C560" s="103" t="s">
        <v>1898</v>
      </c>
      <c r="D560" s="106" t="str">
        <f>IF(MouserListTable12[[#This Row],[Vendor]]=FilterSpecs!$A$8,MouserListTable12[[#This Row],[Mouser SKU]], MouserListTable12[[#This Row],[SKU2]])</f>
        <v>3174</v>
      </c>
      <c r="E560" s="121">
        <f>MouserListTable12[[#This Row],[Tot '#]]-MouserListTable12[[#This Row],['# Initial]]</f>
        <v>0</v>
      </c>
      <c r="F560" s="121">
        <f>MouserListTable12[[#This Row],['#/Unit]]*FilterSpecs!$B$3+MouserListTable12[[#This Row],[Extra Initial]]</f>
        <v>1</v>
      </c>
      <c r="H560" s="106"/>
      <c r="I560" s="103" t="s">
        <v>2466</v>
      </c>
      <c r="J560" s="155">
        <v>109</v>
      </c>
      <c r="K560" s="171">
        <v>27.5</v>
      </c>
      <c r="L560" s="103" t="s">
        <v>1910</v>
      </c>
      <c r="M560" s="106"/>
      <c r="N560" s="171">
        <f>MouserListTable12[[#This Row],['# Initial]]*MouserListTable12[[#This Row],[Price (USD)]]</f>
        <v>27.5</v>
      </c>
      <c r="O560" s="106" t="s">
        <v>2467</v>
      </c>
      <c r="P560" s="103">
        <f t="shared" si="13"/>
        <v>541</v>
      </c>
      <c r="Q560" s="103">
        <f>IF($D560=$O560,1,0)</f>
        <v>1</v>
      </c>
      <c r="R560" s="103" t="s">
        <v>1898</v>
      </c>
      <c r="S560" s="103" t="str">
        <f>_xlfn.IFS(MouserListTable12[[#This Row],[Supplier]]=FilterSpecs!$A$6, FilterSpecs!$B$6,MouserListTable12[[#This Row],[Supplier]]=FilterSpecs!$A$7,FilterSpecs!$B$7,MouserListTable12[[#This Row],[Supplier]]=FilterSpecs!$A$8,FilterSpecs!$B$8,MouserListTable12[[#This Row],[Supplier]]=FilterSpecs!$A$9,FilterSpecs!$B$9)</f>
        <v>485-</v>
      </c>
      <c r="T56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485-3174</v>
      </c>
      <c r="U560" s="121">
        <v>0</v>
      </c>
      <c r="V560" s="121">
        <v>1</v>
      </c>
      <c r="W560" s="121">
        <v>1</v>
      </c>
      <c r="X560" s="121">
        <f>MouserListTable12[[#This Row],['#/Unit]]*FilterSpecs!$C$3+MouserListTable12[[#This Row],[Extra]]</f>
        <v>1</v>
      </c>
      <c r="Y560" s="121">
        <f>IF(MouserListTable12[[#This Row],[Tag]]=FilterSpecs!$F$7,MouserListTable12[[#This Row],[Price (USD)]],0)</f>
        <v>0</v>
      </c>
      <c r="Z560" s="121">
        <f>MouserListTable12[[#This Row],[Tot '#]]*MouserListTable12[[#This Row],[Price (USD)]]</f>
        <v>27.5</v>
      </c>
    </row>
    <row r="561" spans="1:26" s="146" customFormat="1" hidden="1" x14ac:dyDescent="0.3">
      <c r="A561" s="126" t="s">
        <v>897</v>
      </c>
      <c r="B561" s="126" t="s">
        <v>1612</v>
      </c>
      <c r="C561" s="126" t="s">
        <v>8</v>
      </c>
      <c r="D561" s="106" t="str">
        <f>IF(MouserListTable12[[#This Row],[Vendor]]=FilterSpecs!$A$8,MouserListTable12[[#This Row],[Mouser SKU]], MouserListTable12[[#This Row],[SKU2]])</f>
        <v>PRT-08023</v>
      </c>
      <c r="E561" s="121">
        <f>MouserListTable12[[#This Row],[Tot '#]]-MouserListTable12[[#This Row],['# Initial]]</f>
        <v>0</v>
      </c>
      <c r="F561" s="121">
        <f>MouserListTable12[[#This Row],['#/Unit]]*FilterSpecs!$B$3+MouserListTable12[[#This Row],[Extra Initial]]</f>
        <v>0</v>
      </c>
      <c r="G561" s="103" t="s">
        <v>1402</v>
      </c>
      <c r="H561" s="103" t="s">
        <v>1403</v>
      </c>
      <c r="I561" s="103" t="s">
        <v>1404</v>
      </c>
      <c r="J561" s="103">
        <v>1</v>
      </c>
      <c r="K561" s="171">
        <v>2.5</v>
      </c>
      <c r="L561" s="103" t="s">
        <v>1912</v>
      </c>
      <c r="M561" s="103"/>
      <c r="N561" s="171">
        <f>MouserListTable12[[#This Row],['# Initial]]*MouserListTable12[[#This Row],[Price (USD)]]</f>
        <v>0</v>
      </c>
      <c r="O561" s="106" t="s">
        <v>1401</v>
      </c>
      <c r="P561" s="103">
        <f t="shared" si="13"/>
        <v>542</v>
      </c>
      <c r="Q561" s="103">
        <f>IF($D561=$O561,1,0)</f>
        <v>1</v>
      </c>
      <c r="R561" s="103" t="s">
        <v>8</v>
      </c>
      <c r="S561" s="103" t="str">
        <f>_xlfn.IFS(MouserListTable12[[#This Row],[Supplier]]=FilterSpecs!$A$6, FilterSpecs!$B$6,MouserListTable12[[#This Row],[Supplier]]=FilterSpecs!$A$7,FilterSpecs!$B$7,MouserListTable12[[#This Row],[Supplier]]=FilterSpecs!$A$8,FilterSpecs!$B$8,MouserListTable12[[#This Row],[Supplier]]=FilterSpecs!$A$9,FilterSpecs!$B$9)</f>
        <v>474-</v>
      </c>
      <c r="T56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474-PRT-08023</v>
      </c>
      <c r="U561" s="121">
        <v>0</v>
      </c>
      <c r="V561" s="121">
        <v>0</v>
      </c>
      <c r="W561" s="121">
        <v>0</v>
      </c>
      <c r="X561" s="121">
        <f>MouserListTable12[[#This Row],['#/Unit]]*FilterSpecs!$C$3+MouserListTable12[[#This Row],[Extra]]</f>
        <v>0</v>
      </c>
      <c r="Y561" s="121">
        <f>IF(MouserListTable12[[#This Row],[Tag]]=FilterSpecs!$F$7,MouserListTable12[[#This Row],[Price (USD)]],0)</f>
        <v>0</v>
      </c>
      <c r="Z561" s="121">
        <f>MouserListTable12[[#This Row],[Tot '#]]*MouserListTable12[[#This Row],[Price (USD)]]</f>
        <v>0</v>
      </c>
    </row>
    <row r="562" spans="1:26" s="146" customFormat="1" hidden="1" x14ac:dyDescent="0.3">
      <c r="A562" s="126" t="s">
        <v>897</v>
      </c>
      <c r="B562" s="126" t="s">
        <v>1612</v>
      </c>
      <c r="C562" s="126" t="s">
        <v>8</v>
      </c>
      <c r="D562" s="106" t="str">
        <f>IF(MouserListTable12[[#This Row],[Vendor]]=FilterSpecs!$A$8,MouserListTable12[[#This Row],[Mouser SKU]], MouserListTable12[[#This Row],[SKU2]])</f>
        <v>PRT-08024</v>
      </c>
      <c r="E562" s="121">
        <f>MouserListTable12[[#This Row],[Tot '#]]-MouserListTable12[[#This Row],['# Initial]]</f>
        <v>0</v>
      </c>
      <c r="F562" s="121">
        <f>MouserListTable12[[#This Row],['#/Unit]]*FilterSpecs!$B$3+MouserListTable12[[#This Row],[Extra Initial]]</f>
        <v>0</v>
      </c>
      <c r="G562" s="103" t="s">
        <v>1394</v>
      </c>
      <c r="H562" s="103" t="s">
        <v>1395</v>
      </c>
      <c r="I562" s="103" t="s">
        <v>1396</v>
      </c>
      <c r="J562" s="103">
        <v>1</v>
      </c>
      <c r="K562" s="171">
        <v>2.5</v>
      </c>
      <c r="L562" s="103" t="s">
        <v>1912</v>
      </c>
      <c r="M562" s="103"/>
      <c r="N562" s="171">
        <f>MouserListTable12[[#This Row],['# Initial]]*MouserListTable12[[#This Row],[Price (USD)]]</f>
        <v>0</v>
      </c>
      <c r="O562" s="106" t="s">
        <v>1393</v>
      </c>
      <c r="P562" s="103">
        <f t="shared" si="13"/>
        <v>543</v>
      </c>
      <c r="Q562" s="103">
        <f>IF($D562=$O562,1,0)</f>
        <v>1</v>
      </c>
      <c r="R562" s="103" t="s">
        <v>8</v>
      </c>
      <c r="S562" s="103" t="str">
        <f>_xlfn.IFS(MouserListTable12[[#This Row],[Supplier]]=FilterSpecs!$A$6, FilterSpecs!$B$6,MouserListTable12[[#This Row],[Supplier]]=FilterSpecs!$A$7,FilterSpecs!$B$7,MouserListTable12[[#This Row],[Supplier]]=FilterSpecs!$A$8,FilterSpecs!$B$8,MouserListTable12[[#This Row],[Supplier]]=FilterSpecs!$A$9,FilterSpecs!$B$9)</f>
        <v>474-</v>
      </c>
      <c r="T56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474-PRT-08024</v>
      </c>
      <c r="U562" s="121">
        <v>0</v>
      </c>
      <c r="V562" s="121">
        <v>0</v>
      </c>
      <c r="W562" s="121">
        <v>0</v>
      </c>
      <c r="X562" s="121">
        <f>MouserListTable12[[#This Row],['#/Unit]]*FilterSpecs!$C$3+MouserListTable12[[#This Row],[Extra]]</f>
        <v>0</v>
      </c>
      <c r="Y562" s="121">
        <f>IF(MouserListTable12[[#This Row],[Tag]]=FilterSpecs!$F$7,MouserListTable12[[#This Row],[Price (USD)]],0)</f>
        <v>0</v>
      </c>
      <c r="Z562" s="121">
        <f>MouserListTable12[[#This Row],[Tot '#]]*MouserListTable12[[#This Row],[Price (USD)]]</f>
        <v>0</v>
      </c>
    </row>
    <row r="563" spans="1:26" s="146" customFormat="1" hidden="1" x14ac:dyDescent="0.3">
      <c r="A563" s="126" t="s">
        <v>897</v>
      </c>
      <c r="B563" s="126" t="s">
        <v>1612</v>
      </c>
      <c r="C563" s="126" t="s">
        <v>8</v>
      </c>
      <c r="D563" s="106" t="str">
        <f>IF(MouserListTable12[[#This Row],[Vendor]]=FilterSpecs!$A$8,MouserListTable12[[#This Row],[Mouser SKU]], MouserListTable12[[#This Row],[SKU2]])</f>
        <v>PRT-08022</v>
      </c>
      <c r="E563" s="121">
        <f>MouserListTable12[[#This Row],[Tot '#]]-MouserListTable12[[#This Row],['# Initial]]</f>
        <v>0</v>
      </c>
      <c r="F563" s="121">
        <f>MouserListTable12[[#This Row],['#/Unit]]*FilterSpecs!$B$3+MouserListTable12[[#This Row],[Extra Initial]]</f>
        <v>0</v>
      </c>
      <c r="G563" s="103" t="s">
        <v>1398</v>
      </c>
      <c r="H563" s="103" t="s">
        <v>1399</v>
      </c>
      <c r="I563" s="103" t="s">
        <v>1400</v>
      </c>
      <c r="J563" s="103">
        <v>1</v>
      </c>
      <c r="K563" s="171">
        <v>2.5</v>
      </c>
      <c r="L563" s="103" t="s">
        <v>1912</v>
      </c>
      <c r="M563" s="103"/>
      <c r="N563" s="171">
        <f>MouserListTable12[[#This Row],['# Initial]]*MouserListTable12[[#This Row],[Price (USD)]]</f>
        <v>0</v>
      </c>
      <c r="O563" s="106" t="s">
        <v>1397</v>
      </c>
      <c r="P563" s="103">
        <f t="shared" si="13"/>
        <v>544</v>
      </c>
      <c r="Q563" s="103">
        <f>IF($D563=$O563,1,0)</f>
        <v>1</v>
      </c>
      <c r="R563" s="103" t="s">
        <v>8</v>
      </c>
      <c r="S563" s="103" t="str">
        <f>_xlfn.IFS(MouserListTable12[[#This Row],[Supplier]]=FilterSpecs!$A$6, FilterSpecs!$B$6,MouserListTable12[[#This Row],[Supplier]]=FilterSpecs!$A$7,FilterSpecs!$B$7,MouserListTable12[[#This Row],[Supplier]]=FilterSpecs!$A$8,FilterSpecs!$B$8,MouserListTable12[[#This Row],[Supplier]]=FilterSpecs!$A$9,FilterSpecs!$B$9)</f>
        <v>474-</v>
      </c>
      <c r="T56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474-PRT-08022</v>
      </c>
      <c r="U563" s="121">
        <v>0</v>
      </c>
      <c r="V563" s="121">
        <v>0</v>
      </c>
      <c r="W563" s="121">
        <v>0</v>
      </c>
      <c r="X563" s="121">
        <f>MouserListTable12[[#This Row],['#/Unit]]*FilterSpecs!$C$3+MouserListTable12[[#This Row],[Extra]]</f>
        <v>0</v>
      </c>
      <c r="Y563" s="121">
        <f>IF(MouserListTable12[[#This Row],[Tag]]=FilterSpecs!$F$7,MouserListTable12[[#This Row],[Price (USD)]],0)</f>
        <v>0</v>
      </c>
      <c r="Z563" s="121">
        <f>MouserListTable12[[#This Row],[Tot '#]]*MouserListTable12[[#This Row],[Price (USD)]]</f>
        <v>0</v>
      </c>
    </row>
    <row r="564" spans="1:26" s="146" customFormat="1" hidden="1" x14ac:dyDescent="0.3">
      <c r="A564" s="126" t="s">
        <v>897</v>
      </c>
      <c r="B564" s="126" t="s">
        <v>1612</v>
      </c>
      <c r="C564" s="126" t="s">
        <v>8</v>
      </c>
      <c r="D564" s="106" t="str">
        <f>IF(MouserListTable12[[#This Row],[Vendor]]=FilterSpecs!$A$8,MouserListTable12[[#This Row],[Mouser SKU]], MouserListTable12[[#This Row],[SKU2]])</f>
        <v>PRT-08025</v>
      </c>
      <c r="E564" s="121">
        <f>MouserListTable12[[#This Row],[Tot '#]]-MouserListTable12[[#This Row],['# Initial]]</f>
        <v>0</v>
      </c>
      <c r="F564" s="121">
        <f>MouserListTable12[[#This Row],['#/Unit]]*FilterSpecs!$B$3+MouserListTable12[[#This Row],[Extra Initial]]</f>
        <v>0</v>
      </c>
      <c r="G564" s="103" t="s">
        <v>1656</v>
      </c>
      <c r="H564" s="103" t="s">
        <v>1657</v>
      </c>
      <c r="I564" s="103" t="s">
        <v>1658</v>
      </c>
      <c r="J564" s="103"/>
      <c r="K564" s="171">
        <v>2.95</v>
      </c>
      <c r="L564" s="103" t="s">
        <v>1913</v>
      </c>
      <c r="M564" s="103"/>
      <c r="N564" s="171">
        <f>MouserListTable12[[#This Row],['# Initial]]*MouserListTable12[[#This Row],[Price (USD)]]</f>
        <v>0</v>
      </c>
      <c r="O564" s="106" t="s">
        <v>1655</v>
      </c>
      <c r="P564" s="103">
        <f t="shared" si="13"/>
        <v>545</v>
      </c>
      <c r="Q564" s="103">
        <f>IF($D564=$O564,1,0)</f>
        <v>1</v>
      </c>
      <c r="R564" s="103" t="s">
        <v>8</v>
      </c>
      <c r="S564" s="103" t="str">
        <f>_xlfn.IFS(MouserListTable12[[#This Row],[Supplier]]=FilterSpecs!$A$6, FilterSpecs!$B$6,MouserListTable12[[#This Row],[Supplier]]=FilterSpecs!$A$7,FilterSpecs!$B$7,MouserListTable12[[#This Row],[Supplier]]=FilterSpecs!$A$8,FilterSpecs!$B$8,MouserListTable12[[#This Row],[Supplier]]=FilterSpecs!$A$9,FilterSpecs!$B$9)</f>
        <v>474-</v>
      </c>
      <c r="T56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474-PRT-08025</v>
      </c>
      <c r="U564" s="121">
        <v>0</v>
      </c>
      <c r="V564" s="121">
        <v>0</v>
      </c>
      <c r="W564" s="121">
        <v>0</v>
      </c>
      <c r="X564" s="121">
        <f>MouserListTable12[[#This Row],['#/Unit]]*FilterSpecs!$C$3+MouserListTable12[[#This Row],[Extra]]</f>
        <v>0</v>
      </c>
      <c r="Y564" s="121">
        <f>IF(MouserListTable12[[#This Row],[Tag]]=FilterSpecs!$F$7,MouserListTable12[[#This Row],[Price (USD)]],0)</f>
        <v>0</v>
      </c>
      <c r="Z564" s="121">
        <f>MouserListTable12[[#This Row],[Tot '#]]*MouserListTable12[[#This Row],[Price (USD)]]</f>
        <v>0</v>
      </c>
    </row>
    <row r="565" spans="1:26" s="146" customFormat="1" hidden="1" x14ac:dyDescent="0.3">
      <c r="A565" s="126" t="s">
        <v>897</v>
      </c>
      <c r="B565" s="126" t="s">
        <v>1612</v>
      </c>
      <c r="C565" s="126" t="s">
        <v>8</v>
      </c>
      <c r="D565" s="106" t="str">
        <f>IF(MouserListTable12[[#This Row],[Vendor]]=FilterSpecs!$A$8,MouserListTable12[[#This Row],[Mouser SKU]], MouserListTable12[[#This Row],[SKU2]])</f>
        <v>PRT-08026</v>
      </c>
      <c r="E565" s="121">
        <f>MouserListTable12[[#This Row],[Tot '#]]-MouserListTable12[[#This Row],['# Initial]]</f>
        <v>0</v>
      </c>
      <c r="F565" s="121">
        <f>MouserListTable12[[#This Row],['#/Unit]]*FilterSpecs!$B$3+MouserListTable12[[#This Row],[Extra Initial]]</f>
        <v>0</v>
      </c>
      <c r="G565" s="103" t="s">
        <v>1390</v>
      </c>
      <c r="H565" s="103" t="s">
        <v>1391</v>
      </c>
      <c r="I565" s="103" t="s">
        <v>1392</v>
      </c>
      <c r="J565" s="103">
        <v>1</v>
      </c>
      <c r="K565" s="171">
        <v>2.5</v>
      </c>
      <c r="L565" s="103" t="s">
        <v>1913</v>
      </c>
      <c r="M565" s="103"/>
      <c r="N565" s="171">
        <f>MouserListTable12[[#This Row],['# Initial]]*MouserListTable12[[#This Row],[Price (USD)]]</f>
        <v>0</v>
      </c>
      <c r="O565" s="106" t="s">
        <v>1389</v>
      </c>
      <c r="P565" s="103">
        <f t="shared" si="13"/>
        <v>546</v>
      </c>
      <c r="Q565" s="103">
        <f>IF($D565=$O565,1,0)</f>
        <v>1</v>
      </c>
      <c r="R565" s="103" t="s">
        <v>8</v>
      </c>
      <c r="S565" s="103" t="str">
        <f>_xlfn.IFS(MouserListTable12[[#This Row],[Supplier]]=FilterSpecs!$A$6, FilterSpecs!$B$6,MouserListTable12[[#This Row],[Supplier]]=FilterSpecs!$A$7,FilterSpecs!$B$7,MouserListTable12[[#This Row],[Supplier]]=FilterSpecs!$A$8,FilterSpecs!$B$8,MouserListTable12[[#This Row],[Supplier]]=FilterSpecs!$A$9,FilterSpecs!$B$9)</f>
        <v>474-</v>
      </c>
      <c r="T56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474-PRT-08026</v>
      </c>
      <c r="U565" s="121">
        <v>0</v>
      </c>
      <c r="V565" s="121">
        <v>0</v>
      </c>
      <c r="W565" s="121">
        <v>0</v>
      </c>
      <c r="X565" s="121">
        <f>MouserListTable12[[#This Row],['#/Unit]]*FilterSpecs!$C$3+MouserListTable12[[#This Row],[Extra]]</f>
        <v>0</v>
      </c>
      <c r="Y565" s="121">
        <f>IF(MouserListTable12[[#This Row],[Tag]]=FilterSpecs!$F$7,MouserListTable12[[#This Row],[Price (USD)]],0)</f>
        <v>0</v>
      </c>
      <c r="Z565" s="121">
        <f>MouserListTable12[[#This Row],[Tot '#]]*MouserListTable12[[#This Row],[Price (USD)]]</f>
        <v>0</v>
      </c>
    </row>
    <row r="566" spans="1:26" s="146" customFormat="1" hidden="1" x14ac:dyDescent="0.3">
      <c r="A566" s="126" t="s">
        <v>897</v>
      </c>
      <c r="B566" s="126" t="s">
        <v>1612</v>
      </c>
      <c r="C566" s="126" t="s">
        <v>8</v>
      </c>
      <c r="D566" s="106" t="str">
        <f>IF(MouserListTable12[[#This Row],[Vendor]]=FilterSpecs!$A$8,MouserListTable12[[#This Row],[Mouser SKU]], MouserListTable12[[#This Row],[SKU2]])</f>
        <v>PRT-08027</v>
      </c>
      <c r="E566" s="121">
        <f>MouserListTable12[[#This Row],[Tot '#]]-MouserListTable12[[#This Row],['# Initial]]</f>
        <v>0</v>
      </c>
      <c r="F566" s="121">
        <f>MouserListTable12[[#This Row],['#/Unit]]*FilterSpecs!$B$3+MouserListTable12[[#This Row],[Extra Initial]]</f>
        <v>0</v>
      </c>
      <c r="G566" s="103" t="s">
        <v>1660</v>
      </c>
      <c r="H566" s="103" t="s">
        <v>1661</v>
      </c>
      <c r="I566" s="103" t="s">
        <v>1662</v>
      </c>
      <c r="J566" s="103"/>
      <c r="K566" s="171">
        <v>2.95</v>
      </c>
      <c r="L566" s="103" t="s">
        <v>1910</v>
      </c>
      <c r="M566" s="103"/>
      <c r="N566" s="171">
        <f>MouserListTable12[[#This Row],['# Initial]]*MouserListTable12[[#This Row],[Price (USD)]]</f>
        <v>0</v>
      </c>
      <c r="O566" s="106" t="s">
        <v>1659</v>
      </c>
      <c r="P566" s="103">
        <f t="shared" si="13"/>
        <v>547</v>
      </c>
      <c r="Q566" s="103">
        <f>IF($D566=$O566,1,0)</f>
        <v>1</v>
      </c>
      <c r="R566" s="103" t="s">
        <v>8</v>
      </c>
      <c r="S566" s="103" t="str">
        <f>_xlfn.IFS(MouserListTable12[[#This Row],[Supplier]]=FilterSpecs!$A$6, FilterSpecs!$B$6,MouserListTable12[[#This Row],[Supplier]]=FilterSpecs!$A$7,FilterSpecs!$B$7,MouserListTable12[[#This Row],[Supplier]]=FilterSpecs!$A$8,FilterSpecs!$B$8,MouserListTable12[[#This Row],[Supplier]]=FilterSpecs!$A$9,FilterSpecs!$B$9)</f>
        <v>474-</v>
      </c>
      <c r="T56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474-PRT-08027</v>
      </c>
      <c r="U566" s="121">
        <v>0</v>
      </c>
      <c r="V566" s="121">
        <v>0</v>
      </c>
      <c r="W566" s="121">
        <v>0</v>
      </c>
      <c r="X566" s="121">
        <f>MouserListTable12[[#This Row],['#/Unit]]*FilterSpecs!$C$3+MouserListTable12[[#This Row],[Extra]]</f>
        <v>0</v>
      </c>
      <c r="Y566" s="121">
        <f>IF(MouserListTable12[[#This Row],[Tag]]=FilterSpecs!$F$7,MouserListTable12[[#This Row],[Price (USD)]],0)</f>
        <v>0</v>
      </c>
      <c r="Z566" s="121">
        <f>MouserListTable12[[#This Row],[Tot '#]]*MouserListTable12[[#This Row],[Price (USD)]]</f>
        <v>0</v>
      </c>
    </row>
    <row r="567" spans="1:26" s="146" customFormat="1" x14ac:dyDescent="0.3">
      <c r="A567" s="103" t="s">
        <v>897</v>
      </c>
      <c r="B567" s="103" t="s">
        <v>1612</v>
      </c>
      <c r="C567" s="103" t="s">
        <v>8</v>
      </c>
      <c r="D567" s="106" t="str">
        <f>IF(MouserListTable12[[#This Row],[Vendor]]=FilterSpecs!$A$8,MouserListTable12[[#This Row],[Mouser SKU]], MouserListTable12[[#This Row],[SKU2]])</f>
        <v>PRT-00124</v>
      </c>
      <c r="E567" s="121">
        <f>MouserListTable12[[#This Row],[Tot '#]]-MouserListTable12[[#This Row],['# Initial]]</f>
        <v>0</v>
      </c>
      <c r="F567" s="121">
        <f>MouserListTable12[[#This Row],['#/Unit]]*FilterSpecs!$B$3+MouserListTable12[[#This Row],[Extra Initial]]</f>
        <v>2</v>
      </c>
      <c r="G567" s="103" t="s">
        <v>418</v>
      </c>
      <c r="H567" s="103" t="s">
        <v>419</v>
      </c>
      <c r="I567" s="103" t="s">
        <v>420</v>
      </c>
      <c r="J567" s="103">
        <v>1</v>
      </c>
      <c r="K567" s="171">
        <v>6.95</v>
      </c>
      <c r="L567" s="103" t="s">
        <v>1910</v>
      </c>
      <c r="M567" s="103"/>
      <c r="N567" s="171">
        <f>MouserListTable12[[#This Row],['# Initial]]*MouserListTable12[[#This Row],[Price (USD)]]</f>
        <v>13.9</v>
      </c>
      <c r="O567" s="106" t="s">
        <v>417</v>
      </c>
      <c r="P567" s="103">
        <f t="shared" si="13"/>
        <v>548</v>
      </c>
      <c r="Q567" s="103">
        <f>IF($D567=$O567,1,0)</f>
        <v>1</v>
      </c>
      <c r="R567" s="103" t="s">
        <v>8</v>
      </c>
      <c r="S567" s="103" t="str">
        <f>_xlfn.IFS(MouserListTable12[[#This Row],[Supplier]]=FilterSpecs!$A$6, FilterSpecs!$B$6,MouserListTable12[[#This Row],[Supplier]]=FilterSpecs!$A$7,FilterSpecs!$B$7,MouserListTable12[[#This Row],[Supplier]]=FilterSpecs!$A$8,FilterSpecs!$B$8,MouserListTable12[[#This Row],[Supplier]]=FilterSpecs!$A$9,FilterSpecs!$B$9)</f>
        <v>474-</v>
      </c>
      <c r="T56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474-PRT-00124</v>
      </c>
      <c r="U567" s="121">
        <v>0</v>
      </c>
      <c r="V567" s="121">
        <v>2</v>
      </c>
      <c r="W567" s="121">
        <v>2</v>
      </c>
      <c r="X567" s="121">
        <f>MouserListTable12[[#This Row],['#/Unit]]*FilterSpecs!$C$3+MouserListTable12[[#This Row],[Extra]]</f>
        <v>2</v>
      </c>
      <c r="Y567" s="121">
        <f>IF(MouserListTable12[[#This Row],[Tag]]=FilterSpecs!$F$7,MouserListTable12[[#This Row],[Price (USD)]],0)</f>
        <v>0</v>
      </c>
      <c r="Z567" s="121">
        <f>MouserListTable12[[#This Row],[Tot '#]]*MouserListTable12[[#This Row],[Price (USD)]]</f>
        <v>13.9</v>
      </c>
    </row>
    <row r="568" spans="1:26" s="146" customFormat="1" hidden="1" x14ac:dyDescent="0.3">
      <c r="A568" s="128" t="s">
        <v>897</v>
      </c>
      <c r="B568" s="128" t="s">
        <v>1612</v>
      </c>
      <c r="C568" s="128" t="s">
        <v>1898</v>
      </c>
      <c r="D568" s="106" t="str">
        <f>IF(MouserListTable12[[#This Row],[Vendor]]=FilterSpecs!$A$8,MouserListTable12[[#This Row],[Mouser SKU]], MouserListTable12[[#This Row],[SKU2]])</f>
        <v>3314</v>
      </c>
      <c r="E568" s="121">
        <f>MouserListTable12[[#This Row],[Tot '#]]-MouserListTable12[[#This Row],['# Initial]]</f>
        <v>0</v>
      </c>
      <c r="F568" s="121">
        <f>MouserListTable12[[#This Row],['#/Unit]]*FilterSpecs!$B$3+MouserListTable12[[#This Row],[Extra Initial]]</f>
        <v>0</v>
      </c>
      <c r="I568" s="128" t="s">
        <v>2468</v>
      </c>
      <c r="J568" s="155">
        <v>110</v>
      </c>
      <c r="K568" s="173">
        <v>7.95</v>
      </c>
      <c r="L568" s="126" t="s">
        <v>1910</v>
      </c>
      <c r="N568" s="171">
        <f>MouserListTable12[[#This Row],['# Initial]]*MouserListTable12[[#This Row],[Price (USD)]]</f>
        <v>0</v>
      </c>
      <c r="O568" s="155" t="s">
        <v>2469</v>
      </c>
      <c r="P568" s="103">
        <f t="shared" si="13"/>
        <v>549</v>
      </c>
      <c r="Q568" s="103">
        <f>IF($D568=$O568,1,0)</f>
        <v>1</v>
      </c>
      <c r="R568" s="103" t="s">
        <v>1898</v>
      </c>
      <c r="S568" s="103" t="str">
        <f>_xlfn.IFS(MouserListTable12[[#This Row],[Supplier]]=FilterSpecs!$A$6, FilterSpecs!$B$6,MouserListTable12[[#This Row],[Supplier]]=FilterSpecs!$A$7,FilterSpecs!$B$7,MouserListTable12[[#This Row],[Supplier]]=FilterSpecs!$A$8,FilterSpecs!$B$8,MouserListTable12[[#This Row],[Supplier]]=FilterSpecs!$A$9,FilterSpecs!$B$9)</f>
        <v>485-</v>
      </c>
      <c r="T56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485-3314</v>
      </c>
      <c r="U568" s="121">
        <v>0</v>
      </c>
      <c r="V568" s="121">
        <v>0</v>
      </c>
      <c r="W568" s="121">
        <v>0</v>
      </c>
      <c r="X568" s="121">
        <f>MouserListTable12[[#This Row],['#/Unit]]*FilterSpecs!$C$3+MouserListTable12[[#This Row],[Extra]]</f>
        <v>0</v>
      </c>
      <c r="Y568" s="121">
        <f>IF(MouserListTable12[[#This Row],[Tag]]=FilterSpecs!$F$7,MouserListTable12[[#This Row],[Price (USD)]],0)</f>
        <v>0</v>
      </c>
      <c r="Z568" s="121">
        <f>MouserListTable12[[#This Row],[Tot '#]]*MouserListTable12[[#This Row],[Price (USD)]]</f>
        <v>0</v>
      </c>
    </row>
    <row r="569" spans="1:26" s="146" customFormat="1" hidden="1" x14ac:dyDescent="0.3">
      <c r="A569" s="103" t="s">
        <v>17</v>
      </c>
      <c r="B569" s="103" t="s">
        <v>1614</v>
      </c>
      <c r="C569" s="103" t="s">
        <v>8</v>
      </c>
      <c r="D569" s="106" t="str">
        <f>IF(MouserListTable12[[#This Row],[Vendor]]=FilterSpecs!$A$8,MouserListTable12[[#This Row],[Mouser SKU]], MouserListTable12[[#This Row],[SKU2]])</f>
        <v>TOL-13086</v>
      </c>
      <c r="E569" s="121">
        <f>MouserListTable12[[#This Row],[Tot '#]]-MouserListTable12[[#This Row],['# Initial]]</f>
        <v>0</v>
      </c>
      <c r="F569" s="121">
        <f>MouserListTable12[[#This Row],['#/Unit]]*FilterSpecs!$B$3+MouserListTable12[[#This Row],[Extra Initial]]</f>
        <v>0</v>
      </c>
      <c r="G569" s="103" t="s">
        <v>1198</v>
      </c>
      <c r="H569" s="103" t="s">
        <v>1199</v>
      </c>
      <c r="I569" s="103" t="s">
        <v>1200</v>
      </c>
      <c r="J569" s="103">
        <v>1</v>
      </c>
      <c r="K569" s="171">
        <v>34.950000000000003</v>
      </c>
      <c r="L569" s="103" t="s">
        <v>1914</v>
      </c>
      <c r="M569" s="106"/>
      <c r="N569" s="171">
        <f>MouserListTable12[[#This Row],['# Initial]]*MouserListTable12[[#This Row],[Price (USD)]]</f>
        <v>0</v>
      </c>
      <c r="O569" s="106" t="s">
        <v>1197</v>
      </c>
      <c r="P569" s="103">
        <f t="shared" si="13"/>
        <v>550</v>
      </c>
      <c r="Q569" s="103">
        <f>IF($D569=$O569,1,0)</f>
        <v>1</v>
      </c>
      <c r="R569" s="103" t="s">
        <v>8</v>
      </c>
      <c r="S569" s="103" t="str">
        <f>_xlfn.IFS(MouserListTable12[[#This Row],[Supplier]]=FilterSpecs!$A$6, FilterSpecs!$B$6,MouserListTable12[[#This Row],[Supplier]]=FilterSpecs!$A$7,FilterSpecs!$B$7,MouserListTable12[[#This Row],[Supplier]]=FilterSpecs!$A$8,FilterSpecs!$B$8,MouserListTable12[[#This Row],[Supplier]]=FilterSpecs!$A$9,FilterSpecs!$B$9)</f>
        <v>474-</v>
      </c>
      <c r="T56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474-TOL-13086</v>
      </c>
      <c r="U569" s="121">
        <v>0</v>
      </c>
      <c r="V569" s="121">
        <v>0</v>
      </c>
      <c r="W569" s="121">
        <v>0</v>
      </c>
      <c r="X569" s="121">
        <f>MouserListTable12[[#This Row],['#/Unit]]*FilterSpecs!$C$3+MouserListTable12[[#This Row],[Extra]]</f>
        <v>0</v>
      </c>
      <c r="Y569" s="121">
        <f>IF(MouserListTable12[[#This Row],[Tag]]=FilterSpecs!$F$7,MouserListTable12[[#This Row],[Price (USD)]],0)</f>
        <v>0</v>
      </c>
      <c r="Z569" s="121">
        <f>MouserListTable12[[#This Row],[Tot '#]]*MouserListTable12[[#This Row],[Price (USD)]]</f>
        <v>0</v>
      </c>
    </row>
    <row r="570" spans="1:26" s="146" customFormat="1" hidden="1" x14ac:dyDescent="0.3">
      <c r="A570" s="128" t="s">
        <v>17</v>
      </c>
      <c r="B570" s="128" t="s">
        <v>1614</v>
      </c>
      <c r="C570" s="128" t="s">
        <v>1898</v>
      </c>
      <c r="D570" s="106" t="str">
        <f>IF(MouserListTable12[[#This Row],[Vendor]]=FilterSpecs!$A$8,MouserListTable12[[#This Row],[Mouser SKU]], MouserListTable12[[#This Row],[SKU2]])</f>
        <v>136</v>
      </c>
      <c r="E570" s="121">
        <f>MouserListTable12[[#This Row],[Tot '#]]-MouserListTable12[[#This Row],['# Initial]]</f>
        <v>0</v>
      </c>
      <c r="F570" s="121">
        <f>MouserListTable12[[#This Row],['#/Unit]]*FilterSpecs!$B$3+MouserListTable12[[#This Row],[Extra Initial]]</f>
        <v>0</v>
      </c>
      <c r="I570" s="128" t="s">
        <v>2464</v>
      </c>
      <c r="J570" s="155">
        <v>108</v>
      </c>
      <c r="K570" s="173">
        <v>100</v>
      </c>
      <c r="L570" s="126" t="s">
        <v>1910</v>
      </c>
      <c r="N570" s="171">
        <f>MouserListTable12[[#This Row],['# Initial]]*MouserListTable12[[#This Row],[Price (USD)]]</f>
        <v>0</v>
      </c>
      <c r="O570" s="155" t="s">
        <v>2465</v>
      </c>
      <c r="P570" s="103">
        <f t="shared" si="13"/>
        <v>551</v>
      </c>
      <c r="Q570" s="103">
        <f>IF($D570=$O570,1,0)</f>
        <v>1</v>
      </c>
      <c r="R570" s="103" t="s">
        <v>1898</v>
      </c>
      <c r="S570" s="103" t="str">
        <f>_xlfn.IFS(MouserListTable12[[#This Row],[Supplier]]=FilterSpecs!$A$6, FilterSpecs!$B$6,MouserListTable12[[#This Row],[Supplier]]=FilterSpecs!$A$7,FilterSpecs!$B$7,MouserListTable12[[#This Row],[Supplier]]=FilterSpecs!$A$8,FilterSpecs!$B$8,MouserListTable12[[#This Row],[Supplier]]=FilterSpecs!$A$9,FilterSpecs!$B$9)</f>
        <v>485-</v>
      </c>
      <c r="T57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485-136</v>
      </c>
      <c r="U570" s="121">
        <v>0</v>
      </c>
      <c r="V570" s="121">
        <v>0</v>
      </c>
      <c r="W570" s="121">
        <v>0</v>
      </c>
      <c r="X570" s="121">
        <f>MouserListTable12[[#This Row],['#/Unit]]*FilterSpecs!$C$3+MouserListTable12[[#This Row],[Extra]]</f>
        <v>0</v>
      </c>
      <c r="Y570" s="121">
        <f>IF(MouserListTable12[[#This Row],[Tag]]=FilterSpecs!$F$7,MouserListTable12[[#This Row],[Price (USD)]],0)</f>
        <v>0</v>
      </c>
      <c r="Z570" s="121">
        <f>MouserListTable12[[#This Row],[Tot '#]]*MouserListTable12[[#This Row],[Price (USD)]]</f>
        <v>0</v>
      </c>
    </row>
    <row r="571" spans="1:26" s="146" customFormat="1" hidden="1" x14ac:dyDescent="0.3">
      <c r="A571" s="126" t="s">
        <v>17</v>
      </c>
      <c r="B571" s="126" t="s">
        <v>1614</v>
      </c>
      <c r="C571" s="126" t="s">
        <v>8</v>
      </c>
      <c r="D571" s="106" t="str">
        <f>IF(MouserListTable12[[#This Row],[Vendor]]=FilterSpecs!$A$8,MouserListTable12[[#This Row],[Mouser SKU]], MouserListTable12[[#This Row],[SKU2]])</f>
        <v>TOL-14226</v>
      </c>
      <c r="E571" s="121">
        <f>MouserListTable12[[#This Row],[Tot '#]]-MouserListTable12[[#This Row],['# Initial]]</f>
        <v>0</v>
      </c>
      <c r="F571" s="121">
        <f>MouserListTable12[[#This Row],['#/Unit]]*FilterSpecs!$B$3+MouserListTable12[[#This Row],[Extra Initial]]</f>
        <v>0</v>
      </c>
      <c r="G571" s="103" t="s">
        <v>1643</v>
      </c>
      <c r="H571" s="103" t="s">
        <v>1644</v>
      </c>
      <c r="I571" s="103" t="s">
        <v>1645</v>
      </c>
      <c r="J571" s="103"/>
      <c r="K571" s="171">
        <v>59.95</v>
      </c>
      <c r="L571" s="103" t="s">
        <v>1914</v>
      </c>
      <c r="N571" s="171">
        <f>MouserListTable12[[#This Row],['# Initial]]*MouserListTable12[[#This Row],[Price (USD)]]</f>
        <v>0</v>
      </c>
      <c r="O571" s="106" t="s">
        <v>1642</v>
      </c>
      <c r="P571" s="103">
        <f t="shared" si="13"/>
        <v>552</v>
      </c>
      <c r="Q571" s="103">
        <f>IF($D571=$O571,1,0)</f>
        <v>1</v>
      </c>
      <c r="R571" s="103" t="s">
        <v>8</v>
      </c>
      <c r="S571" s="103" t="str">
        <f>_xlfn.IFS(MouserListTable12[[#This Row],[Supplier]]=FilterSpecs!$A$6, FilterSpecs!$B$6,MouserListTable12[[#This Row],[Supplier]]=FilterSpecs!$A$7,FilterSpecs!$B$7,MouserListTable12[[#This Row],[Supplier]]=FilterSpecs!$A$8,FilterSpecs!$B$8,MouserListTable12[[#This Row],[Supplier]]=FilterSpecs!$A$9,FilterSpecs!$B$9)</f>
        <v>474-</v>
      </c>
      <c r="T57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474-TOL-14226</v>
      </c>
      <c r="U571" s="121">
        <v>0</v>
      </c>
      <c r="V571" s="121">
        <v>0</v>
      </c>
      <c r="W571" s="121">
        <v>0</v>
      </c>
      <c r="X571" s="121">
        <f>MouserListTable12[[#This Row],['#/Unit]]*FilterSpecs!$C$3+MouserListTable12[[#This Row],[Extra]]</f>
        <v>0</v>
      </c>
      <c r="Y571" s="121">
        <f>IF(MouserListTable12[[#This Row],[Tag]]=FilterSpecs!$F$7,MouserListTable12[[#This Row],[Price (USD)]],0)</f>
        <v>0</v>
      </c>
      <c r="Z571" s="121">
        <f>MouserListTable12[[#This Row],[Tot '#]]*MouserListTable12[[#This Row],[Price (USD)]]</f>
        <v>0</v>
      </c>
    </row>
    <row r="572" spans="1:26" s="146" customFormat="1" hidden="1" x14ac:dyDescent="0.3">
      <c r="A572" s="103" t="s">
        <v>17</v>
      </c>
      <c r="B572" s="103" t="s">
        <v>1614</v>
      </c>
      <c r="C572" s="103" t="s">
        <v>8</v>
      </c>
      <c r="D572" s="106" t="str">
        <f>IF(MouserListTable12[[#This Row],[Vendor]]=FilterSpecs!$A$8,MouserListTable12[[#This Row],[Mouser SKU]], MouserListTable12[[#This Row],[SKU2]])</f>
        <v>TOL-13203</v>
      </c>
      <c r="E572" s="121">
        <f>MouserListTable12[[#This Row],[Tot '#]]-MouserListTable12[[#This Row],['# Initial]]</f>
        <v>0</v>
      </c>
      <c r="F572" s="121">
        <f>MouserListTable12[[#This Row],['#/Unit]]*FilterSpecs!$B$3+MouserListTable12[[#This Row],[Extra Initial]]</f>
        <v>0</v>
      </c>
      <c r="G572" s="103" t="s">
        <v>1651</v>
      </c>
      <c r="H572" s="103" t="s">
        <v>1652</v>
      </c>
      <c r="I572" s="103" t="s">
        <v>1653</v>
      </c>
      <c r="J572" s="103"/>
      <c r="K572" s="171">
        <v>4.95</v>
      </c>
      <c r="L572" s="103" t="s">
        <v>1914</v>
      </c>
      <c r="M572" s="106"/>
      <c r="N572" s="171">
        <f>MouserListTable12[[#This Row],['# Initial]]*MouserListTable12[[#This Row],[Price (USD)]]</f>
        <v>0</v>
      </c>
      <c r="O572" s="106" t="s">
        <v>1650</v>
      </c>
      <c r="P572" s="103">
        <f t="shared" si="13"/>
        <v>553</v>
      </c>
      <c r="Q572" s="103">
        <f>IF($D572=$O572,1,0)</f>
        <v>1</v>
      </c>
      <c r="R572" s="103" t="s">
        <v>8</v>
      </c>
      <c r="S572" s="103" t="str">
        <f>_xlfn.IFS(MouserListTable12[[#This Row],[Supplier]]=FilterSpecs!$A$6, FilterSpecs!$B$6,MouserListTable12[[#This Row],[Supplier]]=FilterSpecs!$A$7,FilterSpecs!$B$7,MouserListTable12[[#This Row],[Supplier]]=FilterSpecs!$A$8,FilterSpecs!$B$8,MouserListTable12[[#This Row],[Supplier]]=FilterSpecs!$A$9,FilterSpecs!$B$9)</f>
        <v>474-</v>
      </c>
      <c r="T57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474-TOL-13203</v>
      </c>
      <c r="U572" s="121">
        <v>0</v>
      </c>
      <c r="V572" s="121">
        <v>0</v>
      </c>
      <c r="W572" s="121">
        <v>0</v>
      </c>
      <c r="X572" s="121">
        <f>MouserListTable12[[#This Row],['#/Unit]]*FilterSpecs!$C$3+MouserListTable12[[#This Row],[Extra]]</f>
        <v>0</v>
      </c>
      <c r="Y572" s="121">
        <f>IF(MouserListTable12[[#This Row],[Tag]]=FilterSpecs!$F$7,MouserListTable12[[#This Row],[Price (USD)]],0)</f>
        <v>0</v>
      </c>
      <c r="Z572" s="121">
        <f>MouserListTable12[[#This Row],[Tot '#]]*MouserListTable12[[#This Row],[Price (USD)]]</f>
        <v>0</v>
      </c>
    </row>
    <row r="573" spans="1:26" s="146" customFormat="1" hidden="1" x14ac:dyDescent="0.3">
      <c r="A573" s="103" t="s">
        <v>17</v>
      </c>
      <c r="B573" s="103" t="s">
        <v>1614</v>
      </c>
      <c r="C573" s="103" t="s">
        <v>8</v>
      </c>
      <c r="D573" s="106" t="str">
        <f>IF(MouserListTable12[[#This Row],[Vendor]]=FilterSpecs!$A$8,MouserListTable12[[#This Row],[Mouser SKU]], MouserListTable12[[#This Row],[SKU2]])</f>
        <v>TOL-08964</v>
      </c>
      <c r="E573" s="121">
        <f>MouserListTable12[[#This Row],[Tot '#]]-MouserListTable12[[#This Row],['# Initial]]</f>
        <v>0</v>
      </c>
      <c r="F573" s="121">
        <f>MouserListTable12[[#This Row],['#/Unit]]*FilterSpecs!$B$3+MouserListTable12[[#This Row],[Extra Initial]]</f>
        <v>0</v>
      </c>
      <c r="G573" s="103" t="s">
        <v>1623</v>
      </c>
      <c r="H573" s="103" t="s">
        <v>1624</v>
      </c>
      <c r="I573" s="103" t="s">
        <v>1625</v>
      </c>
      <c r="J573" s="103">
        <v>1</v>
      </c>
      <c r="K573" s="171">
        <v>2.95</v>
      </c>
      <c r="L573" s="103" t="s">
        <v>1914</v>
      </c>
      <c r="M573" s="106"/>
      <c r="N573" s="171">
        <f>MouserListTable12[[#This Row],['# Initial]]*MouserListTable12[[#This Row],[Price (USD)]]</f>
        <v>0</v>
      </c>
      <c r="O573" s="106" t="s">
        <v>1622</v>
      </c>
      <c r="P573" s="103">
        <f t="shared" si="13"/>
        <v>554</v>
      </c>
      <c r="Q573" s="103">
        <f>IF($D573=$O573,1,0)</f>
        <v>1</v>
      </c>
      <c r="R573" s="103" t="s">
        <v>8</v>
      </c>
      <c r="S573" s="103" t="str">
        <f>_xlfn.IFS(MouserListTable12[[#This Row],[Supplier]]=FilterSpecs!$A$6, FilterSpecs!$B$6,MouserListTable12[[#This Row],[Supplier]]=FilterSpecs!$A$7,FilterSpecs!$B$7,MouserListTable12[[#This Row],[Supplier]]=FilterSpecs!$A$8,FilterSpecs!$B$8,MouserListTable12[[#This Row],[Supplier]]=FilterSpecs!$A$9,FilterSpecs!$B$9)</f>
        <v>474-</v>
      </c>
      <c r="T57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474-TOL-08964</v>
      </c>
      <c r="U573" s="121">
        <v>0</v>
      </c>
      <c r="V573" s="121">
        <v>0</v>
      </c>
      <c r="W573" s="121">
        <v>0</v>
      </c>
      <c r="X573" s="121">
        <f>MouserListTable12[[#This Row],['#/Unit]]*FilterSpecs!$C$3+MouserListTable12[[#This Row],[Extra]]</f>
        <v>0</v>
      </c>
      <c r="Y573" s="121">
        <f>IF(MouserListTable12[[#This Row],[Tag]]=FilterSpecs!$F$7,MouserListTable12[[#This Row],[Price (USD)]],0)</f>
        <v>0</v>
      </c>
      <c r="Z573" s="121">
        <f>MouserListTable12[[#This Row],[Tot '#]]*MouserListTable12[[#This Row],[Price (USD)]]</f>
        <v>0</v>
      </c>
    </row>
    <row r="574" spans="1:26" s="146" customFormat="1" x14ac:dyDescent="0.3">
      <c r="A574" s="103" t="s">
        <v>17</v>
      </c>
      <c r="B574" s="103" t="s">
        <v>1614</v>
      </c>
      <c r="C574" s="103" t="s">
        <v>8</v>
      </c>
      <c r="D574" s="106" t="str">
        <f>IF(MouserListTable12[[#This Row],[Vendor]]=FilterSpecs!$A$8,MouserListTable12[[#This Row],[Mouser SKU]], MouserListTable12[[#This Row],[SKU2]])</f>
        <v>TOL-12878</v>
      </c>
      <c r="E574" s="121">
        <f>MouserListTable12[[#This Row],[Tot '#]]-MouserListTable12[[#This Row],['# Initial]]</f>
        <v>0</v>
      </c>
      <c r="F574" s="121">
        <f>MouserListTable12[[#This Row],['#/Unit]]*FilterSpecs!$B$3+MouserListTable12[[#This Row],[Extra Initial]]</f>
        <v>1</v>
      </c>
      <c r="G574" s="103" t="s">
        <v>1442</v>
      </c>
      <c r="H574" s="103" t="s">
        <v>1443</v>
      </c>
      <c r="I574" s="103" t="s">
        <v>1444</v>
      </c>
      <c r="J574" s="103">
        <v>1</v>
      </c>
      <c r="K574" s="171">
        <v>16.95</v>
      </c>
      <c r="L574" s="103" t="s">
        <v>1914</v>
      </c>
      <c r="M574" s="106"/>
      <c r="N574" s="171">
        <f>MouserListTable12[[#This Row],['# Initial]]*MouserListTable12[[#This Row],[Price (USD)]]</f>
        <v>16.95</v>
      </c>
      <c r="O574" s="106" t="s">
        <v>1441</v>
      </c>
      <c r="P574" s="103">
        <f t="shared" si="13"/>
        <v>555</v>
      </c>
      <c r="Q574" s="103">
        <f>IF($D574=$O574,1,0)</f>
        <v>1</v>
      </c>
      <c r="R574" s="103" t="s">
        <v>8</v>
      </c>
      <c r="S574" s="103" t="str">
        <f>_xlfn.IFS(MouserListTable12[[#This Row],[Supplier]]=FilterSpecs!$A$6, FilterSpecs!$B$6,MouserListTable12[[#This Row],[Supplier]]=FilterSpecs!$A$7,FilterSpecs!$B$7,MouserListTable12[[#This Row],[Supplier]]=FilterSpecs!$A$8,FilterSpecs!$B$8,MouserListTable12[[#This Row],[Supplier]]=FilterSpecs!$A$9,FilterSpecs!$B$9)</f>
        <v>474-</v>
      </c>
      <c r="T57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474-TOL-12878</v>
      </c>
      <c r="U574" s="121">
        <v>0</v>
      </c>
      <c r="V574" s="121">
        <v>1</v>
      </c>
      <c r="W574" s="121">
        <v>1</v>
      </c>
      <c r="X574" s="121">
        <f>MouserListTable12[[#This Row],['#/Unit]]*FilterSpecs!$C$3+MouserListTable12[[#This Row],[Extra]]</f>
        <v>1</v>
      </c>
      <c r="Y574" s="121">
        <f>IF(MouserListTable12[[#This Row],[Tag]]=FilterSpecs!$F$7,MouserListTable12[[#This Row],[Price (USD)]],0)</f>
        <v>0</v>
      </c>
      <c r="Z574" s="121">
        <f>MouserListTable12[[#This Row],[Tot '#]]*MouserListTable12[[#This Row],[Price (USD)]]</f>
        <v>16.95</v>
      </c>
    </row>
    <row r="575" spans="1:26" s="146" customFormat="1" hidden="1" x14ac:dyDescent="0.3">
      <c r="A575" s="103" t="s">
        <v>17</v>
      </c>
      <c r="B575" s="103" t="s">
        <v>1614</v>
      </c>
      <c r="C575" s="103" t="s">
        <v>8</v>
      </c>
      <c r="D575" s="106" t="str">
        <f>IF(MouserListTable12[[#This Row],[Vendor]]=FilterSpecs!$A$8,MouserListTable12[[#This Row],[Mouser SKU]], MouserListTable12[[#This Row],[SKU2]])</f>
        <v>TOL-10706</v>
      </c>
      <c r="E575" s="121">
        <f>MouserListTable12[[#This Row],[Tot '#]]-MouserListTable12[[#This Row],['# Initial]]</f>
        <v>0</v>
      </c>
      <c r="F575" s="121">
        <f>MouserListTable12[[#This Row],['#/Unit]]*FilterSpecs!$B$3+MouserListTable12[[#This Row],[Extra Initial]]</f>
        <v>0</v>
      </c>
      <c r="G575" s="103" t="s">
        <v>858</v>
      </c>
      <c r="H575" s="103" t="s">
        <v>859</v>
      </c>
      <c r="I575" s="103" t="s">
        <v>860</v>
      </c>
      <c r="J575" s="103"/>
      <c r="K575" s="171">
        <v>114.95</v>
      </c>
      <c r="L575" s="103" t="s">
        <v>1914</v>
      </c>
      <c r="M575" s="103"/>
      <c r="N575" s="171">
        <f>MouserListTable12[[#This Row],['# Initial]]*MouserListTable12[[#This Row],[Price (USD)]]</f>
        <v>0</v>
      </c>
      <c r="O575" s="106" t="s">
        <v>857</v>
      </c>
      <c r="P575" s="103">
        <f t="shared" si="13"/>
        <v>556</v>
      </c>
      <c r="Q575" s="103">
        <f>IF($D575=$O575,1,0)</f>
        <v>1</v>
      </c>
      <c r="R575" s="103" t="s">
        <v>8</v>
      </c>
      <c r="S575" s="103" t="str">
        <f>_xlfn.IFS(MouserListTable12[[#This Row],[Supplier]]=FilterSpecs!$A$6, FilterSpecs!$B$6,MouserListTable12[[#This Row],[Supplier]]=FilterSpecs!$A$7,FilterSpecs!$B$7,MouserListTable12[[#This Row],[Supplier]]=FilterSpecs!$A$8,FilterSpecs!$B$8,MouserListTable12[[#This Row],[Supplier]]=FilterSpecs!$A$9,FilterSpecs!$B$9)</f>
        <v>474-</v>
      </c>
      <c r="T57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474-TOL-10706</v>
      </c>
      <c r="U575" s="121">
        <v>0</v>
      </c>
      <c r="V575" s="121">
        <v>0</v>
      </c>
      <c r="W575" s="121">
        <v>0</v>
      </c>
      <c r="X575" s="121">
        <f>MouserListTable12[[#This Row],['#/Unit]]*FilterSpecs!$C$3+MouserListTable12[[#This Row],[Extra]]</f>
        <v>0</v>
      </c>
      <c r="Y575" s="121">
        <f>IF(MouserListTable12[[#This Row],[Tag]]=FilterSpecs!$F$7,MouserListTable12[[#This Row],[Price (USD)]],0)</f>
        <v>0</v>
      </c>
      <c r="Z575" s="121">
        <f>MouserListTable12[[#This Row],[Tot '#]]*MouserListTable12[[#This Row],[Price (USD)]]</f>
        <v>0</v>
      </c>
    </row>
    <row r="576" spans="1:26" s="146" customFormat="1" hidden="1" x14ac:dyDescent="0.3">
      <c r="A576" s="103" t="s">
        <v>17</v>
      </c>
      <c r="B576" s="103" t="s">
        <v>1614</v>
      </c>
      <c r="C576" s="103" t="s">
        <v>1898</v>
      </c>
      <c r="D576" s="106" t="str">
        <f>IF(MouserListTable12[[#This Row],[Vendor]]=FilterSpecs!$A$8,MouserListTable12[[#This Row],[Mouser SKU]], MouserListTable12[[#This Row],[SKU2]])</f>
        <v>1869</v>
      </c>
      <c r="E576" s="121">
        <f>MouserListTable12[[#This Row],[Tot '#]]-MouserListTable12[[#This Row],['# Initial]]</f>
        <v>0</v>
      </c>
      <c r="F576" s="121">
        <f>MouserListTable12[[#This Row],['#/Unit]]*FilterSpecs!$B$3+MouserListTable12[[#This Row],[Extra Initial]]</f>
        <v>0</v>
      </c>
      <c r="G576" s="103"/>
      <c r="H576" s="103"/>
      <c r="I576" s="126" t="s">
        <v>2393</v>
      </c>
      <c r="K576" s="172">
        <v>97.5</v>
      </c>
      <c r="L576" s="126" t="s">
        <v>1913</v>
      </c>
      <c r="N576" s="171">
        <f>MouserListTable12[[#This Row],['# Initial]]*MouserListTable12[[#This Row],[Price (USD)]]</f>
        <v>0</v>
      </c>
      <c r="O576" s="106" t="s">
        <v>2392</v>
      </c>
      <c r="P576" s="103">
        <f t="shared" si="13"/>
        <v>557</v>
      </c>
      <c r="Q576" s="103">
        <f>IF($D576=$O576,1,0)</f>
        <v>1</v>
      </c>
      <c r="R576" s="103" t="s">
        <v>1898</v>
      </c>
      <c r="S576" s="103" t="str">
        <f>_xlfn.IFS(MouserListTable12[[#This Row],[Supplier]]=FilterSpecs!$A$6, FilterSpecs!$B$6,MouserListTable12[[#This Row],[Supplier]]=FilterSpecs!$A$7,FilterSpecs!$B$7,MouserListTable12[[#This Row],[Supplier]]=FilterSpecs!$A$8,FilterSpecs!$B$8,MouserListTable12[[#This Row],[Supplier]]=FilterSpecs!$A$9,FilterSpecs!$B$9)</f>
        <v>485-</v>
      </c>
      <c r="T57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485-1869</v>
      </c>
      <c r="U576" s="121">
        <v>0</v>
      </c>
      <c r="V576" s="121">
        <v>0</v>
      </c>
      <c r="W576" s="121">
        <v>0</v>
      </c>
      <c r="X576" s="121">
        <f>MouserListTable12[[#This Row],['#/Unit]]*FilterSpecs!$C$3+MouserListTable12[[#This Row],[Extra]]</f>
        <v>0</v>
      </c>
      <c r="Y576" s="121">
        <f>IF(MouserListTable12[[#This Row],[Tag]]=FilterSpecs!$F$7,MouserListTable12[[#This Row],[Price (USD)]],0)</f>
        <v>0</v>
      </c>
      <c r="Z576" s="121">
        <f>MouserListTable12[[#This Row],[Tot '#]]*MouserListTable12[[#This Row],[Price (USD)]]</f>
        <v>0</v>
      </c>
    </row>
    <row r="577" spans="1:26" s="146" customFormat="1" hidden="1" x14ac:dyDescent="0.3">
      <c r="A577" s="103" t="s">
        <v>17</v>
      </c>
      <c r="B577" s="103" t="s">
        <v>1614</v>
      </c>
      <c r="C577" s="103" t="s">
        <v>8</v>
      </c>
      <c r="D577" s="106" t="str">
        <f>IF(MouserListTable12[[#This Row],[Vendor]]=FilterSpecs!$A$8,MouserListTable12[[#This Row],[Mouser SKU]], MouserListTable12[[#This Row],[SKU2]])</f>
        <v>TOL-07925</v>
      </c>
      <c r="E577" s="121">
        <f>MouserListTable12[[#This Row],[Tot '#]]-MouserListTable12[[#This Row],['# Initial]]</f>
        <v>0</v>
      </c>
      <c r="F577" s="121">
        <f>MouserListTable12[[#This Row],['#/Unit]]*FilterSpecs!$B$3+MouserListTable12[[#This Row],[Extra Initial]]</f>
        <v>0</v>
      </c>
      <c r="G577" s="103" t="s">
        <v>1639</v>
      </c>
      <c r="H577" s="103" t="s">
        <v>1640</v>
      </c>
      <c r="I577" s="103" t="s">
        <v>1641</v>
      </c>
      <c r="J577" s="103"/>
      <c r="K577" s="171">
        <v>14.95</v>
      </c>
      <c r="L577" s="103" t="s">
        <v>1914</v>
      </c>
      <c r="M577" s="106"/>
      <c r="N577" s="171">
        <f>MouserListTable12[[#This Row],['# Initial]]*MouserListTable12[[#This Row],[Price (USD)]]</f>
        <v>0</v>
      </c>
      <c r="O577" s="106" t="s">
        <v>1638</v>
      </c>
      <c r="P577" s="103">
        <f t="shared" si="13"/>
        <v>558</v>
      </c>
      <c r="Q577" s="103">
        <f>IF($D577=$O577,1,0)</f>
        <v>1</v>
      </c>
      <c r="R577" s="103" t="s">
        <v>8</v>
      </c>
      <c r="S577" s="103" t="str">
        <f>_xlfn.IFS(MouserListTable12[[#This Row],[Supplier]]=FilterSpecs!$A$6, FilterSpecs!$B$6,MouserListTable12[[#This Row],[Supplier]]=FilterSpecs!$A$7,FilterSpecs!$B$7,MouserListTable12[[#This Row],[Supplier]]=FilterSpecs!$A$8,FilterSpecs!$B$8,MouserListTable12[[#This Row],[Supplier]]=FilterSpecs!$A$9,FilterSpecs!$B$9)</f>
        <v>474-</v>
      </c>
      <c r="T57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474-TOL-07925</v>
      </c>
      <c r="U577" s="121">
        <v>0</v>
      </c>
      <c r="V577" s="121">
        <v>0</v>
      </c>
      <c r="W577" s="121">
        <v>0</v>
      </c>
      <c r="X577" s="121">
        <f>MouserListTable12[[#This Row],['#/Unit]]*FilterSpecs!$C$3+MouserListTable12[[#This Row],[Extra]]</f>
        <v>0</v>
      </c>
      <c r="Y577" s="121">
        <f>IF(MouserListTable12[[#This Row],[Tag]]=FilterSpecs!$F$7,MouserListTable12[[#This Row],[Price (USD)]],0)</f>
        <v>0</v>
      </c>
      <c r="Z577" s="121">
        <f>MouserListTable12[[#This Row],[Tot '#]]*MouserListTable12[[#This Row],[Price (USD)]]</f>
        <v>0</v>
      </c>
    </row>
    <row r="578" spans="1:26" s="146" customFormat="1" hidden="1" x14ac:dyDescent="0.3">
      <c r="A578" s="126" t="s">
        <v>17</v>
      </c>
      <c r="B578" s="126" t="s">
        <v>1614</v>
      </c>
      <c r="C578" s="126" t="s">
        <v>8</v>
      </c>
      <c r="D578" s="106" t="str">
        <f>IF(MouserListTable12[[#This Row],[Vendor]]=FilterSpecs!$A$8,MouserListTable12[[#This Row],[Mouser SKU]], MouserListTable12[[#This Row],[SKU2]])</f>
        <v>TOL-10326</v>
      </c>
      <c r="E578" s="121">
        <f>MouserListTable12[[#This Row],[Tot '#]]-MouserListTable12[[#This Row],['# Initial]]</f>
        <v>0</v>
      </c>
      <c r="F578" s="121">
        <f>MouserListTable12[[#This Row],['#/Unit]]*FilterSpecs!$B$3+MouserListTable12[[#This Row],[Extra Initial]]</f>
        <v>0</v>
      </c>
      <c r="G578" s="103" t="s">
        <v>850</v>
      </c>
      <c r="H578" s="103" t="s">
        <v>851</v>
      </c>
      <c r="I578" s="103" t="s">
        <v>852</v>
      </c>
      <c r="J578" s="103">
        <v>1</v>
      </c>
      <c r="K578" s="171">
        <v>13.95</v>
      </c>
      <c r="L578" s="103" t="s">
        <v>1914</v>
      </c>
      <c r="M578" s="146" t="s">
        <v>1308</v>
      </c>
      <c r="N578" s="171">
        <f>MouserListTable12[[#This Row],['# Initial]]*MouserListTable12[[#This Row],[Price (USD)]]</f>
        <v>0</v>
      </c>
      <c r="O578" s="106" t="s">
        <v>849</v>
      </c>
      <c r="P578" s="103">
        <f t="shared" si="13"/>
        <v>559</v>
      </c>
      <c r="Q578" s="103">
        <f>IF($D578=$O578,1,0)</f>
        <v>1</v>
      </c>
      <c r="R578" s="103" t="s">
        <v>8</v>
      </c>
      <c r="S578" s="103" t="str">
        <f>_xlfn.IFS(MouserListTable12[[#This Row],[Supplier]]=FilterSpecs!$A$6, FilterSpecs!$B$6,MouserListTable12[[#This Row],[Supplier]]=FilterSpecs!$A$7,FilterSpecs!$B$7,MouserListTable12[[#This Row],[Supplier]]=FilterSpecs!$A$8,FilterSpecs!$B$8,MouserListTable12[[#This Row],[Supplier]]=FilterSpecs!$A$9,FilterSpecs!$B$9)</f>
        <v>474-</v>
      </c>
      <c r="T57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474-TOL-10326</v>
      </c>
      <c r="U578" s="121">
        <v>0</v>
      </c>
      <c r="V578" s="121">
        <v>0</v>
      </c>
      <c r="W578" s="121">
        <v>0</v>
      </c>
      <c r="X578" s="121">
        <f>MouserListTable12[[#This Row],['#/Unit]]*FilterSpecs!$C$3+MouserListTable12[[#This Row],[Extra]]</f>
        <v>0</v>
      </c>
      <c r="Y578" s="121">
        <f>IF(MouserListTable12[[#This Row],[Tag]]=FilterSpecs!$F$7,MouserListTable12[[#This Row],[Price (USD)]],0)</f>
        <v>0</v>
      </c>
      <c r="Z578" s="121">
        <f>MouserListTable12[[#This Row],[Tot '#]]*MouserListTable12[[#This Row],[Price (USD)]]</f>
        <v>0</v>
      </c>
    </row>
    <row r="579" spans="1:26" s="146" customFormat="1" hidden="1" x14ac:dyDescent="0.3">
      <c r="A579" s="103" t="s">
        <v>17</v>
      </c>
      <c r="B579" s="103" t="s">
        <v>1614</v>
      </c>
      <c r="C579" s="103" t="s">
        <v>1898</v>
      </c>
      <c r="D579" s="106" t="str">
        <f>IF(MouserListTable12[[#This Row],[Vendor]]=FilterSpecs!$A$8,MouserListTable12[[#This Row],[Mouser SKU]], MouserListTable12[[#This Row],[SKU2]])</f>
        <v>3536</v>
      </c>
      <c r="E579" s="121">
        <f>MouserListTable12[[#This Row],[Tot '#]]-MouserListTable12[[#This Row],['# Initial]]</f>
        <v>0</v>
      </c>
      <c r="F579" s="121">
        <f>MouserListTable12[[#This Row],['#/Unit]]*FilterSpecs!$B$3+MouserListTable12[[#This Row],[Extra Initial]]</f>
        <v>0</v>
      </c>
      <c r="G579" s="103"/>
      <c r="H579" s="103"/>
      <c r="I579" s="126" t="s">
        <v>2397</v>
      </c>
      <c r="K579" s="172">
        <v>9.9499999999999993</v>
      </c>
      <c r="L579" s="126" t="s">
        <v>1910</v>
      </c>
      <c r="N579" s="171">
        <f>MouserListTable12[[#This Row],['# Initial]]*MouserListTable12[[#This Row],[Price (USD)]]</f>
        <v>0</v>
      </c>
      <c r="O579" s="106" t="s">
        <v>2396</v>
      </c>
      <c r="P579" s="103">
        <f t="shared" si="13"/>
        <v>560</v>
      </c>
      <c r="Q579" s="103">
        <f>IF($D579=$O579,1,0)</f>
        <v>1</v>
      </c>
      <c r="R579" s="103" t="s">
        <v>1898</v>
      </c>
      <c r="S579" s="103" t="str">
        <f>_xlfn.IFS(MouserListTable12[[#This Row],[Supplier]]=FilterSpecs!$A$6, FilterSpecs!$B$6,MouserListTable12[[#This Row],[Supplier]]=FilterSpecs!$A$7,FilterSpecs!$B$7,MouserListTable12[[#This Row],[Supplier]]=FilterSpecs!$A$8,FilterSpecs!$B$8,MouserListTable12[[#This Row],[Supplier]]=FilterSpecs!$A$9,FilterSpecs!$B$9)</f>
        <v>485-</v>
      </c>
      <c r="T57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485-3536</v>
      </c>
      <c r="U579" s="121">
        <v>0</v>
      </c>
      <c r="V579" s="121">
        <v>0</v>
      </c>
      <c r="W579" s="121">
        <v>0</v>
      </c>
      <c r="X579" s="121">
        <f>MouserListTable12[[#This Row],['#/Unit]]*FilterSpecs!$C$3+MouserListTable12[[#This Row],[Extra]]</f>
        <v>0</v>
      </c>
      <c r="Y579" s="121">
        <f>IF(MouserListTable12[[#This Row],[Tag]]=FilterSpecs!$F$7,MouserListTable12[[#This Row],[Price (USD)]],0)</f>
        <v>0</v>
      </c>
      <c r="Z579" s="121">
        <f>MouserListTable12[[#This Row],[Tot '#]]*MouserListTable12[[#This Row],[Price (USD)]]</f>
        <v>0</v>
      </c>
    </row>
    <row r="580" spans="1:26" s="146" customFormat="1" x14ac:dyDescent="0.3">
      <c r="A580" s="126" t="s">
        <v>17</v>
      </c>
      <c r="B580" s="126" t="s">
        <v>1615</v>
      </c>
      <c r="C580" s="126" t="s">
        <v>8</v>
      </c>
      <c r="D580" s="106" t="str">
        <f>IF(MouserListTable12[[#This Row],[Vendor]]=FilterSpecs!$A$8,MouserListTable12[[#This Row],[Mouser SKU]], MouserListTable12[[#This Row],[SKU2]])</f>
        <v>TOL-10410</v>
      </c>
      <c r="E580" s="121">
        <f>MouserListTable12[[#This Row],[Tot '#]]-MouserListTable12[[#This Row],['# Initial]]</f>
        <v>0</v>
      </c>
      <c r="F580" s="121">
        <f>MouserListTable12[[#This Row],['#/Unit]]*FilterSpecs!$B$3+MouserListTable12[[#This Row],[Extra Initial]]</f>
        <v>1</v>
      </c>
      <c r="G580" s="103" t="s">
        <v>882</v>
      </c>
      <c r="H580" s="103" t="s">
        <v>883</v>
      </c>
      <c r="I580" s="103" t="s">
        <v>884</v>
      </c>
      <c r="J580" s="103"/>
      <c r="K580" s="171">
        <v>32.950000000000003</v>
      </c>
      <c r="L580" s="103" t="s">
        <v>1914</v>
      </c>
      <c r="N580" s="171">
        <f>MouserListTable12[[#This Row],['# Initial]]*MouserListTable12[[#This Row],[Price (USD)]]</f>
        <v>32.950000000000003</v>
      </c>
      <c r="O580" s="106" t="s">
        <v>881</v>
      </c>
      <c r="P580" s="103">
        <f t="shared" si="13"/>
        <v>561</v>
      </c>
      <c r="Q580" s="103">
        <f>IF($D580=$O580,1,0)</f>
        <v>1</v>
      </c>
      <c r="R580" s="103" t="s">
        <v>8</v>
      </c>
      <c r="S580" s="103" t="str">
        <f>_xlfn.IFS(MouserListTable12[[#This Row],[Supplier]]=FilterSpecs!$A$6, FilterSpecs!$B$6,MouserListTable12[[#This Row],[Supplier]]=FilterSpecs!$A$7,FilterSpecs!$B$7,MouserListTable12[[#This Row],[Supplier]]=FilterSpecs!$A$8,FilterSpecs!$B$8,MouserListTable12[[#This Row],[Supplier]]=FilterSpecs!$A$9,FilterSpecs!$B$9)</f>
        <v>474-</v>
      </c>
      <c r="T58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474-TOL-10410</v>
      </c>
      <c r="U580" s="121">
        <v>0</v>
      </c>
      <c r="V580" s="121">
        <v>1</v>
      </c>
      <c r="W580" s="121">
        <v>1</v>
      </c>
      <c r="X580" s="121">
        <f>MouserListTable12[[#This Row],['#/Unit]]*FilterSpecs!$C$3+MouserListTable12[[#This Row],[Extra]]</f>
        <v>1</v>
      </c>
      <c r="Y580" s="121">
        <f>IF(MouserListTable12[[#This Row],[Tag]]=FilterSpecs!$F$7,MouserListTable12[[#This Row],[Price (USD)]],0)</f>
        <v>0</v>
      </c>
      <c r="Z580" s="121">
        <f>MouserListTable12[[#This Row],[Tot '#]]*MouserListTable12[[#This Row],[Price (USD)]]</f>
        <v>32.950000000000003</v>
      </c>
    </row>
    <row r="581" spans="1:26" s="146" customFormat="1" hidden="1" x14ac:dyDescent="0.3">
      <c r="A581" s="126" t="s">
        <v>17</v>
      </c>
      <c r="B581" s="126" t="s">
        <v>1615</v>
      </c>
      <c r="C581" s="126" t="s">
        <v>8</v>
      </c>
      <c r="D581" s="106" t="str">
        <f>IF(MouserListTable12[[#This Row],[Vendor]]=FilterSpecs!$A$8,MouserListTable12[[#This Row],[Mouser SKU]], MouserListTable12[[#This Row],[SKU2]])</f>
        <v>TOL-11784</v>
      </c>
      <c r="E581" s="121">
        <f>MouserListTable12[[#This Row],[Tot '#]]-MouserListTable12[[#This Row],['# Initial]]</f>
        <v>0</v>
      </c>
      <c r="F581" s="121">
        <f>MouserListTable12[[#This Row],['#/Unit]]*FilterSpecs!$B$3+MouserListTable12[[#This Row],[Extra Initial]]</f>
        <v>0</v>
      </c>
      <c r="G581" s="103" t="s">
        <v>1145</v>
      </c>
      <c r="H581" s="103" t="s">
        <v>1146</v>
      </c>
      <c r="I581" s="103" t="s">
        <v>1147</v>
      </c>
      <c r="J581" s="103">
        <v>1</v>
      </c>
      <c r="K581" s="171">
        <v>29.95</v>
      </c>
      <c r="L581" s="103" t="s">
        <v>1914</v>
      </c>
      <c r="N581" s="171">
        <f>MouserListTable12[[#This Row],['# Initial]]*MouserListTable12[[#This Row],[Price (USD)]]</f>
        <v>0</v>
      </c>
      <c r="O581" s="106" t="s">
        <v>1144</v>
      </c>
      <c r="P581" s="103">
        <f t="shared" si="13"/>
        <v>562</v>
      </c>
      <c r="Q581" s="103">
        <f>IF($D581=$O581,1,0)</f>
        <v>1</v>
      </c>
      <c r="R581" s="103" t="s">
        <v>8</v>
      </c>
      <c r="S581" s="103" t="str">
        <f>_xlfn.IFS(MouserListTable12[[#This Row],[Supplier]]=FilterSpecs!$A$6, FilterSpecs!$B$6,MouserListTable12[[#This Row],[Supplier]]=FilterSpecs!$A$7,FilterSpecs!$B$7,MouserListTable12[[#This Row],[Supplier]]=FilterSpecs!$A$8,FilterSpecs!$B$8,MouserListTable12[[#This Row],[Supplier]]=FilterSpecs!$A$9,FilterSpecs!$B$9)</f>
        <v>474-</v>
      </c>
      <c r="T58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474-TOL-11784</v>
      </c>
      <c r="U581" s="121">
        <v>0</v>
      </c>
      <c r="V581" s="121">
        <v>0</v>
      </c>
      <c r="W581" s="121">
        <v>0</v>
      </c>
      <c r="X581" s="121">
        <f>MouserListTable12[[#This Row],['#/Unit]]*FilterSpecs!$C$3+MouserListTable12[[#This Row],[Extra]]</f>
        <v>0</v>
      </c>
      <c r="Y581" s="121">
        <f>IF(MouserListTable12[[#This Row],[Tag]]=FilterSpecs!$F$7,MouserListTable12[[#This Row],[Price (USD)]],0)</f>
        <v>0</v>
      </c>
      <c r="Z581" s="121">
        <f>MouserListTable12[[#This Row],[Tot '#]]*MouserListTable12[[#This Row],[Price (USD)]]</f>
        <v>0</v>
      </c>
    </row>
    <row r="582" spans="1:26" s="146" customFormat="1" hidden="1" x14ac:dyDescent="0.3">
      <c r="A582" s="126" t="s">
        <v>17</v>
      </c>
      <c r="B582" s="126" t="s">
        <v>1615</v>
      </c>
      <c r="C582" s="126" t="s">
        <v>8</v>
      </c>
      <c r="D582" s="106" t="str">
        <f>IF(MouserListTable12[[#This Row],[Vendor]]=FilterSpecs!$A$8,MouserListTable12[[#This Row],[Mouser SKU]], MouserListTable12[[#This Row],[SKU2]])</f>
        <v>TOL-09317</v>
      </c>
      <c r="E582" s="121">
        <f>MouserListTable12[[#This Row],[Tot '#]]-MouserListTable12[[#This Row],['# Initial]]</f>
        <v>0</v>
      </c>
      <c r="F582" s="121">
        <f>MouserListTable12[[#This Row],['#/Unit]]*FilterSpecs!$B$3+MouserListTable12[[#This Row],[Extra Initial]]</f>
        <v>0</v>
      </c>
      <c r="G582" s="103" t="s">
        <v>854</v>
      </c>
      <c r="H582" s="103" t="s">
        <v>855</v>
      </c>
      <c r="I582" s="103" t="s">
        <v>856</v>
      </c>
      <c r="J582" s="103">
        <v>1</v>
      </c>
      <c r="K582" s="171">
        <v>9.9499999999999993</v>
      </c>
      <c r="L582" s="103" t="s">
        <v>1914</v>
      </c>
      <c r="N582" s="171">
        <f>MouserListTable12[[#This Row],['# Initial]]*MouserListTable12[[#This Row],[Price (USD)]]</f>
        <v>0</v>
      </c>
      <c r="O582" s="106" t="s">
        <v>853</v>
      </c>
      <c r="P582" s="103">
        <f t="shared" si="13"/>
        <v>563</v>
      </c>
      <c r="Q582" s="103">
        <f>IF($D582=$O582,1,0)</f>
        <v>1</v>
      </c>
      <c r="R582" s="103" t="s">
        <v>8</v>
      </c>
      <c r="S582" s="103" t="str">
        <f>_xlfn.IFS(MouserListTable12[[#This Row],[Supplier]]=FilterSpecs!$A$6, FilterSpecs!$B$6,MouserListTable12[[#This Row],[Supplier]]=FilterSpecs!$A$7,FilterSpecs!$B$7,MouserListTable12[[#This Row],[Supplier]]=FilterSpecs!$A$8,FilterSpecs!$B$8,MouserListTable12[[#This Row],[Supplier]]=FilterSpecs!$A$9,FilterSpecs!$B$9)</f>
        <v>474-</v>
      </c>
      <c r="T58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474-TOL-09317</v>
      </c>
      <c r="U582" s="121">
        <v>0</v>
      </c>
      <c r="V582" s="121">
        <v>0</v>
      </c>
      <c r="W582" s="121">
        <v>0</v>
      </c>
      <c r="X582" s="121">
        <f>MouserListTable12[[#This Row],['#/Unit]]*FilterSpecs!$C$3+MouserListTable12[[#This Row],[Extra]]</f>
        <v>0</v>
      </c>
      <c r="Y582" s="121">
        <f>IF(MouserListTable12[[#This Row],[Tag]]=FilterSpecs!$F$7,MouserListTable12[[#This Row],[Price (USD)]],0)</f>
        <v>0</v>
      </c>
      <c r="Z582" s="121">
        <f>MouserListTable12[[#This Row],[Tot '#]]*MouserListTable12[[#This Row],[Price (USD)]]</f>
        <v>0</v>
      </c>
    </row>
    <row r="583" spans="1:26" s="146" customFormat="1" x14ac:dyDescent="0.3">
      <c r="A583" s="103" t="s">
        <v>17</v>
      </c>
      <c r="B583" s="103" t="s">
        <v>1615</v>
      </c>
      <c r="C583" s="103" t="s">
        <v>1898</v>
      </c>
      <c r="D583" s="106" t="str">
        <f>IF(MouserListTable12[[#This Row],[Vendor]]=FilterSpecs!$A$8,MouserListTable12[[#This Row],[Mouser SKU]], MouserListTable12[[#This Row],[SKU2]])</f>
        <v>3019</v>
      </c>
      <c r="E583" s="121">
        <f>MouserListTable12[[#This Row],[Tot '#]]-MouserListTable12[[#This Row],['# Initial]]</f>
        <v>0</v>
      </c>
      <c r="F583" s="121">
        <f>MouserListTable12[[#This Row],['#/Unit]]*FilterSpecs!$B$3+MouserListTable12[[#This Row],[Extra Initial]]</f>
        <v>1</v>
      </c>
      <c r="G583" s="103"/>
      <c r="H583" s="103"/>
      <c r="I583" s="103" t="s">
        <v>2395</v>
      </c>
      <c r="K583" s="171">
        <v>54.95</v>
      </c>
      <c r="L583" s="103" t="s">
        <v>1914</v>
      </c>
      <c r="M583" s="106"/>
      <c r="N583" s="171">
        <f>MouserListTable12[[#This Row],['# Initial]]*MouserListTable12[[#This Row],[Price (USD)]]</f>
        <v>54.95</v>
      </c>
      <c r="O583" s="106" t="s">
        <v>2394</v>
      </c>
      <c r="P583" s="103">
        <f t="shared" si="13"/>
        <v>564</v>
      </c>
      <c r="Q583" s="103">
        <f>IF($D583=$O583,1,0)</f>
        <v>1</v>
      </c>
      <c r="R583" s="103" t="s">
        <v>1898</v>
      </c>
      <c r="S583" s="103" t="str">
        <f>_xlfn.IFS(MouserListTable12[[#This Row],[Supplier]]=FilterSpecs!$A$6, FilterSpecs!$B$6,MouserListTable12[[#This Row],[Supplier]]=FilterSpecs!$A$7,FilterSpecs!$B$7,MouserListTable12[[#This Row],[Supplier]]=FilterSpecs!$A$8,FilterSpecs!$B$8,MouserListTable12[[#This Row],[Supplier]]=FilterSpecs!$A$9,FilterSpecs!$B$9)</f>
        <v>485-</v>
      </c>
      <c r="T58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485-3019</v>
      </c>
      <c r="U583" s="121">
        <v>0</v>
      </c>
      <c r="V583" s="121">
        <v>1</v>
      </c>
      <c r="W583" s="121">
        <v>1</v>
      </c>
      <c r="X583" s="121">
        <f>MouserListTable12[[#This Row],['#/Unit]]*FilterSpecs!$C$3+MouserListTable12[[#This Row],[Extra]]</f>
        <v>1</v>
      </c>
      <c r="Y583" s="121">
        <f>IF(MouserListTable12[[#This Row],[Tag]]=FilterSpecs!$F$7,MouserListTable12[[#This Row],[Price (USD)]],0)</f>
        <v>0</v>
      </c>
      <c r="Z583" s="121">
        <f>MouserListTable12[[#This Row],[Tot '#]]*MouserListTable12[[#This Row],[Price (USD)]]</f>
        <v>54.95</v>
      </c>
    </row>
    <row r="584" spans="1:26" s="146" customFormat="1" x14ac:dyDescent="0.3">
      <c r="A584" s="103" t="s">
        <v>17</v>
      </c>
      <c r="B584" s="103" t="s">
        <v>1615</v>
      </c>
      <c r="C584" s="103" t="s">
        <v>8</v>
      </c>
      <c r="D584" s="106" t="str">
        <f>IF(MouserListTable12[[#This Row],[Vendor]]=FilterSpecs!$A$8,MouserListTable12[[#This Row],[Mouser SKU]], MouserListTable12[[#This Row],[SKU2]])</f>
        <v>TOL-09316</v>
      </c>
      <c r="E584" s="121">
        <f>MouserListTable12[[#This Row],[Tot '#]]-MouserListTable12[[#This Row],['# Initial]]</f>
        <v>0</v>
      </c>
      <c r="F584" s="121">
        <f>MouserListTable12[[#This Row],['#/Unit]]*FilterSpecs!$B$3+MouserListTable12[[#This Row],[Extra Initial]]</f>
        <v>1</v>
      </c>
      <c r="G584" s="103" t="s">
        <v>874</v>
      </c>
      <c r="H584" s="103" t="s">
        <v>875</v>
      </c>
      <c r="I584" s="103" t="s">
        <v>876</v>
      </c>
      <c r="J584" s="103">
        <v>1</v>
      </c>
      <c r="K584" s="171">
        <v>9.9499999999999993</v>
      </c>
      <c r="L584" s="103" t="s">
        <v>1914</v>
      </c>
      <c r="M584" s="106"/>
      <c r="N584" s="171">
        <f>MouserListTable12[[#This Row],['# Initial]]*MouserListTable12[[#This Row],[Price (USD)]]</f>
        <v>9.9499999999999993</v>
      </c>
      <c r="O584" s="106" t="s">
        <v>873</v>
      </c>
      <c r="P584" s="103">
        <f t="shared" si="13"/>
        <v>565</v>
      </c>
      <c r="Q584" s="103">
        <f>IF($D584=$O584,1,0)</f>
        <v>1</v>
      </c>
      <c r="R584" s="103" t="s">
        <v>8</v>
      </c>
      <c r="S584" s="103" t="str">
        <f>_xlfn.IFS(MouserListTable12[[#This Row],[Supplier]]=FilterSpecs!$A$6, FilterSpecs!$B$6,MouserListTable12[[#This Row],[Supplier]]=FilterSpecs!$A$7,FilterSpecs!$B$7,MouserListTable12[[#This Row],[Supplier]]=FilterSpecs!$A$8,FilterSpecs!$B$8,MouserListTable12[[#This Row],[Supplier]]=FilterSpecs!$A$9,FilterSpecs!$B$9)</f>
        <v>474-</v>
      </c>
      <c r="T58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474-TOL-09316</v>
      </c>
      <c r="U584" s="121">
        <v>0</v>
      </c>
      <c r="V584" s="121">
        <v>1</v>
      </c>
      <c r="W584" s="121">
        <v>1</v>
      </c>
      <c r="X584" s="121">
        <f>MouserListTable12[[#This Row],['#/Unit]]*FilterSpecs!$C$3+MouserListTable12[[#This Row],[Extra]]</f>
        <v>1</v>
      </c>
      <c r="Y584" s="121">
        <f>IF(MouserListTable12[[#This Row],[Tag]]=FilterSpecs!$F$7,MouserListTable12[[#This Row],[Price (USD)]],0)</f>
        <v>0</v>
      </c>
      <c r="Z584" s="121">
        <f>MouserListTable12[[#This Row],[Tot '#]]*MouserListTable12[[#This Row],[Price (USD)]]</f>
        <v>9.9499999999999993</v>
      </c>
    </row>
    <row r="585" spans="1:26" s="146" customFormat="1" hidden="1" x14ac:dyDescent="0.3">
      <c r="A585" s="103" t="s">
        <v>17</v>
      </c>
      <c r="B585" s="103" t="s">
        <v>1615</v>
      </c>
      <c r="C585" s="103" t="s">
        <v>8</v>
      </c>
      <c r="D585" s="106" t="str">
        <f>IF(MouserListTable12[[#This Row],[Vendor]]=FilterSpecs!$A$8,MouserListTable12[[#This Row],[Mouser SKU]], MouserListTable12[[#This Row],[SKU2]])</f>
        <v>COM-09906</v>
      </c>
      <c r="E585" s="121">
        <f>MouserListTable12[[#This Row],[Tot '#]]-MouserListTable12[[#This Row],['# Initial]]</f>
        <v>1</v>
      </c>
      <c r="F585" s="121">
        <f>MouserListTable12[[#This Row],['#/Unit]]*FilterSpecs!$B$3+MouserListTable12[[#This Row],[Extra Initial]]</f>
        <v>0</v>
      </c>
      <c r="G585" s="103" t="s">
        <v>129</v>
      </c>
      <c r="H585" s="103" t="s">
        <v>130</v>
      </c>
      <c r="I585" s="103" t="s">
        <v>131</v>
      </c>
      <c r="J585" s="103"/>
      <c r="K585" s="171">
        <v>14.95</v>
      </c>
      <c r="L585" s="103" t="s">
        <v>1913</v>
      </c>
      <c r="M585" s="106"/>
      <c r="N585" s="171">
        <f>MouserListTable12[[#This Row],['# Initial]]*MouserListTable12[[#This Row],[Price (USD)]]</f>
        <v>0</v>
      </c>
      <c r="O585" s="106" t="s">
        <v>128</v>
      </c>
      <c r="P585" s="103">
        <f t="shared" si="13"/>
        <v>566</v>
      </c>
      <c r="Q585" s="103">
        <f>IF($D585=$O585,1,0)</f>
        <v>1</v>
      </c>
      <c r="R585" s="103" t="s">
        <v>8</v>
      </c>
      <c r="S585" s="103" t="str">
        <f>_xlfn.IFS(MouserListTable12[[#This Row],[Supplier]]=FilterSpecs!$A$6, FilterSpecs!$B$6,MouserListTable12[[#This Row],[Supplier]]=FilterSpecs!$A$7,FilterSpecs!$B$7,MouserListTable12[[#This Row],[Supplier]]=FilterSpecs!$A$8,FilterSpecs!$B$8,MouserListTable12[[#This Row],[Supplier]]=FilterSpecs!$A$9,FilterSpecs!$B$9)</f>
        <v>474-</v>
      </c>
      <c r="T58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474-COM-09906</v>
      </c>
      <c r="U585" s="121">
        <v>0</v>
      </c>
      <c r="V585" s="121">
        <v>1</v>
      </c>
      <c r="W585" s="121">
        <v>0</v>
      </c>
      <c r="X585" s="121">
        <f>MouserListTable12[[#This Row],['#/Unit]]*FilterSpecs!$C$3+MouserListTable12[[#This Row],[Extra]]</f>
        <v>1</v>
      </c>
      <c r="Y585" s="121">
        <f>IF(MouserListTable12[[#This Row],[Tag]]=FilterSpecs!$F$7,MouserListTable12[[#This Row],[Price (USD)]],0)</f>
        <v>0</v>
      </c>
      <c r="Z585" s="121">
        <f>MouserListTable12[[#This Row],[Tot '#]]*MouserListTable12[[#This Row],[Price (USD)]]</f>
        <v>14.95</v>
      </c>
    </row>
    <row r="586" spans="1:26" s="146" customFormat="1" hidden="1" x14ac:dyDescent="0.3">
      <c r="A586" s="103" t="s">
        <v>17</v>
      </c>
      <c r="B586" s="103" t="s">
        <v>1615</v>
      </c>
      <c r="C586" s="103" t="s">
        <v>8</v>
      </c>
      <c r="D586" s="106" t="str">
        <f>IF(MouserListTable12[[#This Row],[Vendor]]=FilterSpecs!$A$8,MouserListTable12[[#This Row],[Mouser SKU]], MouserListTable12[[#This Row],[SKU2]])</f>
        <v>COM-08674</v>
      </c>
      <c r="E586" s="121">
        <f>MouserListTable12[[#This Row],[Tot '#]]-MouserListTable12[[#This Row],['# Initial]]</f>
        <v>1</v>
      </c>
      <c r="F586" s="121">
        <f>MouserListTable12[[#This Row],['#/Unit]]*FilterSpecs!$B$3+MouserListTable12[[#This Row],[Extra Initial]]</f>
        <v>0</v>
      </c>
      <c r="G586" s="103" t="s">
        <v>133</v>
      </c>
      <c r="H586" s="103" t="s">
        <v>134</v>
      </c>
      <c r="I586" s="103" t="s">
        <v>135</v>
      </c>
      <c r="J586" s="103">
        <v>1</v>
      </c>
      <c r="K586" s="171">
        <v>0.1</v>
      </c>
      <c r="L586" s="103" t="s">
        <v>1910</v>
      </c>
      <c r="M586" s="106"/>
      <c r="N586" s="171">
        <f>MouserListTable12[[#This Row],['# Initial]]*MouserListTable12[[#This Row],[Price (USD)]]</f>
        <v>0</v>
      </c>
      <c r="O586" s="106" t="s">
        <v>132</v>
      </c>
      <c r="P586" s="103">
        <f t="shared" si="13"/>
        <v>567</v>
      </c>
      <c r="Q586" s="103">
        <f>IF($D586=$O586,1,0)</f>
        <v>1</v>
      </c>
      <c r="R586" s="103" t="s">
        <v>8</v>
      </c>
      <c r="S586" s="103" t="str">
        <f>_xlfn.IFS(MouserListTable12[[#This Row],[Supplier]]=FilterSpecs!$A$6, FilterSpecs!$B$6,MouserListTable12[[#This Row],[Supplier]]=FilterSpecs!$A$7,FilterSpecs!$B$7,MouserListTable12[[#This Row],[Supplier]]=FilterSpecs!$A$8,FilterSpecs!$B$8,MouserListTable12[[#This Row],[Supplier]]=FilterSpecs!$A$9,FilterSpecs!$B$9)</f>
        <v>474-</v>
      </c>
      <c r="T58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474-COM-08674</v>
      </c>
      <c r="U586" s="121">
        <v>0</v>
      </c>
      <c r="V586" s="121">
        <v>1</v>
      </c>
      <c r="W586" s="121">
        <v>0</v>
      </c>
      <c r="X586" s="121">
        <f>MouserListTable12[[#This Row],['#/Unit]]*FilterSpecs!$C$3+MouserListTable12[[#This Row],[Extra]]</f>
        <v>1</v>
      </c>
      <c r="Y586" s="121">
        <f>IF(MouserListTable12[[#This Row],[Tag]]=FilterSpecs!$F$7,MouserListTable12[[#This Row],[Price (USD)]],0)</f>
        <v>0</v>
      </c>
      <c r="Z586" s="121">
        <f>MouserListTable12[[#This Row],[Tot '#]]*MouserListTable12[[#This Row],[Price (USD)]]</f>
        <v>0.1</v>
      </c>
    </row>
    <row r="587" spans="1:26" s="146" customFormat="1" hidden="1" x14ac:dyDescent="0.3">
      <c r="A587" s="103" t="s">
        <v>17</v>
      </c>
      <c r="B587" s="103" t="s">
        <v>1613</v>
      </c>
      <c r="C587" s="103" t="s">
        <v>8</v>
      </c>
      <c r="D587" s="106" t="str">
        <f>IF(MouserListTable12[[#This Row],[Vendor]]=FilterSpecs!$A$8,MouserListTable12[[#This Row],[Mouser SKU]], MouserListTable12[[#This Row],[SKU2]])</f>
        <v>TOL-12078</v>
      </c>
      <c r="E587" s="121">
        <f>MouserListTable12[[#This Row],[Tot '#]]-MouserListTable12[[#This Row],['# Initial]]</f>
        <v>1</v>
      </c>
      <c r="F587" s="121">
        <f>MouserListTable12[[#This Row],['#/Unit]]*FilterSpecs!$B$3+MouserListTable12[[#This Row],[Extra Initial]]</f>
        <v>0</v>
      </c>
      <c r="G587" s="103" t="s">
        <v>1627</v>
      </c>
      <c r="H587" s="103" t="s">
        <v>1628</v>
      </c>
      <c r="I587" s="103" t="s">
        <v>1629</v>
      </c>
      <c r="J587" s="103"/>
      <c r="K587" s="171">
        <v>4.95</v>
      </c>
      <c r="L587" s="103" t="s">
        <v>1914</v>
      </c>
      <c r="M587" s="106"/>
      <c r="N587" s="171">
        <f>MouserListTable12[[#This Row],['# Initial]]*MouserListTable12[[#This Row],[Price (USD)]]</f>
        <v>0</v>
      </c>
      <c r="O587" s="106" t="s">
        <v>1626</v>
      </c>
      <c r="P587" s="103">
        <f t="shared" si="13"/>
        <v>568</v>
      </c>
      <c r="Q587" s="103">
        <f>IF($D587=$O587,1,0)</f>
        <v>1</v>
      </c>
      <c r="R587" s="103" t="s">
        <v>8</v>
      </c>
      <c r="S587" s="103" t="str">
        <f>_xlfn.IFS(MouserListTable12[[#This Row],[Supplier]]=FilterSpecs!$A$6, FilterSpecs!$B$6,MouserListTable12[[#This Row],[Supplier]]=FilterSpecs!$A$7,FilterSpecs!$B$7,MouserListTable12[[#This Row],[Supplier]]=FilterSpecs!$A$8,FilterSpecs!$B$8,MouserListTable12[[#This Row],[Supplier]]=FilterSpecs!$A$9,FilterSpecs!$B$9)</f>
        <v>474-</v>
      </c>
      <c r="T58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474-TOL-12078</v>
      </c>
      <c r="U587" s="121">
        <v>0</v>
      </c>
      <c r="V587" s="121">
        <v>1</v>
      </c>
      <c r="W587" s="121">
        <v>0</v>
      </c>
      <c r="X587" s="121">
        <f>MouserListTable12[[#This Row],['#/Unit]]*FilterSpecs!$C$3+MouserListTable12[[#This Row],[Extra]]</f>
        <v>1</v>
      </c>
      <c r="Y587" s="121">
        <f>IF(MouserListTable12[[#This Row],[Tag]]=FilterSpecs!$F$7,MouserListTable12[[#This Row],[Price (USD)]],0)</f>
        <v>0</v>
      </c>
      <c r="Z587" s="121">
        <f>MouserListTable12[[#This Row],[Tot '#]]*MouserListTable12[[#This Row],[Price (USD)]]</f>
        <v>4.95</v>
      </c>
    </row>
    <row r="588" spans="1:26" s="146" customFormat="1" x14ac:dyDescent="0.3">
      <c r="A588" s="103" t="s">
        <v>17</v>
      </c>
      <c r="B588" s="103" t="s">
        <v>1613</v>
      </c>
      <c r="C588" s="103" t="s">
        <v>8</v>
      </c>
      <c r="D588" s="106" t="str">
        <f>IF(MouserListTable12[[#This Row],[Vendor]]=FilterSpecs!$A$8,MouserListTable12[[#This Row],[Mouser SKU]], MouserListTable12[[#This Row],[SKU2]])</f>
        <v>TOL-11060</v>
      </c>
      <c r="E588" s="121">
        <f>MouserListTable12[[#This Row],[Tot '#]]-MouserListTable12[[#This Row],['# Initial]]</f>
        <v>0</v>
      </c>
      <c r="F588" s="121">
        <f>MouserListTable12[[#This Row],['#/Unit]]*FilterSpecs!$B$3+MouserListTable12[[#This Row],[Extra Initial]]</f>
        <v>1</v>
      </c>
      <c r="G588" s="103" t="s">
        <v>838</v>
      </c>
      <c r="H588" s="103" t="s">
        <v>839</v>
      </c>
      <c r="I588" s="103" t="s">
        <v>840</v>
      </c>
      <c r="J588" s="103"/>
      <c r="K588" s="171">
        <v>4.95</v>
      </c>
      <c r="L588" s="103" t="s">
        <v>1914</v>
      </c>
      <c r="M588" s="106"/>
      <c r="N588" s="171">
        <f>MouserListTable12[[#This Row],['# Initial]]*MouserListTable12[[#This Row],[Price (USD)]]</f>
        <v>4.95</v>
      </c>
      <c r="O588" s="106" t="s">
        <v>837</v>
      </c>
      <c r="P588" s="103">
        <f t="shared" si="13"/>
        <v>569</v>
      </c>
      <c r="Q588" s="103">
        <f>IF($D588=$O588,1,0)</f>
        <v>1</v>
      </c>
      <c r="R588" s="103" t="s">
        <v>8</v>
      </c>
      <c r="S588" s="103" t="str">
        <f>_xlfn.IFS(MouserListTable12[[#This Row],[Supplier]]=FilterSpecs!$A$6, FilterSpecs!$B$6,MouserListTable12[[#This Row],[Supplier]]=FilterSpecs!$A$7,FilterSpecs!$B$7,MouserListTable12[[#This Row],[Supplier]]=FilterSpecs!$A$8,FilterSpecs!$B$8,MouserListTable12[[#This Row],[Supplier]]=FilterSpecs!$A$9,FilterSpecs!$B$9)</f>
        <v>474-</v>
      </c>
      <c r="T58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474-TOL-11060</v>
      </c>
      <c r="U588" s="121">
        <v>0</v>
      </c>
      <c r="V588" s="121">
        <v>1</v>
      </c>
      <c r="W588" s="121">
        <v>1</v>
      </c>
      <c r="X588" s="121">
        <f>MouserListTable12[[#This Row],['#/Unit]]*FilterSpecs!$C$3+MouserListTable12[[#This Row],[Extra]]</f>
        <v>1</v>
      </c>
      <c r="Y588" s="121">
        <f>IF(MouserListTable12[[#This Row],[Tag]]=FilterSpecs!$F$7,MouserListTable12[[#This Row],[Price (USD)]],0)</f>
        <v>0</v>
      </c>
      <c r="Z588" s="121">
        <f>MouserListTable12[[#This Row],[Tot '#]]*MouserListTable12[[#This Row],[Price (USD)]]</f>
        <v>4.95</v>
      </c>
    </row>
    <row r="589" spans="1:26" s="146" customFormat="1" x14ac:dyDescent="0.3">
      <c r="A589" s="103" t="s">
        <v>17</v>
      </c>
      <c r="B589" s="103" t="s">
        <v>1613</v>
      </c>
      <c r="C589" s="103" t="s">
        <v>8</v>
      </c>
      <c r="D589" s="106" t="str">
        <f>IF(MouserListTable12[[#This Row],[Vendor]]=FilterSpecs!$A$8,MouserListTable12[[#This Row],[Mouser SKU]], MouserListTable12[[#This Row],[SKU2]])</f>
        <v>TOL-12573</v>
      </c>
      <c r="E589" s="121">
        <f>MouserListTable12[[#This Row],[Tot '#]]-MouserListTable12[[#This Row],['# Initial]]</f>
        <v>0</v>
      </c>
      <c r="F589" s="121">
        <f>MouserListTable12[[#This Row],['#/Unit]]*FilterSpecs!$B$3+MouserListTable12[[#This Row],[Extra Initial]]</f>
        <v>1</v>
      </c>
      <c r="G589" s="103" t="s">
        <v>870</v>
      </c>
      <c r="H589" s="103" t="s">
        <v>871</v>
      </c>
      <c r="I589" s="103" t="s">
        <v>872</v>
      </c>
      <c r="J589" s="103">
        <v>1</v>
      </c>
      <c r="K589" s="171">
        <v>3.95</v>
      </c>
      <c r="L589" s="103" t="s">
        <v>1914</v>
      </c>
      <c r="M589" s="106"/>
      <c r="N589" s="171">
        <f>MouserListTable12[[#This Row],['# Initial]]*MouserListTable12[[#This Row],[Price (USD)]]</f>
        <v>3.95</v>
      </c>
      <c r="O589" s="106" t="s">
        <v>869</v>
      </c>
      <c r="P589" s="103">
        <f t="shared" si="13"/>
        <v>570</v>
      </c>
      <c r="Q589" s="103">
        <f>IF($D589=$O589,1,0)</f>
        <v>1</v>
      </c>
      <c r="R589" s="103" t="s">
        <v>8</v>
      </c>
      <c r="S589" s="103" t="str">
        <f>_xlfn.IFS(MouserListTable12[[#This Row],[Supplier]]=FilterSpecs!$A$6, FilterSpecs!$B$6,MouserListTable12[[#This Row],[Supplier]]=FilterSpecs!$A$7,FilterSpecs!$B$7,MouserListTable12[[#This Row],[Supplier]]=FilterSpecs!$A$8,FilterSpecs!$B$8,MouserListTable12[[#This Row],[Supplier]]=FilterSpecs!$A$9,FilterSpecs!$B$9)</f>
        <v>474-</v>
      </c>
      <c r="T58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474-TOL-12573</v>
      </c>
      <c r="U589" s="121">
        <v>0</v>
      </c>
      <c r="V589" s="121">
        <v>1</v>
      </c>
      <c r="W589" s="121">
        <v>1</v>
      </c>
      <c r="X589" s="121">
        <f>MouserListTable12[[#This Row],['#/Unit]]*FilterSpecs!$C$3+MouserListTable12[[#This Row],[Extra]]</f>
        <v>1</v>
      </c>
      <c r="Y589" s="121">
        <f>IF(MouserListTable12[[#This Row],[Tag]]=FilterSpecs!$F$7,MouserListTable12[[#This Row],[Price (USD)]],0)</f>
        <v>0</v>
      </c>
      <c r="Z589" s="121">
        <f>MouserListTable12[[#This Row],[Tot '#]]*MouserListTable12[[#This Row],[Price (USD)]]</f>
        <v>3.95</v>
      </c>
    </row>
    <row r="590" spans="1:26" s="146" customFormat="1" x14ac:dyDescent="0.3">
      <c r="A590" s="103" t="s">
        <v>17</v>
      </c>
      <c r="B590" s="103" t="s">
        <v>1613</v>
      </c>
      <c r="C590" s="103" t="s">
        <v>8</v>
      </c>
      <c r="D590" s="106" t="str">
        <f>IF(MouserListTable12[[#This Row],[Vendor]]=FilterSpecs!$A$8,MouserListTable12[[#This Row],[Mouser SKU]], MouserListTable12[[#This Row],[SKU2]])</f>
        <v>TOL-10602</v>
      </c>
      <c r="E590" s="121">
        <f>MouserListTable12[[#This Row],[Tot '#]]-MouserListTable12[[#This Row],['# Initial]]</f>
        <v>0</v>
      </c>
      <c r="F590" s="121">
        <f>MouserListTable12[[#This Row],['#/Unit]]*FilterSpecs!$B$3+MouserListTable12[[#This Row],[Extra Initial]]</f>
        <v>1</v>
      </c>
      <c r="G590" s="103" t="s">
        <v>862</v>
      </c>
      <c r="H590" s="103" t="s">
        <v>863</v>
      </c>
      <c r="I590" s="103" t="s">
        <v>864</v>
      </c>
      <c r="J590" s="103">
        <v>1</v>
      </c>
      <c r="K590" s="171">
        <v>3.95</v>
      </c>
      <c r="L590" s="103" t="s">
        <v>1914</v>
      </c>
      <c r="M590" s="106"/>
      <c r="N590" s="171">
        <f>MouserListTable12[[#This Row],['# Initial]]*MouserListTable12[[#This Row],[Price (USD)]]</f>
        <v>3.95</v>
      </c>
      <c r="O590" s="106" t="s">
        <v>861</v>
      </c>
      <c r="P590" s="103">
        <f t="shared" si="13"/>
        <v>571</v>
      </c>
      <c r="Q590" s="103">
        <f>IF($D590=$O590,1,0)</f>
        <v>1</v>
      </c>
      <c r="R590" s="103" t="s">
        <v>8</v>
      </c>
      <c r="S590" s="103" t="str">
        <f>_xlfn.IFS(MouserListTable12[[#This Row],[Supplier]]=FilterSpecs!$A$6, FilterSpecs!$B$6,MouserListTable12[[#This Row],[Supplier]]=FilterSpecs!$A$7,FilterSpecs!$B$7,MouserListTable12[[#This Row],[Supplier]]=FilterSpecs!$A$8,FilterSpecs!$B$8,MouserListTable12[[#This Row],[Supplier]]=FilterSpecs!$A$9,FilterSpecs!$B$9)</f>
        <v>474-</v>
      </c>
      <c r="T59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474-TOL-10602</v>
      </c>
      <c r="U590" s="121">
        <v>0</v>
      </c>
      <c r="V590" s="121">
        <v>1</v>
      </c>
      <c r="W590" s="121">
        <v>1</v>
      </c>
      <c r="X590" s="121">
        <f>MouserListTable12[[#This Row],['#/Unit]]*FilterSpecs!$C$3+MouserListTable12[[#This Row],[Extra]]</f>
        <v>1</v>
      </c>
      <c r="Y590" s="121">
        <f>IF(MouserListTable12[[#This Row],[Tag]]=FilterSpecs!$F$7,MouserListTable12[[#This Row],[Price (USD)]],0)</f>
        <v>0</v>
      </c>
      <c r="Z590" s="121">
        <f>MouserListTable12[[#This Row],[Tot '#]]*MouserListTable12[[#This Row],[Price (USD)]]</f>
        <v>3.95</v>
      </c>
    </row>
    <row r="591" spans="1:26" s="146" customFormat="1" x14ac:dyDescent="0.3">
      <c r="A591" s="103" t="s">
        <v>17</v>
      </c>
      <c r="B591" s="103" t="s">
        <v>1613</v>
      </c>
      <c r="C591" s="103" t="s">
        <v>8</v>
      </c>
      <c r="D591" s="106" t="str">
        <f>IF(MouserListTable12[[#This Row],[Vendor]]=FilterSpecs!$A$8,MouserListTable12[[#This Row],[Mouser SKU]], MouserListTable12[[#This Row],[SKU2]])</f>
        <v>TOL-12572</v>
      </c>
      <c r="E591" s="121">
        <f>MouserListTable12[[#This Row],[Tot '#]]-MouserListTable12[[#This Row],['# Initial]]</f>
        <v>0</v>
      </c>
      <c r="F591" s="121">
        <f>MouserListTable12[[#This Row],['#/Unit]]*FilterSpecs!$B$3+MouserListTable12[[#This Row],[Extra Initial]]</f>
        <v>1</v>
      </c>
      <c r="G591" s="103" t="s">
        <v>846</v>
      </c>
      <c r="H591" s="103" t="s">
        <v>847</v>
      </c>
      <c r="I591" s="103" t="s">
        <v>848</v>
      </c>
      <c r="J591" s="103">
        <v>1</v>
      </c>
      <c r="K591" s="171">
        <v>3.95</v>
      </c>
      <c r="L591" s="103" t="s">
        <v>1914</v>
      </c>
      <c r="M591" s="106"/>
      <c r="N591" s="171">
        <f>MouserListTable12[[#This Row],['# Initial]]*MouserListTable12[[#This Row],[Price (USD)]]</f>
        <v>3.95</v>
      </c>
      <c r="O591" s="106" t="s">
        <v>845</v>
      </c>
      <c r="P591" s="103">
        <f t="shared" si="13"/>
        <v>572</v>
      </c>
      <c r="Q591" s="103">
        <f>IF($D591=$O591,1,0)</f>
        <v>1</v>
      </c>
      <c r="R591" s="103" t="s">
        <v>8</v>
      </c>
      <c r="S591" s="103" t="str">
        <f>_xlfn.IFS(MouserListTable12[[#This Row],[Supplier]]=FilterSpecs!$A$6, FilterSpecs!$B$6,MouserListTable12[[#This Row],[Supplier]]=FilterSpecs!$A$7,FilterSpecs!$B$7,MouserListTable12[[#This Row],[Supplier]]=FilterSpecs!$A$8,FilterSpecs!$B$8,MouserListTable12[[#This Row],[Supplier]]=FilterSpecs!$A$9,FilterSpecs!$B$9)</f>
        <v>474-</v>
      </c>
      <c r="T59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474-TOL-12572</v>
      </c>
      <c r="U591" s="121">
        <v>0</v>
      </c>
      <c r="V591" s="121">
        <v>1</v>
      </c>
      <c r="W591" s="121">
        <v>1</v>
      </c>
      <c r="X591" s="121">
        <f>MouserListTable12[[#This Row],['#/Unit]]*FilterSpecs!$C$3+MouserListTable12[[#This Row],[Extra]]</f>
        <v>1</v>
      </c>
      <c r="Y591" s="121">
        <f>IF(MouserListTable12[[#This Row],[Tag]]=FilterSpecs!$F$7,MouserListTable12[[#This Row],[Price (USD)]],0)</f>
        <v>0</v>
      </c>
      <c r="Z591" s="121">
        <f>MouserListTable12[[#This Row],[Tot '#]]*MouserListTable12[[#This Row],[Price (USD)]]</f>
        <v>3.95</v>
      </c>
    </row>
    <row r="592" spans="1:26" s="146" customFormat="1" hidden="1" x14ac:dyDescent="0.3">
      <c r="A592" s="103" t="s">
        <v>17</v>
      </c>
      <c r="B592" s="103" t="s">
        <v>1613</v>
      </c>
      <c r="C592" s="103" t="s">
        <v>8</v>
      </c>
      <c r="D592" s="106" t="str">
        <f>IF(MouserListTable12[[#This Row],[Vendor]]=FilterSpecs!$A$8,MouserListTable12[[#This Row],[Mouser SKU]], MouserListTable12[[#This Row],[SKU2]])</f>
        <v>TOL-08793</v>
      </c>
      <c r="E592" s="121">
        <f>MouserListTable12[[#This Row],[Tot '#]]-MouserListTable12[[#This Row],['# Initial]]</f>
        <v>1</v>
      </c>
      <c r="F592" s="121">
        <f>MouserListTable12[[#This Row],['#/Unit]]*FilterSpecs!$B$3+MouserListTable12[[#This Row],[Extra Initial]]</f>
        <v>0</v>
      </c>
      <c r="G592" s="103" t="s">
        <v>1647</v>
      </c>
      <c r="H592" s="103" t="s">
        <v>1648</v>
      </c>
      <c r="I592" s="103" t="s">
        <v>1649</v>
      </c>
      <c r="J592" s="103">
        <v>1</v>
      </c>
      <c r="K592" s="171">
        <v>1.95</v>
      </c>
      <c r="L592" s="103" t="s">
        <v>1914</v>
      </c>
      <c r="M592" s="106"/>
      <c r="N592" s="171">
        <f>MouserListTable12[[#This Row],['# Initial]]*MouserListTable12[[#This Row],[Price (USD)]]</f>
        <v>0</v>
      </c>
      <c r="O592" s="106" t="s">
        <v>1646</v>
      </c>
      <c r="P592" s="103">
        <f t="shared" si="13"/>
        <v>573</v>
      </c>
      <c r="Q592" s="103">
        <f>IF($D592=$O592,1,0)</f>
        <v>1</v>
      </c>
      <c r="R592" s="103" t="s">
        <v>8</v>
      </c>
      <c r="S592" s="103" t="str">
        <f>_xlfn.IFS(MouserListTable12[[#This Row],[Supplier]]=FilterSpecs!$A$6, FilterSpecs!$B$6,MouserListTable12[[#This Row],[Supplier]]=FilterSpecs!$A$7,FilterSpecs!$B$7,MouserListTable12[[#This Row],[Supplier]]=FilterSpecs!$A$8,FilterSpecs!$B$8,MouserListTable12[[#This Row],[Supplier]]=FilterSpecs!$A$9,FilterSpecs!$B$9)</f>
        <v>474-</v>
      </c>
      <c r="T59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474-TOL-08793</v>
      </c>
      <c r="U592" s="121">
        <v>0</v>
      </c>
      <c r="V592" s="121">
        <v>1</v>
      </c>
      <c r="W592" s="121">
        <v>0</v>
      </c>
      <c r="X592" s="121">
        <f>MouserListTable12[[#This Row],['#/Unit]]*FilterSpecs!$C$3+MouserListTable12[[#This Row],[Extra]]</f>
        <v>1</v>
      </c>
      <c r="Y592" s="121">
        <f>IF(MouserListTable12[[#This Row],[Tag]]=FilterSpecs!$F$7,MouserListTable12[[#This Row],[Price (USD)]],0)</f>
        <v>0</v>
      </c>
      <c r="Z592" s="121">
        <f>MouserListTable12[[#This Row],[Tot '#]]*MouserListTable12[[#This Row],[Price (USD)]]</f>
        <v>1.95</v>
      </c>
    </row>
    <row r="593" spans="1:26" s="146" customFormat="1" hidden="1" x14ac:dyDescent="0.3">
      <c r="A593" s="128" t="s">
        <v>17</v>
      </c>
      <c r="B593" s="128" t="s">
        <v>1613</v>
      </c>
      <c r="C593" s="128" t="s">
        <v>1898</v>
      </c>
      <c r="D593" s="106" t="str">
        <f>IF(MouserListTable12[[#This Row],[Vendor]]=FilterSpecs!$A$8,MouserListTable12[[#This Row],[Mouser SKU]], MouserListTable12[[#This Row],[SKU2]])</f>
        <v>1368</v>
      </c>
      <c r="E593" s="121">
        <f>MouserListTable12[[#This Row],[Tot '#]]-MouserListTable12[[#This Row],['# Initial]]</f>
        <v>0</v>
      </c>
      <c r="F593" s="121">
        <f>MouserListTable12[[#This Row],['#/Unit]]*FilterSpecs!$B$3+MouserListTable12[[#This Row],[Extra Initial]]</f>
        <v>0</v>
      </c>
      <c r="I593" s="128" t="s">
        <v>2474</v>
      </c>
      <c r="J593" s="155">
        <v>113</v>
      </c>
      <c r="K593" s="173">
        <v>11.95</v>
      </c>
      <c r="L593" s="126" t="s">
        <v>1910</v>
      </c>
      <c r="N593" s="171">
        <f>MouserListTable12[[#This Row],['# Initial]]*MouserListTable12[[#This Row],[Price (USD)]]</f>
        <v>0</v>
      </c>
      <c r="O593" s="155" t="s">
        <v>2475</v>
      </c>
      <c r="P593" s="103">
        <f t="shared" si="13"/>
        <v>574</v>
      </c>
      <c r="Q593" s="103">
        <f>IF($D593=$O593,1,0)</f>
        <v>1</v>
      </c>
      <c r="R593" s="103" t="s">
        <v>1898</v>
      </c>
      <c r="S593" s="103" t="str">
        <f>_xlfn.IFS(MouserListTable12[[#This Row],[Supplier]]=FilterSpecs!$A$6, FilterSpecs!$B$6,MouserListTable12[[#This Row],[Supplier]]=FilterSpecs!$A$7,FilterSpecs!$B$7,MouserListTable12[[#This Row],[Supplier]]=FilterSpecs!$A$8,FilterSpecs!$B$8,MouserListTable12[[#This Row],[Supplier]]=FilterSpecs!$A$9,FilterSpecs!$B$9)</f>
        <v>485-</v>
      </c>
      <c r="T59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485-1368</v>
      </c>
      <c r="U593" s="121">
        <v>0</v>
      </c>
      <c r="V593" s="121">
        <v>0</v>
      </c>
      <c r="W593" s="121">
        <v>0</v>
      </c>
      <c r="X593" s="121">
        <f>MouserListTable12[[#This Row],['#/Unit]]*FilterSpecs!$C$3+MouserListTable12[[#This Row],[Extra]]</f>
        <v>0</v>
      </c>
      <c r="Y593" s="121">
        <f>IF(MouserListTable12[[#This Row],[Tag]]=FilterSpecs!$F$7,MouserListTable12[[#This Row],[Price (USD)]],0)</f>
        <v>0</v>
      </c>
      <c r="Z593" s="121">
        <f>MouserListTable12[[#This Row],[Tot '#]]*MouserListTable12[[#This Row],[Price (USD)]]</f>
        <v>0</v>
      </c>
    </row>
    <row r="594" spans="1:26" s="146" customFormat="1" hidden="1" x14ac:dyDescent="0.3">
      <c r="A594" s="128" t="s">
        <v>17</v>
      </c>
      <c r="B594" s="128" t="s">
        <v>1613</v>
      </c>
      <c r="C594" s="128" t="s">
        <v>1898</v>
      </c>
      <c r="D594" s="106" t="str">
        <f>IF(MouserListTable12[[#This Row],[Vendor]]=FilterSpecs!$A$8,MouserListTable12[[#This Row],[Mouser SKU]], MouserListTable12[[#This Row],[SKU2]])</f>
        <v>1598</v>
      </c>
      <c r="E594" s="121">
        <f>MouserListTable12[[#This Row],[Tot '#]]-MouserListTable12[[#This Row],['# Initial]]</f>
        <v>0</v>
      </c>
      <c r="F594" s="121">
        <f>MouserListTable12[[#This Row],['#/Unit]]*FilterSpecs!$B$3+MouserListTable12[[#This Row],[Extra Initial]]</f>
        <v>0</v>
      </c>
      <c r="I594" s="128" t="s">
        <v>2472</v>
      </c>
      <c r="J594" s="155">
        <v>112</v>
      </c>
      <c r="K594" s="173">
        <v>14.95</v>
      </c>
      <c r="L594" s="126" t="s">
        <v>1910</v>
      </c>
      <c r="N594" s="171">
        <f>MouserListTable12[[#This Row],['# Initial]]*MouserListTable12[[#This Row],[Price (USD)]]</f>
        <v>0</v>
      </c>
      <c r="O594" s="155" t="s">
        <v>2473</v>
      </c>
      <c r="P594" s="103">
        <f t="shared" si="13"/>
        <v>575</v>
      </c>
      <c r="Q594" s="103">
        <f>IF($D594=$O594,1,0)</f>
        <v>1</v>
      </c>
      <c r="R594" s="103" t="s">
        <v>1898</v>
      </c>
      <c r="S594" s="103" t="str">
        <f>_xlfn.IFS(MouserListTable12[[#This Row],[Supplier]]=FilterSpecs!$A$6, FilterSpecs!$B$6,MouserListTable12[[#This Row],[Supplier]]=FilterSpecs!$A$7,FilterSpecs!$B$7,MouserListTable12[[#This Row],[Supplier]]=FilterSpecs!$A$8,FilterSpecs!$B$8,MouserListTable12[[#This Row],[Supplier]]=FilterSpecs!$A$9,FilterSpecs!$B$9)</f>
        <v>485-</v>
      </c>
      <c r="T59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485-1598</v>
      </c>
      <c r="U594" s="121">
        <v>0</v>
      </c>
      <c r="V594" s="121">
        <v>0</v>
      </c>
      <c r="W594" s="121">
        <v>0</v>
      </c>
      <c r="X594" s="121">
        <f>MouserListTable12[[#This Row],['#/Unit]]*FilterSpecs!$C$3+MouserListTable12[[#This Row],[Extra]]</f>
        <v>0</v>
      </c>
      <c r="Y594" s="121">
        <f>IF(MouserListTable12[[#This Row],[Tag]]=FilterSpecs!$F$7,MouserListTable12[[#This Row],[Price (USD)]],0)</f>
        <v>0</v>
      </c>
      <c r="Z594" s="121">
        <f>MouserListTable12[[#This Row],[Tot '#]]*MouserListTable12[[#This Row],[Price (USD)]]</f>
        <v>0</v>
      </c>
    </row>
    <row r="595" spans="1:26" s="146" customFormat="1" hidden="1" x14ac:dyDescent="0.3">
      <c r="A595" s="103" t="s">
        <v>17</v>
      </c>
      <c r="B595" s="103" t="s">
        <v>1613</v>
      </c>
      <c r="C595" s="103" t="s">
        <v>8</v>
      </c>
      <c r="D595" s="106" t="str">
        <f>IF(MouserListTable12[[#This Row],[Vendor]]=FilterSpecs!$A$8,MouserListTable12[[#This Row],[Mouser SKU]], MouserListTable12[[#This Row],[SKU2]])</f>
        <v>TOL-12630</v>
      </c>
      <c r="E595" s="121">
        <f>MouserListTable12[[#This Row],[Tot '#]]-MouserListTable12[[#This Row],['# Initial]]</f>
        <v>1</v>
      </c>
      <c r="F595" s="121">
        <f>MouserListTable12[[#This Row],['#/Unit]]*FilterSpecs!$B$3+MouserListTable12[[#This Row],[Extra Initial]]</f>
        <v>0</v>
      </c>
      <c r="G595" s="103" t="s">
        <v>2446</v>
      </c>
      <c r="H595" s="103" t="s">
        <v>2447</v>
      </c>
      <c r="I595" s="103" t="s">
        <v>2448</v>
      </c>
      <c r="J595" s="103">
        <v>1</v>
      </c>
      <c r="K595" s="171">
        <v>9.9499999999999993</v>
      </c>
      <c r="L595" s="103" t="s">
        <v>1914</v>
      </c>
      <c r="M595" s="103"/>
      <c r="N595" s="171">
        <f>MouserListTable12[[#This Row],['# Initial]]*MouserListTable12[[#This Row],[Price (USD)]]</f>
        <v>0</v>
      </c>
      <c r="O595" s="106" t="s">
        <v>2445</v>
      </c>
      <c r="P595" s="103">
        <f t="shared" si="13"/>
        <v>576</v>
      </c>
      <c r="Q595" s="103">
        <f>IF($D595=$O595,1,0)</f>
        <v>1</v>
      </c>
      <c r="R595" s="103" t="s">
        <v>8</v>
      </c>
      <c r="S595" s="103" t="str">
        <f>_xlfn.IFS(MouserListTable12[[#This Row],[Supplier]]=FilterSpecs!$A$6, FilterSpecs!$B$6,MouserListTable12[[#This Row],[Supplier]]=FilterSpecs!$A$7,FilterSpecs!$B$7,MouserListTable12[[#This Row],[Supplier]]=FilterSpecs!$A$8,FilterSpecs!$B$8,MouserListTable12[[#This Row],[Supplier]]=FilterSpecs!$A$9,FilterSpecs!$B$9)</f>
        <v>474-</v>
      </c>
      <c r="T59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474-TOL-12630</v>
      </c>
      <c r="U595" s="121">
        <v>0</v>
      </c>
      <c r="V595" s="121">
        <v>1</v>
      </c>
      <c r="W595" s="121">
        <v>0</v>
      </c>
      <c r="X595" s="121">
        <f>MouserListTable12[[#This Row],['#/Unit]]*FilterSpecs!$C$3+MouserListTable12[[#This Row],[Extra]]</f>
        <v>1</v>
      </c>
      <c r="Y595" s="121">
        <f>IF(MouserListTable12[[#This Row],[Tag]]=FilterSpecs!$F$7,MouserListTable12[[#This Row],[Price (USD)]],0)</f>
        <v>0</v>
      </c>
      <c r="Z595" s="121">
        <f>MouserListTable12[[#This Row],[Tot '#]]*MouserListTable12[[#This Row],[Price (USD)]]</f>
        <v>9.9499999999999993</v>
      </c>
    </row>
    <row r="596" spans="1:26" s="146" customFormat="1" hidden="1" x14ac:dyDescent="0.3">
      <c r="A596" s="128" t="s">
        <v>17</v>
      </c>
      <c r="B596" s="128" t="s">
        <v>1613</v>
      </c>
      <c r="C596" s="128" t="s">
        <v>1898</v>
      </c>
      <c r="D596" s="106" t="str">
        <f>IF(MouserListTable12[[#This Row],[Vendor]]=FilterSpecs!$A$8,MouserListTable12[[#This Row],[Mouser SKU]], MouserListTable12[[#This Row],[SKU2]])</f>
        <v>527</v>
      </c>
      <c r="E596" s="121">
        <f>MouserListTable12[[#This Row],[Tot '#]]-MouserListTable12[[#This Row],['# Initial]]</f>
        <v>0</v>
      </c>
      <c r="F596" s="121">
        <f>MouserListTable12[[#This Row],['#/Unit]]*FilterSpecs!$B$3+MouserListTable12[[#This Row],[Extra Initial]]</f>
        <v>0</v>
      </c>
      <c r="I596" s="128" t="s">
        <v>2470</v>
      </c>
      <c r="J596" s="155">
        <v>111</v>
      </c>
      <c r="K596" s="173">
        <v>14.95</v>
      </c>
      <c r="L596" s="126" t="s">
        <v>1910</v>
      </c>
      <c r="N596" s="171">
        <f>MouserListTable12[[#This Row],['# Initial]]*MouserListTable12[[#This Row],[Price (USD)]]</f>
        <v>0</v>
      </c>
      <c r="O596" s="155" t="s">
        <v>2471</v>
      </c>
      <c r="P596" s="103">
        <f t="shared" ref="P596:P608" si="14">IF($P595="List #",1,$P595+1)</f>
        <v>577</v>
      </c>
      <c r="Q596" s="103">
        <f>IF($D596=$O596,1,0)</f>
        <v>1</v>
      </c>
      <c r="R596" s="103" t="s">
        <v>1898</v>
      </c>
      <c r="S596" s="103" t="str">
        <f>_xlfn.IFS(MouserListTable12[[#This Row],[Supplier]]=FilterSpecs!$A$6, FilterSpecs!$B$6,MouserListTable12[[#This Row],[Supplier]]=FilterSpecs!$A$7,FilterSpecs!$B$7,MouserListTable12[[#This Row],[Supplier]]=FilterSpecs!$A$8,FilterSpecs!$B$8,MouserListTable12[[#This Row],[Supplier]]=FilterSpecs!$A$9,FilterSpecs!$B$9)</f>
        <v>485-</v>
      </c>
      <c r="T59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485-527</v>
      </c>
      <c r="U596" s="121">
        <v>0</v>
      </c>
      <c r="V596" s="121">
        <v>0</v>
      </c>
      <c r="W596" s="121">
        <v>0</v>
      </c>
      <c r="X596" s="121">
        <f>MouserListTable12[[#This Row],['#/Unit]]*FilterSpecs!$C$3+MouserListTable12[[#This Row],[Extra]]</f>
        <v>0</v>
      </c>
      <c r="Y596" s="121">
        <f>IF(MouserListTable12[[#This Row],[Tag]]=FilterSpecs!$F$7,MouserListTable12[[#This Row],[Price (USD)]],0)</f>
        <v>0</v>
      </c>
      <c r="Z596" s="121">
        <f>MouserListTable12[[#This Row],[Tot '#]]*MouserListTable12[[#This Row],[Price (USD)]]</f>
        <v>0</v>
      </c>
    </row>
    <row r="597" spans="1:26" s="146" customFormat="1" hidden="1" x14ac:dyDescent="0.3">
      <c r="A597" s="103" t="s">
        <v>17</v>
      </c>
      <c r="B597" s="103" t="s">
        <v>1613</v>
      </c>
      <c r="C597" s="103" t="s">
        <v>8</v>
      </c>
      <c r="D597" s="106" t="str">
        <f>IF(MouserListTable12[[#This Row],[Vendor]]=FilterSpecs!$A$8,MouserListTable12[[#This Row],[Mouser SKU]], MouserListTable12[[#This Row],[SKU2]])</f>
        <v>TOL-08794</v>
      </c>
      <c r="E597" s="121">
        <f>MouserListTable12[[#This Row],[Tot '#]]-MouserListTable12[[#This Row],['# Initial]]</f>
        <v>1</v>
      </c>
      <c r="F597" s="121">
        <f>MouserListTable12[[#This Row],['#/Unit]]*FilterSpecs!$B$3+MouserListTable12[[#This Row],[Extra Initial]]</f>
        <v>0</v>
      </c>
      <c r="G597" s="103" t="s">
        <v>842</v>
      </c>
      <c r="H597" s="103" t="s">
        <v>843</v>
      </c>
      <c r="I597" s="103" t="s">
        <v>844</v>
      </c>
      <c r="J597" s="103">
        <v>1</v>
      </c>
      <c r="K597" s="171">
        <v>1.95</v>
      </c>
      <c r="L597" s="103" t="s">
        <v>1914</v>
      </c>
      <c r="M597" s="103"/>
      <c r="N597" s="171">
        <f>MouserListTable12[[#This Row],['# Initial]]*MouserListTable12[[#This Row],[Price (USD)]]</f>
        <v>0</v>
      </c>
      <c r="O597" s="106" t="s">
        <v>841</v>
      </c>
      <c r="P597" s="103">
        <f t="shared" si="14"/>
        <v>578</v>
      </c>
      <c r="Q597" s="103">
        <f>IF($D597=$O597,1,0)</f>
        <v>1</v>
      </c>
      <c r="R597" s="103" t="s">
        <v>8</v>
      </c>
      <c r="S597" s="103" t="str">
        <f>_xlfn.IFS(MouserListTable12[[#This Row],[Supplier]]=FilterSpecs!$A$6, FilterSpecs!$B$6,MouserListTable12[[#This Row],[Supplier]]=FilterSpecs!$A$7,FilterSpecs!$B$7,MouserListTable12[[#This Row],[Supplier]]=FilterSpecs!$A$8,FilterSpecs!$B$8,MouserListTable12[[#This Row],[Supplier]]=FilterSpecs!$A$9,FilterSpecs!$B$9)</f>
        <v>474-</v>
      </c>
      <c r="T59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474-TOL-08794</v>
      </c>
      <c r="U597" s="121">
        <v>0</v>
      </c>
      <c r="V597" s="121">
        <v>1</v>
      </c>
      <c r="W597" s="121">
        <v>0</v>
      </c>
      <c r="X597" s="121">
        <f>MouserListTable12[[#This Row],['#/Unit]]*FilterSpecs!$C$3+MouserListTable12[[#This Row],[Extra]]</f>
        <v>1</v>
      </c>
      <c r="Y597" s="121">
        <f>IF(MouserListTable12[[#This Row],[Tag]]=FilterSpecs!$F$7,MouserListTable12[[#This Row],[Price (USD)]],0)</f>
        <v>0</v>
      </c>
      <c r="Z597" s="121">
        <f>MouserListTable12[[#This Row],[Tot '#]]*MouserListTable12[[#This Row],[Price (USD)]]</f>
        <v>1.95</v>
      </c>
    </row>
    <row r="598" spans="1:26" s="146" customFormat="1" hidden="1" x14ac:dyDescent="0.3">
      <c r="A598" s="126" t="s">
        <v>17</v>
      </c>
      <c r="B598" s="126" t="s">
        <v>1613</v>
      </c>
      <c r="C598" s="126" t="s">
        <v>8</v>
      </c>
      <c r="D598" s="106" t="str">
        <f>IF(MouserListTable12[[#This Row],[Vendor]]=FilterSpecs!$A$8,MouserListTable12[[#This Row],[Mouser SKU]], MouserListTable12[[#This Row],[SKU2]])</f>
        <v>TOL-11952</v>
      </c>
      <c r="E598" s="121">
        <f>MouserListTable12[[#This Row],[Tot '#]]-MouserListTable12[[#This Row],['# Initial]]</f>
        <v>0</v>
      </c>
      <c r="F598" s="121">
        <f>MouserListTable12[[#This Row],['#/Unit]]*FilterSpecs!$B$3+MouserListTable12[[#This Row],[Extra Initial]]</f>
        <v>0</v>
      </c>
      <c r="G598" s="103" t="s">
        <v>878</v>
      </c>
      <c r="H598" s="103" t="s">
        <v>879</v>
      </c>
      <c r="I598" s="103" t="s">
        <v>880</v>
      </c>
      <c r="J598" s="103">
        <v>1</v>
      </c>
      <c r="K598" s="171">
        <v>6.95</v>
      </c>
      <c r="L598" s="103" t="s">
        <v>1914</v>
      </c>
      <c r="M598" s="103" t="s">
        <v>1209</v>
      </c>
      <c r="N598" s="171">
        <f>MouserListTable12[[#This Row],['# Initial]]*MouserListTable12[[#This Row],[Price (USD)]]</f>
        <v>0</v>
      </c>
      <c r="O598" s="106" t="s">
        <v>877</v>
      </c>
      <c r="P598" s="103">
        <f t="shared" si="14"/>
        <v>579</v>
      </c>
      <c r="Q598" s="103">
        <f>IF($D598=$O598,1,0)</f>
        <v>1</v>
      </c>
      <c r="R598" s="103" t="s">
        <v>8</v>
      </c>
      <c r="S598" s="103" t="str">
        <f>_xlfn.IFS(MouserListTable12[[#This Row],[Supplier]]=FilterSpecs!$A$6, FilterSpecs!$B$6,MouserListTable12[[#This Row],[Supplier]]=FilterSpecs!$A$7,FilterSpecs!$B$7,MouserListTable12[[#This Row],[Supplier]]=FilterSpecs!$A$8,FilterSpecs!$B$8,MouserListTable12[[#This Row],[Supplier]]=FilterSpecs!$A$9,FilterSpecs!$B$9)</f>
        <v>474-</v>
      </c>
      <c r="T59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474-TOL-11952</v>
      </c>
      <c r="U598" s="121">
        <v>0</v>
      </c>
      <c r="V598" s="121">
        <v>0</v>
      </c>
      <c r="W598" s="121">
        <v>0</v>
      </c>
      <c r="X598" s="121">
        <f>MouserListTable12[[#This Row],['#/Unit]]*FilterSpecs!$C$3+MouserListTable12[[#This Row],[Extra]]</f>
        <v>0</v>
      </c>
      <c r="Y598" s="121">
        <f>IF(MouserListTable12[[#This Row],[Tag]]=FilterSpecs!$F$7,MouserListTable12[[#This Row],[Price (USD)]],0)</f>
        <v>0</v>
      </c>
      <c r="Z598" s="121">
        <f>MouserListTable12[[#This Row],[Tot '#]]*MouserListTable12[[#This Row],[Price (USD)]]</f>
        <v>0</v>
      </c>
    </row>
    <row r="599" spans="1:26" s="146" customFormat="1" x14ac:dyDescent="0.3">
      <c r="A599" s="103" t="s">
        <v>17</v>
      </c>
      <c r="B599" s="103" t="s">
        <v>1613</v>
      </c>
      <c r="C599" s="103" t="s">
        <v>8</v>
      </c>
      <c r="D599" s="106" t="str">
        <f>IF(MouserListTable12[[#This Row],[Vendor]]=FilterSpecs!$A$8,MouserListTable12[[#This Row],[Mouser SKU]], MouserListTable12[[#This Row],[SKU2]])</f>
        <v>TOL-09200</v>
      </c>
      <c r="E599" s="121">
        <f>MouserListTable12[[#This Row],[Tot '#]]-MouserListTable12[[#This Row],['# Initial]]</f>
        <v>0</v>
      </c>
      <c r="F599" s="121">
        <f>MouserListTable12[[#This Row],['#/Unit]]*FilterSpecs!$B$3+MouserListTable12[[#This Row],[Extra Initial]]</f>
        <v>1</v>
      </c>
      <c r="G599" s="103" t="s">
        <v>866</v>
      </c>
      <c r="H599" s="103" t="s">
        <v>867</v>
      </c>
      <c r="I599" s="103" t="s">
        <v>868</v>
      </c>
      <c r="J599" s="103">
        <v>1</v>
      </c>
      <c r="K599" s="171">
        <v>2.95</v>
      </c>
      <c r="L599" s="103" t="s">
        <v>1914</v>
      </c>
      <c r="M599" s="106"/>
      <c r="N599" s="171">
        <f>MouserListTable12[[#This Row],['# Initial]]*MouserListTable12[[#This Row],[Price (USD)]]</f>
        <v>2.95</v>
      </c>
      <c r="O599" s="106" t="s">
        <v>865</v>
      </c>
      <c r="P599" s="103">
        <f t="shared" si="14"/>
        <v>580</v>
      </c>
      <c r="Q599" s="103">
        <f>IF($D599=$O599,1,0)</f>
        <v>1</v>
      </c>
      <c r="R599" s="103" t="s">
        <v>8</v>
      </c>
      <c r="S599" s="103" t="str">
        <f>_xlfn.IFS(MouserListTable12[[#This Row],[Supplier]]=FilterSpecs!$A$6, FilterSpecs!$B$6,MouserListTable12[[#This Row],[Supplier]]=FilterSpecs!$A$7,FilterSpecs!$B$7,MouserListTable12[[#This Row],[Supplier]]=FilterSpecs!$A$8,FilterSpecs!$B$8,MouserListTable12[[#This Row],[Supplier]]=FilterSpecs!$A$9,FilterSpecs!$B$9)</f>
        <v>474-</v>
      </c>
      <c r="T599"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474-TOL-09200</v>
      </c>
      <c r="U599" s="121">
        <v>0</v>
      </c>
      <c r="V599" s="121">
        <v>1</v>
      </c>
      <c r="W599" s="121">
        <v>1</v>
      </c>
      <c r="X599" s="121">
        <f>MouserListTable12[[#This Row],['#/Unit]]*FilterSpecs!$C$3+MouserListTable12[[#This Row],[Extra]]</f>
        <v>1</v>
      </c>
      <c r="Y599" s="121">
        <f>IF(MouserListTable12[[#This Row],[Tag]]=FilterSpecs!$F$7,MouserListTable12[[#This Row],[Price (USD)]],0)</f>
        <v>0</v>
      </c>
      <c r="Z599" s="121">
        <f>MouserListTable12[[#This Row],[Tot '#]]*MouserListTable12[[#This Row],[Price (USD)]]</f>
        <v>2.95</v>
      </c>
    </row>
    <row r="600" spans="1:26" s="146" customFormat="1" x14ac:dyDescent="0.3">
      <c r="A600" s="103" t="s">
        <v>17</v>
      </c>
      <c r="B600" s="103" t="s">
        <v>1613</v>
      </c>
      <c r="C600" s="103" t="s">
        <v>8</v>
      </c>
      <c r="D600" s="106" t="str">
        <f>IF(MouserListTable12[[#This Row],[Vendor]]=FilterSpecs!$A$8,MouserListTable12[[#This Row],[Mouser SKU]], MouserListTable12[[#This Row],[SKU2]])</f>
        <v>TOL-10325</v>
      </c>
      <c r="E600" s="121">
        <f>MouserListTable12[[#This Row],[Tot '#]]-MouserListTable12[[#This Row],['# Initial]]</f>
        <v>0</v>
      </c>
      <c r="F600" s="121">
        <f>MouserListTable12[[#This Row],['#/Unit]]*FilterSpecs!$B$3+MouserListTable12[[#This Row],[Extra Initial]]</f>
        <v>1</v>
      </c>
      <c r="G600" s="103" t="s">
        <v>1177</v>
      </c>
      <c r="H600" s="103" t="s">
        <v>1178</v>
      </c>
      <c r="I600" s="103" t="s">
        <v>1179</v>
      </c>
      <c r="J600" s="103"/>
      <c r="K600" s="171">
        <v>1.95</v>
      </c>
      <c r="L600" s="103" t="s">
        <v>1914</v>
      </c>
      <c r="M600" s="106"/>
      <c r="N600" s="171">
        <f>MouserListTable12[[#This Row],['# Initial]]*MouserListTable12[[#This Row],[Price (USD)]]</f>
        <v>1.95</v>
      </c>
      <c r="O600" s="106" t="s">
        <v>1176</v>
      </c>
      <c r="P600" s="103">
        <f t="shared" si="14"/>
        <v>581</v>
      </c>
      <c r="Q600" s="103">
        <f>IF($D600=$O600,1,0)</f>
        <v>1</v>
      </c>
      <c r="R600" s="103" t="s">
        <v>8</v>
      </c>
      <c r="S600" s="103" t="str">
        <f>_xlfn.IFS(MouserListTable12[[#This Row],[Supplier]]=FilterSpecs!$A$6, FilterSpecs!$B$6,MouserListTable12[[#This Row],[Supplier]]=FilterSpecs!$A$7,FilterSpecs!$B$7,MouserListTable12[[#This Row],[Supplier]]=FilterSpecs!$A$8,FilterSpecs!$B$8,MouserListTable12[[#This Row],[Supplier]]=FilterSpecs!$A$9,FilterSpecs!$B$9)</f>
        <v>474-</v>
      </c>
      <c r="T600"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474-TOL-10325</v>
      </c>
      <c r="U600" s="121">
        <v>0</v>
      </c>
      <c r="V600" s="121">
        <v>1</v>
      </c>
      <c r="W600" s="121">
        <v>1</v>
      </c>
      <c r="X600" s="121">
        <f>MouserListTable12[[#This Row],['#/Unit]]*FilterSpecs!$C$3+MouserListTable12[[#This Row],[Extra]]</f>
        <v>1</v>
      </c>
      <c r="Y600" s="121">
        <f>IF(MouserListTable12[[#This Row],[Tag]]=FilterSpecs!$F$7,MouserListTable12[[#This Row],[Price (USD)]],0)</f>
        <v>0</v>
      </c>
      <c r="Z600" s="121">
        <f>MouserListTable12[[#This Row],[Tot '#]]*MouserListTable12[[#This Row],[Price (USD)]]</f>
        <v>1.95</v>
      </c>
    </row>
    <row r="601" spans="1:26" s="146" customFormat="1" x14ac:dyDescent="0.3">
      <c r="A601" s="103" t="s">
        <v>17</v>
      </c>
      <c r="B601" s="103" t="s">
        <v>1613</v>
      </c>
      <c r="C601" s="103" t="s">
        <v>8</v>
      </c>
      <c r="D601" s="106" t="str">
        <f>IF(MouserListTable12[[#This Row],[Vendor]]=FilterSpecs!$A$8,MouserListTable12[[#This Row],[Mouser SKU]], MouserListTable12[[#This Row],[SKU2]])</f>
        <v>TOL-13114</v>
      </c>
      <c r="E601" s="121">
        <f>MouserListTable12[[#This Row],[Tot '#]]-MouserListTable12[[#This Row],['# Initial]]</f>
        <v>0</v>
      </c>
      <c r="F601" s="121">
        <f>MouserListTable12[[#This Row],['#/Unit]]*FilterSpecs!$B$3+MouserListTable12[[#This Row],[Extra Initial]]</f>
        <v>1</v>
      </c>
      <c r="G601" s="103" t="s">
        <v>834</v>
      </c>
      <c r="H601" s="103" t="s">
        <v>835</v>
      </c>
      <c r="I601" s="103" t="s">
        <v>836</v>
      </c>
      <c r="J601" s="103"/>
      <c r="K601" s="171">
        <v>4.8</v>
      </c>
      <c r="L601" s="103" t="s">
        <v>1914</v>
      </c>
      <c r="M601" s="106"/>
      <c r="N601" s="171">
        <f>MouserListTable12[[#This Row],['# Initial]]*MouserListTable12[[#This Row],[Price (USD)]]</f>
        <v>4.8</v>
      </c>
      <c r="O601" s="106" t="s">
        <v>833</v>
      </c>
      <c r="P601" s="103">
        <f t="shared" si="14"/>
        <v>582</v>
      </c>
      <c r="Q601" s="103">
        <f>IF($D601=$O601,1,0)</f>
        <v>1</v>
      </c>
      <c r="R601" s="103" t="s">
        <v>8</v>
      </c>
      <c r="S601" s="103" t="str">
        <f>_xlfn.IFS(MouserListTable12[[#This Row],[Supplier]]=FilterSpecs!$A$6, FilterSpecs!$B$6,MouserListTable12[[#This Row],[Supplier]]=FilterSpecs!$A$7,FilterSpecs!$B$7,MouserListTable12[[#This Row],[Supplier]]=FilterSpecs!$A$8,FilterSpecs!$B$8,MouserListTable12[[#This Row],[Supplier]]=FilterSpecs!$A$9,FilterSpecs!$B$9)</f>
        <v>474-</v>
      </c>
      <c r="T601"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474-TOL-13114</v>
      </c>
      <c r="U601" s="121">
        <v>0</v>
      </c>
      <c r="V601" s="121">
        <v>1</v>
      </c>
      <c r="W601" s="121">
        <v>1</v>
      </c>
      <c r="X601" s="121">
        <f>MouserListTable12[[#This Row],['#/Unit]]*FilterSpecs!$C$3+MouserListTable12[[#This Row],[Extra]]</f>
        <v>1</v>
      </c>
      <c r="Y601" s="121">
        <f>IF(MouserListTable12[[#This Row],[Tag]]=FilterSpecs!$F$7,MouserListTable12[[#This Row],[Price (USD)]],0)</f>
        <v>0</v>
      </c>
      <c r="Z601" s="121">
        <f>MouserListTable12[[#This Row],[Tot '#]]*MouserListTable12[[#This Row],[Price (USD)]]</f>
        <v>4.8</v>
      </c>
    </row>
    <row r="602" spans="1:26" s="146" customFormat="1" hidden="1" x14ac:dyDescent="0.3">
      <c r="A602" s="126" t="s">
        <v>17</v>
      </c>
      <c r="B602" s="126" t="s">
        <v>1654</v>
      </c>
      <c r="C602" s="126" t="s">
        <v>8</v>
      </c>
      <c r="D602" s="106" t="str">
        <f>IF(MouserListTable12[[#This Row],[Vendor]]=FilterSpecs!$A$8,MouserListTable12[[#This Row],[Mouser SKU]], MouserListTable12[[#This Row],[SKU2]])</f>
        <v>TOL-11528</v>
      </c>
      <c r="E602" s="121">
        <f>MouserListTable12[[#This Row],[Tot '#]]-MouserListTable12[[#This Row],['# Initial]]</f>
        <v>0</v>
      </c>
      <c r="F602" s="121">
        <f>MouserListTable12[[#This Row],['#/Unit]]*FilterSpecs!$B$3+MouserListTable12[[#This Row],[Extra Initial]]</f>
        <v>0</v>
      </c>
      <c r="G602" s="103" t="s">
        <v>1631</v>
      </c>
      <c r="H602" s="103" t="s">
        <v>1632</v>
      </c>
      <c r="I602" s="103" t="s">
        <v>1633</v>
      </c>
      <c r="J602" s="103"/>
      <c r="K602" s="171">
        <v>3.95</v>
      </c>
      <c r="L602" s="103" t="s">
        <v>1910</v>
      </c>
      <c r="N602" s="171">
        <f>MouserListTable12[[#This Row],['# Initial]]*MouserListTable12[[#This Row],[Price (USD)]]</f>
        <v>0</v>
      </c>
      <c r="O602" s="106" t="s">
        <v>1630</v>
      </c>
      <c r="P602" s="103">
        <f t="shared" si="14"/>
        <v>583</v>
      </c>
      <c r="Q602" s="103">
        <f>IF($D602=$O602,1,0)</f>
        <v>1</v>
      </c>
      <c r="R602" s="103" t="s">
        <v>8</v>
      </c>
      <c r="S602" s="103" t="str">
        <f>_xlfn.IFS(MouserListTable12[[#This Row],[Supplier]]=FilterSpecs!$A$6, FilterSpecs!$B$6,MouserListTable12[[#This Row],[Supplier]]=FilterSpecs!$A$7,FilterSpecs!$B$7,MouserListTable12[[#This Row],[Supplier]]=FilterSpecs!$A$8,FilterSpecs!$B$8,MouserListTable12[[#This Row],[Supplier]]=FilterSpecs!$A$9,FilterSpecs!$B$9)</f>
        <v>474-</v>
      </c>
      <c r="T602"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474-TOL-11528</v>
      </c>
      <c r="U602" s="121">
        <v>0</v>
      </c>
      <c r="V602" s="121">
        <v>0</v>
      </c>
      <c r="W602" s="121">
        <v>0</v>
      </c>
      <c r="X602" s="121">
        <f>MouserListTable12[[#This Row],['#/Unit]]*FilterSpecs!$C$3+MouserListTable12[[#This Row],[Extra]]</f>
        <v>0</v>
      </c>
      <c r="Y602" s="121">
        <f>IF(MouserListTable12[[#This Row],[Tag]]=FilterSpecs!$F$7,MouserListTable12[[#This Row],[Price (USD)]],0)</f>
        <v>0</v>
      </c>
      <c r="Z602" s="121">
        <f>MouserListTable12[[#This Row],[Tot '#]]*MouserListTable12[[#This Row],[Price (USD)]]</f>
        <v>0</v>
      </c>
    </row>
    <row r="603" spans="1:26" s="146" customFormat="1" hidden="1" x14ac:dyDescent="0.3">
      <c r="A603" s="126" t="s">
        <v>17</v>
      </c>
      <c r="B603" s="126" t="s">
        <v>1654</v>
      </c>
      <c r="C603" s="126" t="s">
        <v>8</v>
      </c>
      <c r="D603" s="106" t="str">
        <f>IF(MouserListTable12[[#This Row],[Vendor]]=FilterSpecs!$A$8,MouserListTable12[[#This Row],[Mouser SKU]], MouserListTable12[[#This Row],[SKU2]])</f>
        <v>TOL-11527</v>
      </c>
      <c r="E603" s="121">
        <f>MouserListTable12[[#This Row],[Tot '#]]-MouserListTable12[[#This Row],['# Initial]]</f>
        <v>0</v>
      </c>
      <c r="F603" s="121">
        <f>MouserListTable12[[#This Row],['#/Unit]]*FilterSpecs!$B$3+MouserListTable12[[#This Row],[Extra Initial]]</f>
        <v>0</v>
      </c>
      <c r="G603" s="103" t="s">
        <v>1635</v>
      </c>
      <c r="H603" s="103" t="s">
        <v>1636</v>
      </c>
      <c r="I603" s="103" t="s">
        <v>1637</v>
      </c>
      <c r="J603" s="103"/>
      <c r="K603" s="171">
        <v>3.95</v>
      </c>
      <c r="L603" s="103" t="s">
        <v>1910</v>
      </c>
      <c r="N603" s="171">
        <f>MouserListTable12[[#This Row],['# Initial]]*MouserListTable12[[#This Row],[Price (USD)]]</f>
        <v>0</v>
      </c>
      <c r="O603" s="106" t="s">
        <v>1634</v>
      </c>
      <c r="P603" s="103">
        <f t="shared" si="14"/>
        <v>584</v>
      </c>
      <c r="Q603" s="103">
        <f>IF($D603=$O603,1,0)</f>
        <v>1</v>
      </c>
      <c r="R603" s="103" t="s">
        <v>8</v>
      </c>
      <c r="S603" s="103" t="str">
        <f>_xlfn.IFS(MouserListTable12[[#This Row],[Supplier]]=FilterSpecs!$A$6, FilterSpecs!$B$6,MouserListTable12[[#This Row],[Supplier]]=FilterSpecs!$A$7,FilterSpecs!$B$7,MouserListTable12[[#This Row],[Supplier]]=FilterSpecs!$A$8,FilterSpecs!$B$8,MouserListTable12[[#This Row],[Supplier]]=FilterSpecs!$A$9,FilterSpecs!$B$9)</f>
        <v>474-</v>
      </c>
      <c r="T603"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474-TOL-11527</v>
      </c>
      <c r="U603" s="121">
        <v>0</v>
      </c>
      <c r="V603" s="121">
        <v>0</v>
      </c>
      <c r="W603" s="121">
        <v>0</v>
      </c>
      <c r="X603" s="121">
        <f>MouserListTable12[[#This Row],['#/Unit]]*FilterSpecs!$C$3+MouserListTable12[[#This Row],[Extra]]</f>
        <v>0</v>
      </c>
      <c r="Y603" s="121">
        <f>IF(MouserListTable12[[#This Row],[Tag]]=FilterSpecs!$F$7,MouserListTable12[[#This Row],[Price (USD)]],0)</f>
        <v>0</v>
      </c>
      <c r="Z603" s="121">
        <f>MouserListTable12[[#This Row],[Tot '#]]*MouserListTable12[[#This Row],[Price (USD)]]</f>
        <v>0</v>
      </c>
    </row>
    <row r="604" spans="1:26" s="144" customFormat="1" hidden="1" x14ac:dyDescent="0.3">
      <c r="A604" s="103" t="s">
        <v>17</v>
      </c>
      <c r="B604" s="103" t="s">
        <v>1654</v>
      </c>
      <c r="C604" s="103" t="s">
        <v>1898</v>
      </c>
      <c r="D604" s="106" t="str">
        <f>IF(MouserListTable12[[#This Row],[Vendor]]=FilterSpecs!$A$8,MouserListTable12[[#This Row],[Mouser SKU]], MouserListTable12[[#This Row],[SKU2]])</f>
        <v>2938</v>
      </c>
      <c r="E604" s="121">
        <f>MouserListTable12[[#This Row],[Tot '#]]-MouserListTable12[[#This Row],['# Initial]]</f>
        <v>0</v>
      </c>
      <c r="F604" s="121">
        <f>MouserListTable12[[#This Row],['#/Unit]]*FilterSpecs!$B$3+MouserListTable12[[#This Row],[Extra Initial]]</f>
        <v>0</v>
      </c>
      <c r="G604" s="103"/>
      <c r="H604" s="103"/>
      <c r="I604" s="126" t="s">
        <v>2086</v>
      </c>
      <c r="J604" s="146"/>
      <c r="K604" s="172">
        <v>2.5</v>
      </c>
      <c r="L604" s="126" t="s">
        <v>1910</v>
      </c>
      <c r="M604" s="146"/>
      <c r="N604" s="171">
        <f>MouserListTable12[[#This Row],['# Initial]]*MouserListTable12[[#This Row],[Price (USD)]]</f>
        <v>0</v>
      </c>
      <c r="O604" s="106" t="s">
        <v>2087</v>
      </c>
      <c r="P604" s="103">
        <f t="shared" si="14"/>
        <v>585</v>
      </c>
      <c r="Q604" s="103">
        <f>IF($D604=$O604,1,0)</f>
        <v>1</v>
      </c>
      <c r="R604" s="103" t="s">
        <v>1898</v>
      </c>
      <c r="S604" s="103" t="str">
        <f>_xlfn.IFS(MouserListTable12[[#This Row],[Supplier]]=FilterSpecs!$A$6, FilterSpecs!$B$6,MouserListTable12[[#This Row],[Supplier]]=FilterSpecs!$A$7,FilterSpecs!$B$7,MouserListTable12[[#This Row],[Supplier]]=FilterSpecs!$A$8,FilterSpecs!$B$8,MouserListTable12[[#This Row],[Supplier]]=FilterSpecs!$A$9,FilterSpecs!$B$9)</f>
        <v>485-</v>
      </c>
      <c r="T604"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485-2938</v>
      </c>
      <c r="U604" s="121">
        <v>0</v>
      </c>
      <c r="V604" s="121">
        <v>0</v>
      </c>
      <c r="W604" s="121">
        <v>0</v>
      </c>
      <c r="X604" s="121">
        <f>MouserListTable12[[#This Row],['#/Unit]]*FilterSpecs!$C$3+MouserListTable12[[#This Row],[Extra]]</f>
        <v>0</v>
      </c>
      <c r="Y604" s="121">
        <f>IF(MouserListTable12[[#This Row],[Tag]]=FilterSpecs!$F$7,MouserListTable12[[#This Row],[Price (USD)]],0)</f>
        <v>0</v>
      </c>
      <c r="Z604" s="121">
        <f>MouserListTable12[[#This Row],[Tot '#]]*MouserListTable12[[#This Row],[Price (USD)]]</f>
        <v>0</v>
      </c>
    </row>
    <row r="605" spans="1:26" s="144" customFormat="1" x14ac:dyDescent="0.3">
      <c r="A605" s="103" t="s">
        <v>17</v>
      </c>
      <c r="B605" s="103" t="s">
        <v>1654</v>
      </c>
      <c r="C605" s="103" t="s">
        <v>1898</v>
      </c>
      <c r="D605" s="106" t="str">
        <f>IF(MouserListTable12[[#This Row],[Vendor]]=FilterSpecs!$A$8,MouserListTable12[[#This Row],[Mouser SKU]], MouserListTable12[[#This Row],[SKU2]])</f>
        <v>433</v>
      </c>
      <c r="E605" s="121">
        <f>MouserListTable12[[#This Row],[Tot '#]]-MouserListTable12[[#This Row],['# Initial]]</f>
        <v>0</v>
      </c>
      <c r="F605" s="121">
        <f>MouserListTable12[[#This Row],['#/Unit]]*FilterSpecs!$B$3+MouserListTable12[[#This Row],[Extra Initial]]</f>
        <v>1</v>
      </c>
      <c r="G605" s="103"/>
      <c r="H605" s="103"/>
      <c r="I605" s="103" t="s">
        <v>2084</v>
      </c>
      <c r="J605" s="146"/>
      <c r="K605" s="171">
        <v>2.95</v>
      </c>
      <c r="L605" s="103" t="s">
        <v>1910</v>
      </c>
      <c r="M605" s="106"/>
      <c r="N605" s="171">
        <f>MouserListTable12[[#This Row],['# Initial]]*MouserListTable12[[#This Row],[Price (USD)]]</f>
        <v>2.95</v>
      </c>
      <c r="O605" s="106" t="s">
        <v>2085</v>
      </c>
      <c r="P605" s="103">
        <f t="shared" si="14"/>
        <v>586</v>
      </c>
      <c r="Q605" s="103">
        <f>IF($D605=$O605,1,0)</f>
        <v>1</v>
      </c>
      <c r="R605" s="103" t="s">
        <v>1898</v>
      </c>
      <c r="S605" s="103" t="str">
        <f>_xlfn.IFS(MouserListTable12[[#This Row],[Supplier]]=FilterSpecs!$A$6, FilterSpecs!$B$6,MouserListTable12[[#This Row],[Supplier]]=FilterSpecs!$A$7,FilterSpecs!$B$7,MouserListTable12[[#This Row],[Supplier]]=FilterSpecs!$A$8,FilterSpecs!$B$8,MouserListTable12[[#This Row],[Supplier]]=FilterSpecs!$A$9,FilterSpecs!$B$9)</f>
        <v>485-</v>
      </c>
      <c r="T605"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485-433</v>
      </c>
      <c r="U605" s="121">
        <v>0</v>
      </c>
      <c r="V605" s="121">
        <v>1</v>
      </c>
      <c r="W605" s="121">
        <v>1</v>
      </c>
      <c r="X605" s="121">
        <f>MouserListTable12[[#This Row],['#/Unit]]*FilterSpecs!$C$3+MouserListTable12[[#This Row],[Extra]]</f>
        <v>1</v>
      </c>
      <c r="Y605" s="121">
        <f>IF(MouserListTable12[[#This Row],[Tag]]=FilterSpecs!$F$7,MouserListTable12[[#This Row],[Price (USD)]],0)</f>
        <v>0</v>
      </c>
      <c r="Z605" s="121">
        <f>MouserListTable12[[#This Row],[Tot '#]]*MouserListTable12[[#This Row],[Price (USD)]]</f>
        <v>2.95</v>
      </c>
    </row>
    <row r="606" spans="1:26" s="144" customFormat="1" x14ac:dyDescent="0.3">
      <c r="A606" s="103" t="s">
        <v>17</v>
      </c>
      <c r="B606" s="103" t="s">
        <v>1654</v>
      </c>
      <c r="C606" s="103" t="s">
        <v>1898</v>
      </c>
      <c r="D606" s="106" t="str">
        <f>IF(MouserListTable12[[#This Row],[Vendor]]=FilterSpecs!$A$8,MouserListTable12[[#This Row],[Mouser SKU]], MouserListTable12[[#This Row],[SKU2]])</f>
        <v>432</v>
      </c>
      <c r="E606" s="121">
        <f>MouserListTable12[[#This Row],[Tot '#]]-MouserListTable12[[#This Row],['# Initial]]</f>
        <v>0</v>
      </c>
      <c r="F606" s="121">
        <f>MouserListTable12[[#This Row],['#/Unit]]*FilterSpecs!$B$3+MouserListTable12[[#This Row],[Extra Initial]]</f>
        <v>1</v>
      </c>
      <c r="G606" s="103"/>
      <c r="H606" s="103"/>
      <c r="I606" s="103" t="s">
        <v>2080</v>
      </c>
      <c r="J606" s="146"/>
      <c r="K606" s="171">
        <v>2.95</v>
      </c>
      <c r="L606" s="103" t="s">
        <v>1910</v>
      </c>
      <c r="M606" s="106"/>
      <c r="N606" s="171">
        <f>MouserListTable12[[#This Row],['# Initial]]*MouserListTable12[[#This Row],[Price (USD)]]</f>
        <v>2.95</v>
      </c>
      <c r="O606" s="106" t="s">
        <v>2081</v>
      </c>
      <c r="P606" s="103">
        <f t="shared" si="14"/>
        <v>587</v>
      </c>
      <c r="Q606" s="103">
        <f>IF($D606=$O606,1,0)</f>
        <v>1</v>
      </c>
      <c r="R606" s="103" t="s">
        <v>1898</v>
      </c>
      <c r="S606" s="103" t="str">
        <f>_xlfn.IFS(MouserListTable12[[#This Row],[Supplier]]=FilterSpecs!$A$6, FilterSpecs!$B$6,MouserListTable12[[#This Row],[Supplier]]=FilterSpecs!$A$7,FilterSpecs!$B$7,MouserListTable12[[#This Row],[Supplier]]=FilterSpecs!$A$8,FilterSpecs!$B$8,MouserListTable12[[#This Row],[Supplier]]=FilterSpecs!$A$9,FilterSpecs!$B$9)</f>
        <v>485-</v>
      </c>
      <c r="T606"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485-432</v>
      </c>
      <c r="U606" s="121">
        <v>0</v>
      </c>
      <c r="V606" s="121">
        <v>1</v>
      </c>
      <c r="W606" s="121">
        <v>1</v>
      </c>
      <c r="X606" s="121">
        <f>MouserListTable12[[#This Row],['#/Unit]]*FilterSpecs!$C$3+MouserListTable12[[#This Row],[Extra]]</f>
        <v>1</v>
      </c>
      <c r="Y606" s="121">
        <f>IF(MouserListTable12[[#This Row],[Tag]]=FilterSpecs!$F$7,MouserListTable12[[#This Row],[Price (USD)]],0)</f>
        <v>0</v>
      </c>
      <c r="Z606" s="121">
        <f>MouserListTable12[[#This Row],[Tot '#]]*MouserListTable12[[#This Row],[Price (USD)]]</f>
        <v>2.95</v>
      </c>
    </row>
    <row r="607" spans="1:26" s="144" customFormat="1" x14ac:dyDescent="0.3">
      <c r="A607" s="103" t="s">
        <v>17</v>
      </c>
      <c r="B607" s="103" t="s">
        <v>1654</v>
      </c>
      <c r="C607" s="103" t="s">
        <v>1898</v>
      </c>
      <c r="D607" s="106" t="str">
        <f>IF(MouserListTable12[[#This Row],[Vendor]]=FilterSpecs!$A$8,MouserListTable12[[#This Row],[Mouser SKU]], MouserListTable12[[#This Row],[SKU2]])</f>
        <v>427</v>
      </c>
      <c r="E607" s="121">
        <f>MouserListTable12[[#This Row],[Tot '#]]-MouserListTable12[[#This Row],['# Initial]]</f>
        <v>0</v>
      </c>
      <c r="F607" s="121">
        <f>MouserListTable12[[#This Row],['#/Unit]]*FilterSpecs!$B$3+MouserListTable12[[#This Row],[Extra Initial]]</f>
        <v>1</v>
      </c>
      <c r="G607" s="103"/>
      <c r="H607" s="103"/>
      <c r="I607" s="103" t="s">
        <v>2082</v>
      </c>
      <c r="J607" s="146"/>
      <c r="K607" s="171">
        <v>3.95</v>
      </c>
      <c r="L607" s="103" t="s">
        <v>1910</v>
      </c>
      <c r="M607" s="106"/>
      <c r="N607" s="171">
        <f>MouserListTable12[[#This Row],['# Initial]]*MouserListTable12[[#This Row],[Price (USD)]]</f>
        <v>3.95</v>
      </c>
      <c r="O607" s="106" t="s">
        <v>2083</v>
      </c>
      <c r="P607" s="103">
        <f t="shared" si="14"/>
        <v>588</v>
      </c>
      <c r="Q607" s="103">
        <f>IF($D607=$O607,1,0)</f>
        <v>1</v>
      </c>
      <c r="R607" s="103" t="s">
        <v>1898</v>
      </c>
      <c r="S607" s="103" t="str">
        <f>_xlfn.IFS(MouserListTable12[[#This Row],[Supplier]]=FilterSpecs!$A$6, FilterSpecs!$B$6,MouserListTable12[[#This Row],[Supplier]]=FilterSpecs!$A$7,FilterSpecs!$B$7,MouserListTable12[[#This Row],[Supplier]]=FilterSpecs!$A$8,FilterSpecs!$B$8,MouserListTable12[[#This Row],[Supplier]]=FilterSpecs!$A$9,FilterSpecs!$B$9)</f>
        <v>485-</v>
      </c>
      <c r="T607"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485-427</v>
      </c>
      <c r="U607" s="121">
        <v>0</v>
      </c>
      <c r="V607" s="121">
        <v>1</v>
      </c>
      <c r="W607" s="121">
        <v>1</v>
      </c>
      <c r="X607" s="121">
        <f>MouserListTable12[[#This Row],['#/Unit]]*FilterSpecs!$C$3+MouserListTable12[[#This Row],[Extra]]</f>
        <v>1</v>
      </c>
      <c r="Y607" s="121">
        <f>IF(MouserListTable12[[#This Row],[Tag]]=FilterSpecs!$F$7,MouserListTable12[[#This Row],[Price (USD)]],0)</f>
        <v>0</v>
      </c>
      <c r="Z607" s="121">
        <f>MouserListTable12[[#This Row],[Tot '#]]*MouserListTable12[[#This Row],[Price (USD)]]</f>
        <v>3.95</v>
      </c>
    </row>
    <row r="608" spans="1:26" s="144" customFormat="1" x14ac:dyDescent="0.3">
      <c r="A608" s="103" t="s">
        <v>17</v>
      </c>
      <c r="B608" s="103" t="s">
        <v>1654</v>
      </c>
      <c r="C608" s="103" t="s">
        <v>1898</v>
      </c>
      <c r="D608" s="106" t="str">
        <f>IF(MouserListTable12[[#This Row],[Vendor]]=FilterSpecs!$A$8,MouserListTable12[[#This Row],[Mouser SKU]], MouserListTable12[[#This Row],[SKU2]])</f>
        <v>431</v>
      </c>
      <c r="E608" s="121">
        <f>MouserListTable12[[#This Row],[Tot '#]]-MouserListTable12[[#This Row],['# Initial]]</f>
        <v>0</v>
      </c>
      <c r="F608" s="121">
        <f>MouserListTable12[[#This Row],['#/Unit]]*FilterSpecs!$B$3+MouserListTable12[[#This Row],[Extra Initial]]</f>
        <v>1</v>
      </c>
      <c r="G608" s="103"/>
      <c r="H608" s="103"/>
      <c r="I608" s="103" t="s">
        <v>2076</v>
      </c>
      <c r="J608" s="146"/>
      <c r="K608" s="171">
        <v>3.95</v>
      </c>
      <c r="L608" s="103" t="s">
        <v>1910</v>
      </c>
      <c r="M608" s="106"/>
      <c r="N608" s="171">
        <f>MouserListTable12[[#This Row],['# Initial]]*MouserListTable12[[#This Row],[Price (USD)]]</f>
        <v>3.95</v>
      </c>
      <c r="O608" s="106" t="s">
        <v>2077</v>
      </c>
      <c r="P608" s="103">
        <f t="shared" si="14"/>
        <v>589</v>
      </c>
      <c r="Q608" s="103">
        <f>IF($D608=$O608,1,0)</f>
        <v>1</v>
      </c>
      <c r="R608" s="103" t="s">
        <v>1898</v>
      </c>
      <c r="S608" s="103" t="str">
        <f>_xlfn.IFS(MouserListTable12[[#This Row],[Supplier]]=FilterSpecs!$A$6, FilterSpecs!$B$6,MouserListTable12[[#This Row],[Supplier]]=FilterSpecs!$A$7,FilterSpecs!$B$7,MouserListTable12[[#This Row],[Supplier]]=FilterSpecs!$A$8,FilterSpecs!$B$8,MouserListTable12[[#This Row],[Supplier]]=FilterSpecs!$A$9,FilterSpecs!$B$9)</f>
        <v>485-</v>
      </c>
      <c r="T608" s="121" t="str">
        <f>_xlfn.IFS(MouserListTable12[[#This Row],[Supplier]]=FilterSpecs!$A$6, FilterSpecs!$B$6 &amp; MouserListTable12[[#This Row],[SKU2]],MouserListTable12[[#This Row],[Supplier]]=FilterSpecs!$A$7,FilterSpecs!$B$7&amp; MouserListTable12[[#This Row],[SKU2]],MouserListTable12[[#This Row],[Supplier]]=FilterSpecs!$A$8, FilterSpecs!$B$8&amp;MouserListTable12[[#This Row],[SKU2]],MouserListTable12[[#This Row],[Supplier]]=FilterSpecs!$A$9,FilterSpecs!$B$9&amp; MouserListTable12[[#This Row],[SKU2]], MouserListTable12[[#This Row],[Supplier]]=FilterSpecs!$A$17,FilterSpecs!$B$17&amp; MouserListTable12[[#This Row],[SKU2]])</f>
        <v>485-431</v>
      </c>
      <c r="U608" s="121">
        <v>0</v>
      </c>
      <c r="V608" s="121">
        <v>1</v>
      </c>
      <c r="W608" s="121">
        <v>1</v>
      </c>
      <c r="X608" s="121">
        <f>MouserListTable12[[#This Row],['#/Unit]]*FilterSpecs!$C$3+MouserListTable12[[#This Row],[Extra]]</f>
        <v>1</v>
      </c>
      <c r="Y608" s="121">
        <f>IF(MouserListTable12[[#This Row],[Tag]]=FilterSpecs!$F$7,MouserListTable12[[#This Row],[Price (USD)]],0)</f>
        <v>0</v>
      </c>
      <c r="Z608" s="121">
        <f>MouserListTable12[[#This Row],[Tot '#]]*MouserListTable12[[#This Row],[Price (USD)]]</f>
        <v>3.95</v>
      </c>
    </row>
    <row r="609" spans="1:26" x14ac:dyDescent="0.3">
      <c r="A609" s="51" t="s">
        <v>1411</v>
      </c>
      <c r="B609" s="51">
        <f>SUBTOTAL(103,MouserListTable12[Category])</f>
        <v>187</v>
      </c>
      <c r="D609" s="12"/>
      <c r="E609" s="12">
        <f>SUBTOTAL(109,MouserListTable12['# Left])</f>
        <v>51</v>
      </c>
      <c r="F609" s="12"/>
      <c r="G609" s="12"/>
      <c r="H609" s="12"/>
      <c r="I609" s="12"/>
      <c r="J609" s="12"/>
      <c r="K609" s="14">
        <f>SUBTOTAL(101,MouserListTable12[Price (USD)])</f>
        <v>5.615935828877026</v>
      </c>
      <c r="L609" s="14"/>
      <c r="M609" s="12">
        <f>SUBTOTAL(103,MouserListTable12[Description/Comments])</f>
        <v>10</v>
      </c>
      <c r="N609" s="12">
        <f>SUBTOTAL(109,MouserListTable12[Total Price])</f>
        <v>3934.0199999999918</v>
      </c>
      <c r="O609" s="12">
        <f>SUBTOTAL(103,MouserListTable12[SKU2])</f>
        <v>187</v>
      </c>
      <c r="P609" s="12">
        <f>SUBTOTAL(104,MouserListTable12[List '#])</f>
        <v>589</v>
      </c>
      <c r="Q609" s="12">
        <f>SUBTOTAL(105,MouserListTable12[Sku Copy Check])</f>
        <v>0</v>
      </c>
      <c r="R609" s="12"/>
      <c r="S609" s="12"/>
      <c r="T609" s="12"/>
      <c r="U609" s="12"/>
      <c r="V609" s="12"/>
      <c r="W609" s="12"/>
      <c r="X609" s="12"/>
      <c r="Y609" s="12">
        <f>SUBTOTAL(109,MouserListTable12[$/Unit])</f>
        <v>563.91000000000008</v>
      </c>
      <c r="Z609" s="12"/>
    </row>
    <row r="610" spans="1:26" x14ac:dyDescent="0.3">
      <c r="A610" s="51">
        <f>Primary!A154+Secondary!A42+'Advanced&amp;Optional'!A29+'SmartHome&amp;IoT'!A43+Hardware!A47+LowLevel!A242+Tools!A42</f>
        <v>585</v>
      </c>
      <c r="D610" s="12"/>
      <c r="E610" s="12"/>
      <c r="F610" s="12"/>
      <c r="G610" s="12"/>
      <c r="H610" s="12"/>
      <c r="I610" s="12"/>
      <c r="J610" s="12"/>
      <c r="K610" s="12"/>
      <c r="L610" s="12"/>
    </row>
    <row r="611" spans="1:26" ht="15" thickBot="1" x14ac:dyDescent="0.35">
      <c r="D611" s="12"/>
      <c r="E611" s="12"/>
      <c r="F611" s="12"/>
      <c r="G611" s="12"/>
      <c r="H611" s="12"/>
      <c r="I611" s="12"/>
      <c r="J611" s="12"/>
      <c r="K611" s="12"/>
      <c r="L611" s="12"/>
    </row>
    <row r="612" spans="1:26" ht="19.2" thickTop="1" thickBot="1" x14ac:dyDescent="0.35">
      <c r="A612" s="175" t="s">
        <v>18944</v>
      </c>
      <c r="B612" s="175" t="s">
        <v>18945</v>
      </c>
      <c r="C612" s="176" t="s">
        <v>18946</v>
      </c>
      <c r="D612" s="12"/>
      <c r="E612" s="12"/>
      <c r="F612" s="12"/>
      <c r="G612" s="12"/>
      <c r="H612" s="12"/>
      <c r="I612" s="12"/>
      <c r="J612" s="12"/>
      <c r="K612" s="12"/>
      <c r="L612" s="12"/>
    </row>
    <row r="613" spans="1:26" ht="16.8" thickTop="1" thickBot="1" x14ac:dyDescent="0.35">
      <c r="A613" s="177" t="str">
        <f>FilterSpecs!C6</f>
        <v>Primary Component</v>
      </c>
      <c r="B613" s="179">
        <f>SUMIF(MouserListTable12[Type],"=" &amp; FilterSpecs!$C6,MouserListTable12[Total Price])</f>
        <v>2313.9500000000003</v>
      </c>
      <c r="C613" s="180">
        <f>SUMIF(MouserListTable12[Type],"=" &amp; FilterSpecs!$C6,MouserListTable12[Total $])</f>
        <v>2987.3500000000004</v>
      </c>
      <c r="D613" s="12"/>
      <c r="E613" s="12"/>
      <c r="F613" s="12"/>
      <c r="G613" s="12"/>
      <c r="H613" s="12"/>
      <c r="I613" s="12"/>
      <c r="J613" s="12"/>
      <c r="K613" s="12"/>
      <c r="L613" s="12"/>
    </row>
    <row r="614" spans="1:26" ht="16.8" thickTop="1" thickBot="1" x14ac:dyDescent="0.35">
      <c r="A614" s="177" t="str">
        <f>FilterSpecs!C7</f>
        <v>Secondary Component</v>
      </c>
      <c r="B614" s="179">
        <f>SUMIF(MouserListTable12[Type],"=" &amp; FilterSpecs!$C7,MouserListTable12[Total Price])</f>
        <v>275.12</v>
      </c>
      <c r="C614" s="181">
        <f>SUMIF(MouserListTable12[Type],"=" &amp; FilterSpecs!$C7,MouserListTable12[Total $])</f>
        <v>396.32</v>
      </c>
      <c r="D614" s="12"/>
      <c r="E614" s="12"/>
      <c r="F614" s="12"/>
      <c r="G614" s="12"/>
      <c r="H614" s="12"/>
      <c r="I614" s="12"/>
      <c r="J614" s="12"/>
      <c r="K614" s="12"/>
      <c r="L614" s="12"/>
    </row>
    <row r="615" spans="1:26" ht="16.8" thickTop="1" thickBot="1" x14ac:dyDescent="0.35">
      <c r="A615" s="177" t="str">
        <f>FilterSpecs!C8</f>
        <v>Advanced &amp; Optional Components</v>
      </c>
      <c r="B615" s="179">
        <f>SUMIF(MouserListTable12[Type],"=" &amp; FilterSpecs!$C8,MouserListTable12[Total Price])</f>
        <v>0</v>
      </c>
      <c r="C615" s="181">
        <f>SUMIF(MouserListTable12[Type],"=" &amp; FilterSpecs!$C8,MouserListTable12[Total $])</f>
        <v>1127.2500000000002</v>
      </c>
      <c r="D615" s="12"/>
      <c r="E615" s="12"/>
      <c r="F615" s="12"/>
      <c r="G615" s="12"/>
      <c r="H615" s="12"/>
      <c r="I615" s="12"/>
      <c r="J615" s="12"/>
      <c r="K615" s="12"/>
      <c r="L615" s="12"/>
    </row>
    <row r="616" spans="1:26" ht="16.8" thickTop="1" thickBot="1" x14ac:dyDescent="0.35">
      <c r="A616" s="177" t="str">
        <f>FilterSpecs!C9</f>
        <v>Smart-Home/IoT Network Integration (Fixed)</v>
      </c>
      <c r="B616" s="179">
        <f>SUMIF(MouserListTable12[Type],"=" &amp; FilterSpecs!$C9,MouserListTable12[Total Price])</f>
        <v>0</v>
      </c>
      <c r="C616" s="181">
        <f>SUMIF(MouserListTable12[Type],"=" &amp; FilterSpecs!$C9,MouserListTable12[Total $])</f>
        <v>605.09999999999991</v>
      </c>
      <c r="D616" s="12"/>
      <c r="E616" s="12"/>
      <c r="F616" s="12"/>
      <c r="G616" s="12"/>
      <c r="H616" s="12"/>
      <c r="I616" s="12"/>
      <c r="J616" s="12"/>
      <c r="K616" s="12"/>
      <c r="L616" s="12"/>
    </row>
    <row r="617" spans="1:26" ht="16.8" thickTop="1" thickBot="1" x14ac:dyDescent="0.35">
      <c r="A617" s="177" t="str">
        <f>FilterSpecs!C10</f>
        <v>Smart-Home/IoT Network Integration (Portable)</v>
      </c>
      <c r="B617" s="179">
        <f>SUMIF(MouserListTable12[Type],"=" &amp; FilterSpecs!$C10,MouserListTable12[Total Price])</f>
        <v>0</v>
      </c>
      <c r="C617" s="181">
        <f>SUMIF(MouserListTable12[Type],"=" &amp; FilterSpecs!$C10,MouserListTable12[Total $])</f>
        <v>193.8</v>
      </c>
      <c r="D617" s="12"/>
      <c r="E617" s="12"/>
      <c r="F617" s="12"/>
      <c r="G617" s="12"/>
      <c r="H617" s="12"/>
      <c r="I617" s="12"/>
      <c r="J617" s="12"/>
      <c r="K617" s="12"/>
      <c r="L617" s="12"/>
    </row>
    <row r="618" spans="1:26" ht="16.8" thickTop="1" thickBot="1" x14ac:dyDescent="0.35">
      <c r="A618" s="177" t="str">
        <f>FilterSpecs!C11</f>
        <v>Hardware Component</v>
      </c>
      <c r="B618" s="179">
        <f>SUMIF(MouserListTable12[Type],"=" &amp; FilterSpecs!$C11,MouserListTable12[Total Price])</f>
        <v>523.25000000000023</v>
      </c>
      <c r="C618" s="181">
        <f>SUMIF(MouserListTable12[Type],"=" &amp; FilterSpecs!$C11,MouserListTable12[Total $])</f>
        <v>664.65000000000009</v>
      </c>
      <c r="D618" s="12"/>
      <c r="E618" s="12"/>
      <c r="F618" s="12"/>
      <c r="G618" s="12"/>
      <c r="H618" s="12"/>
      <c r="I618" s="12"/>
      <c r="J618" s="12"/>
      <c r="K618" s="12"/>
      <c r="L618" s="12"/>
    </row>
    <row r="619" spans="1:26" ht="16.8" thickTop="1" thickBot="1" x14ac:dyDescent="0.35">
      <c r="A619" s="177" t="str">
        <f>FilterSpecs!C12</f>
        <v>Low-Level Electronics</v>
      </c>
      <c r="B619" s="179">
        <f>SUMIF(MouserListTable12[Type],"=" &amp; FilterSpecs!$C12,MouserListTable12[Total Price])</f>
        <v>666.6</v>
      </c>
      <c r="C619" s="181">
        <f>SUMIF(MouserListTable12[Type],"=" &amp; FilterSpecs!$C12,MouserListTable12[Total $])</f>
        <v>817.65000000000009</v>
      </c>
      <c r="D619" s="12"/>
      <c r="E619" s="12"/>
      <c r="F619" s="12"/>
      <c r="G619" s="12"/>
      <c r="H619" s="12"/>
      <c r="I619" s="12"/>
      <c r="J619" s="12"/>
      <c r="K619" s="12"/>
      <c r="L619" s="12"/>
    </row>
    <row r="620" spans="1:26" ht="16.2" thickTop="1" x14ac:dyDescent="0.3">
      <c r="A620" s="178" t="str">
        <f>FilterSpecs!C13</f>
        <v>Tools</v>
      </c>
      <c r="B620" s="182">
        <f>SUMIF(MouserListTable12[Type],"=" &amp; FilterSpecs!$C13,MouserListTable12[Total Price])</f>
        <v>155.09999999999997</v>
      </c>
      <c r="C620" s="183">
        <f>SUMIF(MouserListTable12[Type],"=" &amp; FilterSpecs!$C13,MouserListTable12[Total $])</f>
        <v>188.94999999999985</v>
      </c>
      <c r="D620" s="12"/>
      <c r="E620" s="12"/>
      <c r="F620" s="12"/>
      <c r="G620" s="12"/>
      <c r="H620" s="12"/>
      <c r="I620" s="12"/>
      <c r="J620" s="12"/>
      <c r="K620" s="12"/>
      <c r="L620" s="12"/>
    </row>
    <row r="621" spans="1:26" x14ac:dyDescent="0.3">
      <c r="D621" s="12"/>
      <c r="E621" s="12"/>
      <c r="F621" s="12"/>
      <c r="G621" s="12"/>
      <c r="H621" s="12"/>
      <c r="I621" s="12"/>
      <c r="J621" s="12"/>
      <c r="K621" s="12"/>
      <c r="L621" s="12"/>
    </row>
    <row r="622" spans="1:26" x14ac:dyDescent="0.3">
      <c r="D622" s="12"/>
      <c r="E622" s="12"/>
      <c r="F622" s="12"/>
      <c r="G622" s="12"/>
    </row>
    <row r="623" spans="1:26" s="144" customFormat="1" ht="33.6" x14ac:dyDescent="0.3">
      <c r="A623" s="166" t="s">
        <v>2485</v>
      </c>
      <c r="B623" s="166"/>
      <c r="C623" s="137"/>
      <c r="D623" s="12"/>
      <c r="E623" s="12"/>
      <c r="F623" s="12"/>
      <c r="G623" s="12"/>
    </row>
    <row r="624" spans="1:26" s="86" customFormat="1" x14ac:dyDescent="0.3">
      <c r="A624" s="12" t="s">
        <v>896</v>
      </c>
      <c r="B624" s="12" t="s">
        <v>994</v>
      </c>
      <c r="C624" s="12" t="s">
        <v>8</v>
      </c>
      <c r="D624" s="12" t="s">
        <v>1771</v>
      </c>
      <c r="E624" s="89">
        <v>1</v>
      </c>
      <c r="F624" s="89">
        <v>1</v>
      </c>
      <c r="G624" s="12" t="s">
        <v>1772</v>
      </c>
      <c r="H624" s="12" t="s">
        <v>1773</v>
      </c>
      <c r="I624" s="12" t="s">
        <v>1774</v>
      </c>
      <c r="J624" s="12">
        <v>1</v>
      </c>
      <c r="K624" s="89">
        <v>9.9499999999999993</v>
      </c>
      <c r="L624" s="12" t="s">
        <v>1910</v>
      </c>
    </row>
    <row r="625" spans="1:14" s="86" customFormat="1" x14ac:dyDescent="0.3">
      <c r="A625" s="12" t="s">
        <v>896</v>
      </c>
      <c r="B625" s="12" t="s">
        <v>994</v>
      </c>
      <c r="C625" s="12" t="s">
        <v>1898</v>
      </c>
      <c r="D625" s="12" t="s">
        <v>2112</v>
      </c>
      <c r="E625" s="89">
        <v>0</v>
      </c>
      <c r="F625" s="89">
        <v>0</v>
      </c>
      <c r="G625" s="12"/>
      <c r="H625" s="12"/>
      <c r="I625" s="12" t="s">
        <v>2113</v>
      </c>
      <c r="K625" s="89">
        <v>14.95</v>
      </c>
      <c r="L625" s="12" t="s">
        <v>1910</v>
      </c>
    </row>
    <row r="626" spans="1:14" s="86" customFormat="1" x14ac:dyDescent="0.3">
      <c r="A626" s="12" t="s">
        <v>896</v>
      </c>
      <c r="B626" s="12" t="s">
        <v>994</v>
      </c>
      <c r="C626" s="12" t="s">
        <v>1898</v>
      </c>
      <c r="D626" s="12" t="s">
        <v>2100</v>
      </c>
      <c r="E626" s="89">
        <v>0</v>
      </c>
      <c r="F626" s="89">
        <v>0</v>
      </c>
      <c r="G626" s="12"/>
      <c r="H626" s="12"/>
      <c r="I626" s="12" t="s">
        <v>2101</v>
      </c>
      <c r="K626" s="89">
        <v>9.9499999999999993</v>
      </c>
      <c r="L626" s="12" t="s">
        <v>1910</v>
      </c>
    </row>
    <row r="627" spans="1:14" s="86" customFormat="1" x14ac:dyDescent="0.3">
      <c r="A627" s="12" t="s">
        <v>896</v>
      </c>
      <c r="B627" s="12" t="s">
        <v>994</v>
      </c>
      <c r="C627" s="12" t="s">
        <v>1898</v>
      </c>
      <c r="D627" s="12" t="s">
        <v>2104</v>
      </c>
      <c r="E627" s="89">
        <v>0</v>
      </c>
      <c r="F627" s="89">
        <v>0</v>
      </c>
      <c r="G627" s="12"/>
      <c r="H627" s="12"/>
      <c r="I627" s="12" t="s">
        <v>2105</v>
      </c>
      <c r="K627" s="89">
        <v>14.95</v>
      </c>
      <c r="L627" s="12" t="s">
        <v>1910</v>
      </c>
    </row>
    <row r="628" spans="1:14" s="106" customFormat="1" x14ac:dyDescent="0.3">
      <c r="A628" s="103" t="s">
        <v>894</v>
      </c>
      <c r="B628" s="103" t="s">
        <v>2040</v>
      </c>
      <c r="C628" s="103" t="s">
        <v>8</v>
      </c>
      <c r="D628" s="103" t="s">
        <v>36</v>
      </c>
      <c r="E628" s="104">
        <v>5</v>
      </c>
      <c r="F628" s="104">
        <v>5</v>
      </c>
      <c r="G628" s="103" t="s">
        <v>37</v>
      </c>
      <c r="H628" s="103" t="s">
        <v>38</v>
      </c>
      <c r="I628" s="103" t="s">
        <v>39</v>
      </c>
      <c r="J628" s="106">
        <v>1</v>
      </c>
      <c r="K628" s="104">
        <v>29.95</v>
      </c>
      <c r="L628" s="103" t="s">
        <v>1911</v>
      </c>
      <c r="N628" s="106">
        <v>149.75</v>
      </c>
    </row>
    <row r="629" spans="1:14" s="106" customFormat="1" x14ac:dyDescent="0.3">
      <c r="A629" s="103" t="s">
        <v>894</v>
      </c>
      <c r="B629" s="103" t="s">
        <v>2031</v>
      </c>
      <c r="C629" s="103" t="s">
        <v>8</v>
      </c>
      <c r="D629" s="103" t="s">
        <v>116</v>
      </c>
      <c r="E629" s="104">
        <v>5</v>
      </c>
      <c r="F629" s="104">
        <v>5</v>
      </c>
      <c r="G629" s="103" t="s">
        <v>117</v>
      </c>
      <c r="H629" s="103" t="s">
        <v>118</v>
      </c>
      <c r="I629" s="103" t="s">
        <v>119</v>
      </c>
      <c r="J629" s="103">
        <v>1</v>
      </c>
      <c r="K629" s="104">
        <v>12.95</v>
      </c>
      <c r="L629" s="103" t="s">
        <v>1911</v>
      </c>
      <c r="N629" s="106">
        <v>64.75</v>
      </c>
    </row>
    <row r="630" spans="1:14" s="106" customFormat="1" x14ac:dyDescent="0.3">
      <c r="A630" s="103" t="s">
        <v>894</v>
      </c>
      <c r="B630" s="103" t="s">
        <v>13</v>
      </c>
      <c r="C630" s="103" t="s">
        <v>8</v>
      </c>
      <c r="D630" s="103" t="s">
        <v>260</v>
      </c>
      <c r="E630" s="104">
        <v>5</v>
      </c>
      <c r="F630" s="104">
        <v>5</v>
      </c>
      <c r="G630" s="103" t="s">
        <v>261</v>
      </c>
      <c r="H630" s="103" t="s">
        <v>262</v>
      </c>
      <c r="I630" s="103" t="s">
        <v>263</v>
      </c>
      <c r="J630" s="103">
        <v>1</v>
      </c>
      <c r="K630" s="104">
        <v>6.95</v>
      </c>
      <c r="L630" s="103" t="s">
        <v>1911</v>
      </c>
      <c r="N630" s="106">
        <v>34.75</v>
      </c>
    </row>
    <row r="631" spans="1:14" s="106" customFormat="1" x14ac:dyDescent="0.3">
      <c r="A631" s="103" t="s">
        <v>895</v>
      </c>
      <c r="B631" s="103" t="s">
        <v>899</v>
      </c>
      <c r="C631" s="103" t="s">
        <v>8</v>
      </c>
      <c r="D631" s="103" t="s">
        <v>363</v>
      </c>
      <c r="E631" s="104">
        <v>0</v>
      </c>
      <c r="F631" s="104">
        <v>0</v>
      </c>
      <c r="G631" s="103" t="s">
        <v>364</v>
      </c>
      <c r="H631" s="103" t="s">
        <v>365</v>
      </c>
      <c r="I631" s="103" t="s">
        <v>366</v>
      </c>
      <c r="J631" s="103">
        <v>1</v>
      </c>
      <c r="K631" s="104">
        <v>2.95</v>
      </c>
      <c r="L631" s="103" t="s">
        <v>2487</v>
      </c>
      <c r="M631" s="103"/>
      <c r="N631" s="103">
        <v>0</v>
      </c>
    </row>
    <row r="632" spans="1:14" s="106" customFormat="1" x14ac:dyDescent="0.3">
      <c r="A632" s="103" t="s">
        <v>895</v>
      </c>
      <c r="B632" s="103" t="s">
        <v>899</v>
      </c>
      <c r="C632" s="103" t="s">
        <v>8</v>
      </c>
      <c r="D632" s="103" t="s">
        <v>1185</v>
      </c>
      <c r="E632" s="104">
        <v>0</v>
      </c>
      <c r="F632" s="104">
        <v>0</v>
      </c>
      <c r="G632" s="103" t="s">
        <v>1186</v>
      </c>
      <c r="H632" s="103" t="s">
        <v>1187</v>
      </c>
      <c r="I632" s="103" t="s">
        <v>1188</v>
      </c>
      <c r="J632" s="103">
        <v>1</v>
      </c>
      <c r="K632" s="104">
        <v>9.9499999999999993</v>
      </c>
      <c r="L632" s="103" t="s">
        <v>2487</v>
      </c>
      <c r="N632" s="103">
        <v>0</v>
      </c>
    </row>
    <row r="633" spans="1:14" s="86" customFormat="1" x14ac:dyDescent="0.3">
      <c r="A633" s="12" t="s">
        <v>895</v>
      </c>
      <c r="B633" s="12" t="s">
        <v>1607</v>
      </c>
      <c r="C633" s="12" t="s">
        <v>8</v>
      </c>
      <c r="D633" s="12" t="s">
        <v>1108</v>
      </c>
      <c r="E633" s="89">
        <v>1</v>
      </c>
      <c r="F633" s="89">
        <v>1</v>
      </c>
      <c r="G633" s="12" t="s">
        <v>1109</v>
      </c>
      <c r="H633" s="12" t="s">
        <v>1110</v>
      </c>
      <c r="I633" s="12" t="s">
        <v>1111</v>
      </c>
      <c r="J633" s="12"/>
      <c r="K633" s="89">
        <v>24.95</v>
      </c>
      <c r="L633" s="12" t="s">
        <v>1910</v>
      </c>
      <c r="N633" s="12">
        <v>24.95</v>
      </c>
    </row>
    <row r="634" spans="1:14" s="151" customFormat="1" x14ac:dyDescent="0.3">
      <c r="A634" s="69" t="s">
        <v>1070</v>
      </c>
      <c r="B634" s="150" t="s">
        <v>1013</v>
      </c>
      <c r="C634" s="150" t="s">
        <v>8</v>
      </c>
      <c r="D634" s="69" t="s">
        <v>989</v>
      </c>
      <c r="E634" s="98">
        <v>0</v>
      </c>
      <c r="F634" s="98">
        <v>0</v>
      </c>
      <c r="G634" s="69" t="s">
        <v>990</v>
      </c>
      <c r="H634" s="69" t="s">
        <v>991</v>
      </c>
      <c r="I634" s="69" t="s">
        <v>992</v>
      </c>
      <c r="J634" s="69">
        <v>1</v>
      </c>
      <c r="K634" s="98">
        <v>44.95</v>
      </c>
      <c r="L634" s="69" t="s">
        <v>1914</v>
      </c>
      <c r="M634" s="69" t="s">
        <v>1057</v>
      </c>
      <c r="N634" s="69">
        <v>0</v>
      </c>
    </row>
    <row r="635" spans="1:14" s="86" customFormat="1" x14ac:dyDescent="0.3">
      <c r="A635" s="12" t="s">
        <v>1070</v>
      </c>
      <c r="B635" s="12" t="s">
        <v>1013</v>
      </c>
      <c r="C635" s="12" t="s">
        <v>1898</v>
      </c>
      <c r="D635" s="12" t="s">
        <v>2094</v>
      </c>
      <c r="E635" s="89">
        <v>0</v>
      </c>
      <c r="F635" s="89">
        <v>0</v>
      </c>
      <c r="G635" s="12"/>
      <c r="H635" s="12"/>
      <c r="I635" s="12" t="s">
        <v>2095</v>
      </c>
      <c r="J635" s="12"/>
      <c r="K635" s="89">
        <v>44.95</v>
      </c>
      <c r="L635" s="12" t="s">
        <v>1910</v>
      </c>
    </row>
    <row r="636" spans="1:14" s="86" customFormat="1" x14ac:dyDescent="0.3">
      <c r="A636" s="12" t="s">
        <v>1070</v>
      </c>
      <c r="B636" s="12" t="s">
        <v>2065</v>
      </c>
      <c r="C636" s="12" t="s">
        <v>1898</v>
      </c>
      <c r="D636" s="12" t="s">
        <v>2073</v>
      </c>
      <c r="E636" s="89">
        <v>1</v>
      </c>
      <c r="F636" s="89">
        <v>1</v>
      </c>
      <c r="G636" s="12"/>
      <c r="H636" s="12"/>
      <c r="I636" s="12" t="s">
        <v>2072</v>
      </c>
      <c r="J636" s="12"/>
      <c r="K636" s="89">
        <v>39.950000000000003</v>
      </c>
      <c r="L636" s="12" t="s">
        <v>1910</v>
      </c>
    </row>
    <row r="637" spans="1:14" s="86" customFormat="1" x14ac:dyDescent="0.3">
      <c r="A637" s="12" t="s">
        <v>1070</v>
      </c>
      <c r="B637" s="152" t="s">
        <v>2028</v>
      </c>
      <c r="C637" s="12" t="s">
        <v>1898</v>
      </c>
      <c r="D637" s="12" t="s">
        <v>2098</v>
      </c>
      <c r="E637" s="89">
        <v>0</v>
      </c>
      <c r="F637" s="89">
        <v>0</v>
      </c>
      <c r="G637" s="12"/>
      <c r="H637" s="12"/>
      <c r="I637" s="12" t="s">
        <v>2099</v>
      </c>
      <c r="K637" s="89">
        <v>44.95</v>
      </c>
      <c r="L637" s="12" t="s">
        <v>1910</v>
      </c>
    </row>
    <row r="638" spans="1:14" s="105" customFormat="1" x14ac:dyDescent="0.3">
      <c r="A638" s="102" t="s">
        <v>1070</v>
      </c>
      <c r="B638" s="117" t="s">
        <v>1437</v>
      </c>
      <c r="C638" s="117" t="s">
        <v>8</v>
      </c>
      <c r="D638" s="103" t="s">
        <v>977</v>
      </c>
      <c r="E638" s="104">
        <v>1</v>
      </c>
      <c r="F638" s="104">
        <v>1</v>
      </c>
      <c r="G638" s="103" t="s">
        <v>978</v>
      </c>
      <c r="H638" s="103" t="s">
        <v>979</v>
      </c>
      <c r="I638" s="103" t="s">
        <v>980</v>
      </c>
      <c r="J638" s="103">
        <v>1</v>
      </c>
      <c r="K638" s="104">
        <v>49.95</v>
      </c>
      <c r="L638" s="103" t="s">
        <v>1910</v>
      </c>
      <c r="M638" s="103" t="s">
        <v>1061</v>
      </c>
      <c r="N638" s="103">
        <v>49.95</v>
      </c>
    </row>
  </sheetData>
  <mergeCells count="1">
    <mergeCell ref="A623:B623"/>
  </mergeCells>
  <conditionalFormatting sqref="A14:X608">
    <cfRule type="expression" dxfId="249" priority="26">
      <formula>AND(($F14=0),NOT(ISBLANK($F14)))</formula>
    </cfRule>
  </conditionalFormatting>
  <conditionalFormatting sqref="F624:F638">
    <cfRule type="expression" dxfId="233" priority="17">
      <formula>AND(($E624=0),NOT(ISBLANK($E624)))</formula>
    </cfRule>
  </conditionalFormatting>
  <conditionalFormatting sqref="Y14:Y608">
    <cfRule type="expression" dxfId="224" priority="9">
      <formula>AND(($F14=0),NOT(ISBLANK($F14)))</formula>
    </cfRule>
  </conditionalFormatting>
  <conditionalFormatting sqref="Z14:Z608">
    <cfRule type="expression" dxfId="216" priority="1">
      <formula>AND(($F14=0),NOT(ISBLANK($F14)))</formula>
    </cfRule>
  </conditionalFormatting>
  <dataValidations count="4">
    <dataValidation type="list" allowBlank="1" showInputMessage="1" showErrorMessage="1" sqref="A272" xr:uid="{C70301B2-72B7-4BB4-87E9-DDFC99B7C927}">
      <formula1>$C$6:$C$13</formula1>
    </dataValidation>
    <dataValidation allowBlank="1" showInputMessage="1" showErrorMessage="1" prompt="Title of this worksheet is in this cell" sqref="A11" xr:uid="{58B28C1C-54C5-485C-A339-1495B58F7C7E}"/>
    <dataValidation allowBlank="1" showInputMessage="1" showErrorMessage="1" prompt="Title of this worksheet is in cells B1 through D1" sqref="A623" xr:uid="{A7B130D7-57D8-4E73-AFCE-5E4227D1AD52}"/>
    <dataValidation allowBlank="1" showInputMessage="1" showErrorMessage="1" prompt="Total Estimated Value of All Items is automatically calculated in cell at right. Enter Inventory Date in cell I2" sqref="A612:C612" xr:uid="{D2775CEF-F52C-450F-A93E-EB939E115231}"/>
  </dataValidations>
  <pageMargins left="0.7" right="0.7" top="0.75" bottom="0.75" header="0.3" footer="0.3"/>
  <pageSetup orientation="portrait" horizontalDpi="4294967294" verticalDpi="0"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27" id="{73BA1525-5F94-4709-A718-432212749FA3}">
            <xm:f>$L14=FilterSpecs!$F$13</xm:f>
            <x14:dxf>
              <font>
                <b/>
                <i val="0"/>
                <color theme="0"/>
              </font>
              <fill>
                <patternFill>
                  <bgColor theme="9" tint="-0.499984740745262"/>
                </patternFill>
              </fill>
            </x14:dxf>
          </x14:cfRule>
          <x14:cfRule type="expression" priority="137" id="{A3DA2E1C-CA49-447F-A640-0474ED98E085}">
            <xm:f>$L14=FilterSpecs!$F$11</xm:f>
            <x14:dxf>
              <font>
                <b/>
                <i val="0"/>
                <color theme="0"/>
              </font>
              <fill>
                <patternFill>
                  <bgColor rgb="FF00B050"/>
                </patternFill>
              </fill>
            </x14:dxf>
          </x14:cfRule>
          <x14:cfRule type="expression" priority="138" id="{167D13D1-AA1B-4A9F-9840-5161E6E20C2E}">
            <xm:f>$L14=FilterSpecs!$F$10</xm:f>
            <x14:dxf>
              <font>
                <b/>
                <i val="0"/>
                <color theme="0"/>
              </font>
              <fill>
                <patternFill>
                  <bgColor rgb="FF002060"/>
                </patternFill>
              </fill>
            </x14:dxf>
          </x14:cfRule>
          <x14:cfRule type="expression" priority="139" id="{74101E19-890B-4DD0-9583-7918E9D31EC1}">
            <xm:f>$L14=FilterSpecs!$F$9</xm:f>
            <x14:dxf>
              <font>
                <b/>
                <i val="0"/>
                <color theme="0"/>
              </font>
              <fill>
                <patternFill>
                  <bgColor rgb="FFFF0000"/>
                </patternFill>
              </fill>
            </x14:dxf>
          </x14:cfRule>
          <x14:cfRule type="expression" priority="140" id="{AC7570B1-D125-4612-ACA0-4EFAEE52A16B}">
            <xm:f>$L14=FilterSpecs!$F$8</xm:f>
            <x14:dxf>
              <font>
                <b/>
                <i val="0"/>
                <color theme="0"/>
              </font>
              <fill>
                <patternFill>
                  <bgColor rgb="FFFFC000"/>
                </patternFill>
              </fill>
            </x14:dxf>
          </x14:cfRule>
          <x14:cfRule type="expression" priority="141" id="{E88B3DDE-B311-4FB2-9A5B-2EF8A963446F}">
            <xm:f>$L14=FilterSpecs!$F$6</xm:f>
            <x14:dxf>
              <font>
                <b val="0"/>
                <i val="0"/>
              </font>
              <fill>
                <patternFill patternType="none">
                  <bgColor auto="1"/>
                </patternFill>
              </fill>
            </x14:dxf>
          </x14:cfRule>
          <x14:cfRule type="expression" priority="142" id="{7C38D4A5-59B5-4604-BC02-2B18381F2A1B}">
            <xm:f>$L14=FilterSpecs!$F$7</xm:f>
            <x14:dxf>
              <font>
                <b/>
                <i val="0"/>
                <color theme="0"/>
              </font>
              <fill>
                <patternFill>
                  <bgColor rgb="FF00B0F0"/>
                </patternFill>
              </fill>
            </x14:dxf>
          </x14:cfRule>
          <xm:sqref>A14:X608</xm:sqref>
        </x14:conditionalFormatting>
        <x14:conditionalFormatting xmlns:xm="http://schemas.microsoft.com/office/excel/2006/main">
          <x14:cfRule type="expression" priority="5079" id="{05F12634-AA3D-420C-ACAD-2AA7BDF1180F}">
            <xm:f>$M624=FilterSpecs!$F$13</xm:f>
            <x14:dxf>
              <font>
                <b/>
                <i val="0"/>
                <color theme="0"/>
              </font>
              <fill>
                <patternFill>
                  <bgColor theme="9" tint="-0.499984740745262"/>
                </patternFill>
              </fill>
            </x14:dxf>
          </x14:cfRule>
          <x14:cfRule type="expression" priority="5080" id="{C97F98DC-FC72-44E0-AC1B-1189A17ACC4E}">
            <xm:f>$M624=FilterSpecs!$F$12</xm:f>
            <x14:dxf>
              <font>
                <b/>
                <i val="0"/>
                <color theme="0"/>
              </font>
              <fill>
                <patternFill>
                  <bgColor rgb="FFEC6E6E"/>
                </patternFill>
              </fill>
            </x14:dxf>
          </x14:cfRule>
          <x14:cfRule type="expression" priority="5081" id="{79900525-E6E1-4EDD-A6E3-30DA30DF82F4}">
            <xm:f>$M624=FilterSpecs!$F$11</xm:f>
            <x14:dxf>
              <font>
                <b/>
                <i val="0"/>
                <color theme="0"/>
              </font>
              <fill>
                <patternFill>
                  <bgColor rgb="FF00B050"/>
                </patternFill>
              </fill>
            </x14:dxf>
          </x14:cfRule>
          <x14:cfRule type="expression" priority="5082" id="{E9873F94-9D28-41DF-85D9-8138F41B3AAA}">
            <xm:f>$M624=FilterSpecs!$F$10</xm:f>
            <x14:dxf>
              <font>
                <b/>
                <i val="0"/>
                <color theme="0"/>
              </font>
              <fill>
                <patternFill>
                  <bgColor rgb="FF002060"/>
                </patternFill>
              </fill>
            </x14:dxf>
          </x14:cfRule>
          <x14:cfRule type="expression" priority="5083" id="{362007AA-BD77-40C8-AB4A-E029261750BB}">
            <xm:f>$M624=FilterSpecs!$F$9</xm:f>
            <x14:dxf>
              <font>
                <b/>
                <i val="0"/>
                <color theme="0"/>
              </font>
              <fill>
                <patternFill>
                  <bgColor rgb="FFFF0000"/>
                </patternFill>
              </fill>
            </x14:dxf>
          </x14:cfRule>
          <x14:cfRule type="expression" priority="5084" id="{6756CE8D-38C4-4243-8152-1DD4F6910657}">
            <xm:f>$M624=FilterSpecs!$F$8</xm:f>
            <x14:dxf>
              <font>
                <b/>
                <i val="0"/>
                <color theme="0"/>
              </font>
              <fill>
                <patternFill>
                  <bgColor rgb="FFFFC000"/>
                </patternFill>
              </fill>
            </x14:dxf>
          </x14:cfRule>
          <x14:cfRule type="expression" priority="5085" id="{64DD0D71-B8D1-4CFA-936B-7FD19F195A50}">
            <xm:f>$M624=FilterSpecs!$F$6</xm:f>
            <x14:dxf>
              <font>
                <b val="0"/>
                <i val="0"/>
              </font>
              <fill>
                <patternFill patternType="none">
                  <bgColor auto="1"/>
                </patternFill>
              </fill>
            </x14:dxf>
          </x14:cfRule>
          <x14:cfRule type="expression" priority="5086" id="{9491F1FA-038F-4A7B-8A13-B9CE21C51EBC}">
            <xm:f>$M624=FilterSpecs!$F$7</xm:f>
            <x14:dxf>
              <font>
                <b/>
                <i val="0"/>
                <color theme="0"/>
              </font>
              <fill>
                <patternFill>
                  <bgColor rgb="FF00B0F0"/>
                </patternFill>
              </fill>
            </x14:dxf>
          </x14:cfRule>
          <xm:sqref>G624:U638 A624:E638</xm:sqref>
        </x14:conditionalFormatting>
        <x14:conditionalFormatting xmlns:xm="http://schemas.microsoft.com/office/excel/2006/main">
          <x14:cfRule type="expression" priority="18" id="{6FE87353-5C31-4CD8-A2D6-2B93AADF5CB7}">
            <xm:f>$M624=FilterSpecs!$F$13</xm:f>
            <x14:dxf>
              <font>
                <b/>
                <i val="0"/>
                <color theme="0"/>
              </font>
              <fill>
                <patternFill>
                  <bgColor theme="9" tint="-0.499984740745262"/>
                </patternFill>
              </fill>
            </x14:dxf>
          </x14:cfRule>
          <x14:cfRule type="expression" priority="19" id="{A17AEA77-4CB6-4D52-88C5-B0D1029CBA99}">
            <xm:f>$M624=FilterSpecs!$F$12</xm:f>
            <x14:dxf>
              <font>
                <b/>
                <i val="0"/>
                <color theme="0"/>
              </font>
              <fill>
                <patternFill>
                  <bgColor rgb="FFEC6E6E"/>
                </patternFill>
              </fill>
            </x14:dxf>
          </x14:cfRule>
          <x14:cfRule type="expression" priority="20" id="{F5FBEBAB-3CEE-4528-B98B-F3167D66BC5B}">
            <xm:f>$M624=FilterSpecs!$F$11</xm:f>
            <x14:dxf>
              <font>
                <b/>
                <i val="0"/>
                <color theme="0"/>
              </font>
              <fill>
                <patternFill>
                  <bgColor rgb="FF00B050"/>
                </patternFill>
              </fill>
            </x14:dxf>
          </x14:cfRule>
          <x14:cfRule type="expression" priority="21" id="{B9B8FF12-B843-46BD-9B16-CCF72E9A4229}">
            <xm:f>$M624=FilterSpecs!$F$10</xm:f>
            <x14:dxf>
              <font>
                <b/>
                <i val="0"/>
                <color theme="0"/>
              </font>
              <fill>
                <patternFill>
                  <bgColor rgb="FF002060"/>
                </patternFill>
              </fill>
            </x14:dxf>
          </x14:cfRule>
          <x14:cfRule type="expression" priority="22" id="{092B66BC-2C1E-4EBE-8520-4963832C1CF0}">
            <xm:f>$M624=FilterSpecs!$F$9</xm:f>
            <x14:dxf>
              <font>
                <b/>
                <i val="0"/>
                <color theme="0"/>
              </font>
              <fill>
                <patternFill>
                  <bgColor rgb="FFFF0000"/>
                </patternFill>
              </fill>
            </x14:dxf>
          </x14:cfRule>
          <x14:cfRule type="expression" priority="23" id="{DC6FDE5C-C234-4FD5-A2DC-1F367F999155}">
            <xm:f>$M624=FilterSpecs!$F$8</xm:f>
            <x14:dxf>
              <font>
                <b/>
                <i val="0"/>
                <color theme="0"/>
              </font>
              <fill>
                <patternFill>
                  <bgColor rgb="FFFFC000"/>
                </patternFill>
              </fill>
            </x14:dxf>
          </x14:cfRule>
          <x14:cfRule type="expression" priority="24" id="{7736FA90-2DF3-442F-85CC-96BBC19B5F77}">
            <xm:f>$M624=FilterSpecs!$F$6</xm:f>
            <x14:dxf>
              <font>
                <b val="0"/>
                <i val="0"/>
              </font>
              <fill>
                <patternFill patternType="none">
                  <bgColor auto="1"/>
                </patternFill>
              </fill>
            </x14:dxf>
          </x14:cfRule>
          <x14:cfRule type="expression" priority="25" id="{66A408B1-3AE1-4B0A-81B0-491BADDCD7DB}">
            <xm:f>$M624=FilterSpecs!$F$7</xm:f>
            <x14:dxf>
              <font>
                <b/>
                <i val="0"/>
                <color theme="0"/>
              </font>
              <fill>
                <patternFill>
                  <bgColor rgb="FF00B0F0"/>
                </patternFill>
              </fill>
            </x14:dxf>
          </x14:cfRule>
          <xm:sqref>F624:F638</xm:sqref>
        </x14:conditionalFormatting>
        <x14:conditionalFormatting xmlns:xm="http://schemas.microsoft.com/office/excel/2006/main">
          <x14:cfRule type="expression" priority="10" id="{710A502C-469A-4FB5-A528-10097B203CCE}">
            <xm:f>$L14=FilterSpecs!$F$13</xm:f>
            <x14:dxf>
              <font>
                <b/>
                <i val="0"/>
                <color theme="0"/>
              </font>
              <fill>
                <patternFill>
                  <bgColor theme="9" tint="-0.499984740745262"/>
                </patternFill>
              </fill>
            </x14:dxf>
          </x14:cfRule>
          <x14:cfRule type="expression" priority="11" id="{D42388D5-6706-4F2B-85A2-0AF6FB9D7229}">
            <xm:f>$L14=FilterSpecs!$F$11</xm:f>
            <x14:dxf>
              <font>
                <b/>
                <i val="0"/>
                <color theme="0"/>
              </font>
              <fill>
                <patternFill>
                  <bgColor rgb="FF00B050"/>
                </patternFill>
              </fill>
            </x14:dxf>
          </x14:cfRule>
          <x14:cfRule type="expression" priority="12" id="{8F2608CD-45BA-401F-BF3C-8E0CE413FF5C}">
            <xm:f>$L14=FilterSpecs!$F$10</xm:f>
            <x14:dxf>
              <font>
                <b/>
                <i val="0"/>
                <color theme="0"/>
              </font>
              <fill>
                <patternFill>
                  <bgColor rgb="FF002060"/>
                </patternFill>
              </fill>
            </x14:dxf>
          </x14:cfRule>
          <x14:cfRule type="expression" priority="13" id="{1A708DE5-74DC-4D43-91A0-E1C9149D82EE}">
            <xm:f>$L14=FilterSpecs!$F$9</xm:f>
            <x14:dxf>
              <font>
                <b/>
                <i val="0"/>
                <color theme="0"/>
              </font>
              <fill>
                <patternFill>
                  <bgColor rgb="FFFF0000"/>
                </patternFill>
              </fill>
            </x14:dxf>
          </x14:cfRule>
          <x14:cfRule type="expression" priority="14" id="{CF59636E-36CF-47AA-9407-EC5CE7BECEC7}">
            <xm:f>$L14=FilterSpecs!$F$8</xm:f>
            <x14:dxf>
              <font>
                <b/>
                <i val="0"/>
                <color theme="0"/>
              </font>
              <fill>
                <patternFill>
                  <bgColor rgb="FFFFC000"/>
                </patternFill>
              </fill>
            </x14:dxf>
          </x14:cfRule>
          <x14:cfRule type="expression" priority="15" id="{03B555D8-CC03-4D95-946A-DDA185879AA9}">
            <xm:f>$L14=FilterSpecs!$F$6</xm:f>
            <x14:dxf>
              <font>
                <b val="0"/>
                <i val="0"/>
              </font>
              <fill>
                <patternFill patternType="none">
                  <bgColor auto="1"/>
                </patternFill>
              </fill>
            </x14:dxf>
          </x14:cfRule>
          <x14:cfRule type="expression" priority="16" id="{4BBE9EEC-552A-49A1-8F35-D070B16C446E}">
            <xm:f>$L14=FilterSpecs!$F$7</xm:f>
            <x14:dxf>
              <font>
                <b/>
                <i val="0"/>
                <color theme="0"/>
              </font>
              <fill>
                <patternFill>
                  <bgColor rgb="FF00B0F0"/>
                </patternFill>
              </fill>
            </x14:dxf>
          </x14:cfRule>
          <xm:sqref>Y14:Y608</xm:sqref>
        </x14:conditionalFormatting>
        <x14:conditionalFormatting xmlns:xm="http://schemas.microsoft.com/office/excel/2006/main">
          <x14:cfRule type="expression" priority="2" id="{F767D305-FDE9-4E99-BE14-27A9BCD50B52}">
            <xm:f>$L14=FilterSpecs!$F$13</xm:f>
            <x14:dxf>
              <font>
                <b/>
                <i val="0"/>
                <color theme="0"/>
              </font>
              <fill>
                <patternFill>
                  <bgColor theme="9" tint="-0.499984740745262"/>
                </patternFill>
              </fill>
            </x14:dxf>
          </x14:cfRule>
          <x14:cfRule type="expression" priority="3" id="{E8E62267-2F9B-4626-8F55-E05EB384586A}">
            <xm:f>$L14=FilterSpecs!$F$11</xm:f>
            <x14:dxf>
              <font>
                <b/>
                <i val="0"/>
                <color theme="0"/>
              </font>
              <fill>
                <patternFill>
                  <bgColor rgb="FF00B050"/>
                </patternFill>
              </fill>
            </x14:dxf>
          </x14:cfRule>
          <x14:cfRule type="expression" priority="4" id="{4E83755A-DE3C-44FB-8C99-517361456048}">
            <xm:f>$L14=FilterSpecs!$F$10</xm:f>
            <x14:dxf>
              <font>
                <b/>
                <i val="0"/>
                <color theme="0"/>
              </font>
              <fill>
                <patternFill>
                  <bgColor rgb="FF002060"/>
                </patternFill>
              </fill>
            </x14:dxf>
          </x14:cfRule>
          <x14:cfRule type="expression" priority="5" id="{C033D0BC-15D1-4783-BED4-7D0CC69A372C}">
            <xm:f>$L14=FilterSpecs!$F$9</xm:f>
            <x14:dxf>
              <font>
                <b/>
                <i val="0"/>
                <color theme="0"/>
              </font>
              <fill>
                <patternFill>
                  <bgColor rgb="FFFF0000"/>
                </patternFill>
              </fill>
            </x14:dxf>
          </x14:cfRule>
          <x14:cfRule type="expression" priority="6" id="{D9E2AE5F-1B93-4AFF-A721-58C69A6466B5}">
            <xm:f>$L14=FilterSpecs!$F$8</xm:f>
            <x14:dxf>
              <font>
                <b/>
                <i val="0"/>
                <color theme="0"/>
              </font>
              <fill>
                <patternFill>
                  <bgColor rgb="FFFFC000"/>
                </patternFill>
              </fill>
            </x14:dxf>
          </x14:cfRule>
          <x14:cfRule type="expression" priority="7" id="{4C6E18E4-2822-4C82-878E-DDE6B60903E3}">
            <xm:f>$L14=FilterSpecs!$F$6</xm:f>
            <x14:dxf>
              <font>
                <b val="0"/>
                <i val="0"/>
              </font>
              <fill>
                <patternFill patternType="none">
                  <bgColor auto="1"/>
                </patternFill>
              </fill>
            </x14:dxf>
          </x14:cfRule>
          <x14:cfRule type="expression" priority="8" id="{06F06645-E3F3-4450-933C-E43B020F4F90}">
            <xm:f>$L14=FilterSpecs!$F$7</xm:f>
            <x14:dxf>
              <font>
                <b/>
                <i val="0"/>
                <color theme="0"/>
              </font>
              <fill>
                <patternFill>
                  <bgColor rgb="FF00B0F0"/>
                </patternFill>
              </fill>
            </x14:dxf>
          </x14:cfRule>
          <xm:sqref>Z14:Z608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67003A74-4C1D-4CE9-BA5D-67336AFE7495}">
          <x14:formula1>
            <xm:f>FilterSpecs!$C$6:$C$13</xm:f>
          </x14:formula1>
          <xm:sqref>A273:B273</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449F3-4662-424C-8FD6-EAABA60C6660}">
  <sheetPr codeName="Sheet11"/>
  <dimension ref="A1:XFD163"/>
  <sheetViews>
    <sheetView topLeftCell="A103" zoomScaleNormal="100" workbookViewId="0">
      <selection activeCell="A119" sqref="A119:XFD120"/>
    </sheetView>
  </sheetViews>
  <sheetFormatPr defaultRowHeight="14.4" x14ac:dyDescent="0.3"/>
  <cols>
    <col min="1" max="1" width="48.5546875" style="107" customWidth="1"/>
    <col min="2" max="2" width="49.44140625" style="107" customWidth="1"/>
    <col min="3" max="3" width="10.21875" style="107" bestFit="1" customWidth="1"/>
    <col min="4" max="4" width="12.44140625" style="107" customWidth="1"/>
    <col min="5" max="5" width="7.77734375" style="102" customWidth="1"/>
    <col min="6" max="6" width="2.33203125" style="105" hidden="1" customWidth="1"/>
    <col min="7" max="7" width="0.77734375" style="105" hidden="1" customWidth="1"/>
    <col min="8" max="8" width="64.21875" style="107" customWidth="1"/>
    <col min="9" max="9" width="8.88671875" style="105" hidden="1" customWidth="1"/>
    <col min="10" max="10" width="8.88671875" style="102" customWidth="1"/>
    <col min="11" max="11" width="4.21875" style="107" customWidth="1"/>
    <col min="12" max="12" width="58.44140625" style="105" customWidth="1"/>
    <col min="13" max="13" width="11.5546875" style="105" customWidth="1"/>
    <col min="14" max="16384" width="8.88671875" style="105"/>
  </cols>
  <sheetData>
    <row r="1" spans="1:16384" s="77" customFormat="1" ht="15.6" thickTop="1" thickBot="1" x14ac:dyDescent="0.35">
      <c r="A1" s="84" t="s">
        <v>893</v>
      </c>
      <c r="B1" s="84" t="s">
        <v>163</v>
      </c>
      <c r="C1" s="84" t="s">
        <v>7</v>
      </c>
      <c r="D1" s="84" t="s">
        <v>25</v>
      </c>
      <c r="E1" s="88" t="s">
        <v>26</v>
      </c>
      <c r="F1" s="77" t="s">
        <v>27</v>
      </c>
      <c r="G1" s="77" t="s">
        <v>28</v>
      </c>
      <c r="H1" s="84" t="s">
        <v>29</v>
      </c>
      <c r="I1" s="77" t="s">
        <v>30</v>
      </c>
      <c r="J1" s="88" t="s">
        <v>31</v>
      </c>
      <c r="K1" s="84" t="s">
        <v>1918</v>
      </c>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ht="15" thickTop="1" x14ac:dyDescent="0.3">
      <c r="A2" s="107" t="s">
        <v>894</v>
      </c>
      <c r="B2" s="107" t="s">
        <v>888</v>
      </c>
      <c r="C2" s="107" t="s">
        <v>8</v>
      </c>
      <c r="D2" s="106" t="s">
        <v>136</v>
      </c>
      <c r="E2" s="103">
        <v>1</v>
      </c>
      <c r="F2" s="103" t="s">
        <v>137</v>
      </c>
      <c r="G2" s="103" t="s">
        <v>138</v>
      </c>
      <c r="H2" s="106" t="s">
        <v>139</v>
      </c>
      <c r="I2" s="103">
        <v>1</v>
      </c>
      <c r="J2" s="103">
        <v>49.95</v>
      </c>
      <c r="K2" s="106" t="s">
        <v>1914</v>
      </c>
      <c r="L2" s="105" t="s">
        <v>1489</v>
      </c>
      <c r="M2" s="105">
        <f>E2*J2</f>
        <v>49.95</v>
      </c>
    </row>
    <row r="3" spans="1:16384" x14ac:dyDescent="0.3">
      <c r="A3" s="106" t="s">
        <v>894</v>
      </c>
      <c r="B3" s="106" t="s">
        <v>888</v>
      </c>
      <c r="C3" s="106" t="s">
        <v>1898</v>
      </c>
      <c r="D3" s="106" t="s">
        <v>2251</v>
      </c>
      <c r="E3" s="103">
        <v>0</v>
      </c>
      <c r="F3" s="103"/>
      <c r="G3" s="103"/>
      <c r="H3" s="107" t="s">
        <v>2252</v>
      </c>
      <c r="J3" s="102">
        <v>22</v>
      </c>
      <c r="K3" s="107" t="s">
        <v>1910</v>
      </c>
      <c r="M3" s="105">
        <f t="shared" ref="M3:M66" si="0">E3*J3</f>
        <v>0</v>
      </c>
    </row>
    <row r="4" spans="1:16384" x14ac:dyDescent="0.3">
      <c r="A4" s="107" t="s">
        <v>894</v>
      </c>
      <c r="B4" s="107" t="s">
        <v>888</v>
      </c>
      <c r="C4" s="107" t="s">
        <v>8</v>
      </c>
      <c r="D4" s="106" t="s">
        <v>148</v>
      </c>
      <c r="E4" s="103">
        <v>1</v>
      </c>
      <c r="F4" s="103" t="s">
        <v>149</v>
      </c>
      <c r="G4" s="103" t="s">
        <v>150</v>
      </c>
      <c r="H4" s="106" t="s">
        <v>151</v>
      </c>
      <c r="I4" s="103"/>
      <c r="J4" s="103">
        <v>4.95</v>
      </c>
      <c r="K4" s="106" t="s">
        <v>1910</v>
      </c>
      <c r="M4" s="105">
        <f t="shared" si="0"/>
        <v>4.95</v>
      </c>
    </row>
    <row r="5" spans="1:16384" x14ac:dyDescent="0.3">
      <c r="A5" s="107" t="s">
        <v>894</v>
      </c>
      <c r="B5" s="107" t="s">
        <v>888</v>
      </c>
      <c r="C5" s="107" t="s">
        <v>8</v>
      </c>
      <c r="D5" s="106" t="s">
        <v>152</v>
      </c>
      <c r="E5" s="103">
        <v>1</v>
      </c>
      <c r="F5" s="103" t="s">
        <v>153</v>
      </c>
      <c r="G5" s="103" t="s">
        <v>154</v>
      </c>
      <c r="H5" s="106" t="s">
        <v>155</v>
      </c>
      <c r="I5" s="103">
        <v>1</v>
      </c>
      <c r="J5" s="103">
        <v>1.95</v>
      </c>
      <c r="K5" s="106" t="s">
        <v>1910</v>
      </c>
      <c r="M5" s="105">
        <f t="shared" si="0"/>
        <v>1.95</v>
      </c>
    </row>
    <row r="6" spans="1:16384" x14ac:dyDescent="0.3">
      <c r="A6" s="106" t="s">
        <v>894</v>
      </c>
      <c r="B6" s="106" t="s">
        <v>888</v>
      </c>
      <c r="C6" s="106" t="s">
        <v>1898</v>
      </c>
      <c r="D6" s="106" t="s">
        <v>2259</v>
      </c>
      <c r="E6" s="103">
        <v>0</v>
      </c>
      <c r="F6" s="103"/>
      <c r="G6" s="103"/>
      <c r="H6" s="107" t="s">
        <v>2260</v>
      </c>
      <c r="J6" s="102">
        <v>1.95</v>
      </c>
      <c r="K6" s="107" t="s">
        <v>1910</v>
      </c>
      <c r="M6" s="105">
        <f t="shared" si="0"/>
        <v>0</v>
      </c>
    </row>
    <row r="7" spans="1:16384" x14ac:dyDescent="0.3">
      <c r="A7" s="106" t="s">
        <v>894</v>
      </c>
      <c r="B7" s="106" t="s">
        <v>888</v>
      </c>
      <c r="C7" s="106" t="s">
        <v>1898</v>
      </c>
      <c r="D7" s="106" t="s">
        <v>2261</v>
      </c>
      <c r="E7" s="103">
        <v>0</v>
      </c>
      <c r="F7" s="103"/>
      <c r="G7" s="103"/>
      <c r="H7" s="107" t="s">
        <v>2262</v>
      </c>
      <c r="J7" s="102">
        <v>1.95</v>
      </c>
      <c r="K7" s="107" t="s">
        <v>1913</v>
      </c>
      <c r="M7" s="105">
        <f t="shared" si="0"/>
        <v>0</v>
      </c>
    </row>
    <row r="8" spans="1:16384" x14ac:dyDescent="0.3">
      <c r="A8" s="106" t="s">
        <v>894</v>
      </c>
      <c r="B8" s="106" t="s">
        <v>888</v>
      </c>
      <c r="C8" s="106" t="s">
        <v>1898</v>
      </c>
      <c r="D8" s="106" t="s">
        <v>2253</v>
      </c>
      <c r="E8" s="103">
        <v>0</v>
      </c>
      <c r="F8" s="103"/>
      <c r="G8" s="103"/>
      <c r="H8" s="107" t="s">
        <v>2254</v>
      </c>
      <c r="J8" s="102">
        <v>12.5</v>
      </c>
      <c r="K8" s="107" t="s">
        <v>1910</v>
      </c>
      <c r="M8" s="105">
        <f t="shared" si="0"/>
        <v>0</v>
      </c>
    </row>
    <row r="9" spans="1:16384" x14ac:dyDescent="0.3">
      <c r="A9" s="106" t="s">
        <v>894</v>
      </c>
      <c r="B9" s="106" t="s">
        <v>888</v>
      </c>
      <c r="C9" s="106" t="s">
        <v>1898</v>
      </c>
      <c r="D9" s="106" t="s">
        <v>2263</v>
      </c>
      <c r="E9" s="103">
        <v>0</v>
      </c>
      <c r="F9" s="103"/>
      <c r="G9" s="103"/>
      <c r="H9" s="107" t="s">
        <v>2264</v>
      </c>
      <c r="J9" s="102">
        <v>7.5</v>
      </c>
      <c r="K9" s="107" t="s">
        <v>1913</v>
      </c>
      <c r="M9" s="105">
        <f t="shared" si="0"/>
        <v>0</v>
      </c>
    </row>
    <row r="10" spans="1:16384" x14ac:dyDescent="0.3">
      <c r="A10" s="106" t="s">
        <v>894</v>
      </c>
      <c r="B10" s="106" t="s">
        <v>888</v>
      </c>
      <c r="C10" s="106" t="s">
        <v>1898</v>
      </c>
      <c r="D10" s="106" t="s">
        <v>2257</v>
      </c>
      <c r="E10" s="103">
        <v>1</v>
      </c>
      <c r="F10" s="103"/>
      <c r="G10" s="103"/>
      <c r="H10" s="107" t="s">
        <v>2258</v>
      </c>
      <c r="J10" s="102">
        <v>3.95</v>
      </c>
      <c r="K10" s="107" t="s">
        <v>1910</v>
      </c>
      <c r="M10" s="105">
        <f t="shared" si="0"/>
        <v>3.95</v>
      </c>
    </row>
    <row r="11" spans="1:16384" x14ac:dyDescent="0.3">
      <c r="A11" s="106" t="s">
        <v>894</v>
      </c>
      <c r="B11" s="106" t="s">
        <v>888</v>
      </c>
      <c r="C11" s="106" t="s">
        <v>1898</v>
      </c>
      <c r="D11" s="106" t="s">
        <v>2265</v>
      </c>
      <c r="E11" s="103">
        <v>0</v>
      </c>
      <c r="F11" s="103"/>
      <c r="G11" s="103"/>
      <c r="H11" s="107" t="s">
        <v>2266</v>
      </c>
      <c r="J11" s="102">
        <v>9.9499999999999993</v>
      </c>
      <c r="K11" s="107" t="s">
        <v>1910</v>
      </c>
      <c r="M11" s="105">
        <f t="shared" si="0"/>
        <v>0</v>
      </c>
    </row>
    <row r="12" spans="1:16384" x14ac:dyDescent="0.3">
      <c r="A12" s="107" t="s">
        <v>894</v>
      </c>
      <c r="B12" s="107" t="s">
        <v>888</v>
      </c>
      <c r="C12" s="107" t="s">
        <v>8</v>
      </c>
      <c r="D12" s="106" t="s">
        <v>156</v>
      </c>
      <c r="E12" s="103">
        <v>1</v>
      </c>
      <c r="F12" s="103" t="s">
        <v>157</v>
      </c>
      <c r="G12" s="103" t="s">
        <v>158</v>
      </c>
      <c r="H12" s="106" t="s">
        <v>159</v>
      </c>
      <c r="I12" s="103"/>
      <c r="J12" s="103">
        <v>0.75</v>
      </c>
      <c r="K12" s="106" t="s">
        <v>1910</v>
      </c>
      <c r="M12" s="105">
        <f t="shared" si="0"/>
        <v>0.75</v>
      </c>
    </row>
    <row r="13" spans="1:16384" x14ac:dyDescent="0.3">
      <c r="A13" s="107" t="s">
        <v>894</v>
      </c>
      <c r="B13" s="107" t="s">
        <v>888</v>
      </c>
      <c r="C13" s="107" t="s">
        <v>8</v>
      </c>
      <c r="D13" s="106" t="s">
        <v>667</v>
      </c>
      <c r="E13" s="103">
        <v>2</v>
      </c>
      <c r="F13" s="103" t="s">
        <v>668</v>
      </c>
      <c r="G13" s="103" t="s">
        <v>669</v>
      </c>
      <c r="H13" s="106" t="s">
        <v>670</v>
      </c>
      <c r="I13" s="103">
        <v>1</v>
      </c>
      <c r="J13" s="103">
        <v>4.95</v>
      </c>
      <c r="K13" s="106" t="s">
        <v>1910</v>
      </c>
      <c r="M13" s="105">
        <f t="shared" si="0"/>
        <v>9.9</v>
      </c>
    </row>
    <row r="14" spans="1:16384" x14ac:dyDescent="0.3">
      <c r="A14" s="107" t="s">
        <v>894</v>
      </c>
      <c r="B14" s="107" t="s">
        <v>888</v>
      </c>
      <c r="C14" s="107" t="s">
        <v>8</v>
      </c>
      <c r="D14" s="106" t="s">
        <v>140</v>
      </c>
      <c r="E14" s="103">
        <v>1</v>
      </c>
      <c r="F14" s="103" t="s">
        <v>141</v>
      </c>
      <c r="G14" s="103" t="s">
        <v>142</v>
      </c>
      <c r="H14" s="106" t="s">
        <v>143</v>
      </c>
      <c r="I14" s="103">
        <v>1</v>
      </c>
      <c r="J14" s="103">
        <v>59.95</v>
      </c>
      <c r="K14" s="106" t="s">
        <v>1914</v>
      </c>
      <c r="M14" s="105">
        <f t="shared" si="0"/>
        <v>59.95</v>
      </c>
    </row>
    <row r="15" spans="1:16384" x14ac:dyDescent="0.3">
      <c r="A15" s="107" t="s">
        <v>894</v>
      </c>
      <c r="B15" s="107" t="s">
        <v>888</v>
      </c>
      <c r="C15" s="107" t="s">
        <v>8</v>
      </c>
      <c r="D15" s="106" t="s">
        <v>1498</v>
      </c>
      <c r="E15" s="103">
        <v>1</v>
      </c>
      <c r="F15" s="103" t="s">
        <v>1499</v>
      </c>
      <c r="G15" s="103" t="s">
        <v>1500</v>
      </c>
      <c r="H15" s="106" t="s">
        <v>1501</v>
      </c>
      <c r="I15" s="103">
        <v>1</v>
      </c>
      <c r="J15" s="103">
        <v>9.9499999999999993</v>
      </c>
      <c r="K15" s="106" t="s">
        <v>1914</v>
      </c>
      <c r="M15" s="105">
        <f t="shared" si="0"/>
        <v>9.9499999999999993</v>
      </c>
    </row>
    <row r="16" spans="1:16384" x14ac:dyDescent="0.3">
      <c r="A16" s="107" t="s">
        <v>894</v>
      </c>
      <c r="B16" s="107" t="s">
        <v>888</v>
      </c>
      <c r="C16" s="107" t="s">
        <v>8</v>
      </c>
      <c r="D16" s="106" t="s">
        <v>1519</v>
      </c>
      <c r="E16" s="103">
        <v>1</v>
      </c>
      <c r="F16" s="103" t="s">
        <v>1520</v>
      </c>
      <c r="G16" s="103" t="s">
        <v>1521</v>
      </c>
      <c r="H16" s="106" t="s">
        <v>1522</v>
      </c>
      <c r="I16" s="103">
        <v>1</v>
      </c>
      <c r="J16" s="103">
        <v>0.95</v>
      </c>
      <c r="K16" s="106" t="s">
        <v>1910</v>
      </c>
      <c r="M16" s="105">
        <f t="shared" si="0"/>
        <v>0.95</v>
      </c>
    </row>
    <row r="17" spans="1:13" x14ac:dyDescent="0.3">
      <c r="A17" s="107" t="s">
        <v>894</v>
      </c>
      <c r="B17" s="107" t="s">
        <v>888</v>
      </c>
      <c r="C17" s="107" t="s">
        <v>8</v>
      </c>
      <c r="D17" s="106" t="s">
        <v>1851</v>
      </c>
      <c r="E17" s="103">
        <v>1</v>
      </c>
      <c r="F17" s="103" t="s">
        <v>1852</v>
      </c>
      <c r="G17" s="103" t="s">
        <v>1853</v>
      </c>
      <c r="H17" s="106" t="s">
        <v>1854</v>
      </c>
      <c r="I17" s="103">
        <v>1</v>
      </c>
      <c r="J17" s="103">
        <v>5.95</v>
      </c>
      <c r="K17" s="106" t="s">
        <v>1910</v>
      </c>
      <c r="M17" s="105">
        <f t="shared" si="0"/>
        <v>5.95</v>
      </c>
    </row>
    <row r="18" spans="1:13" x14ac:dyDescent="0.3">
      <c r="A18" s="106" t="s">
        <v>894</v>
      </c>
      <c r="B18" s="106" t="s">
        <v>888</v>
      </c>
      <c r="C18" s="106" t="s">
        <v>1898</v>
      </c>
      <c r="D18" s="106" t="s">
        <v>2255</v>
      </c>
      <c r="E18" s="103">
        <v>0</v>
      </c>
      <c r="F18" s="103"/>
      <c r="G18" s="103"/>
      <c r="H18" s="107" t="s">
        <v>2256</v>
      </c>
      <c r="J18" s="102">
        <v>5.95</v>
      </c>
      <c r="K18" s="107" t="s">
        <v>1910</v>
      </c>
      <c r="M18" s="105">
        <f t="shared" si="0"/>
        <v>0</v>
      </c>
    </row>
    <row r="19" spans="1:13" x14ac:dyDescent="0.3">
      <c r="A19" s="107" t="s">
        <v>894</v>
      </c>
      <c r="B19" s="107" t="s">
        <v>888</v>
      </c>
      <c r="C19" s="107" t="s">
        <v>8</v>
      </c>
      <c r="D19" s="106" t="s">
        <v>144</v>
      </c>
      <c r="E19" s="103">
        <v>0</v>
      </c>
      <c r="F19" s="103" t="s">
        <v>145</v>
      </c>
      <c r="G19" s="103" t="s">
        <v>146</v>
      </c>
      <c r="H19" s="106" t="s">
        <v>147</v>
      </c>
      <c r="I19" s="103">
        <v>1</v>
      </c>
      <c r="J19" s="103">
        <v>10.95</v>
      </c>
      <c r="K19" s="106" t="s">
        <v>1910</v>
      </c>
      <c r="M19" s="105">
        <f t="shared" si="0"/>
        <v>0</v>
      </c>
    </row>
    <row r="20" spans="1:13" x14ac:dyDescent="0.3">
      <c r="A20" s="107" t="s">
        <v>894</v>
      </c>
      <c r="B20" s="107" t="s">
        <v>12</v>
      </c>
      <c r="C20" s="107" t="s">
        <v>8</v>
      </c>
      <c r="D20" s="106" t="s">
        <v>56</v>
      </c>
      <c r="E20" s="103">
        <v>5</v>
      </c>
      <c r="F20" s="103" t="s">
        <v>57</v>
      </c>
      <c r="G20" s="103" t="s">
        <v>58</v>
      </c>
      <c r="H20" s="106" t="s">
        <v>59</v>
      </c>
      <c r="I20" s="103">
        <v>1</v>
      </c>
      <c r="J20" s="103">
        <v>9.9499999999999993</v>
      </c>
      <c r="K20" s="106" t="s">
        <v>1911</v>
      </c>
      <c r="M20" s="105">
        <f t="shared" si="0"/>
        <v>49.75</v>
      </c>
    </row>
    <row r="21" spans="1:13" x14ac:dyDescent="0.3">
      <c r="A21" s="107" t="s">
        <v>894</v>
      </c>
      <c r="B21" s="107" t="s">
        <v>12</v>
      </c>
      <c r="C21" s="107" t="s">
        <v>8</v>
      </c>
      <c r="D21" s="106" t="s">
        <v>60</v>
      </c>
      <c r="E21" s="103">
        <v>5</v>
      </c>
      <c r="F21" s="103" t="s">
        <v>61</v>
      </c>
      <c r="G21" s="103" t="s">
        <v>62</v>
      </c>
      <c r="H21" s="106" t="s">
        <v>63</v>
      </c>
      <c r="I21" s="103">
        <v>1</v>
      </c>
      <c r="J21" s="103">
        <v>24.95</v>
      </c>
      <c r="K21" s="106" t="s">
        <v>1911</v>
      </c>
      <c r="M21" s="105">
        <f t="shared" si="0"/>
        <v>124.75</v>
      </c>
    </row>
    <row r="22" spans="1:13" x14ac:dyDescent="0.3">
      <c r="A22" s="107" t="s">
        <v>894</v>
      </c>
      <c r="B22" s="107" t="s">
        <v>12</v>
      </c>
      <c r="C22" s="107" t="s">
        <v>8</v>
      </c>
      <c r="D22" s="106" t="s">
        <v>64</v>
      </c>
      <c r="E22" s="103">
        <v>5</v>
      </c>
      <c r="F22" s="103" t="s">
        <v>65</v>
      </c>
      <c r="G22" s="103" t="s">
        <v>66</v>
      </c>
      <c r="H22" s="106" t="s">
        <v>67</v>
      </c>
      <c r="I22" s="103"/>
      <c r="J22" s="103">
        <v>10.95</v>
      </c>
      <c r="K22" s="106" t="s">
        <v>1911</v>
      </c>
      <c r="M22" s="105">
        <f t="shared" si="0"/>
        <v>54.75</v>
      </c>
    </row>
    <row r="23" spans="1:13" x14ac:dyDescent="0.3">
      <c r="A23" s="107" t="s">
        <v>894</v>
      </c>
      <c r="B23" s="107" t="s">
        <v>12</v>
      </c>
      <c r="C23" s="107" t="s">
        <v>8</v>
      </c>
      <c r="D23" s="106" t="s">
        <v>68</v>
      </c>
      <c r="E23" s="103">
        <f>E20+E21</f>
        <v>10</v>
      </c>
      <c r="F23" s="103" t="s">
        <v>69</v>
      </c>
      <c r="G23" s="103" t="s">
        <v>70</v>
      </c>
      <c r="H23" s="106" t="s">
        <v>71</v>
      </c>
      <c r="I23" s="103">
        <v>1</v>
      </c>
      <c r="J23" s="103">
        <v>24.95</v>
      </c>
      <c r="K23" s="106" t="s">
        <v>1911</v>
      </c>
      <c r="M23" s="105">
        <f t="shared" si="0"/>
        <v>249.5</v>
      </c>
    </row>
    <row r="24" spans="1:13" x14ac:dyDescent="0.3">
      <c r="A24" s="107" t="s">
        <v>894</v>
      </c>
      <c r="B24" s="107" t="s">
        <v>1896</v>
      </c>
      <c r="C24" s="107" t="s">
        <v>8</v>
      </c>
      <c r="D24" s="106" t="s">
        <v>230</v>
      </c>
      <c r="E24" s="103">
        <v>1</v>
      </c>
      <c r="F24" s="103" t="s">
        <v>231</v>
      </c>
      <c r="G24" s="103" t="s">
        <v>232</v>
      </c>
      <c r="H24" s="106" t="s">
        <v>198</v>
      </c>
      <c r="I24" s="103">
        <v>1</v>
      </c>
      <c r="J24" s="103">
        <v>54.95</v>
      </c>
      <c r="K24" s="106" t="s">
        <v>1910</v>
      </c>
      <c r="M24" s="105">
        <f t="shared" si="0"/>
        <v>54.95</v>
      </c>
    </row>
    <row r="25" spans="1:13" x14ac:dyDescent="0.3">
      <c r="A25" s="107" t="s">
        <v>894</v>
      </c>
      <c r="B25" s="107" t="s">
        <v>1896</v>
      </c>
      <c r="C25" s="107" t="s">
        <v>8</v>
      </c>
      <c r="D25" s="106" t="s">
        <v>1831</v>
      </c>
      <c r="E25" s="103">
        <v>1</v>
      </c>
      <c r="F25" s="103" t="s">
        <v>1832</v>
      </c>
      <c r="G25" s="103" t="s">
        <v>1833</v>
      </c>
      <c r="H25" s="106" t="s">
        <v>1834</v>
      </c>
      <c r="I25" s="103">
        <v>1</v>
      </c>
      <c r="J25" s="103">
        <v>14.95</v>
      </c>
      <c r="K25" s="106" t="s">
        <v>1910</v>
      </c>
      <c r="M25" s="105">
        <f t="shared" si="0"/>
        <v>14.95</v>
      </c>
    </row>
    <row r="26" spans="1:13" x14ac:dyDescent="0.3">
      <c r="A26" s="107" t="s">
        <v>894</v>
      </c>
      <c r="B26" s="107" t="s">
        <v>1896</v>
      </c>
      <c r="C26" s="107" t="s">
        <v>8</v>
      </c>
      <c r="D26" s="106" t="s">
        <v>925</v>
      </c>
      <c r="E26" s="103">
        <v>1</v>
      </c>
      <c r="F26" s="103" t="s">
        <v>926</v>
      </c>
      <c r="G26" s="103" t="s">
        <v>927</v>
      </c>
      <c r="H26" s="106" t="s">
        <v>928</v>
      </c>
      <c r="I26" s="103">
        <v>1</v>
      </c>
      <c r="J26" s="103">
        <v>19.95</v>
      </c>
      <c r="K26" s="106" t="s">
        <v>1914</v>
      </c>
      <c r="M26" s="105">
        <f t="shared" si="0"/>
        <v>19.95</v>
      </c>
    </row>
    <row r="27" spans="1:13" x14ac:dyDescent="0.3">
      <c r="A27" s="107" t="s">
        <v>894</v>
      </c>
      <c r="B27" s="107" t="s">
        <v>1896</v>
      </c>
      <c r="C27" s="107" t="s">
        <v>8</v>
      </c>
      <c r="D27" s="12" t="s">
        <v>2507</v>
      </c>
      <c r="E27" s="12">
        <v>0</v>
      </c>
      <c r="F27" s="12" t="s">
        <v>2508</v>
      </c>
      <c r="G27" s="12" t="s">
        <v>2509</v>
      </c>
      <c r="H27" s="12" t="s">
        <v>2510</v>
      </c>
      <c r="I27" s="12">
        <v>1</v>
      </c>
      <c r="J27" s="12">
        <v>14.95</v>
      </c>
      <c r="K27" s="107" t="s">
        <v>1911</v>
      </c>
      <c r="M27" s="105">
        <f t="shared" si="0"/>
        <v>0</v>
      </c>
    </row>
    <row r="28" spans="1:13" x14ac:dyDescent="0.3">
      <c r="A28" s="107" t="s">
        <v>894</v>
      </c>
      <c r="B28" s="107" t="s">
        <v>1896</v>
      </c>
      <c r="C28" s="107" t="s">
        <v>8</v>
      </c>
      <c r="D28" s="106" t="s">
        <v>286</v>
      </c>
      <c r="E28" s="103">
        <v>0</v>
      </c>
      <c r="F28" s="103" t="s">
        <v>287</v>
      </c>
      <c r="G28" s="103" t="s">
        <v>288</v>
      </c>
      <c r="H28" s="106" t="s">
        <v>203</v>
      </c>
      <c r="I28" s="103">
        <v>1</v>
      </c>
      <c r="J28" s="103">
        <v>9.9499999999999993</v>
      </c>
      <c r="K28" s="106" t="s">
        <v>1911</v>
      </c>
      <c r="M28" s="105">
        <f t="shared" si="0"/>
        <v>0</v>
      </c>
    </row>
    <row r="29" spans="1:13" x14ac:dyDescent="0.3">
      <c r="A29" s="107" t="s">
        <v>894</v>
      </c>
      <c r="B29" s="107" t="s">
        <v>1896</v>
      </c>
      <c r="C29" s="107" t="s">
        <v>8</v>
      </c>
      <c r="D29" s="106" t="s">
        <v>414</v>
      </c>
      <c r="E29" s="103">
        <v>5</v>
      </c>
      <c r="F29" s="103" t="s">
        <v>415</v>
      </c>
      <c r="G29" s="103" t="s">
        <v>416</v>
      </c>
      <c r="H29" s="106" t="s">
        <v>223</v>
      </c>
      <c r="I29" s="103">
        <v>1</v>
      </c>
      <c r="J29" s="103">
        <v>4.95</v>
      </c>
      <c r="K29" s="106" t="s">
        <v>1911</v>
      </c>
      <c r="M29" s="105">
        <f t="shared" si="0"/>
        <v>24.75</v>
      </c>
    </row>
    <row r="30" spans="1:13" x14ac:dyDescent="0.3">
      <c r="A30" s="107" t="s">
        <v>894</v>
      </c>
      <c r="B30" s="107" t="s">
        <v>1896</v>
      </c>
      <c r="C30" s="107" t="s">
        <v>8</v>
      </c>
      <c r="D30" s="106" t="s">
        <v>635</v>
      </c>
      <c r="E30" s="103">
        <v>6</v>
      </c>
      <c r="F30" s="103" t="s">
        <v>636</v>
      </c>
      <c r="G30" s="103" t="s">
        <v>637</v>
      </c>
      <c r="H30" s="106" t="s">
        <v>638</v>
      </c>
      <c r="I30" s="103">
        <v>1</v>
      </c>
      <c r="J30" s="103">
        <v>19.95</v>
      </c>
      <c r="K30" s="106" t="s">
        <v>1910</v>
      </c>
      <c r="M30" s="105">
        <f t="shared" si="0"/>
        <v>119.69999999999999</v>
      </c>
    </row>
    <row r="31" spans="1:13" x14ac:dyDescent="0.3">
      <c r="A31" s="106" t="s">
        <v>894</v>
      </c>
      <c r="B31" s="106" t="s">
        <v>1896</v>
      </c>
      <c r="C31" s="106" t="s">
        <v>1898</v>
      </c>
      <c r="D31" s="106" t="s">
        <v>2267</v>
      </c>
      <c r="E31" s="103">
        <v>2</v>
      </c>
      <c r="F31" s="103"/>
      <c r="G31" s="103"/>
      <c r="H31" s="107" t="s">
        <v>2268</v>
      </c>
      <c r="J31" s="102">
        <v>7.95</v>
      </c>
      <c r="K31" s="107" t="s">
        <v>1910</v>
      </c>
      <c r="M31" s="105">
        <f t="shared" si="0"/>
        <v>15.9</v>
      </c>
    </row>
    <row r="32" spans="1:13" x14ac:dyDescent="0.3">
      <c r="A32" s="106" t="s">
        <v>894</v>
      </c>
      <c r="B32" s="106" t="s">
        <v>1896</v>
      </c>
      <c r="C32" s="106" t="s">
        <v>1898</v>
      </c>
      <c r="D32" s="106" t="s">
        <v>2269</v>
      </c>
      <c r="E32" s="103">
        <v>0</v>
      </c>
      <c r="F32" s="103"/>
      <c r="G32" s="103"/>
      <c r="H32" s="107" t="s">
        <v>2270</v>
      </c>
      <c r="J32" s="102">
        <v>19.95</v>
      </c>
      <c r="K32" s="107" t="s">
        <v>1913</v>
      </c>
      <c r="M32" s="105">
        <f t="shared" si="0"/>
        <v>0</v>
      </c>
    </row>
    <row r="33" spans="1:13" x14ac:dyDescent="0.3">
      <c r="A33" s="106" t="s">
        <v>894</v>
      </c>
      <c r="B33" s="106" t="s">
        <v>1896</v>
      </c>
      <c r="C33" s="106" t="s">
        <v>1898</v>
      </c>
      <c r="D33" s="106" t="s">
        <v>2271</v>
      </c>
      <c r="E33" s="103">
        <v>0</v>
      </c>
      <c r="F33" s="103"/>
      <c r="G33" s="103"/>
      <c r="H33" s="107" t="s">
        <v>2272</v>
      </c>
      <c r="J33" s="102">
        <v>9.9499999999999993</v>
      </c>
      <c r="K33" s="107" t="s">
        <v>1910</v>
      </c>
      <c r="M33" s="105">
        <f t="shared" si="0"/>
        <v>0</v>
      </c>
    </row>
    <row r="34" spans="1:13" x14ac:dyDescent="0.3">
      <c r="A34" s="107" t="s">
        <v>894</v>
      </c>
      <c r="B34" s="107" t="s">
        <v>1896</v>
      </c>
      <c r="C34" s="107" t="s">
        <v>8</v>
      </c>
      <c r="D34" s="106" t="s">
        <v>347</v>
      </c>
      <c r="E34" s="103">
        <v>5</v>
      </c>
      <c r="F34" s="103" t="s">
        <v>348</v>
      </c>
      <c r="G34" s="103" t="s">
        <v>349</v>
      </c>
      <c r="H34" s="106" t="s">
        <v>350</v>
      </c>
      <c r="I34" s="103"/>
      <c r="J34" s="103">
        <v>4.95</v>
      </c>
      <c r="K34" s="106" t="s">
        <v>1911</v>
      </c>
      <c r="M34" s="105">
        <f t="shared" si="0"/>
        <v>24.75</v>
      </c>
    </row>
    <row r="35" spans="1:13" x14ac:dyDescent="0.3">
      <c r="A35" s="107" t="s">
        <v>894</v>
      </c>
      <c r="B35" s="107" t="s">
        <v>1896</v>
      </c>
      <c r="C35" s="107" t="s">
        <v>8</v>
      </c>
      <c r="D35" s="106" t="s">
        <v>233</v>
      </c>
      <c r="E35" s="103">
        <v>1</v>
      </c>
      <c r="F35" s="103" t="s">
        <v>234</v>
      </c>
      <c r="G35" s="103" t="s">
        <v>235</v>
      </c>
      <c r="H35" s="106" t="s">
        <v>205</v>
      </c>
      <c r="I35" s="103">
        <v>1</v>
      </c>
      <c r="J35" s="103">
        <v>9.9499999999999993</v>
      </c>
      <c r="K35" s="106" t="s">
        <v>1914</v>
      </c>
      <c r="M35" s="105">
        <f t="shared" si="0"/>
        <v>9.9499999999999993</v>
      </c>
    </row>
    <row r="36" spans="1:13" x14ac:dyDescent="0.3">
      <c r="A36" s="107" t="s">
        <v>894</v>
      </c>
      <c r="B36" s="107" t="s">
        <v>1896</v>
      </c>
      <c r="C36" s="107" t="s">
        <v>8</v>
      </c>
      <c r="D36" s="106" t="s">
        <v>332</v>
      </c>
      <c r="E36" s="103">
        <v>1</v>
      </c>
      <c r="F36" s="103" t="s">
        <v>333</v>
      </c>
      <c r="G36" s="103" t="s">
        <v>334</v>
      </c>
      <c r="H36" s="106" t="s">
        <v>335</v>
      </c>
      <c r="I36" s="103">
        <v>1</v>
      </c>
      <c r="J36" s="103">
        <v>54.95</v>
      </c>
      <c r="K36" s="106" t="s">
        <v>2490</v>
      </c>
      <c r="M36" s="105">
        <f t="shared" si="0"/>
        <v>54.95</v>
      </c>
    </row>
    <row r="37" spans="1:13" x14ac:dyDescent="0.3">
      <c r="A37" s="106" t="s">
        <v>894</v>
      </c>
      <c r="B37" s="106" t="s">
        <v>1896</v>
      </c>
      <c r="C37" s="106" t="s">
        <v>1898</v>
      </c>
      <c r="D37" s="106" t="s">
        <v>2079</v>
      </c>
      <c r="E37" s="103">
        <v>1</v>
      </c>
      <c r="F37" s="103"/>
      <c r="G37" s="103"/>
      <c r="H37" s="107" t="s">
        <v>2078</v>
      </c>
      <c r="J37" s="102">
        <v>2.95</v>
      </c>
      <c r="K37" s="107" t="s">
        <v>1910</v>
      </c>
      <c r="M37" s="105">
        <f t="shared" si="0"/>
        <v>2.95</v>
      </c>
    </row>
    <row r="38" spans="1:13" x14ac:dyDescent="0.3">
      <c r="A38" s="107" t="s">
        <v>894</v>
      </c>
      <c r="B38" s="107" t="s">
        <v>2030</v>
      </c>
      <c r="C38" s="107" t="s">
        <v>8</v>
      </c>
      <c r="D38" s="106" t="s">
        <v>1140</v>
      </c>
      <c r="E38" s="103">
        <v>1</v>
      </c>
      <c r="F38" s="103" t="s">
        <v>1141</v>
      </c>
      <c r="G38" s="103" t="s">
        <v>1142</v>
      </c>
      <c r="H38" s="106" t="s">
        <v>1143</v>
      </c>
      <c r="I38" s="103">
        <v>1</v>
      </c>
      <c r="J38" s="103">
        <v>3.95</v>
      </c>
      <c r="K38" s="106" t="s">
        <v>1910</v>
      </c>
      <c r="M38" s="105">
        <f t="shared" si="0"/>
        <v>3.95</v>
      </c>
    </row>
    <row r="39" spans="1:13" x14ac:dyDescent="0.3">
      <c r="A39" s="107" t="s">
        <v>894</v>
      </c>
      <c r="B39" s="107" t="s">
        <v>2030</v>
      </c>
      <c r="C39" s="107" t="s">
        <v>8</v>
      </c>
      <c r="D39" s="106" t="s">
        <v>1729</v>
      </c>
      <c r="E39" s="103">
        <v>1</v>
      </c>
      <c r="F39" s="103" t="s">
        <v>1730</v>
      </c>
      <c r="G39" s="103" t="s">
        <v>1731</v>
      </c>
      <c r="H39" s="106" t="s">
        <v>1732</v>
      </c>
      <c r="I39" s="103">
        <v>1</v>
      </c>
      <c r="J39" s="103">
        <v>2.95</v>
      </c>
      <c r="K39" s="106" t="s">
        <v>1910</v>
      </c>
      <c r="M39" s="105">
        <f t="shared" si="0"/>
        <v>2.95</v>
      </c>
    </row>
    <row r="40" spans="1:13" x14ac:dyDescent="0.3">
      <c r="A40" s="107" t="s">
        <v>894</v>
      </c>
      <c r="B40" s="107" t="s">
        <v>2030</v>
      </c>
      <c r="C40" s="107" t="s">
        <v>8</v>
      </c>
      <c r="D40" s="106" t="s">
        <v>1673</v>
      </c>
      <c r="E40" s="103">
        <v>1</v>
      </c>
      <c r="F40" s="103" t="s">
        <v>1674</v>
      </c>
      <c r="G40" s="103" t="s">
        <v>1675</v>
      </c>
      <c r="H40" s="106" t="s">
        <v>1676</v>
      </c>
      <c r="I40" s="103"/>
      <c r="J40" s="103">
        <v>3.95</v>
      </c>
      <c r="K40" s="106" t="s">
        <v>1910</v>
      </c>
      <c r="M40" s="105">
        <f t="shared" si="0"/>
        <v>3.95</v>
      </c>
    </row>
    <row r="41" spans="1:13" x14ac:dyDescent="0.3">
      <c r="A41" s="107" t="s">
        <v>894</v>
      </c>
      <c r="B41" s="107" t="s">
        <v>2030</v>
      </c>
      <c r="C41" s="107" t="s">
        <v>8</v>
      </c>
      <c r="D41" s="106" t="s">
        <v>1445</v>
      </c>
      <c r="E41" s="103">
        <v>10</v>
      </c>
      <c r="F41" s="103" t="s">
        <v>1446</v>
      </c>
      <c r="G41" s="103" t="s">
        <v>1447</v>
      </c>
      <c r="H41" s="106" t="s">
        <v>1448</v>
      </c>
      <c r="I41" s="103">
        <v>1</v>
      </c>
      <c r="J41" s="103">
        <v>1.95</v>
      </c>
      <c r="K41" s="106" t="s">
        <v>1911</v>
      </c>
      <c r="M41" s="105">
        <f t="shared" si="0"/>
        <v>19.5</v>
      </c>
    </row>
    <row r="42" spans="1:13" x14ac:dyDescent="0.3">
      <c r="A42" s="107" t="s">
        <v>894</v>
      </c>
      <c r="B42" s="107" t="s">
        <v>2030</v>
      </c>
      <c r="C42" s="107" t="s">
        <v>8</v>
      </c>
      <c r="D42" s="106" t="s">
        <v>1136</v>
      </c>
      <c r="E42" s="103">
        <v>2</v>
      </c>
      <c r="F42" s="103" t="s">
        <v>1137</v>
      </c>
      <c r="G42" s="103" t="s">
        <v>1138</v>
      </c>
      <c r="H42" s="106" t="s">
        <v>1139</v>
      </c>
      <c r="I42" s="103">
        <v>1</v>
      </c>
      <c r="J42" s="103">
        <v>2.95</v>
      </c>
      <c r="K42" s="106" t="s">
        <v>1910</v>
      </c>
      <c r="M42" s="105">
        <f t="shared" si="0"/>
        <v>5.9</v>
      </c>
    </row>
    <row r="43" spans="1:13" x14ac:dyDescent="0.3">
      <c r="A43" s="107" t="s">
        <v>894</v>
      </c>
      <c r="B43" s="107" t="s">
        <v>2030</v>
      </c>
      <c r="C43" s="107" t="s">
        <v>8</v>
      </c>
      <c r="D43" s="106" t="s">
        <v>1132</v>
      </c>
      <c r="E43" s="103">
        <v>5</v>
      </c>
      <c r="F43" s="103" t="s">
        <v>1133</v>
      </c>
      <c r="G43" s="103" t="s">
        <v>1134</v>
      </c>
      <c r="H43" s="106" t="s">
        <v>1135</v>
      </c>
      <c r="I43" s="103">
        <v>1</v>
      </c>
      <c r="J43" s="103">
        <v>7.95</v>
      </c>
      <c r="K43" s="106" t="s">
        <v>1911</v>
      </c>
      <c r="M43" s="105">
        <f t="shared" si="0"/>
        <v>39.75</v>
      </c>
    </row>
    <row r="44" spans="1:13" x14ac:dyDescent="0.3">
      <c r="A44" s="107" t="s">
        <v>894</v>
      </c>
      <c r="B44" s="107" t="s">
        <v>2030</v>
      </c>
      <c r="C44" s="107" t="s">
        <v>8</v>
      </c>
      <c r="D44" s="106" t="s">
        <v>120</v>
      </c>
      <c r="E44" s="103">
        <v>5</v>
      </c>
      <c r="F44" s="103" t="s">
        <v>121</v>
      </c>
      <c r="G44" s="103" t="s">
        <v>122</v>
      </c>
      <c r="H44" s="106" t="s">
        <v>123</v>
      </c>
      <c r="I44" s="103">
        <v>1</v>
      </c>
      <c r="J44" s="103">
        <v>5.95</v>
      </c>
      <c r="K44" s="106" t="s">
        <v>1911</v>
      </c>
      <c r="M44" s="105">
        <f t="shared" si="0"/>
        <v>29.75</v>
      </c>
    </row>
    <row r="45" spans="1:13" x14ac:dyDescent="0.3">
      <c r="A45" s="107" t="s">
        <v>894</v>
      </c>
      <c r="B45" s="107" t="s">
        <v>2030</v>
      </c>
      <c r="C45" s="107" t="s">
        <v>8</v>
      </c>
      <c r="D45" s="106" t="s">
        <v>124</v>
      </c>
      <c r="E45" s="103">
        <v>3</v>
      </c>
      <c r="F45" s="103" t="s">
        <v>125</v>
      </c>
      <c r="G45" s="103" t="s">
        <v>126</v>
      </c>
      <c r="H45" s="106" t="s">
        <v>127</v>
      </c>
      <c r="I45" s="103">
        <v>1</v>
      </c>
      <c r="J45" s="103">
        <v>4.95</v>
      </c>
      <c r="K45" s="106" t="s">
        <v>1910</v>
      </c>
      <c r="M45" s="105">
        <f t="shared" si="0"/>
        <v>14.850000000000001</v>
      </c>
    </row>
    <row r="46" spans="1:13" x14ac:dyDescent="0.3">
      <c r="A46" s="106" t="s">
        <v>894</v>
      </c>
      <c r="B46" s="106" t="s">
        <v>2030</v>
      </c>
      <c r="C46" s="106" t="s">
        <v>1898</v>
      </c>
      <c r="D46" s="106" t="s">
        <v>2344</v>
      </c>
      <c r="E46" s="103">
        <v>0</v>
      </c>
      <c r="F46" s="103"/>
      <c r="G46" s="103"/>
      <c r="H46" s="107" t="s">
        <v>2345</v>
      </c>
      <c r="J46" s="102">
        <v>2.95</v>
      </c>
      <c r="K46" s="107" t="s">
        <v>1910</v>
      </c>
      <c r="M46" s="105">
        <f t="shared" si="0"/>
        <v>0</v>
      </c>
    </row>
    <row r="47" spans="1:13" x14ac:dyDescent="0.3">
      <c r="A47" s="106" t="s">
        <v>894</v>
      </c>
      <c r="B47" s="106" t="s">
        <v>2030</v>
      </c>
      <c r="C47" s="106" t="s">
        <v>1898</v>
      </c>
      <c r="D47" s="106" t="s">
        <v>2346</v>
      </c>
      <c r="E47" s="103">
        <v>0</v>
      </c>
      <c r="F47" s="103"/>
      <c r="G47" s="103"/>
      <c r="H47" s="107" t="s">
        <v>2347</v>
      </c>
      <c r="J47" s="102">
        <v>2.5</v>
      </c>
      <c r="K47" s="107" t="s">
        <v>1910</v>
      </c>
      <c r="M47" s="105">
        <f t="shared" si="0"/>
        <v>0</v>
      </c>
    </row>
    <row r="48" spans="1:13" x14ac:dyDescent="0.3">
      <c r="A48" s="107" t="s">
        <v>894</v>
      </c>
      <c r="B48" s="107" t="s">
        <v>1616</v>
      </c>
      <c r="C48" s="107" t="s">
        <v>8</v>
      </c>
      <c r="D48" s="106" t="s">
        <v>32</v>
      </c>
      <c r="E48" s="103">
        <v>5</v>
      </c>
      <c r="F48" s="103" t="s">
        <v>33</v>
      </c>
      <c r="G48" s="103" t="s">
        <v>34</v>
      </c>
      <c r="H48" s="106" t="s">
        <v>35</v>
      </c>
      <c r="I48" s="103">
        <v>1</v>
      </c>
      <c r="J48" s="103">
        <v>45.95</v>
      </c>
      <c r="K48" s="106" t="s">
        <v>1911</v>
      </c>
      <c r="M48" s="105">
        <f t="shared" si="0"/>
        <v>229.75</v>
      </c>
    </row>
    <row r="49" spans="1:13" x14ac:dyDescent="0.3">
      <c r="A49" s="107" t="s">
        <v>894</v>
      </c>
      <c r="B49" s="107" t="s">
        <v>2039</v>
      </c>
      <c r="C49" s="107" t="s">
        <v>8</v>
      </c>
      <c r="D49" s="106" t="s">
        <v>791</v>
      </c>
      <c r="E49" s="103">
        <v>0</v>
      </c>
      <c r="F49" s="103" t="s">
        <v>792</v>
      </c>
      <c r="G49" s="103" t="s">
        <v>793</v>
      </c>
      <c r="H49" s="106" t="s">
        <v>794</v>
      </c>
      <c r="I49" s="103">
        <v>1</v>
      </c>
      <c r="J49" s="103">
        <v>5.95</v>
      </c>
      <c r="K49" s="106" t="s">
        <v>1911</v>
      </c>
      <c r="M49" s="105">
        <f t="shared" si="0"/>
        <v>0</v>
      </c>
    </row>
    <row r="50" spans="1:13" x14ac:dyDescent="0.3">
      <c r="A50" s="107" t="s">
        <v>894</v>
      </c>
      <c r="B50" s="107" t="s">
        <v>2039</v>
      </c>
      <c r="C50" s="107" t="s">
        <v>8</v>
      </c>
      <c r="D50" s="106" t="s">
        <v>1779</v>
      </c>
      <c r="E50" s="103">
        <v>0</v>
      </c>
      <c r="F50" s="103" t="s">
        <v>1780</v>
      </c>
      <c r="G50" s="103" t="s">
        <v>1781</v>
      </c>
      <c r="H50" s="106" t="s">
        <v>1782</v>
      </c>
      <c r="I50" s="103">
        <v>1</v>
      </c>
      <c r="J50" s="103">
        <v>5.95</v>
      </c>
      <c r="K50" s="106" t="s">
        <v>1910</v>
      </c>
      <c r="M50" s="105">
        <f t="shared" si="0"/>
        <v>0</v>
      </c>
    </row>
    <row r="51" spans="1:13" x14ac:dyDescent="0.3">
      <c r="A51" s="106" t="s">
        <v>894</v>
      </c>
      <c r="B51" s="106" t="s">
        <v>2039</v>
      </c>
      <c r="C51" s="106" t="s">
        <v>1898</v>
      </c>
      <c r="D51" s="106" t="s">
        <v>2283</v>
      </c>
      <c r="E51" s="103">
        <v>0</v>
      </c>
      <c r="F51" s="103"/>
      <c r="G51" s="103"/>
      <c r="H51" s="107" t="s">
        <v>2284</v>
      </c>
      <c r="J51" s="102">
        <v>7.95</v>
      </c>
      <c r="K51" s="107" t="s">
        <v>1910</v>
      </c>
      <c r="M51" s="105">
        <f t="shared" si="0"/>
        <v>0</v>
      </c>
    </row>
    <row r="52" spans="1:13" x14ac:dyDescent="0.3">
      <c r="A52" s="106" t="s">
        <v>894</v>
      </c>
      <c r="B52" s="106" t="s">
        <v>2039</v>
      </c>
      <c r="C52" s="106" t="s">
        <v>1898</v>
      </c>
      <c r="D52" s="106" t="s">
        <v>2285</v>
      </c>
      <c r="E52" s="103">
        <v>0</v>
      </c>
      <c r="F52" s="103"/>
      <c r="G52" s="103"/>
      <c r="H52" s="107" t="s">
        <v>2286</v>
      </c>
      <c r="J52" s="102">
        <v>14.95</v>
      </c>
      <c r="K52" s="107" t="s">
        <v>1910</v>
      </c>
      <c r="M52" s="105">
        <f t="shared" si="0"/>
        <v>0</v>
      </c>
    </row>
    <row r="53" spans="1:13" x14ac:dyDescent="0.3">
      <c r="A53" s="107" t="s">
        <v>894</v>
      </c>
      <c r="B53" s="107" t="s">
        <v>2043</v>
      </c>
      <c r="C53" s="107" t="s">
        <v>8</v>
      </c>
      <c r="D53" s="106" t="s">
        <v>387</v>
      </c>
      <c r="E53" s="103">
        <v>5</v>
      </c>
      <c r="F53" s="103" t="s">
        <v>388</v>
      </c>
      <c r="G53" s="103" t="s">
        <v>389</v>
      </c>
      <c r="H53" s="106" t="s">
        <v>390</v>
      </c>
      <c r="I53" s="103"/>
      <c r="J53" s="103">
        <v>1.95</v>
      </c>
      <c r="K53" s="106" t="s">
        <v>1910</v>
      </c>
      <c r="M53" s="105">
        <f t="shared" si="0"/>
        <v>9.75</v>
      </c>
    </row>
    <row r="54" spans="1:13" x14ac:dyDescent="0.3">
      <c r="A54" s="107" t="s">
        <v>894</v>
      </c>
      <c r="B54" s="107" t="s">
        <v>2043</v>
      </c>
      <c r="C54" s="107" t="s">
        <v>8</v>
      </c>
      <c r="D54" s="106" t="s">
        <v>803</v>
      </c>
      <c r="E54" s="103">
        <v>5</v>
      </c>
      <c r="F54" s="103" t="s">
        <v>804</v>
      </c>
      <c r="G54" s="103" t="s">
        <v>805</v>
      </c>
      <c r="H54" s="106" t="s">
        <v>806</v>
      </c>
      <c r="I54" s="103">
        <v>1</v>
      </c>
      <c r="J54" s="103">
        <v>2.95</v>
      </c>
      <c r="K54" s="106" t="s">
        <v>1911</v>
      </c>
      <c r="M54" s="105">
        <f t="shared" si="0"/>
        <v>14.75</v>
      </c>
    </row>
    <row r="55" spans="1:13" x14ac:dyDescent="0.3">
      <c r="A55" s="107" t="s">
        <v>894</v>
      </c>
      <c r="B55" s="107" t="s">
        <v>2043</v>
      </c>
      <c r="C55" s="107" t="s">
        <v>8</v>
      </c>
      <c r="D55" s="106" t="s">
        <v>461</v>
      </c>
      <c r="E55" s="103">
        <v>5</v>
      </c>
      <c r="F55" s="103" t="s">
        <v>462</v>
      </c>
      <c r="G55" s="103" t="s">
        <v>463</v>
      </c>
      <c r="H55" s="106" t="s">
        <v>464</v>
      </c>
      <c r="I55" s="103">
        <v>1</v>
      </c>
      <c r="J55" s="103">
        <v>2.95</v>
      </c>
      <c r="K55" s="106" t="s">
        <v>1910</v>
      </c>
      <c r="M55" s="105">
        <f t="shared" si="0"/>
        <v>14.75</v>
      </c>
    </row>
    <row r="56" spans="1:13" x14ac:dyDescent="0.3">
      <c r="A56" s="107" t="s">
        <v>894</v>
      </c>
      <c r="B56" s="107" t="s">
        <v>2043</v>
      </c>
      <c r="C56" s="107" t="s">
        <v>8</v>
      </c>
      <c r="D56" s="106" t="s">
        <v>811</v>
      </c>
      <c r="E56" s="103">
        <v>5</v>
      </c>
      <c r="F56" s="103" t="s">
        <v>812</v>
      </c>
      <c r="G56" s="103" t="s">
        <v>813</v>
      </c>
      <c r="H56" s="106" t="s">
        <v>814</v>
      </c>
      <c r="I56" s="103"/>
      <c r="J56" s="103">
        <v>2.5</v>
      </c>
      <c r="K56" s="106" t="s">
        <v>1911</v>
      </c>
      <c r="M56" s="105">
        <f t="shared" si="0"/>
        <v>12.5</v>
      </c>
    </row>
    <row r="57" spans="1:13" x14ac:dyDescent="0.3">
      <c r="A57" s="106" t="s">
        <v>894</v>
      </c>
      <c r="B57" s="106" t="s">
        <v>2043</v>
      </c>
      <c r="C57" s="106" t="s">
        <v>1898</v>
      </c>
      <c r="D57" s="106" t="s">
        <v>2273</v>
      </c>
      <c r="E57" s="103">
        <v>0</v>
      </c>
      <c r="F57" s="103"/>
      <c r="G57" s="103"/>
      <c r="H57" s="107" t="s">
        <v>2274</v>
      </c>
      <c r="J57" s="102">
        <v>2.95</v>
      </c>
      <c r="K57" s="107" t="s">
        <v>1910</v>
      </c>
      <c r="M57" s="105">
        <f t="shared" si="0"/>
        <v>0</v>
      </c>
    </row>
    <row r="58" spans="1:13" x14ac:dyDescent="0.3">
      <c r="A58" s="106" t="s">
        <v>894</v>
      </c>
      <c r="B58" s="106" t="s">
        <v>2043</v>
      </c>
      <c r="C58" s="106" t="s">
        <v>1898</v>
      </c>
      <c r="D58" s="106" t="s">
        <v>2275</v>
      </c>
      <c r="E58" s="103">
        <v>1</v>
      </c>
      <c r="F58" s="103"/>
      <c r="G58" s="103"/>
      <c r="H58" s="107" t="s">
        <v>2276</v>
      </c>
      <c r="J58" s="102">
        <v>2.5</v>
      </c>
      <c r="K58" s="107" t="s">
        <v>1910</v>
      </c>
      <c r="M58" s="105">
        <f t="shared" si="0"/>
        <v>2.5</v>
      </c>
    </row>
    <row r="59" spans="1:13" x14ac:dyDescent="0.3">
      <c r="A59" s="106" t="s">
        <v>894</v>
      </c>
      <c r="B59" s="106" t="s">
        <v>2043</v>
      </c>
      <c r="C59" s="106" t="s">
        <v>1898</v>
      </c>
      <c r="D59" s="106" t="s">
        <v>2277</v>
      </c>
      <c r="E59" s="103">
        <v>1</v>
      </c>
      <c r="F59" s="103"/>
      <c r="G59" s="103"/>
      <c r="H59" s="107" t="s">
        <v>2278</v>
      </c>
      <c r="J59" s="102">
        <v>0.95</v>
      </c>
      <c r="K59" s="107" t="s">
        <v>1910</v>
      </c>
      <c r="M59" s="105">
        <f t="shared" si="0"/>
        <v>0.95</v>
      </c>
    </row>
    <row r="60" spans="1:13" x14ac:dyDescent="0.3">
      <c r="A60" s="106" t="s">
        <v>894</v>
      </c>
      <c r="B60" s="106" t="s">
        <v>2043</v>
      </c>
      <c r="C60" s="106" t="s">
        <v>1898</v>
      </c>
      <c r="D60" s="106" t="s">
        <v>2279</v>
      </c>
      <c r="E60" s="103">
        <v>1</v>
      </c>
      <c r="F60" s="103"/>
      <c r="G60" s="103"/>
      <c r="H60" s="107" t="s">
        <v>2280</v>
      </c>
      <c r="J60" s="102">
        <v>0.95</v>
      </c>
      <c r="K60" s="107" t="s">
        <v>1910</v>
      </c>
      <c r="M60" s="105">
        <f t="shared" si="0"/>
        <v>0.95</v>
      </c>
    </row>
    <row r="61" spans="1:13" x14ac:dyDescent="0.3">
      <c r="A61" s="107" t="s">
        <v>894</v>
      </c>
      <c r="B61" s="107" t="s">
        <v>2038</v>
      </c>
      <c r="C61" s="107" t="s">
        <v>8</v>
      </c>
      <c r="D61" s="106" t="s">
        <v>1112</v>
      </c>
      <c r="E61" s="103">
        <v>0</v>
      </c>
      <c r="F61" s="103" t="s">
        <v>1113</v>
      </c>
      <c r="G61" s="103" t="s">
        <v>1114</v>
      </c>
      <c r="H61" s="106" t="s">
        <v>1115</v>
      </c>
      <c r="I61" s="103">
        <v>1</v>
      </c>
      <c r="J61" s="103">
        <v>5.95</v>
      </c>
      <c r="K61" s="106" t="s">
        <v>1910</v>
      </c>
      <c r="M61" s="105">
        <f t="shared" si="0"/>
        <v>0</v>
      </c>
    </row>
    <row r="62" spans="1:13" x14ac:dyDescent="0.3">
      <c r="A62" s="106" t="s">
        <v>894</v>
      </c>
      <c r="B62" s="106" t="s">
        <v>2045</v>
      </c>
      <c r="C62" s="106" t="s">
        <v>1898</v>
      </c>
      <c r="D62" s="106" t="s">
        <v>2314</v>
      </c>
      <c r="E62" s="103">
        <v>0</v>
      </c>
      <c r="F62" s="103"/>
      <c r="G62" s="103"/>
      <c r="H62" s="107" t="s">
        <v>2315</v>
      </c>
      <c r="J62" s="102">
        <v>5.95</v>
      </c>
      <c r="K62" s="107" t="s">
        <v>1910</v>
      </c>
      <c r="M62" s="105">
        <f t="shared" si="0"/>
        <v>0</v>
      </c>
    </row>
    <row r="63" spans="1:13" x14ac:dyDescent="0.3">
      <c r="A63" s="106" t="s">
        <v>894</v>
      </c>
      <c r="B63" s="106" t="s">
        <v>2045</v>
      </c>
      <c r="C63" s="106" t="s">
        <v>1898</v>
      </c>
      <c r="D63" s="106" t="s">
        <v>2316</v>
      </c>
      <c r="E63" s="103">
        <v>5</v>
      </c>
      <c r="F63" s="103"/>
      <c r="G63" s="103"/>
      <c r="H63" s="107" t="s">
        <v>2317</v>
      </c>
      <c r="J63" s="102">
        <v>6.95</v>
      </c>
      <c r="K63" s="107" t="s">
        <v>1910</v>
      </c>
      <c r="M63" s="105">
        <f t="shared" si="0"/>
        <v>34.75</v>
      </c>
    </row>
    <row r="64" spans="1:13" x14ac:dyDescent="0.3">
      <c r="A64" s="107" t="s">
        <v>894</v>
      </c>
      <c r="B64" s="106" t="s">
        <v>2036</v>
      </c>
      <c r="C64" s="107" t="s">
        <v>8</v>
      </c>
      <c r="D64" s="12" t="s">
        <v>2491</v>
      </c>
      <c r="E64" s="12">
        <v>5</v>
      </c>
      <c r="F64" s="12" t="s">
        <v>2492</v>
      </c>
      <c r="G64" s="12" t="s">
        <v>2493</v>
      </c>
      <c r="H64" s="12" t="s">
        <v>2494</v>
      </c>
      <c r="I64" s="12">
        <v>1</v>
      </c>
      <c r="J64" s="12">
        <v>3.95</v>
      </c>
      <c r="K64" s="107" t="s">
        <v>1911</v>
      </c>
      <c r="M64" s="105">
        <f t="shared" si="0"/>
        <v>19.75</v>
      </c>
    </row>
    <row r="65" spans="1:13" x14ac:dyDescent="0.3">
      <c r="A65" s="107" t="s">
        <v>895</v>
      </c>
      <c r="B65" s="106" t="s">
        <v>2041</v>
      </c>
      <c r="C65" s="107" t="s">
        <v>8</v>
      </c>
      <c r="D65" s="12" t="s">
        <v>1507</v>
      </c>
      <c r="E65" s="12">
        <v>1</v>
      </c>
      <c r="F65" s="12" t="s">
        <v>1508</v>
      </c>
      <c r="G65" s="12" t="s">
        <v>1509</v>
      </c>
      <c r="H65" s="12" t="s">
        <v>1510</v>
      </c>
      <c r="I65" s="12">
        <v>1</v>
      </c>
      <c r="J65" s="12">
        <v>4.95</v>
      </c>
      <c r="K65" s="107" t="s">
        <v>1910</v>
      </c>
      <c r="M65" s="105">
        <f t="shared" si="0"/>
        <v>4.95</v>
      </c>
    </row>
    <row r="66" spans="1:13" x14ac:dyDescent="0.3">
      <c r="A66" s="107" t="s">
        <v>895</v>
      </c>
      <c r="B66" s="106" t="s">
        <v>2041</v>
      </c>
      <c r="C66" s="107" t="s">
        <v>8</v>
      </c>
      <c r="D66" s="12" t="s">
        <v>1511</v>
      </c>
      <c r="E66" s="12">
        <v>0</v>
      </c>
      <c r="F66" s="12" t="s">
        <v>1512</v>
      </c>
      <c r="G66" s="12" t="s">
        <v>1513</v>
      </c>
      <c r="H66" s="12" t="s">
        <v>1514</v>
      </c>
      <c r="I66" s="12">
        <v>1</v>
      </c>
      <c r="J66" s="12">
        <v>1.95</v>
      </c>
      <c r="K66" s="107" t="s">
        <v>1913</v>
      </c>
      <c r="M66" s="105">
        <f t="shared" si="0"/>
        <v>0</v>
      </c>
    </row>
    <row r="67" spans="1:13" x14ac:dyDescent="0.3">
      <c r="A67" s="107" t="s">
        <v>895</v>
      </c>
      <c r="B67" s="106" t="s">
        <v>2041</v>
      </c>
      <c r="C67" s="107" t="s">
        <v>8</v>
      </c>
      <c r="D67" s="12" t="s">
        <v>248</v>
      </c>
      <c r="E67" s="12">
        <v>1</v>
      </c>
      <c r="F67" s="12" t="s">
        <v>249</v>
      </c>
      <c r="G67" s="12" t="s">
        <v>250</v>
      </c>
      <c r="H67" s="12" t="s">
        <v>251</v>
      </c>
      <c r="I67" s="12">
        <v>1</v>
      </c>
      <c r="J67" s="12">
        <v>4.95</v>
      </c>
      <c r="K67" s="107" t="s">
        <v>1910</v>
      </c>
      <c r="M67" s="105">
        <f t="shared" ref="M67:M130" si="1">E67*J67</f>
        <v>4.95</v>
      </c>
    </row>
    <row r="68" spans="1:13" x14ac:dyDescent="0.3">
      <c r="A68" s="107" t="s">
        <v>894</v>
      </c>
      <c r="B68" s="106" t="s">
        <v>2036</v>
      </c>
      <c r="C68" s="107" t="s">
        <v>8</v>
      </c>
      <c r="D68" s="12" t="s">
        <v>2495</v>
      </c>
      <c r="E68" s="12">
        <v>5</v>
      </c>
      <c r="F68" s="12" t="s">
        <v>2496</v>
      </c>
      <c r="G68" s="12" t="s">
        <v>2497</v>
      </c>
      <c r="H68" s="12" t="s">
        <v>2498</v>
      </c>
      <c r="I68" s="12">
        <v>1</v>
      </c>
      <c r="J68" s="12">
        <v>3.95</v>
      </c>
      <c r="K68" s="107" t="s">
        <v>1911</v>
      </c>
      <c r="M68" s="105">
        <f t="shared" si="1"/>
        <v>19.75</v>
      </c>
    </row>
    <row r="69" spans="1:13" x14ac:dyDescent="0.3">
      <c r="A69" s="107" t="s">
        <v>894</v>
      </c>
      <c r="B69" s="106" t="s">
        <v>2036</v>
      </c>
      <c r="C69" s="107" t="s">
        <v>8</v>
      </c>
      <c r="D69" s="12" t="s">
        <v>2499</v>
      </c>
      <c r="E69" s="12">
        <v>0</v>
      </c>
      <c r="F69" s="12" t="s">
        <v>2500</v>
      </c>
      <c r="G69" s="12" t="s">
        <v>2501</v>
      </c>
      <c r="H69" s="12" t="s">
        <v>2502</v>
      </c>
      <c r="I69" s="12">
        <v>1</v>
      </c>
      <c r="J69" s="12">
        <v>1.95</v>
      </c>
      <c r="K69" s="107" t="s">
        <v>1911</v>
      </c>
      <c r="M69" s="105">
        <f t="shared" si="1"/>
        <v>0</v>
      </c>
    </row>
    <row r="70" spans="1:13" x14ac:dyDescent="0.3">
      <c r="A70" s="107" t="s">
        <v>894</v>
      </c>
      <c r="B70" s="106" t="s">
        <v>2036</v>
      </c>
      <c r="C70" s="107" t="s">
        <v>8</v>
      </c>
      <c r="D70" s="12" t="s">
        <v>2503</v>
      </c>
      <c r="E70" s="12">
        <v>1</v>
      </c>
      <c r="F70" s="12" t="s">
        <v>2504</v>
      </c>
      <c r="G70" s="12" t="s">
        <v>2505</v>
      </c>
      <c r="H70" s="12" t="s">
        <v>2506</v>
      </c>
      <c r="I70" s="12">
        <v>1</v>
      </c>
      <c r="J70" s="12">
        <v>2.95</v>
      </c>
      <c r="K70" s="107" t="s">
        <v>1911</v>
      </c>
      <c r="M70" s="105">
        <f t="shared" si="1"/>
        <v>2.95</v>
      </c>
    </row>
    <row r="71" spans="1:13" x14ac:dyDescent="0.3">
      <c r="A71" s="106" t="s">
        <v>894</v>
      </c>
      <c r="B71" s="106" t="s">
        <v>2064</v>
      </c>
      <c r="C71" s="106" t="s">
        <v>1898</v>
      </c>
      <c r="D71" s="106" t="s">
        <v>2301</v>
      </c>
      <c r="E71" s="104">
        <v>0</v>
      </c>
      <c r="F71" s="103"/>
      <c r="G71" s="103"/>
      <c r="H71" s="107" t="s">
        <v>2302</v>
      </c>
      <c r="J71" s="102">
        <v>1.95</v>
      </c>
      <c r="K71" s="107" t="s">
        <v>1910</v>
      </c>
      <c r="M71" s="105">
        <f t="shared" si="1"/>
        <v>0</v>
      </c>
    </row>
    <row r="72" spans="1:13" x14ac:dyDescent="0.3">
      <c r="A72" s="106" t="s">
        <v>894</v>
      </c>
      <c r="B72" s="106" t="s">
        <v>2064</v>
      </c>
      <c r="C72" s="106" t="s">
        <v>1898</v>
      </c>
      <c r="D72" s="106" t="s">
        <v>2303</v>
      </c>
      <c r="E72" s="104">
        <v>0</v>
      </c>
      <c r="F72" s="103"/>
      <c r="G72" s="103"/>
      <c r="H72" s="107" t="s">
        <v>2304</v>
      </c>
      <c r="J72" s="102">
        <v>2.95</v>
      </c>
      <c r="K72" s="107" t="s">
        <v>1910</v>
      </c>
      <c r="M72" s="105">
        <f t="shared" si="1"/>
        <v>0</v>
      </c>
    </row>
    <row r="73" spans="1:13" x14ac:dyDescent="0.3">
      <c r="A73" s="106" t="s">
        <v>894</v>
      </c>
      <c r="B73" s="106" t="s">
        <v>2064</v>
      </c>
      <c r="C73" s="106" t="s">
        <v>1898</v>
      </c>
      <c r="D73" s="106" t="s">
        <v>2305</v>
      </c>
      <c r="E73" s="104">
        <v>2</v>
      </c>
      <c r="F73" s="103"/>
      <c r="G73" s="103"/>
      <c r="H73" s="107" t="s">
        <v>2306</v>
      </c>
      <c r="J73" s="102">
        <v>6.5</v>
      </c>
      <c r="K73" s="107" t="s">
        <v>1910</v>
      </c>
      <c r="M73" s="105">
        <f t="shared" si="1"/>
        <v>13</v>
      </c>
    </row>
    <row r="74" spans="1:13" x14ac:dyDescent="0.3">
      <c r="A74" s="106" t="s">
        <v>894</v>
      </c>
      <c r="B74" s="106" t="s">
        <v>2064</v>
      </c>
      <c r="C74" s="106" t="s">
        <v>1898</v>
      </c>
      <c r="D74" s="106" t="s">
        <v>2307</v>
      </c>
      <c r="E74" s="104">
        <v>0</v>
      </c>
      <c r="F74" s="103"/>
      <c r="G74" s="103"/>
      <c r="H74" s="107" t="s">
        <v>2308</v>
      </c>
      <c r="J74" s="102">
        <v>6.5</v>
      </c>
      <c r="K74" s="107" t="s">
        <v>1910</v>
      </c>
      <c r="M74" s="105">
        <f t="shared" si="1"/>
        <v>0</v>
      </c>
    </row>
    <row r="75" spans="1:13" x14ac:dyDescent="0.3">
      <c r="A75" s="106" t="s">
        <v>894</v>
      </c>
      <c r="B75" s="106" t="s">
        <v>2064</v>
      </c>
      <c r="C75" s="106" t="s">
        <v>1898</v>
      </c>
      <c r="D75" s="106" t="s">
        <v>2309</v>
      </c>
      <c r="E75" s="104">
        <v>0</v>
      </c>
      <c r="F75" s="103"/>
      <c r="G75" s="103"/>
      <c r="H75" s="107" t="s">
        <v>2310</v>
      </c>
      <c r="J75" s="102">
        <v>2.75</v>
      </c>
      <c r="K75" s="107" t="s">
        <v>1910</v>
      </c>
      <c r="M75" s="105">
        <f t="shared" si="1"/>
        <v>0</v>
      </c>
    </row>
    <row r="76" spans="1:13" x14ac:dyDescent="0.3">
      <c r="A76" s="106" t="s">
        <v>894</v>
      </c>
      <c r="B76" s="106" t="s">
        <v>2311</v>
      </c>
      <c r="C76" s="106" t="s">
        <v>1898</v>
      </c>
      <c r="D76" s="106" t="s">
        <v>2312</v>
      </c>
      <c r="E76" s="104">
        <v>5</v>
      </c>
      <c r="F76" s="103"/>
      <c r="G76" s="103"/>
      <c r="H76" s="107" t="s">
        <v>2313</v>
      </c>
      <c r="J76" s="102">
        <v>1.95</v>
      </c>
      <c r="K76" s="107" t="s">
        <v>1911</v>
      </c>
      <c r="M76" s="105">
        <f t="shared" si="1"/>
        <v>9.75</v>
      </c>
    </row>
    <row r="77" spans="1:13" x14ac:dyDescent="0.3">
      <c r="A77" s="107" t="s">
        <v>894</v>
      </c>
      <c r="B77" s="107" t="s">
        <v>2040</v>
      </c>
      <c r="C77" s="107" t="s">
        <v>8</v>
      </c>
      <c r="D77" s="106" t="s">
        <v>36</v>
      </c>
      <c r="E77" s="103">
        <v>5</v>
      </c>
      <c r="F77" s="103" t="s">
        <v>37</v>
      </c>
      <c r="G77" s="103" t="s">
        <v>38</v>
      </c>
      <c r="H77" s="106" t="s">
        <v>39</v>
      </c>
      <c r="I77" s="103">
        <v>1</v>
      </c>
      <c r="J77" s="103">
        <v>29.95</v>
      </c>
      <c r="K77" s="106" t="s">
        <v>1911</v>
      </c>
      <c r="M77" s="105">
        <f t="shared" si="1"/>
        <v>149.75</v>
      </c>
    </row>
    <row r="78" spans="1:13" x14ac:dyDescent="0.3">
      <c r="A78" s="107" t="s">
        <v>894</v>
      </c>
      <c r="B78" s="107" t="s">
        <v>2040</v>
      </c>
      <c r="C78" s="107" t="s">
        <v>8</v>
      </c>
      <c r="D78" s="106" t="s">
        <v>40</v>
      </c>
      <c r="E78" s="103">
        <v>5</v>
      </c>
      <c r="F78" s="103" t="s">
        <v>41</v>
      </c>
      <c r="G78" s="103" t="s">
        <v>42</v>
      </c>
      <c r="H78" s="106" t="s">
        <v>43</v>
      </c>
      <c r="I78" s="103">
        <v>1</v>
      </c>
      <c r="J78" s="103">
        <v>14.95</v>
      </c>
      <c r="K78" s="106" t="s">
        <v>1911</v>
      </c>
      <c r="M78" s="105">
        <f t="shared" si="1"/>
        <v>74.75</v>
      </c>
    </row>
    <row r="79" spans="1:13" x14ac:dyDescent="0.3">
      <c r="A79" s="107" t="s">
        <v>894</v>
      </c>
      <c r="B79" s="107" t="s">
        <v>2040</v>
      </c>
      <c r="C79" s="107" t="s">
        <v>8</v>
      </c>
      <c r="D79" s="106" t="s">
        <v>48</v>
      </c>
      <c r="E79" s="103">
        <v>1</v>
      </c>
      <c r="F79" s="103" t="s">
        <v>49</v>
      </c>
      <c r="G79" s="103" t="s">
        <v>50</v>
      </c>
      <c r="H79" s="106" t="s">
        <v>51</v>
      </c>
      <c r="I79" s="103">
        <v>1</v>
      </c>
      <c r="J79" s="103">
        <v>19.95</v>
      </c>
      <c r="K79" s="106" t="s">
        <v>1910</v>
      </c>
      <c r="M79" s="105">
        <f t="shared" si="1"/>
        <v>19.95</v>
      </c>
    </row>
    <row r="80" spans="1:13" x14ac:dyDescent="0.3">
      <c r="A80" s="107" t="s">
        <v>894</v>
      </c>
      <c r="B80" s="107" t="s">
        <v>2040</v>
      </c>
      <c r="C80" s="107" t="s">
        <v>8</v>
      </c>
      <c r="D80" s="106" t="s">
        <v>52</v>
      </c>
      <c r="E80" s="103">
        <v>6</v>
      </c>
      <c r="F80" s="103" t="s">
        <v>53</v>
      </c>
      <c r="G80" s="103" t="s">
        <v>54</v>
      </c>
      <c r="H80" s="106" t="s">
        <v>55</v>
      </c>
      <c r="I80" s="103">
        <v>1</v>
      </c>
      <c r="J80" s="103">
        <v>29.95</v>
      </c>
      <c r="K80" s="106" t="s">
        <v>1910</v>
      </c>
      <c r="M80" s="105">
        <f t="shared" si="1"/>
        <v>179.7</v>
      </c>
    </row>
    <row r="81" spans="1:13" x14ac:dyDescent="0.3">
      <c r="A81" s="107" t="s">
        <v>894</v>
      </c>
      <c r="B81" s="107" t="s">
        <v>2040</v>
      </c>
      <c r="C81" s="107" t="s">
        <v>8</v>
      </c>
      <c r="D81" s="106" t="s">
        <v>795</v>
      </c>
      <c r="E81" s="103">
        <v>2</v>
      </c>
      <c r="F81" s="103" t="s">
        <v>796</v>
      </c>
      <c r="G81" s="103" t="s">
        <v>797</v>
      </c>
      <c r="H81" s="106" t="s">
        <v>798</v>
      </c>
      <c r="I81" s="103">
        <v>1</v>
      </c>
      <c r="J81" s="103">
        <v>12.95</v>
      </c>
      <c r="K81" s="106" t="s">
        <v>1910</v>
      </c>
      <c r="M81" s="105">
        <f t="shared" si="1"/>
        <v>25.9</v>
      </c>
    </row>
    <row r="82" spans="1:13" x14ac:dyDescent="0.3">
      <c r="A82" s="107" t="s">
        <v>894</v>
      </c>
      <c r="B82" s="107" t="s">
        <v>2034</v>
      </c>
      <c r="C82" s="107" t="s">
        <v>8</v>
      </c>
      <c r="D82" s="106" t="s">
        <v>44</v>
      </c>
      <c r="E82" s="103">
        <v>5</v>
      </c>
      <c r="F82" s="103" t="s">
        <v>45</v>
      </c>
      <c r="G82" s="103" t="s">
        <v>46</v>
      </c>
      <c r="H82" s="106" t="s">
        <v>47</v>
      </c>
      <c r="I82" s="103">
        <v>1</v>
      </c>
      <c r="J82" s="103">
        <v>9.9499999999999993</v>
      </c>
      <c r="K82" s="106" t="s">
        <v>1911</v>
      </c>
      <c r="M82" s="105">
        <f t="shared" si="1"/>
        <v>49.75</v>
      </c>
    </row>
    <row r="83" spans="1:13" x14ac:dyDescent="0.3">
      <c r="A83" s="107" t="s">
        <v>894</v>
      </c>
      <c r="B83" s="107" t="s">
        <v>2034</v>
      </c>
      <c r="C83" s="107" t="s">
        <v>8</v>
      </c>
      <c r="D83" s="106" t="s">
        <v>1205</v>
      </c>
      <c r="E83" s="103">
        <v>2</v>
      </c>
      <c r="F83" s="103" t="s">
        <v>1206</v>
      </c>
      <c r="G83" s="103" t="s">
        <v>1207</v>
      </c>
      <c r="H83" s="106" t="s">
        <v>1208</v>
      </c>
      <c r="I83" s="103">
        <v>1</v>
      </c>
      <c r="J83" s="103">
        <v>9.9499999999999993</v>
      </c>
      <c r="K83" s="106" t="s">
        <v>1913</v>
      </c>
      <c r="M83" s="105">
        <f t="shared" si="1"/>
        <v>19.899999999999999</v>
      </c>
    </row>
    <row r="84" spans="1:13" x14ac:dyDescent="0.3">
      <c r="A84" s="106" t="s">
        <v>894</v>
      </c>
      <c r="B84" s="106" t="s">
        <v>2034</v>
      </c>
      <c r="C84" s="106" t="s">
        <v>1898</v>
      </c>
      <c r="D84" s="106" t="s">
        <v>2287</v>
      </c>
      <c r="E84" s="103">
        <v>0</v>
      </c>
      <c r="F84" s="103"/>
      <c r="G84" s="103"/>
      <c r="H84" s="107" t="s">
        <v>2288</v>
      </c>
      <c r="J84" s="102">
        <v>14.95</v>
      </c>
      <c r="K84" s="107" t="s">
        <v>1910</v>
      </c>
      <c r="M84" s="105">
        <f t="shared" si="1"/>
        <v>0</v>
      </c>
    </row>
    <row r="85" spans="1:13" x14ac:dyDescent="0.3">
      <c r="A85" s="102" t="s">
        <v>897</v>
      </c>
      <c r="B85" s="102" t="s">
        <v>2034</v>
      </c>
      <c r="C85" s="102" t="s">
        <v>8</v>
      </c>
      <c r="D85" s="103" t="s">
        <v>571</v>
      </c>
      <c r="E85" s="104">
        <v>6</v>
      </c>
      <c r="F85" s="103" t="s">
        <v>572</v>
      </c>
      <c r="G85" s="103" t="s">
        <v>573</v>
      </c>
      <c r="H85" s="103" t="s">
        <v>574</v>
      </c>
      <c r="I85" s="103"/>
      <c r="J85" s="104">
        <v>0.95</v>
      </c>
      <c r="K85" s="107" t="s">
        <v>1911</v>
      </c>
      <c r="L85" s="103"/>
      <c r="M85" s="105">
        <f t="shared" si="1"/>
        <v>5.6999999999999993</v>
      </c>
    </row>
    <row r="86" spans="1:13" x14ac:dyDescent="0.3">
      <c r="A86" s="103" t="s">
        <v>897</v>
      </c>
      <c r="B86" s="103" t="s">
        <v>2034</v>
      </c>
      <c r="C86" s="103" t="s">
        <v>1898</v>
      </c>
      <c r="D86" s="103" t="s">
        <v>2221</v>
      </c>
      <c r="E86" s="104">
        <v>0</v>
      </c>
      <c r="F86" s="103"/>
      <c r="G86" s="103"/>
      <c r="H86" s="102" t="s">
        <v>2222</v>
      </c>
      <c r="J86" s="111">
        <v>0.95</v>
      </c>
      <c r="K86" s="102" t="s">
        <v>1910</v>
      </c>
      <c r="M86" s="105">
        <f t="shared" si="1"/>
        <v>0</v>
      </c>
    </row>
    <row r="87" spans="1:13" x14ac:dyDescent="0.3">
      <c r="A87" s="107" t="s">
        <v>894</v>
      </c>
      <c r="B87" s="107" t="s">
        <v>2042</v>
      </c>
      <c r="C87" s="107" t="s">
        <v>8</v>
      </c>
      <c r="D87" s="106" t="s">
        <v>807</v>
      </c>
      <c r="E87" s="103">
        <v>5</v>
      </c>
      <c r="F87" s="103" t="s">
        <v>808</v>
      </c>
      <c r="G87" s="103" t="s">
        <v>809</v>
      </c>
      <c r="H87" s="106" t="s">
        <v>810</v>
      </c>
      <c r="I87" s="103">
        <v>1</v>
      </c>
      <c r="J87" s="103">
        <v>6.95</v>
      </c>
      <c r="K87" s="106" t="s">
        <v>1911</v>
      </c>
      <c r="M87" s="105">
        <f t="shared" si="1"/>
        <v>34.75</v>
      </c>
    </row>
    <row r="88" spans="1:13" x14ac:dyDescent="0.3">
      <c r="A88" s="106" t="s">
        <v>894</v>
      </c>
      <c r="B88" s="106" t="s">
        <v>2042</v>
      </c>
      <c r="C88" s="106" t="s">
        <v>1898</v>
      </c>
      <c r="D88" s="106" t="s">
        <v>2281</v>
      </c>
      <c r="E88" s="103">
        <v>0</v>
      </c>
      <c r="F88" s="103"/>
      <c r="G88" s="103"/>
      <c r="H88" s="107" t="s">
        <v>2282</v>
      </c>
      <c r="J88" s="102">
        <v>2.5</v>
      </c>
      <c r="K88" s="107" t="s">
        <v>1910</v>
      </c>
      <c r="M88" s="105">
        <f t="shared" si="1"/>
        <v>0</v>
      </c>
    </row>
    <row r="89" spans="1:13" x14ac:dyDescent="0.3">
      <c r="A89" s="106" t="s">
        <v>894</v>
      </c>
      <c r="B89" s="106" t="s">
        <v>2037</v>
      </c>
      <c r="C89" s="106" t="s">
        <v>1898</v>
      </c>
      <c r="D89" s="106" t="s">
        <v>2089</v>
      </c>
      <c r="E89" s="103">
        <v>6</v>
      </c>
      <c r="F89" s="103"/>
      <c r="G89" s="103"/>
      <c r="H89" s="107" t="s">
        <v>2088</v>
      </c>
      <c r="J89" s="102">
        <v>2.5</v>
      </c>
      <c r="K89" s="107" t="s">
        <v>1911</v>
      </c>
      <c r="M89" s="105">
        <f t="shared" si="1"/>
        <v>15</v>
      </c>
    </row>
    <row r="90" spans="1:13" x14ac:dyDescent="0.3">
      <c r="A90" s="102" t="s">
        <v>897</v>
      </c>
      <c r="B90" s="102" t="s">
        <v>2037</v>
      </c>
      <c r="C90" s="102" t="s">
        <v>8</v>
      </c>
      <c r="D90" s="103" t="s">
        <v>1027</v>
      </c>
      <c r="E90" s="104">
        <v>0</v>
      </c>
      <c r="F90" s="103" t="s">
        <v>1028</v>
      </c>
      <c r="G90" s="103" t="s">
        <v>1029</v>
      </c>
      <c r="H90" s="103" t="s">
        <v>1030</v>
      </c>
      <c r="I90" s="103"/>
      <c r="J90" s="104">
        <v>2.95</v>
      </c>
      <c r="K90" s="103" t="s">
        <v>1912</v>
      </c>
      <c r="L90" s="103"/>
      <c r="M90" s="105">
        <f t="shared" si="1"/>
        <v>0</v>
      </c>
    </row>
    <row r="91" spans="1:13" x14ac:dyDescent="0.3">
      <c r="A91" s="102" t="s">
        <v>897</v>
      </c>
      <c r="B91" s="102" t="s">
        <v>2037</v>
      </c>
      <c r="C91" s="102" t="s">
        <v>8</v>
      </c>
      <c r="D91" s="103" t="s">
        <v>815</v>
      </c>
      <c r="E91" s="104">
        <v>0</v>
      </c>
      <c r="F91" s="103" t="s">
        <v>816</v>
      </c>
      <c r="G91" s="103" t="s">
        <v>817</v>
      </c>
      <c r="H91" s="103" t="s">
        <v>818</v>
      </c>
      <c r="I91" s="103"/>
      <c r="J91" s="104">
        <v>2.95</v>
      </c>
      <c r="K91" s="103" t="s">
        <v>1912</v>
      </c>
      <c r="L91" s="103"/>
      <c r="M91" s="105">
        <f t="shared" si="1"/>
        <v>0</v>
      </c>
    </row>
    <row r="92" spans="1:13" x14ac:dyDescent="0.3">
      <c r="A92" s="103" t="s">
        <v>897</v>
      </c>
      <c r="B92" s="103" t="s">
        <v>2037</v>
      </c>
      <c r="C92" s="103" t="s">
        <v>1898</v>
      </c>
      <c r="D92" s="103" t="s">
        <v>2223</v>
      </c>
      <c r="E92" s="104">
        <v>0</v>
      </c>
      <c r="F92" s="103"/>
      <c r="G92" s="103"/>
      <c r="H92" s="102" t="s">
        <v>2224</v>
      </c>
      <c r="J92" s="111">
        <v>2</v>
      </c>
      <c r="K92" s="102" t="s">
        <v>1910</v>
      </c>
      <c r="M92" s="105">
        <f t="shared" si="1"/>
        <v>0</v>
      </c>
    </row>
    <row r="93" spans="1:13" x14ac:dyDescent="0.3">
      <c r="A93" s="103" t="s">
        <v>897</v>
      </c>
      <c r="B93" s="103" t="s">
        <v>2037</v>
      </c>
      <c r="C93" s="103" t="s">
        <v>1898</v>
      </c>
      <c r="D93" s="103" t="s">
        <v>2225</v>
      </c>
      <c r="E93" s="104">
        <v>0</v>
      </c>
      <c r="F93" s="103"/>
      <c r="G93" s="103"/>
      <c r="H93" s="102" t="s">
        <v>2226</v>
      </c>
      <c r="J93" s="111">
        <v>2</v>
      </c>
      <c r="K93" s="102" t="s">
        <v>1910</v>
      </c>
      <c r="M93" s="105">
        <f t="shared" si="1"/>
        <v>0</v>
      </c>
    </row>
    <row r="94" spans="1:13" x14ac:dyDescent="0.3">
      <c r="A94" s="102" t="s">
        <v>897</v>
      </c>
      <c r="B94" s="102" t="s">
        <v>2037</v>
      </c>
      <c r="C94" s="102" t="s">
        <v>8</v>
      </c>
      <c r="D94" s="103" t="s">
        <v>965</v>
      </c>
      <c r="E94" s="104">
        <v>2</v>
      </c>
      <c r="F94" s="103" t="s">
        <v>966</v>
      </c>
      <c r="G94" s="103" t="s">
        <v>967</v>
      </c>
      <c r="H94" s="103" t="s">
        <v>968</v>
      </c>
      <c r="I94" s="103">
        <v>1</v>
      </c>
      <c r="J94" s="104">
        <v>0.95</v>
      </c>
      <c r="K94" s="107" t="s">
        <v>1911</v>
      </c>
      <c r="L94" s="103"/>
      <c r="M94" s="105">
        <f t="shared" si="1"/>
        <v>1.9</v>
      </c>
    </row>
    <row r="95" spans="1:13" x14ac:dyDescent="0.3">
      <c r="A95" s="102" t="s">
        <v>897</v>
      </c>
      <c r="B95" s="102" t="s">
        <v>2037</v>
      </c>
      <c r="C95" s="102" t="s">
        <v>8</v>
      </c>
      <c r="D95" s="103" t="s">
        <v>1023</v>
      </c>
      <c r="E95" s="104">
        <v>6</v>
      </c>
      <c r="F95" s="103" t="s">
        <v>1024</v>
      </c>
      <c r="G95" s="103" t="s">
        <v>1025</v>
      </c>
      <c r="H95" s="103" t="s">
        <v>1026</v>
      </c>
      <c r="I95" s="103">
        <v>1</v>
      </c>
      <c r="J95" s="104">
        <v>0.95</v>
      </c>
      <c r="K95" s="107" t="s">
        <v>1911</v>
      </c>
      <c r="L95" s="103"/>
      <c r="M95" s="105">
        <f t="shared" si="1"/>
        <v>5.6999999999999993</v>
      </c>
    </row>
    <row r="96" spans="1:13" x14ac:dyDescent="0.3">
      <c r="A96" s="102" t="s">
        <v>897</v>
      </c>
      <c r="B96" s="102" t="s">
        <v>2037</v>
      </c>
      <c r="C96" s="102" t="s">
        <v>8</v>
      </c>
      <c r="D96" s="103" t="s">
        <v>2422</v>
      </c>
      <c r="E96" s="103">
        <v>4</v>
      </c>
      <c r="F96" s="103" t="s">
        <v>2423</v>
      </c>
      <c r="G96" s="103" t="s">
        <v>2424</v>
      </c>
      <c r="H96" s="103" t="s">
        <v>2425</v>
      </c>
      <c r="I96" s="103">
        <v>1</v>
      </c>
      <c r="J96" s="103">
        <v>0.3</v>
      </c>
      <c r="K96" s="107" t="s">
        <v>1910</v>
      </c>
      <c r="M96" s="105">
        <f t="shared" si="1"/>
        <v>1.2</v>
      </c>
    </row>
    <row r="97" spans="1:16" x14ac:dyDescent="0.3">
      <c r="A97" s="106" t="s">
        <v>894</v>
      </c>
      <c r="B97" s="106" t="s">
        <v>2037</v>
      </c>
      <c r="C97" s="106" t="s">
        <v>1898</v>
      </c>
      <c r="D97" s="106" t="s">
        <v>2289</v>
      </c>
      <c r="E97" s="103">
        <v>0</v>
      </c>
      <c r="F97" s="103"/>
      <c r="G97" s="103"/>
      <c r="H97" s="107" t="s">
        <v>2290</v>
      </c>
      <c r="J97" s="102">
        <v>0.95</v>
      </c>
      <c r="K97" s="107" t="s">
        <v>1910</v>
      </c>
      <c r="M97" s="105">
        <f t="shared" si="1"/>
        <v>0</v>
      </c>
    </row>
    <row r="98" spans="1:16" x14ac:dyDescent="0.3">
      <c r="A98" s="106" t="s">
        <v>894</v>
      </c>
      <c r="B98" s="106" t="s">
        <v>2037</v>
      </c>
      <c r="C98" s="106" t="s">
        <v>1898</v>
      </c>
      <c r="D98" s="106" t="s">
        <v>2291</v>
      </c>
      <c r="E98" s="103">
        <v>0</v>
      </c>
      <c r="F98" s="103"/>
      <c r="G98" s="103"/>
      <c r="H98" s="107" t="s">
        <v>2292</v>
      </c>
      <c r="J98" s="102">
        <v>0.95</v>
      </c>
      <c r="K98" s="107" t="s">
        <v>1910</v>
      </c>
      <c r="M98" s="105">
        <f t="shared" si="1"/>
        <v>0</v>
      </c>
    </row>
    <row r="99" spans="1:16" x14ac:dyDescent="0.3">
      <c r="A99" s="106" t="s">
        <v>894</v>
      </c>
      <c r="B99" s="106" t="s">
        <v>2037</v>
      </c>
      <c r="C99" s="106" t="s">
        <v>1898</v>
      </c>
      <c r="D99" s="106" t="s">
        <v>2293</v>
      </c>
      <c r="E99" s="103">
        <v>0</v>
      </c>
      <c r="F99" s="103"/>
      <c r="G99" s="103"/>
      <c r="H99" s="107" t="s">
        <v>2294</v>
      </c>
      <c r="J99" s="102">
        <v>0.95</v>
      </c>
      <c r="K99" s="107" t="s">
        <v>1910</v>
      </c>
      <c r="M99" s="105">
        <f t="shared" si="1"/>
        <v>0</v>
      </c>
    </row>
    <row r="100" spans="1:16" x14ac:dyDescent="0.3">
      <c r="A100" s="106" t="s">
        <v>894</v>
      </c>
      <c r="B100" s="106" t="s">
        <v>2037</v>
      </c>
      <c r="C100" s="106" t="s">
        <v>1898</v>
      </c>
      <c r="D100" s="106" t="s">
        <v>2295</v>
      </c>
      <c r="E100" s="103">
        <v>0</v>
      </c>
      <c r="F100" s="103"/>
      <c r="G100" s="103"/>
      <c r="H100" s="107" t="s">
        <v>2296</v>
      </c>
      <c r="J100" s="102">
        <v>0.95</v>
      </c>
      <c r="K100" s="107" t="s">
        <v>1910</v>
      </c>
      <c r="M100" s="105">
        <f t="shared" si="1"/>
        <v>0</v>
      </c>
    </row>
    <row r="101" spans="1:16" x14ac:dyDescent="0.3">
      <c r="A101" s="106" t="s">
        <v>894</v>
      </c>
      <c r="B101" s="106" t="s">
        <v>2037</v>
      </c>
      <c r="C101" s="106" t="s">
        <v>1898</v>
      </c>
      <c r="D101" s="106" t="s">
        <v>2297</v>
      </c>
      <c r="E101" s="103">
        <v>0</v>
      </c>
      <c r="F101" s="103"/>
      <c r="G101" s="103"/>
      <c r="H101" s="107" t="s">
        <v>2298</v>
      </c>
      <c r="J101" s="102">
        <v>0.95</v>
      </c>
      <c r="K101" s="107" t="s">
        <v>1910</v>
      </c>
      <c r="M101" s="105">
        <f t="shared" si="1"/>
        <v>0</v>
      </c>
    </row>
    <row r="102" spans="1:16" x14ac:dyDescent="0.3">
      <c r="A102" s="106" t="s">
        <v>894</v>
      </c>
      <c r="B102" s="106" t="s">
        <v>2037</v>
      </c>
      <c r="C102" s="106" t="s">
        <v>1898</v>
      </c>
      <c r="D102" s="106" t="s">
        <v>2299</v>
      </c>
      <c r="E102" s="103">
        <v>0</v>
      </c>
      <c r="F102" s="103"/>
      <c r="G102" s="103"/>
      <c r="H102" s="107" t="s">
        <v>2300</v>
      </c>
      <c r="J102" s="102">
        <v>0.95</v>
      </c>
      <c r="K102" s="107" t="s">
        <v>1910</v>
      </c>
      <c r="M102" s="105">
        <f t="shared" si="1"/>
        <v>0</v>
      </c>
    </row>
    <row r="103" spans="1:16" x14ac:dyDescent="0.3">
      <c r="A103" s="107" t="s">
        <v>894</v>
      </c>
      <c r="B103" s="107" t="s">
        <v>14</v>
      </c>
      <c r="C103" s="107" t="s">
        <v>8</v>
      </c>
      <c r="D103" s="106" t="s">
        <v>72</v>
      </c>
      <c r="E103" s="103">
        <v>5</v>
      </c>
      <c r="F103" s="103" t="s">
        <v>73</v>
      </c>
      <c r="G103" s="103" t="s">
        <v>74</v>
      </c>
      <c r="H103" s="106" t="s">
        <v>75</v>
      </c>
      <c r="I103" s="103">
        <v>1</v>
      </c>
      <c r="J103" s="103">
        <v>0.95</v>
      </c>
      <c r="K103" s="106" t="s">
        <v>1911</v>
      </c>
      <c r="M103" s="105">
        <f t="shared" si="1"/>
        <v>4.75</v>
      </c>
      <c r="N103" s="105">
        <v>5</v>
      </c>
      <c r="O103" s="105">
        <f t="shared" ref="O103:O119" si="2">E103*J103</f>
        <v>4.75</v>
      </c>
      <c r="P103" s="105">
        <f t="shared" ref="P103:P112" si="3">J103*N103</f>
        <v>4.75</v>
      </c>
    </row>
    <row r="104" spans="1:16" x14ac:dyDescent="0.3">
      <c r="A104" s="107" t="s">
        <v>894</v>
      </c>
      <c r="B104" s="107" t="s">
        <v>14</v>
      </c>
      <c r="C104" s="107" t="s">
        <v>8</v>
      </c>
      <c r="D104" s="106" t="s">
        <v>76</v>
      </c>
      <c r="E104" s="103">
        <v>20</v>
      </c>
      <c r="F104" s="103" t="s">
        <v>77</v>
      </c>
      <c r="G104" s="103" t="s">
        <v>78</v>
      </c>
      <c r="H104" s="106" t="s">
        <v>79</v>
      </c>
      <c r="I104" s="103">
        <v>1</v>
      </c>
      <c r="J104" s="103">
        <v>1.95</v>
      </c>
      <c r="K104" s="106" t="s">
        <v>1911</v>
      </c>
      <c r="M104" s="105">
        <f t="shared" si="1"/>
        <v>39</v>
      </c>
      <c r="N104" s="105">
        <v>20</v>
      </c>
      <c r="O104" s="105">
        <f t="shared" si="2"/>
        <v>39</v>
      </c>
      <c r="P104" s="105">
        <f t="shared" si="3"/>
        <v>39</v>
      </c>
    </row>
    <row r="105" spans="1:16" x14ac:dyDescent="0.3">
      <c r="A105" s="107" t="s">
        <v>894</v>
      </c>
      <c r="B105" s="107" t="s">
        <v>14</v>
      </c>
      <c r="C105" s="107" t="s">
        <v>8</v>
      </c>
      <c r="D105" s="106" t="s">
        <v>80</v>
      </c>
      <c r="E105" s="103">
        <v>5</v>
      </c>
      <c r="F105" s="103" t="s">
        <v>81</v>
      </c>
      <c r="G105" s="103" t="s">
        <v>82</v>
      </c>
      <c r="H105" s="106" t="s">
        <v>83</v>
      </c>
      <c r="I105" s="103"/>
      <c r="J105" s="103">
        <v>14.95</v>
      </c>
      <c r="K105" s="124" t="s">
        <v>1911</v>
      </c>
      <c r="M105" s="105">
        <f t="shared" si="1"/>
        <v>74.75</v>
      </c>
      <c r="N105" s="105">
        <v>5</v>
      </c>
      <c r="O105" s="105">
        <f t="shared" si="2"/>
        <v>74.75</v>
      </c>
      <c r="P105" s="105">
        <f t="shared" si="3"/>
        <v>74.75</v>
      </c>
    </row>
    <row r="106" spans="1:16" x14ac:dyDescent="0.3">
      <c r="A106" s="107" t="s">
        <v>894</v>
      </c>
      <c r="B106" s="107" t="s">
        <v>14</v>
      </c>
      <c r="C106" s="107" t="s">
        <v>8</v>
      </c>
      <c r="D106" s="106" t="s">
        <v>84</v>
      </c>
      <c r="E106" s="103">
        <v>10</v>
      </c>
      <c r="F106" s="103" t="s">
        <v>85</v>
      </c>
      <c r="G106" s="103" t="s">
        <v>86</v>
      </c>
      <c r="H106" s="106" t="s">
        <v>87</v>
      </c>
      <c r="I106" s="103">
        <v>1</v>
      </c>
      <c r="J106" s="103">
        <v>3.95</v>
      </c>
      <c r="K106" s="106" t="s">
        <v>1911</v>
      </c>
      <c r="M106" s="105">
        <f t="shared" si="1"/>
        <v>39.5</v>
      </c>
      <c r="N106" s="105">
        <v>10</v>
      </c>
      <c r="O106" s="105">
        <f t="shared" si="2"/>
        <v>39.5</v>
      </c>
      <c r="P106" s="105">
        <f t="shared" si="3"/>
        <v>39.5</v>
      </c>
    </row>
    <row r="107" spans="1:16" x14ac:dyDescent="0.3">
      <c r="A107" s="107" t="s">
        <v>894</v>
      </c>
      <c r="B107" s="107" t="s">
        <v>14</v>
      </c>
      <c r="C107" s="107" t="s">
        <v>8</v>
      </c>
      <c r="D107" s="106" t="s">
        <v>88</v>
      </c>
      <c r="E107" s="103">
        <v>0</v>
      </c>
      <c r="F107" s="103" t="s">
        <v>89</v>
      </c>
      <c r="G107" s="103" t="s">
        <v>90</v>
      </c>
      <c r="H107" s="106" t="s">
        <v>91</v>
      </c>
      <c r="I107" s="103">
        <v>1</v>
      </c>
      <c r="J107" s="103">
        <v>24.95</v>
      </c>
      <c r="K107" s="106" t="s">
        <v>1911</v>
      </c>
      <c r="M107" s="105">
        <f t="shared" si="1"/>
        <v>0</v>
      </c>
      <c r="N107" s="105">
        <v>5</v>
      </c>
      <c r="O107" s="105">
        <f t="shared" si="2"/>
        <v>0</v>
      </c>
      <c r="P107" s="105">
        <f t="shared" si="3"/>
        <v>124.75</v>
      </c>
    </row>
    <row r="108" spans="1:16" x14ac:dyDescent="0.3">
      <c r="A108" s="107" t="s">
        <v>894</v>
      </c>
      <c r="B108" s="107" t="s">
        <v>14</v>
      </c>
      <c r="C108" s="107" t="s">
        <v>8</v>
      </c>
      <c r="D108" s="106" t="s">
        <v>92</v>
      </c>
      <c r="E108" s="103">
        <v>5</v>
      </c>
      <c r="F108" s="103" t="s">
        <v>93</v>
      </c>
      <c r="G108" s="103" t="s">
        <v>94</v>
      </c>
      <c r="H108" s="106" t="s">
        <v>95</v>
      </c>
      <c r="I108" s="103"/>
      <c r="J108" s="103">
        <v>24.95</v>
      </c>
      <c r="K108" s="106" t="s">
        <v>1911</v>
      </c>
      <c r="M108" s="105">
        <f t="shared" si="1"/>
        <v>124.75</v>
      </c>
      <c r="N108" s="105">
        <v>10</v>
      </c>
      <c r="O108" s="105">
        <f t="shared" si="2"/>
        <v>124.75</v>
      </c>
      <c r="P108" s="105">
        <f t="shared" si="3"/>
        <v>249.5</v>
      </c>
    </row>
    <row r="109" spans="1:16" x14ac:dyDescent="0.3">
      <c r="A109" s="107" t="s">
        <v>894</v>
      </c>
      <c r="B109" s="107" t="s">
        <v>14</v>
      </c>
      <c r="C109" s="107" t="s">
        <v>8</v>
      </c>
      <c r="D109" s="106" t="s">
        <v>96</v>
      </c>
      <c r="E109" s="103">
        <v>0</v>
      </c>
      <c r="F109" s="103" t="s">
        <v>97</v>
      </c>
      <c r="G109" s="103" t="s">
        <v>98</v>
      </c>
      <c r="H109" s="106" t="s">
        <v>99</v>
      </c>
      <c r="I109" s="103">
        <v>1</v>
      </c>
      <c r="J109" s="103">
        <v>14.95</v>
      </c>
      <c r="K109" s="106" t="s">
        <v>1911</v>
      </c>
      <c r="M109" s="105">
        <f t="shared" si="1"/>
        <v>0</v>
      </c>
      <c r="N109" s="105">
        <v>5</v>
      </c>
      <c r="O109" s="105">
        <f t="shared" si="2"/>
        <v>0</v>
      </c>
      <c r="P109" s="105">
        <f t="shared" si="3"/>
        <v>74.75</v>
      </c>
    </row>
    <row r="110" spans="1:16" x14ac:dyDescent="0.3">
      <c r="A110" s="107" t="s">
        <v>894</v>
      </c>
      <c r="B110" s="107" t="s">
        <v>14</v>
      </c>
      <c r="C110" s="107" t="s">
        <v>8</v>
      </c>
      <c r="D110" s="106" t="s">
        <v>100</v>
      </c>
      <c r="E110" s="103">
        <v>3</v>
      </c>
      <c r="F110" s="103" t="s">
        <v>101</v>
      </c>
      <c r="G110" s="103" t="s">
        <v>102</v>
      </c>
      <c r="H110" s="106" t="s">
        <v>103</v>
      </c>
      <c r="I110" s="103">
        <v>1</v>
      </c>
      <c r="J110" s="103">
        <v>19.95</v>
      </c>
      <c r="K110" s="106" t="s">
        <v>1912</v>
      </c>
      <c r="M110" s="105">
        <f t="shared" si="1"/>
        <v>59.849999999999994</v>
      </c>
      <c r="N110" s="105">
        <v>3</v>
      </c>
      <c r="O110" s="105">
        <f t="shared" si="2"/>
        <v>59.849999999999994</v>
      </c>
      <c r="P110" s="105">
        <f t="shared" si="3"/>
        <v>59.849999999999994</v>
      </c>
    </row>
    <row r="111" spans="1:16" x14ac:dyDescent="0.3">
      <c r="A111" s="107" t="s">
        <v>894</v>
      </c>
      <c r="B111" s="107" t="s">
        <v>14</v>
      </c>
      <c r="C111" s="107" t="s">
        <v>8</v>
      </c>
      <c r="D111" s="106" t="s">
        <v>104</v>
      </c>
      <c r="E111" s="103">
        <v>0</v>
      </c>
      <c r="F111" s="103" t="s">
        <v>105</v>
      </c>
      <c r="G111" s="103" t="s">
        <v>106</v>
      </c>
      <c r="H111" s="106" t="s">
        <v>107</v>
      </c>
      <c r="I111" s="103">
        <v>1</v>
      </c>
      <c r="J111" s="103">
        <v>13.95</v>
      </c>
      <c r="K111" s="106" t="s">
        <v>1911</v>
      </c>
      <c r="M111" s="105">
        <f t="shared" si="1"/>
        <v>0</v>
      </c>
      <c r="N111" s="105">
        <v>10</v>
      </c>
      <c r="O111" s="105">
        <f t="shared" si="2"/>
        <v>0</v>
      </c>
      <c r="P111" s="105">
        <f t="shared" si="3"/>
        <v>139.5</v>
      </c>
    </row>
    <row r="112" spans="1:16" x14ac:dyDescent="0.3">
      <c r="A112" s="107" t="s">
        <v>894</v>
      </c>
      <c r="B112" s="107" t="s">
        <v>14</v>
      </c>
      <c r="C112" s="107" t="s">
        <v>8</v>
      </c>
      <c r="D112" s="106" t="s">
        <v>1092</v>
      </c>
      <c r="E112" s="103">
        <v>0</v>
      </c>
      <c r="F112" s="103" t="s">
        <v>1093</v>
      </c>
      <c r="G112" s="103" t="s">
        <v>1094</v>
      </c>
      <c r="H112" s="106" t="s">
        <v>1095</v>
      </c>
      <c r="I112" s="103">
        <v>1</v>
      </c>
      <c r="J112" s="103">
        <v>1.5</v>
      </c>
      <c r="K112" s="106" t="s">
        <v>1911</v>
      </c>
      <c r="M112" s="105">
        <f t="shared" si="1"/>
        <v>0</v>
      </c>
      <c r="N112" s="105">
        <v>0</v>
      </c>
      <c r="O112" s="105">
        <f t="shared" si="2"/>
        <v>0</v>
      </c>
      <c r="P112" s="105">
        <f t="shared" si="3"/>
        <v>0</v>
      </c>
    </row>
    <row r="113" spans="1:16" x14ac:dyDescent="0.3">
      <c r="A113" s="106" t="s">
        <v>894</v>
      </c>
      <c r="B113" s="106" t="s">
        <v>14</v>
      </c>
      <c r="C113" s="106" t="s">
        <v>1898</v>
      </c>
      <c r="D113" s="106" t="s">
        <v>2318</v>
      </c>
      <c r="E113" s="103">
        <v>0</v>
      </c>
      <c r="F113" s="103"/>
      <c r="G113" s="103"/>
      <c r="H113" s="107" t="s">
        <v>2319</v>
      </c>
      <c r="J113" s="102">
        <v>39.950000000000003</v>
      </c>
      <c r="K113" s="107" t="s">
        <v>1910</v>
      </c>
      <c r="M113" s="105">
        <f t="shared" si="1"/>
        <v>0</v>
      </c>
      <c r="O113" s="105">
        <f t="shared" si="2"/>
        <v>0</v>
      </c>
      <c r="P113" s="105">
        <f>SUM(P103:P112)</f>
        <v>806.35</v>
      </c>
    </row>
    <row r="114" spans="1:16" x14ac:dyDescent="0.3">
      <c r="A114" s="106" t="s">
        <v>894</v>
      </c>
      <c r="B114" s="106" t="s">
        <v>14</v>
      </c>
      <c r="C114" s="106" t="s">
        <v>1898</v>
      </c>
      <c r="D114" s="106" t="s">
        <v>2320</v>
      </c>
      <c r="E114" s="103">
        <v>10</v>
      </c>
      <c r="F114" s="103"/>
      <c r="G114" s="103"/>
      <c r="H114" s="107" t="s">
        <v>2321</v>
      </c>
      <c r="J114" s="102">
        <v>14.95</v>
      </c>
      <c r="K114" s="107" t="s">
        <v>1911</v>
      </c>
      <c r="M114" s="105">
        <f t="shared" si="1"/>
        <v>149.5</v>
      </c>
      <c r="O114" s="105">
        <f t="shared" si="2"/>
        <v>149.5</v>
      </c>
    </row>
    <row r="115" spans="1:16" x14ac:dyDescent="0.3">
      <c r="A115" s="106" t="s">
        <v>894</v>
      </c>
      <c r="B115" s="106" t="s">
        <v>14</v>
      </c>
      <c r="C115" s="106" t="s">
        <v>1898</v>
      </c>
      <c r="D115" s="106" t="s">
        <v>2322</v>
      </c>
      <c r="E115" s="103">
        <v>0</v>
      </c>
      <c r="F115" s="103"/>
      <c r="G115" s="103"/>
      <c r="H115" s="107" t="s">
        <v>2323</v>
      </c>
      <c r="J115" s="102">
        <v>13.95</v>
      </c>
      <c r="K115" s="107" t="s">
        <v>1910</v>
      </c>
      <c r="M115" s="105">
        <f t="shared" si="1"/>
        <v>0</v>
      </c>
      <c r="O115" s="105">
        <f t="shared" si="2"/>
        <v>0</v>
      </c>
    </row>
    <row r="116" spans="1:16" x14ac:dyDescent="0.3">
      <c r="A116" s="106" t="s">
        <v>894</v>
      </c>
      <c r="B116" s="106" t="s">
        <v>14</v>
      </c>
      <c r="C116" s="106" t="s">
        <v>1898</v>
      </c>
      <c r="D116" s="106" t="s">
        <v>2324</v>
      </c>
      <c r="E116" s="103">
        <v>0</v>
      </c>
      <c r="F116" s="103"/>
      <c r="G116" s="103"/>
      <c r="H116" s="107" t="s">
        <v>2325</v>
      </c>
      <c r="J116" s="102">
        <v>24.95</v>
      </c>
      <c r="K116" s="107" t="s">
        <v>1910</v>
      </c>
      <c r="M116" s="105">
        <f t="shared" si="1"/>
        <v>0</v>
      </c>
      <c r="O116" s="105">
        <f t="shared" si="2"/>
        <v>0</v>
      </c>
    </row>
    <row r="117" spans="1:16" x14ac:dyDescent="0.3">
      <c r="A117" s="106" t="s">
        <v>894</v>
      </c>
      <c r="B117" s="106" t="s">
        <v>14</v>
      </c>
      <c r="C117" s="106" t="s">
        <v>1898</v>
      </c>
      <c r="D117" s="106" t="s">
        <v>2326</v>
      </c>
      <c r="E117" s="103">
        <v>0</v>
      </c>
      <c r="F117" s="103"/>
      <c r="G117" s="103"/>
      <c r="H117" s="107" t="s">
        <v>2327</v>
      </c>
      <c r="J117" s="102">
        <v>14.95</v>
      </c>
      <c r="K117" s="107" t="s">
        <v>1910</v>
      </c>
      <c r="M117" s="105">
        <f t="shared" si="1"/>
        <v>0</v>
      </c>
      <c r="O117" s="105">
        <f t="shared" si="2"/>
        <v>0</v>
      </c>
    </row>
    <row r="118" spans="1:16" x14ac:dyDescent="0.3">
      <c r="A118" s="106" t="s">
        <v>894</v>
      </c>
      <c r="B118" s="106" t="s">
        <v>14</v>
      </c>
      <c r="C118" s="106" t="s">
        <v>1898</v>
      </c>
      <c r="D118" s="106" t="s">
        <v>2328</v>
      </c>
      <c r="E118" s="103">
        <v>0</v>
      </c>
      <c r="F118" s="103"/>
      <c r="G118" s="103"/>
      <c r="H118" s="107" t="s">
        <v>2329</v>
      </c>
      <c r="J118" s="102">
        <v>15.95</v>
      </c>
      <c r="K118" s="107" t="s">
        <v>1910</v>
      </c>
      <c r="M118" s="105">
        <f t="shared" si="1"/>
        <v>0</v>
      </c>
      <c r="O118" s="105">
        <f t="shared" si="2"/>
        <v>0</v>
      </c>
    </row>
    <row r="119" spans="1:16" x14ac:dyDescent="0.3">
      <c r="A119" s="106" t="s">
        <v>894</v>
      </c>
      <c r="B119" s="106" t="s">
        <v>14</v>
      </c>
      <c r="C119" s="106" t="s">
        <v>2555</v>
      </c>
      <c r="D119" s="106" t="s">
        <v>2554</v>
      </c>
      <c r="E119" s="103">
        <v>0</v>
      </c>
      <c r="F119" s="103"/>
      <c r="G119" s="103"/>
      <c r="H119" s="107" t="s">
        <v>2556</v>
      </c>
      <c r="J119" s="102">
        <v>18.13</v>
      </c>
      <c r="K119" s="107" t="s">
        <v>1910</v>
      </c>
      <c r="M119" s="105">
        <f t="shared" si="1"/>
        <v>0</v>
      </c>
      <c r="O119" s="105">
        <f t="shared" si="2"/>
        <v>0</v>
      </c>
    </row>
    <row r="120" spans="1:16" x14ac:dyDescent="0.3">
      <c r="A120" s="106" t="s">
        <v>894</v>
      </c>
      <c r="B120" s="106" t="s">
        <v>14</v>
      </c>
      <c r="C120" s="106" t="s">
        <v>1906</v>
      </c>
      <c r="D120" s="106" t="s">
        <v>2553</v>
      </c>
      <c r="E120" s="103">
        <v>5</v>
      </c>
      <c r="F120" s="103"/>
      <c r="G120" s="103"/>
      <c r="H120" s="107" t="s">
        <v>2556</v>
      </c>
      <c r="J120" s="102">
        <v>18.5</v>
      </c>
      <c r="K120" s="107" t="s">
        <v>1911</v>
      </c>
      <c r="M120" s="105">
        <f t="shared" si="1"/>
        <v>92.5</v>
      </c>
    </row>
    <row r="121" spans="1:16" x14ac:dyDescent="0.3">
      <c r="A121" s="107" t="s">
        <v>894</v>
      </c>
      <c r="B121" s="107" t="s">
        <v>15</v>
      </c>
      <c r="C121" s="107" t="s">
        <v>8</v>
      </c>
      <c r="D121" s="106" t="s">
        <v>108</v>
      </c>
      <c r="E121" s="103">
        <v>5</v>
      </c>
      <c r="F121" s="103" t="s">
        <v>109</v>
      </c>
      <c r="G121" s="103" t="s">
        <v>110</v>
      </c>
      <c r="H121" s="106" t="s">
        <v>111</v>
      </c>
      <c r="I121" s="103">
        <v>1</v>
      </c>
      <c r="J121" s="103">
        <v>2.95</v>
      </c>
      <c r="K121" s="106" t="s">
        <v>1911</v>
      </c>
      <c r="M121" s="105">
        <f t="shared" si="1"/>
        <v>14.75</v>
      </c>
      <c r="O121" s="105">
        <f>SUM(O103:O119)</f>
        <v>492.1</v>
      </c>
    </row>
    <row r="122" spans="1:16" x14ac:dyDescent="0.3">
      <c r="A122" s="107" t="s">
        <v>894</v>
      </c>
      <c r="B122" s="107" t="s">
        <v>15</v>
      </c>
      <c r="C122" s="107" t="s">
        <v>8</v>
      </c>
      <c r="D122" s="106" t="s">
        <v>1338</v>
      </c>
      <c r="E122" s="103">
        <v>0</v>
      </c>
      <c r="F122" s="103" t="s">
        <v>1339</v>
      </c>
      <c r="G122" s="103" t="s">
        <v>1340</v>
      </c>
      <c r="H122" s="106" t="s">
        <v>1341</v>
      </c>
      <c r="I122" s="103">
        <v>1</v>
      </c>
      <c r="J122" s="103">
        <v>2.95</v>
      </c>
      <c r="K122" s="106" t="s">
        <v>1910</v>
      </c>
      <c r="M122" s="105">
        <f t="shared" si="1"/>
        <v>0</v>
      </c>
    </row>
    <row r="123" spans="1:16" x14ac:dyDescent="0.3">
      <c r="A123" s="107" t="s">
        <v>894</v>
      </c>
      <c r="B123" s="107" t="s">
        <v>15</v>
      </c>
      <c r="C123" s="107" t="s">
        <v>8</v>
      </c>
      <c r="D123" s="106" t="s">
        <v>1342</v>
      </c>
      <c r="E123" s="103">
        <v>0</v>
      </c>
      <c r="F123" s="103" t="s">
        <v>1343</v>
      </c>
      <c r="G123" s="103" t="s">
        <v>1344</v>
      </c>
      <c r="H123" s="106" t="s">
        <v>1345</v>
      </c>
      <c r="I123" s="103">
        <v>1</v>
      </c>
      <c r="J123" s="103">
        <v>2.95</v>
      </c>
      <c r="K123" s="106" t="s">
        <v>1910</v>
      </c>
      <c r="M123" s="105">
        <f t="shared" si="1"/>
        <v>0</v>
      </c>
    </row>
    <row r="124" spans="1:16" x14ac:dyDescent="0.3">
      <c r="A124" s="107" t="s">
        <v>894</v>
      </c>
      <c r="B124" s="107" t="s">
        <v>15</v>
      </c>
      <c r="C124" s="107" t="s">
        <v>8</v>
      </c>
      <c r="D124" s="106" t="s">
        <v>1346</v>
      </c>
      <c r="E124" s="103">
        <v>0</v>
      </c>
      <c r="F124" s="103" t="s">
        <v>1347</v>
      </c>
      <c r="G124" s="103" t="s">
        <v>1348</v>
      </c>
      <c r="H124" s="106" t="s">
        <v>1349</v>
      </c>
      <c r="I124" s="103">
        <v>1</v>
      </c>
      <c r="J124" s="103">
        <v>2.95</v>
      </c>
      <c r="K124" s="106" t="s">
        <v>1910</v>
      </c>
      <c r="M124" s="105">
        <f t="shared" si="1"/>
        <v>0</v>
      </c>
    </row>
    <row r="125" spans="1:16" x14ac:dyDescent="0.3">
      <c r="A125" s="106" t="s">
        <v>894</v>
      </c>
      <c r="B125" s="106" t="s">
        <v>15</v>
      </c>
      <c r="C125" s="106" t="s">
        <v>1898</v>
      </c>
      <c r="D125" s="106" t="s">
        <v>2332</v>
      </c>
      <c r="E125" s="103">
        <v>0</v>
      </c>
      <c r="F125" s="103"/>
      <c r="G125" s="103"/>
      <c r="H125" s="107" t="s">
        <v>2333</v>
      </c>
      <c r="J125" s="102">
        <v>17.95</v>
      </c>
      <c r="K125" s="107" t="s">
        <v>1910</v>
      </c>
      <c r="M125" s="105">
        <f t="shared" si="1"/>
        <v>0</v>
      </c>
    </row>
    <row r="126" spans="1:16" x14ac:dyDescent="0.3">
      <c r="A126" s="107" t="s">
        <v>894</v>
      </c>
      <c r="B126" s="107" t="s">
        <v>15</v>
      </c>
      <c r="C126" s="107" t="s">
        <v>8</v>
      </c>
      <c r="D126" s="106" t="s">
        <v>1429</v>
      </c>
      <c r="E126" s="103">
        <v>0</v>
      </c>
      <c r="F126" s="103" t="s">
        <v>1430</v>
      </c>
      <c r="G126" s="103" t="s">
        <v>1431</v>
      </c>
      <c r="H126" s="106" t="s">
        <v>1432</v>
      </c>
      <c r="I126" s="103">
        <v>1</v>
      </c>
      <c r="J126" s="103">
        <v>20.95</v>
      </c>
      <c r="K126" s="106" t="s">
        <v>1910</v>
      </c>
      <c r="M126" s="105">
        <f t="shared" si="1"/>
        <v>0</v>
      </c>
    </row>
    <row r="127" spans="1:16" x14ac:dyDescent="0.3">
      <c r="A127" s="107" t="s">
        <v>894</v>
      </c>
      <c r="B127" s="107" t="s">
        <v>15</v>
      </c>
      <c r="C127" s="107" t="s">
        <v>8</v>
      </c>
      <c r="D127" s="106" t="s">
        <v>1433</v>
      </c>
      <c r="E127" s="103">
        <v>0</v>
      </c>
      <c r="F127" s="103" t="s">
        <v>1434</v>
      </c>
      <c r="G127" s="103" t="s">
        <v>1435</v>
      </c>
      <c r="H127" s="106" t="s">
        <v>1436</v>
      </c>
      <c r="I127" s="103">
        <v>1</v>
      </c>
      <c r="J127" s="103">
        <v>5.95</v>
      </c>
      <c r="K127" s="106" t="s">
        <v>1910</v>
      </c>
      <c r="M127" s="105">
        <f t="shared" si="1"/>
        <v>0</v>
      </c>
    </row>
    <row r="128" spans="1:16" x14ac:dyDescent="0.3">
      <c r="A128" s="107" t="s">
        <v>894</v>
      </c>
      <c r="B128" s="107" t="s">
        <v>15</v>
      </c>
      <c r="C128" s="107" t="s">
        <v>8</v>
      </c>
      <c r="D128" s="106" t="s">
        <v>675</v>
      </c>
      <c r="E128" s="103">
        <v>0</v>
      </c>
      <c r="F128" s="103" t="s">
        <v>676</v>
      </c>
      <c r="G128" s="103" t="s">
        <v>677</v>
      </c>
      <c r="H128" s="106" t="s">
        <v>678</v>
      </c>
      <c r="I128" s="103">
        <v>1</v>
      </c>
      <c r="J128" s="103">
        <v>9.9499999999999993</v>
      </c>
      <c r="K128" s="106" t="s">
        <v>1910</v>
      </c>
      <c r="M128" s="105">
        <f t="shared" si="1"/>
        <v>0</v>
      </c>
    </row>
    <row r="129" spans="1:13" x14ac:dyDescent="0.3">
      <c r="A129" s="106" t="s">
        <v>894</v>
      </c>
      <c r="B129" s="106" t="s">
        <v>15</v>
      </c>
      <c r="C129" s="106" t="s">
        <v>1898</v>
      </c>
      <c r="D129" s="106" t="s">
        <v>2338</v>
      </c>
      <c r="E129" s="103">
        <v>4</v>
      </c>
      <c r="F129" s="103"/>
      <c r="G129" s="103"/>
      <c r="H129" s="107" t="s">
        <v>2339</v>
      </c>
      <c r="J129" s="102">
        <v>7.95</v>
      </c>
      <c r="K129" s="107" t="s">
        <v>1910</v>
      </c>
      <c r="M129" s="105">
        <f t="shared" si="1"/>
        <v>31.8</v>
      </c>
    </row>
    <row r="130" spans="1:13" x14ac:dyDescent="0.3">
      <c r="A130" s="107" t="s">
        <v>894</v>
      </c>
      <c r="B130" s="107" t="s">
        <v>15</v>
      </c>
      <c r="C130" s="107" t="s">
        <v>8</v>
      </c>
      <c r="D130" s="106" t="s">
        <v>1421</v>
      </c>
      <c r="E130" s="103">
        <v>0</v>
      </c>
      <c r="F130" s="103" t="s">
        <v>1422</v>
      </c>
      <c r="G130" s="103" t="s">
        <v>1423</v>
      </c>
      <c r="H130" s="106" t="s">
        <v>1424</v>
      </c>
      <c r="I130" s="103">
        <v>1</v>
      </c>
      <c r="J130" s="103">
        <v>6.95</v>
      </c>
      <c r="K130" s="106" t="s">
        <v>1910</v>
      </c>
      <c r="M130" s="105">
        <f t="shared" si="1"/>
        <v>0</v>
      </c>
    </row>
    <row r="131" spans="1:13" x14ac:dyDescent="0.3">
      <c r="A131" s="107" t="s">
        <v>894</v>
      </c>
      <c r="B131" s="107" t="s">
        <v>15</v>
      </c>
      <c r="C131" s="107" t="s">
        <v>8</v>
      </c>
      <c r="D131" s="106" t="s">
        <v>1425</v>
      </c>
      <c r="E131" s="103">
        <v>0</v>
      </c>
      <c r="F131" s="103" t="s">
        <v>1426</v>
      </c>
      <c r="G131" s="103" t="s">
        <v>1427</v>
      </c>
      <c r="H131" s="106" t="s">
        <v>1428</v>
      </c>
      <c r="I131" s="103">
        <v>1</v>
      </c>
      <c r="J131" s="103">
        <v>12.95</v>
      </c>
      <c r="K131" s="106" t="s">
        <v>1910</v>
      </c>
      <c r="M131" s="105">
        <f t="shared" ref="M131:M153" si="4">E131*J131</f>
        <v>0</v>
      </c>
    </row>
    <row r="132" spans="1:13" x14ac:dyDescent="0.3">
      <c r="A132" s="107" t="s">
        <v>894</v>
      </c>
      <c r="B132" s="107" t="s">
        <v>15</v>
      </c>
      <c r="C132" s="107" t="s">
        <v>8</v>
      </c>
      <c r="D132" s="106" t="s">
        <v>719</v>
      </c>
      <c r="E132" s="103">
        <v>0</v>
      </c>
      <c r="F132" s="103" t="s">
        <v>720</v>
      </c>
      <c r="G132" s="103" t="s">
        <v>721</v>
      </c>
      <c r="H132" s="106" t="s">
        <v>722</v>
      </c>
      <c r="I132" s="103">
        <v>1</v>
      </c>
      <c r="J132" s="103">
        <v>1.5</v>
      </c>
      <c r="K132" s="106" t="s">
        <v>1910</v>
      </c>
      <c r="M132" s="105">
        <f t="shared" si="4"/>
        <v>0</v>
      </c>
    </row>
    <row r="133" spans="1:13" x14ac:dyDescent="0.3">
      <c r="A133" s="106" t="s">
        <v>894</v>
      </c>
      <c r="B133" s="106" t="s">
        <v>15</v>
      </c>
      <c r="C133" s="106" t="s">
        <v>1898</v>
      </c>
      <c r="D133" s="106" t="s">
        <v>2334</v>
      </c>
      <c r="E133" s="103">
        <v>0</v>
      </c>
      <c r="F133" s="103"/>
      <c r="G133" s="103"/>
      <c r="H133" s="107" t="s">
        <v>2335</v>
      </c>
      <c r="J133" s="102">
        <v>0.95</v>
      </c>
      <c r="K133" s="107" t="s">
        <v>1910</v>
      </c>
      <c r="M133" s="105">
        <f t="shared" si="4"/>
        <v>0</v>
      </c>
    </row>
    <row r="134" spans="1:13" x14ac:dyDescent="0.3">
      <c r="A134" s="107" t="s">
        <v>894</v>
      </c>
      <c r="B134" s="107" t="s">
        <v>15</v>
      </c>
      <c r="C134" s="107" t="s">
        <v>8</v>
      </c>
      <c r="D134" s="106" t="s">
        <v>289</v>
      </c>
      <c r="E134" s="103">
        <v>5</v>
      </c>
      <c r="F134" s="103" t="s">
        <v>290</v>
      </c>
      <c r="G134" s="103" t="s">
        <v>291</v>
      </c>
      <c r="H134" s="106" t="s">
        <v>292</v>
      </c>
      <c r="I134" s="103">
        <v>1</v>
      </c>
      <c r="J134" s="103">
        <v>1.95</v>
      </c>
      <c r="K134" s="106" t="s">
        <v>1911</v>
      </c>
      <c r="M134" s="105">
        <f t="shared" si="4"/>
        <v>9.75</v>
      </c>
    </row>
    <row r="135" spans="1:13" x14ac:dyDescent="0.3">
      <c r="A135" s="106" t="s">
        <v>894</v>
      </c>
      <c r="B135" s="106" t="s">
        <v>15</v>
      </c>
      <c r="C135" s="106" t="s">
        <v>1898</v>
      </c>
      <c r="D135" s="106" t="s">
        <v>2330</v>
      </c>
      <c r="E135" s="103">
        <v>0</v>
      </c>
      <c r="F135" s="103"/>
      <c r="G135" s="103"/>
      <c r="H135" s="107" t="s">
        <v>2331</v>
      </c>
      <c r="J135" s="102">
        <v>18</v>
      </c>
      <c r="K135" s="107" t="s">
        <v>1910</v>
      </c>
      <c r="M135" s="105">
        <f t="shared" si="4"/>
        <v>0</v>
      </c>
    </row>
    <row r="136" spans="1:13" x14ac:dyDescent="0.3">
      <c r="A136" s="106" t="s">
        <v>894</v>
      </c>
      <c r="B136" s="106" t="s">
        <v>15</v>
      </c>
      <c r="C136" s="106" t="s">
        <v>1898</v>
      </c>
      <c r="D136" s="106" t="s">
        <v>2336</v>
      </c>
      <c r="E136" s="103">
        <v>1</v>
      </c>
      <c r="F136" s="103"/>
      <c r="G136" s="103"/>
      <c r="H136" s="107" t="s">
        <v>2337</v>
      </c>
      <c r="J136" s="102">
        <v>3.95</v>
      </c>
      <c r="K136" s="107" t="s">
        <v>1910</v>
      </c>
      <c r="M136" s="105">
        <f t="shared" si="4"/>
        <v>3.95</v>
      </c>
    </row>
    <row r="137" spans="1:13" x14ac:dyDescent="0.3">
      <c r="A137" s="107" t="s">
        <v>894</v>
      </c>
      <c r="B137" s="107" t="s">
        <v>15</v>
      </c>
      <c r="C137" s="107" t="s">
        <v>8</v>
      </c>
      <c r="D137" s="106" t="s">
        <v>112</v>
      </c>
      <c r="E137" s="103">
        <v>2</v>
      </c>
      <c r="F137" s="103" t="s">
        <v>113</v>
      </c>
      <c r="G137" s="103" t="s">
        <v>114</v>
      </c>
      <c r="H137" s="106" t="s">
        <v>115</v>
      </c>
      <c r="I137" s="103">
        <v>1</v>
      </c>
      <c r="J137" s="103">
        <v>24.95</v>
      </c>
      <c r="K137" s="106" t="s">
        <v>1910</v>
      </c>
      <c r="M137" s="105">
        <f t="shared" si="4"/>
        <v>49.9</v>
      </c>
    </row>
    <row r="138" spans="1:13" x14ac:dyDescent="0.3">
      <c r="A138" s="106" t="s">
        <v>894</v>
      </c>
      <c r="B138" s="106" t="s">
        <v>15</v>
      </c>
      <c r="C138" s="106" t="s">
        <v>1898</v>
      </c>
      <c r="D138" s="106" t="s">
        <v>2340</v>
      </c>
      <c r="E138" s="103">
        <v>1</v>
      </c>
      <c r="F138" s="103"/>
      <c r="G138" s="103"/>
      <c r="H138" s="107" t="s">
        <v>2341</v>
      </c>
      <c r="J138" s="102">
        <v>4.95</v>
      </c>
      <c r="K138" s="107" t="s">
        <v>1910</v>
      </c>
      <c r="M138" s="105">
        <f t="shared" si="4"/>
        <v>4.95</v>
      </c>
    </row>
    <row r="139" spans="1:13" x14ac:dyDescent="0.3">
      <c r="A139" s="107" t="s">
        <v>894</v>
      </c>
      <c r="B139" s="107" t="s">
        <v>2031</v>
      </c>
      <c r="C139" s="107" t="s">
        <v>8</v>
      </c>
      <c r="D139" s="106" t="s">
        <v>116</v>
      </c>
      <c r="E139" s="103">
        <v>5</v>
      </c>
      <c r="F139" s="103" t="s">
        <v>117</v>
      </c>
      <c r="G139" s="103" t="s">
        <v>118</v>
      </c>
      <c r="H139" s="106" t="s">
        <v>119</v>
      </c>
      <c r="I139" s="103">
        <v>1</v>
      </c>
      <c r="J139" s="103">
        <v>12.95</v>
      </c>
      <c r="K139" s="106" t="s">
        <v>1911</v>
      </c>
      <c r="M139" s="105">
        <f t="shared" si="4"/>
        <v>64.75</v>
      </c>
    </row>
    <row r="140" spans="1:13" x14ac:dyDescent="0.3">
      <c r="A140" s="107" t="s">
        <v>894</v>
      </c>
      <c r="B140" s="107" t="s">
        <v>2031</v>
      </c>
      <c r="C140" s="107" t="s">
        <v>8</v>
      </c>
      <c r="D140" s="106" t="s">
        <v>1181</v>
      </c>
      <c r="E140" s="103">
        <v>1</v>
      </c>
      <c r="F140" s="103" t="s">
        <v>1182</v>
      </c>
      <c r="G140" s="103" t="s">
        <v>1183</v>
      </c>
      <c r="H140" s="106" t="s">
        <v>1184</v>
      </c>
      <c r="I140" s="103">
        <v>1</v>
      </c>
      <c r="J140" s="103">
        <v>19.95</v>
      </c>
      <c r="K140" s="106" t="s">
        <v>1910</v>
      </c>
      <c r="M140" s="105">
        <f t="shared" si="4"/>
        <v>19.95</v>
      </c>
    </row>
    <row r="141" spans="1:13" x14ac:dyDescent="0.3">
      <c r="A141" s="107" t="s">
        <v>894</v>
      </c>
      <c r="B141" s="107" t="s">
        <v>2031</v>
      </c>
      <c r="C141" s="107" t="s">
        <v>8</v>
      </c>
      <c r="D141" s="106" t="s">
        <v>1523</v>
      </c>
      <c r="E141" s="103">
        <v>0</v>
      </c>
      <c r="F141" s="103" t="s">
        <v>1524</v>
      </c>
      <c r="G141" s="103" t="s">
        <v>1525</v>
      </c>
      <c r="H141" s="106" t="s">
        <v>1526</v>
      </c>
      <c r="I141" s="103">
        <v>1</v>
      </c>
      <c r="J141" s="103">
        <v>29.95</v>
      </c>
      <c r="K141" s="106" t="s">
        <v>1910</v>
      </c>
      <c r="M141" s="105">
        <f t="shared" si="4"/>
        <v>0</v>
      </c>
    </row>
    <row r="142" spans="1:13" x14ac:dyDescent="0.3">
      <c r="A142" s="106" t="s">
        <v>894</v>
      </c>
      <c r="B142" s="106" t="s">
        <v>2031</v>
      </c>
      <c r="C142" s="106" t="s">
        <v>1898</v>
      </c>
      <c r="D142" s="106" t="s">
        <v>2075</v>
      </c>
      <c r="E142" s="103">
        <v>0</v>
      </c>
      <c r="F142" s="103"/>
      <c r="G142" s="103"/>
      <c r="H142" s="107" t="s">
        <v>2074</v>
      </c>
      <c r="J142" s="102">
        <v>17.95</v>
      </c>
      <c r="K142" s="107" t="s">
        <v>1910</v>
      </c>
      <c r="M142" s="105">
        <f t="shared" si="4"/>
        <v>0</v>
      </c>
    </row>
    <row r="143" spans="1:13" x14ac:dyDescent="0.3">
      <c r="A143" s="106" t="s">
        <v>894</v>
      </c>
      <c r="B143" s="106" t="s">
        <v>2031</v>
      </c>
      <c r="C143" s="106" t="s">
        <v>1898</v>
      </c>
      <c r="D143" s="106" t="s">
        <v>2342</v>
      </c>
      <c r="E143" s="103">
        <v>0</v>
      </c>
      <c r="F143" s="103"/>
      <c r="G143" s="103"/>
      <c r="H143" s="107" t="s">
        <v>2343</v>
      </c>
      <c r="J143" s="102">
        <v>7.5</v>
      </c>
      <c r="K143" s="107" t="s">
        <v>1910</v>
      </c>
      <c r="M143" s="105">
        <f t="shared" si="4"/>
        <v>0</v>
      </c>
    </row>
    <row r="144" spans="1:13" x14ac:dyDescent="0.3">
      <c r="A144" s="106" t="s">
        <v>894</v>
      </c>
      <c r="B144" s="106" t="s">
        <v>2029</v>
      </c>
      <c r="C144" s="106" t="s">
        <v>1898</v>
      </c>
      <c r="D144" s="106" t="s">
        <v>2372</v>
      </c>
      <c r="E144" s="103">
        <v>5</v>
      </c>
      <c r="F144" s="103"/>
      <c r="G144" s="103"/>
      <c r="H144" s="107" t="s">
        <v>2373</v>
      </c>
      <c r="J144" s="102">
        <v>2.95</v>
      </c>
      <c r="K144" s="107" t="s">
        <v>1910</v>
      </c>
      <c r="M144" s="105">
        <f t="shared" si="4"/>
        <v>14.75</v>
      </c>
    </row>
    <row r="145" spans="1:13" x14ac:dyDescent="0.3">
      <c r="A145" s="106" t="s">
        <v>894</v>
      </c>
      <c r="B145" s="106" t="s">
        <v>2029</v>
      </c>
      <c r="C145" s="106" t="s">
        <v>1898</v>
      </c>
      <c r="D145" s="106" t="s">
        <v>2374</v>
      </c>
      <c r="E145" s="103">
        <v>1</v>
      </c>
      <c r="F145" s="103"/>
      <c r="G145" s="103"/>
      <c r="H145" s="107" t="s">
        <v>2375</v>
      </c>
      <c r="J145" s="102">
        <v>3.95</v>
      </c>
      <c r="K145" s="107" t="s">
        <v>1910</v>
      </c>
      <c r="M145" s="105">
        <f t="shared" si="4"/>
        <v>3.95</v>
      </c>
    </row>
    <row r="146" spans="1:13" x14ac:dyDescent="0.3">
      <c r="A146" s="107" t="s">
        <v>894</v>
      </c>
      <c r="B146" s="107" t="s">
        <v>898</v>
      </c>
      <c r="C146" s="107" t="s">
        <v>8</v>
      </c>
      <c r="D146" s="106" t="s">
        <v>683</v>
      </c>
      <c r="E146" s="103">
        <v>1</v>
      </c>
      <c r="F146" s="103" t="s">
        <v>684</v>
      </c>
      <c r="G146" s="103" t="s">
        <v>685</v>
      </c>
      <c r="H146" s="106" t="s">
        <v>686</v>
      </c>
      <c r="I146" s="103">
        <v>1</v>
      </c>
      <c r="J146" s="103">
        <v>34.950000000000003</v>
      </c>
      <c r="K146" s="106" t="s">
        <v>1910</v>
      </c>
      <c r="M146" s="105">
        <f t="shared" si="4"/>
        <v>34.950000000000003</v>
      </c>
    </row>
    <row r="147" spans="1:13" x14ac:dyDescent="0.3">
      <c r="A147" s="107" t="s">
        <v>894</v>
      </c>
      <c r="B147" s="107" t="s">
        <v>898</v>
      </c>
      <c r="C147" s="107" t="s">
        <v>8</v>
      </c>
      <c r="D147" s="106" t="s">
        <v>687</v>
      </c>
      <c r="E147" s="103">
        <v>1</v>
      </c>
      <c r="F147" s="103" t="s">
        <v>688</v>
      </c>
      <c r="G147" s="103" t="s">
        <v>689</v>
      </c>
      <c r="H147" s="106" t="s">
        <v>690</v>
      </c>
      <c r="I147" s="103"/>
      <c r="J147" s="103">
        <v>12.95</v>
      </c>
      <c r="K147" s="106" t="s">
        <v>1910</v>
      </c>
      <c r="M147" s="105">
        <f t="shared" si="4"/>
        <v>12.95</v>
      </c>
    </row>
    <row r="148" spans="1:13" x14ac:dyDescent="0.3">
      <c r="A148" s="107" t="s">
        <v>894</v>
      </c>
      <c r="B148" s="107" t="s">
        <v>898</v>
      </c>
      <c r="C148" s="107" t="s">
        <v>8</v>
      </c>
      <c r="D148" s="106" t="s">
        <v>691</v>
      </c>
      <c r="E148" s="103">
        <v>1</v>
      </c>
      <c r="F148" s="103" t="s">
        <v>692</v>
      </c>
      <c r="G148" s="103" t="s">
        <v>693</v>
      </c>
      <c r="H148" s="106" t="s">
        <v>694</v>
      </c>
      <c r="I148" s="103">
        <v>1</v>
      </c>
      <c r="J148" s="103">
        <v>0.95</v>
      </c>
      <c r="K148" s="106" t="s">
        <v>1910</v>
      </c>
      <c r="M148" s="105">
        <f t="shared" si="4"/>
        <v>0.95</v>
      </c>
    </row>
    <row r="149" spans="1:13" x14ac:dyDescent="0.3">
      <c r="A149" s="107" t="s">
        <v>894</v>
      </c>
      <c r="B149" s="107" t="s">
        <v>898</v>
      </c>
      <c r="C149" s="107" t="s">
        <v>8</v>
      </c>
      <c r="D149" s="106" t="s">
        <v>695</v>
      </c>
      <c r="E149" s="103">
        <v>1</v>
      </c>
      <c r="F149" s="103" t="s">
        <v>696</v>
      </c>
      <c r="G149" s="103" t="s">
        <v>697</v>
      </c>
      <c r="H149" s="106" t="s">
        <v>698</v>
      </c>
      <c r="I149" s="103">
        <v>1</v>
      </c>
      <c r="J149" s="103">
        <v>7.25</v>
      </c>
      <c r="K149" s="106" t="s">
        <v>1910</v>
      </c>
      <c r="M149" s="105">
        <f t="shared" si="4"/>
        <v>7.25</v>
      </c>
    </row>
    <row r="150" spans="1:13" x14ac:dyDescent="0.3">
      <c r="A150" s="107" t="s">
        <v>894</v>
      </c>
      <c r="B150" s="107" t="s">
        <v>898</v>
      </c>
      <c r="C150" s="107" t="s">
        <v>8</v>
      </c>
      <c r="D150" s="106" t="s">
        <v>827</v>
      </c>
      <c r="E150" s="103">
        <v>0</v>
      </c>
      <c r="F150" s="103" t="s">
        <v>828</v>
      </c>
      <c r="G150" s="103" t="s">
        <v>829</v>
      </c>
      <c r="H150" s="106" t="s">
        <v>212</v>
      </c>
      <c r="I150" s="103">
        <v>1</v>
      </c>
      <c r="J150" s="103">
        <v>5.95</v>
      </c>
      <c r="K150" s="106" t="s">
        <v>2487</v>
      </c>
      <c r="M150" s="105">
        <f t="shared" si="4"/>
        <v>0</v>
      </c>
    </row>
    <row r="151" spans="1:13" x14ac:dyDescent="0.3">
      <c r="A151" s="107" t="s">
        <v>894</v>
      </c>
      <c r="B151" s="107" t="s">
        <v>898</v>
      </c>
      <c r="C151" s="107" t="s">
        <v>8</v>
      </c>
      <c r="D151" s="106" t="s">
        <v>830</v>
      </c>
      <c r="E151" s="103">
        <v>2</v>
      </c>
      <c r="F151" s="103" t="s">
        <v>831</v>
      </c>
      <c r="G151" s="103" t="s">
        <v>832</v>
      </c>
      <c r="H151" s="106" t="s">
        <v>220</v>
      </c>
      <c r="I151" s="103">
        <v>1</v>
      </c>
      <c r="J151" s="103">
        <v>3.95</v>
      </c>
      <c r="K151" s="106" t="s">
        <v>1910</v>
      </c>
      <c r="M151" s="105">
        <f t="shared" si="4"/>
        <v>7.9</v>
      </c>
    </row>
    <row r="152" spans="1:13" x14ac:dyDescent="0.3">
      <c r="A152" s="107" t="s">
        <v>894</v>
      </c>
      <c r="B152" s="107" t="s">
        <v>13</v>
      </c>
      <c r="C152" s="107" t="s">
        <v>8</v>
      </c>
      <c r="D152" s="106" t="s">
        <v>256</v>
      </c>
      <c r="E152" s="103">
        <v>3</v>
      </c>
      <c r="F152" s="103" t="s">
        <v>257</v>
      </c>
      <c r="G152" s="103" t="s">
        <v>258</v>
      </c>
      <c r="H152" s="106" t="s">
        <v>259</v>
      </c>
      <c r="I152" s="103">
        <v>1</v>
      </c>
      <c r="J152" s="103">
        <v>14.95</v>
      </c>
      <c r="K152" s="106" t="s">
        <v>1910</v>
      </c>
      <c r="M152" s="105">
        <f t="shared" si="4"/>
        <v>44.849999999999994</v>
      </c>
    </row>
    <row r="153" spans="1:13" x14ac:dyDescent="0.3">
      <c r="A153" s="107" t="s">
        <v>894</v>
      </c>
      <c r="B153" s="107" t="s">
        <v>13</v>
      </c>
      <c r="C153" s="107" t="s">
        <v>8</v>
      </c>
      <c r="D153" s="106" t="s">
        <v>260</v>
      </c>
      <c r="E153" s="103">
        <v>5</v>
      </c>
      <c r="F153" s="103" t="s">
        <v>261</v>
      </c>
      <c r="G153" s="103" t="s">
        <v>262</v>
      </c>
      <c r="H153" s="106" t="s">
        <v>263</v>
      </c>
      <c r="I153" s="103">
        <v>1</v>
      </c>
      <c r="J153" s="103">
        <v>6.95</v>
      </c>
      <c r="K153" s="106" t="s">
        <v>1911</v>
      </c>
      <c r="M153" s="105">
        <f t="shared" si="4"/>
        <v>34.75</v>
      </c>
    </row>
    <row r="154" spans="1:13" x14ac:dyDescent="0.3">
      <c r="A154" s="107">
        <f>COUNTA(A2:A153)</f>
        <v>152</v>
      </c>
      <c r="E154" s="103"/>
      <c r="J154" s="103"/>
    </row>
    <row r="161" spans="4:11" x14ac:dyDescent="0.3">
      <c r="D161" s="106"/>
      <c r="E161" s="103"/>
      <c r="F161" s="103"/>
      <c r="G161" s="103"/>
      <c r="H161" s="106"/>
      <c r="I161" s="103"/>
      <c r="J161" s="103"/>
      <c r="K161" s="106"/>
    </row>
    <row r="162" spans="4:11" x14ac:dyDescent="0.3">
      <c r="D162" s="106"/>
      <c r="E162" s="103"/>
      <c r="F162" s="103"/>
      <c r="G162" s="103"/>
      <c r="H162" s="106"/>
      <c r="I162" s="103"/>
      <c r="J162" s="103"/>
      <c r="K162" s="106"/>
    </row>
    <row r="163" spans="4:11" x14ac:dyDescent="0.3">
      <c r="D163" s="106"/>
      <c r="E163" s="103"/>
      <c r="F163" s="103"/>
      <c r="G163" s="103"/>
      <c r="H163" s="106"/>
      <c r="I163" s="103"/>
      <c r="J163" s="103"/>
      <c r="K163" s="106"/>
    </row>
  </sheetData>
  <sortState ref="B2:J153">
    <sortCondition ref="B2:B153"/>
  </sortState>
  <conditionalFormatting sqref="A1:M1048576">
    <cfRule type="expression" dxfId="208" priority="34">
      <formula>AND(($E1=0),NOT(ISBLANK($E1)))</formula>
    </cfRule>
  </conditionalFormatting>
  <pageMargins left="0.7" right="0.7" top="0.75" bottom="0.75" header="0.3" footer="0.3"/>
  <pageSetup orientation="portrait" horizontalDpi="4294967294" verticalDpi="0" r:id="rId1"/>
  <extLst>
    <ext xmlns:x14="http://schemas.microsoft.com/office/spreadsheetml/2009/9/main" uri="{78C0D931-6437-407d-A8EE-F0AAD7539E65}">
      <x14:conditionalFormattings>
        <x14:conditionalFormatting xmlns:xm="http://schemas.microsoft.com/office/excel/2006/main">
          <x14:cfRule type="expression" priority="1" id="{816F1C01-4C75-4E26-AAF0-72C3C6D9B244}">
            <xm:f>$K1=FilterSpecs!$F$13</xm:f>
            <x14:dxf>
              <font>
                <b/>
                <i val="0"/>
                <color theme="0"/>
              </font>
              <fill>
                <patternFill>
                  <bgColor theme="9" tint="-0.499984740745262"/>
                </patternFill>
              </fill>
            </x14:dxf>
          </x14:cfRule>
          <x14:cfRule type="expression" priority="2" id="{9EEFC03A-4C31-43B3-ABB8-5F391368CA37}">
            <xm:f>$K1=FilterSpecs!$F$12</xm:f>
            <x14:dxf>
              <font>
                <b/>
                <i val="0"/>
                <color theme="0"/>
              </font>
              <fill>
                <patternFill>
                  <bgColor rgb="FFFF4F4F"/>
                </patternFill>
              </fill>
            </x14:dxf>
          </x14:cfRule>
          <x14:cfRule type="expression" priority="32" id="{46536EC7-231A-4803-8D4F-C2D77D372B83}">
            <xm:f>$K1=FilterSpecs!$F$9</xm:f>
            <x14:dxf>
              <font>
                <b/>
                <i val="0"/>
                <color theme="0"/>
              </font>
              <fill>
                <patternFill>
                  <bgColor rgb="FFFF0000"/>
                </patternFill>
              </fill>
            </x14:dxf>
          </x14:cfRule>
          <x14:cfRule type="expression" priority="35" id="{85EDBEE4-1DD5-4BA8-8909-07998BBB8991}">
            <xm:f>$K1=FilterSpecs!$F$10</xm:f>
            <x14:dxf>
              <font>
                <b/>
                <i val="0"/>
                <color theme="0"/>
              </font>
              <fill>
                <patternFill>
                  <bgColor rgb="FF002060"/>
                </patternFill>
              </fill>
            </x14:dxf>
          </x14:cfRule>
          <x14:cfRule type="expression" priority="36" id="{08FAB9F8-F255-4700-9089-4CCD353E884C}">
            <xm:f>$K1=FilterSpecs!$F$8</xm:f>
            <x14:dxf>
              <font>
                <b/>
                <i val="0"/>
                <color theme="0"/>
              </font>
              <fill>
                <patternFill>
                  <bgColor rgb="FFFFC000"/>
                </patternFill>
              </fill>
            </x14:dxf>
          </x14:cfRule>
          <x14:cfRule type="expression" priority="37" id="{E1AA9FF3-626E-48B6-93FC-2F7C8E10DB01}">
            <xm:f>$K1=FilterSpecs!$F$7</xm:f>
            <x14:dxf>
              <font>
                <b/>
                <i val="0"/>
                <color theme="0"/>
              </font>
              <fill>
                <patternFill>
                  <bgColor rgb="FF00B0F0"/>
                </patternFill>
              </fill>
            </x14:dxf>
          </x14:cfRule>
          <xm:sqref>A1:M1048576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80912-1BFB-4396-8CDF-86D33D1CC854}">
  <sheetPr codeName="Sheet8"/>
  <dimension ref="A1:XFD161"/>
  <sheetViews>
    <sheetView topLeftCell="B1" workbookViewId="0">
      <selection activeCell="B5" sqref="A5:XFD7"/>
    </sheetView>
  </sheetViews>
  <sheetFormatPr defaultRowHeight="14.4" x14ac:dyDescent="0.3"/>
  <cols>
    <col min="1" max="1" width="44.33203125" style="102" customWidth="1"/>
    <col min="2" max="2" width="39" style="102" bestFit="1" customWidth="1"/>
    <col min="3" max="3" width="10.21875" style="102" bestFit="1" customWidth="1"/>
    <col min="4" max="4" width="10.77734375" style="102" bestFit="1" customWidth="1"/>
    <col min="5" max="5" width="8.33203125" style="102" customWidth="1"/>
    <col min="6" max="6" width="2.33203125" style="105" hidden="1" customWidth="1"/>
    <col min="7" max="7" width="0.77734375" style="105" hidden="1" customWidth="1"/>
    <col min="8" max="8" width="58.6640625" style="102" customWidth="1"/>
    <col min="9" max="9" width="8.88671875" style="105" hidden="1" customWidth="1"/>
    <col min="10" max="10" width="8.88671875" style="140"/>
    <col min="11" max="11" width="8.88671875" style="107"/>
    <col min="12" max="12" width="67.77734375" style="105" customWidth="1"/>
    <col min="13" max="16384" width="8.88671875" style="105"/>
  </cols>
  <sheetData>
    <row r="1" spans="1:16384" s="77" customFormat="1" ht="15.6" thickTop="1" thickBot="1" x14ac:dyDescent="0.35">
      <c r="A1" s="88" t="s">
        <v>893</v>
      </c>
      <c r="B1" s="88" t="s">
        <v>163</v>
      </c>
      <c r="C1" s="88" t="s">
        <v>7</v>
      </c>
      <c r="D1" s="88" t="s">
        <v>25</v>
      </c>
      <c r="E1" s="88" t="s">
        <v>26</v>
      </c>
      <c r="F1" s="77" t="s">
        <v>27</v>
      </c>
      <c r="G1" s="77" t="s">
        <v>28</v>
      </c>
      <c r="H1" s="88" t="s">
        <v>29</v>
      </c>
      <c r="I1" s="77" t="s">
        <v>30</v>
      </c>
      <c r="J1" s="138" t="s">
        <v>31</v>
      </c>
      <c r="K1" s="84" t="s">
        <v>1918</v>
      </c>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ht="15" thickTop="1" x14ac:dyDescent="0.3">
      <c r="A2" s="102" t="s">
        <v>895</v>
      </c>
      <c r="B2" s="102" t="s">
        <v>1606</v>
      </c>
      <c r="C2" s="102" t="s">
        <v>8</v>
      </c>
      <c r="D2" s="103" t="s">
        <v>1547</v>
      </c>
      <c r="E2" s="103">
        <v>1</v>
      </c>
      <c r="F2" s="103" t="s">
        <v>1548</v>
      </c>
      <c r="G2" s="103" t="s">
        <v>1549</v>
      </c>
      <c r="H2" s="103" t="s">
        <v>1550</v>
      </c>
      <c r="I2" s="103">
        <v>1</v>
      </c>
      <c r="J2" s="139">
        <v>9.9499999999999993</v>
      </c>
      <c r="K2" s="106" t="s">
        <v>1913</v>
      </c>
      <c r="M2" s="105">
        <f t="shared" ref="M2:M7" si="0">E2*J2</f>
        <v>9.9499999999999993</v>
      </c>
    </row>
    <row r="3" spans="1:16384" x14ac:dyDescent="0.3">
      <c r="A3" s="102" t="s">
        <v>895</v>
      </c>
      <c r="B3" s="102" t="s">
        <v>1606</v>
      </c>
      <c r="C3" s="102" t="s">
        <v>8</v>
      </c>
      <c r="D3" s="103" t="s">
        <v>1543</v>
      </c>
      <c r="E3" s="103">
        <v>1</v>
      </c>
      <c r="F3" s="103" t="s">
        <v>1544</v>
      </c>
      <c r="G3" s="103" t="s">
        <v>1545</v>
      </c>
      <c r="H3" s="103" t="s">
        <v>1546</v>
      </c>
      <c r="I3" s="103">
        <v>1</v>
      </c>
      <c r="J3" s="139">
        <v>1.95</v>
      </c>
      <c r="K3" s="106" t="s">
        <v>1910</v>
      </c>
      <c r="M3" s="105">
        <f t="shared" si="0"/>
        <v>1.95</v>
      </c>
    </row>
    <row r="4" spans="1:16384" x14ac:dyDescent="0.3">
      <c r="A4" s="102" t="s">
        <v>895</v>
      </c>
      <c r="B4" s="102" t="s">
        <v>16</v>
      </c>
      <c r="C4" s="102" t="s">
        <v>8</v>
      </c>
      <c r="D4" s="103" t="s">
        <v>264</v>
      </c>
      <c r="E4" s="103">
        <v>10</v>
      </c>
      <c r="F4" s="103" t="s">
        <v>265</v>
      </c>
      <c r="G4" s="103" t="s">
        <v>266</v>
      </c>
      <c r="H4" s="103" t="s">
        <v>267</v>
      </c>
      <c r="I4" s="103">
        <v>1</v>
      </c>
      <c r="J4" s="139">
        <v>2.8</v>
      </c>
      <c r="K4" s="106" t="s">
        <v>1911</v>
      </c>
      <c r="M4" s="105">
        <f t="shared" si="0"/>
        <v>28</v>
      </c>
    </row>
    <row r="5" spans="1:16384" x14ac:dyDescent="0.3">
      <c r="A5" s="102" t="s">
        <v>895</v>
      </c>
      <c r="B5" s="102" t="s">
        <v>16</v>
      </c>
      <c r="C5" s="102" t="s">
        <v>8</v>
      </c>
      <c r="D5" s="103" t="s">
        <v>293</v>
      </c>
      <c r="E5" s="103">
        <v>2</v>
      </c>
      <c r="F5" s="103" t="s">
        <v>294</v>
      </c>
      <c r="G5" s="103" t="s">
        <v>295</v>
      </c>
      <c r="H5" s="103" t="s">
        <v>296</v>
      </c>
      <c r="I5" s="103">
        <v>1</v>
      </c>
      <c r="J5" s="139">
        <v>6.95</v>
      </c>
      <c r="K5" s="106" t="s">
        <v>1910</v>
      </c>
      <c r="M5" s="105">
        <f t="shared" si="0"/>
        <v>13.9</v>
      </c>
    </row>
    <row r="6" spans="1:16384" x14ac:dyDescent="0.3">
      <c r="A6" s="102" t="s">
        <v>895</v>
      </c>
      <c r="B6" s="102" t="s">
        <v>16</v>
      </c>
      <c r="C6" s="102" t="s">
        <v>8</v>
      </c>
      <c r="D6" s="103" t="s">
        <v>297</v>
      </c>
      <c r="E6" s="103">
        <v>3</v>
      </c>
      <c r="F6" s="103" t="s">
        <v>298</v>
      </c>
      <c r="G6" s="103" t="s">
        <v>299</v>
      </c>
      <c r="H6" s="103" t="s">
        <v>216</v>
      </c>
      <c r="I6" s="103">
        <v>1</v>
      </c>
      <c r="J6" s="139">
        <v>3.95</v>
      </c>
      <c r="K6" s="106" t="s">
        <v>1910</v>
      </c>
      <c r="M6" s="105">
        <f t="shared" si="0"/>
        <v>11.850000000000001</v>
      </c>
    </row>
    <row r="7" spans="1:16384" x14ac:dyDescent="0.3">
      <c r="A7" s="102" t="s">
        <v>895</v>
      </c>
      <c r="B7" s="102" t="s">
        <v>16</v>
      </c>
      <c r="C7" s="102" t="s">
        <v>8</v>
      </c>
      <c r="D7" s="103" t="s">
        <v>344</v>
      </c>
      <c r="E7" s="103">
        <v>5</v>
      </c>
      <c r="F7" s="103" t="s">
        <v>345</v>
      </c>
      <c r="G7" s="103" t="s">
        <v>346</v>
      </c>
      <c r="H7" s="103" t="s">
        <v>213</v>
      </c>
      <c r="I7" s="103">
        <v>1</v>
      </c>
      <c r="J7" s="139">
        <v>4.95</v>
      </c>
      <c r="K7" s="106" t="s">
        <v>1911</v>
      </c>
      <c r="L7" s="105" t="s">
        <v>2530</v>
      </c>
      <c r="M7" s="105">
        <f t="shared" si="0"/>
        <v>24.75</v>
      </c>
    </row>
    <row r="8" spans="1:16384" x14ac:dyDescent="0.3">
      <c r="A8" s="103" t="s">
        <v>897</v>
      </c>
      <c r="B8" s="102" t="s">
        <v>1617</v>
      </c>
      <c r="C8" s="103" t="s">
        <v>1898</v>
      </c>
      <c r="D8" s="103" t="s">
        <v>2155</v>
      </c>
      <c r="E8" s="103">
        <v>0</v>
      </c>
      <c r="F8" s="103"/>
      <c r="G8" s="103"/>
      <c r="H8" s="102" t="s">
        <v>2156</v>
      </c>
      <c r="J8" s="140">
        <v>4.95</v>
      </c>
      <c r="K8" s="107" t="s">
        <v>1910</v>
      </c>
    </row>
    <row r="9" spans="1:16384" x14ac:dyDescent="0.3">
      <c r="A9" s="103" t="s">
        <v>895</v>
      </c>
      <c r="B9" s="102" t="s">
        <v>16</v>
      </c>
      <c r="C9" s="103" t="s">
        <v>1898</v>
      </c>
      <c r="D9" s="103" t="s">
        <v>2360</v>
      </c>
      <c r="E9" s="103">
        <v>0</v>
      </c>
      <c r="F9" s="103"/>
      <c r="G9" s="103"/>
      <c r="H9" s="102" t="s">
        <v>2361</v>
      </c>
      <c r="J9" s="140">
        <v>14.95</v>
      </c>
      <c r="K9" s="107" t="s">
        <v>1910</v>
      </c>
    </row>
    <row r="10" spans="1:16384" x14ac:dyDescent="0.3">
      <c r="A10" s="103" t="s">
        <v>895</v>
      </c>
      <c r="B10" s="102" t="s">
        <v>16</v>
      </c>
      <c r="C10" s="103" t="s">
        <v>1898</v>
      </c>
      <c r="D10" s="103" t="s">
        <v>2362</v>
      </c>
      <c r="E10" s="103">
        <v>0</v>
      </c>
      <c r="F10" s="103"/>
      <c r="G10" s="103"/>
      <c r="H10" s="102" t="s">
        <v>2363</v>
      </c>
      <c r="J10" s="140">
        <v>3.75</v>
      </c>
      <c r="K10" s="107" t="s">
        <v>1910</v>
      </c>
    </row>
    <row r="11" spans="1:16384" x14ac:dyDescent="0.3">
      <c r="A11" s="102" t="s">
        <v>895</v>
      </c>
      <c r="B11" s="102" t="s">
        <v>899</v>
      </c>
      <c r="C11" s="102" t="s">
        <v>8</v>
      </c>
      <c r="D11" s="103" t="s">
        <v>236</v>
      </c>
      <c r="E11" s="103">
        <v>15</v>
      </c>
      <c r="F11" s="103" t="s">
        <v>237</v>
      </c>
      <c r="G11" s="103" t="s">
        <v>238</v>
      </c>
      <c r="H11" s="103" t="s">
        <v>239</v>
      </c>
      <c r="I11" s="103"/>
      <c r="J11" s="139">
        <v>1.5</v>
      </c>
      <c r="K11" s="106" t="s">
        <v>1911</v>
      </c>
      <c r="L11" s="103"/>
      <c r="M11" s="103">
        <v>22.5</v>
      </c>
    </row>
    <row r="12" spans="1:16384" x14ac:dyDescent="0.3">
      <c r="A12" s="102" t="s">
        <v>895</v>
      </c>
      <c r="B12" s="102" t="s">
        <v>899</v>
      </c>
      <c r="C12" s="102" t="s">
        <v>8</v>
      </c>
      <c r="D12" s="103" t="s">
        <v>240</v>
      </c>
      <c r="E12" s="103">
        <v>1</v>
      </c>
      <c r="F12" s="103" t="s">
        <v>241</v>
      </c>
      <c r="G12" s="103" t="s">
        <v>242</v>
      </c>
      <c r="H12" s="103" t="s">
        <v>243</v>
      </c>
      <c r="I12" s="103">
        <v>1</v>
      </c>
      <c r="J12" s="139">
        <v>14.95</v>
      </c>
      <c r="K12" s="106" t="s">
        <v>1912</v>
      </c>
      <c r="M12" s="105">
        <v>14.95</v>
      </c>
    </row>
    <row r="13" spans="1:16384" x14ac:dyDescent="0.3">
      <c r="A13" s="102" t="s">
        <v>895</v>
      </c>
      <c r="B13" s="102" t="s">
        <v>899</v>
      </c>
      <c r="C13" s="102" t="s">
        <v>8</v>
      </c>
      <c r="D13" s="103" t="s">
        <v>363</v>
      </c>
      <c r="E13" s="103">
        <v>0</v>
      </c>
      <c r="F13" s="103" t="s">
        <v>364</v>
      </c>
      <c r="G13" s="103" t="s">
        <v>365</v>
      </c>
      <c r="H13" s="103" t="s">
        <v>366</v>
      </c>
      <c r="I13" s="103">
        <v>1</v>
      </c>
      <c r="J13" s="139">
        <v>2.95</v>
      </c>
      <c r="K13" s="106" t="s">
        <v>2487</v>
      </c>
      <c r="L13" s="103"/>
      <c r="M13" s="103">
        <v>0</v>
      </c>
    </row>
    <row r="14" spans="1:16384" x14ac:dyDescent="0.3">
      <c r="A14" s="102" t="s">
        <v>895</v>
      </c>
      <c r="B14" s="102" t="s">
        <v>899</v>
      </c>
      <c r="C14" s="102" t="s">
        <v>8</v>
      </c>
      <c r="D14" s="103" t="s">
        <v>1185</v>
      </c>
      <c r="E14" s="103">
        <v>0</v>
      </c>
      <c r="F14" s="103" t="s">
        <v>1186</v>
      </c>
      <c r="G14" s="103" t="s">
        <v>1187</v>
      </c>
      <c r="H14" s="103" t="s">
        <v>1188</v>
      </c>
      <c r="I14" s="103">
        <v>1</v>
      </c>
      <c r="J14" s="139">
        <v>9.9499999999999993</v>
      </c>
      <c r="K14" s="106" t="s">
        <v>2487</v>
      </c>
      <c r="L14" s="103"/>
      <c r="M14" s="103">
        <v>0</v>
      </c>
    </row>
    <row r="15" spans="1:16384" x14ac:dyDescent="0.3">
      <c r="A15" s="102" t="s">
        <v>895</v>
      </c>
      <c r="B15" s="102" t="s">
        <v>899</v>
      </c>
      <c r="C15" s="102" t="s">
        <v>8</v>
      </c>
      <c r="D15" s="103" t="s">
        <v>1189</v>
      </c>
      <c r="E15" s="103">
        <v>1</v>
      </c>
      <c r="F15" s="103" t="s">
        <v>1190</v>
      </c>
      <c r="G15" s="103" t="s">
        <v>1191</v>
      </c>
      <c r="H15" s="103" t="s">
        <v>1192</v>
      </c>
      <c r="I15" s="103">
        <v>1</v>
      </c>
      <c r="J15" s="139">
        <v>14.95</v>
      </c>
      <c r="K15" s="106" t="s">
        <v>1912</v>
      </c>
      <c r="M15" s="105">
        <v>14.95</v>
      </c>
    </row>
    <row r="16" spans="1:16384" x14ac:dyDescent="0.3">
      <c r="A16" s="102" t="s">
        <v>895</v>
      </c>
      <c r="B16" s="102" t="s">
        <v>899</v>
      </c>
      <c r="C16" s="102" t="s">
        <v>8</v>
      </c>
      <c r="D16" s="103" t="s">
        <v>1827</v>
      </c>
      <c r="E16" s="103">
        <v>0</v>
      </c>
      <c r="F16" s="103" t="s">
        <v>1828</v>
      </c>
      <c r="G16" s="103" t="s">
        <v>1829</v>
      </c>
      <c r="H16" s="103" t="s">
        <v>1830</v>
      </c>
      <c r="I16" s="103">
        <v>1</v>
      </c>
      <c r="J16" s="139">
        <v>39.950000000000003</v>
      </c>
      <c r="K16" s="106" t="s">
        <v>2487</v>
      </c>
    </row>
    <row r="17" spans="1:13" x14ac:dyDescent="0.3">
      <c r="A17" s="102" t="s">
        <v>895</v>
      </c>
      <c r="B17" s="102" t="s">
        <v>899</v>
      </c>
      <c r="C17" s="102" t="s">
        <v>8</v>
      </c>
      <c r="D17" s="103" t="s">
        <v>1787</v>
      </c>
      <c r="E17" s="103">
        <v>0</v>
      </c>
      <c r="F17" s="103" t="s">
        <v>1788</v>
      </c>
      <c r="G17" s="103" t="s">
        <v>1789</v>
      </c>
      <c r="H17" s="103" t="s">
        <v>1790</v>
      </c>
      <c r="I17" s="103">
        <v>1</v>
      </c>
      <c r="J17" s="139">
        <v>14.95</v>
      </c>
      <c r="K17" s="106" t="s">
        <v>2487</v>
      </c>
    </row>
    <row r="18" spans="1:13" x14ac:dyDescent="0.3">
      <c r="A18" s="102" t="s">
        <v>895</v>
      </c>
      <c r="B18" s="102" t="s">
        <v>899</v>
      </c>
      <c r="C18" s="102" t="s">
        <v>8</v>
      </c>
      <c r="D18" s="103" t="s">
        <v>272</v>
      </c>
      <c r="E18" s="103">
        <v>10</v>
      </c>
      <c r="F18" s="103" t="s">
        <v>273</v>
      </c>
      <c r="G18" s="103" t="s">
        <v>274</v>
      </c>
      <c r="H18" s="103" t="s">
        <v>275</v>
      </c>
      <c r="I18" s="103"/>
      <c r="J18" s="139">
        <v>0.95</v>
      </c>
      <c r="K18" s="106" t="s">
        <v>1911</v>
      </c>
      <c r="M18" s="105">
        <v>9.5</v>
      </c>
    </row>
    <row r="19" spans="1:13" x14ac:dyDescent="0.3">
      <c r="A19" s="102" t="s">
        <v>895</v>
      </c>
      <c r="B19" s="102" t="s">
        <v>899</v>
      </c>
      <c r="C19" s="102" t="s">
        <v>8</v>
      </c>
      <c r="D19" s="103" t="s">
        <v>276</v>
      </c>
      <c r="E19" s="103">
        <v>5</v>
      </c>
      <c r="F19" s="103" t="s">
        <v>277</v>
      </c>
      <c r="G19" s="103" t="s">
        <v>278</v>
      </c>
      <c r="H19" s="103" t="s">
        <v>279</v>
      </c>
      <c r="I19" s="103"/>
      <c r="J19" s="139">
        <v>1.5</v>
      </c>
      <c r="K19" s="106" t="s">
        <v>1911</v>
      </c>
      <c r="M19" s="105">
        <v>7.5</v>
      </c>
    </row>
    <row r="20" spans="1:13" x14ac:dyDescent="0.3">
      <c r="A20" s="102" t="s">
        <v>895</v>
      </c>
      <c r="B20" s="102" t="s">
        <v>899</v>
      </c>
      <c r="C20" s="102" t="s">
        <v>8</v>
      </c>
      <c r="D20" s="103" t="s">
        <v>268</v>
      </c>
      <c r="E20" s="103">
        <v>5</v>
      </c>
      <c r="F20" s="103" t="s">
        <v>269</v>
      </c>
      <c r="G20" s="103" t="s">
        <v>270</v>
      </c>
      <c r="H20" s="103" t="s">
        <v>271</v>
      </c>
      <c r="I20" s="103"/>
      <c r="J20" s="139">
        <v>1.5</v>
      </c>
      <c r="K20" s="106" t="s">
        <v>1911</v>
      </c>
      <c r="M20" s="105">
        <v>7.5</v>
      </c>
    </row>
    <row r="21" spans="1:13" x14ac:dyDescent="0.3">
      <c r="A21" s="102" t="s">
        <v>895</v>
      </c>
      <c r="B21" s="102" t="s">
        <v>899</v>
      </c>
      <c r="C21" s="102" t="s">
        <v>8</v>
      </c>
      <c r="D21" s="103" t="s">
        <v>1823</v>
      </c>
      <c r="E21" s="103">
        <v>1</v>
      </c>
      <c r="F21" s="103" t="s">
        <v>1824</v>
      </c>
      <c r="G21" s="103" t="s">
        <v>1825</v>
      </c>
      <c r="H21" s="103" t="s">
        <v>1826</v>
      </c>
      <c r="I21" s="103"/>
      <c r="J21" s="139">
        <v>1.95</v>
      </c>
      <c r="K21" s="106" t="s">
        <v>1910</v>
      </c>
    </row>
    <row r="22" spans="1:13" x14ac:dyDescent="0.3">
      <c r="A22" s="102" t="s">
        <v>895</v>
      </c>
      <c r="B22" s="102" t="s">
        <v>899</v>
      </c>
      <c r="C22" s="102" t="s">
        <v>8</v>
      </c>
      <c r="D22" s="103" t="s">
        <v>735</v>
      </c>
      <c r="E22" s="103">
        <v>2</v>
      </c>
      <c r="F22" s="103" t="s">
        <v>736</v>
      </c>
      <c r="G22" s="103" t="s">
        <v>737</v>
      </c>
      <c r="H22" s="103" t="s">
        <v>738</v>
      </c>
      <c r="I22" s="103"/>
      <c r="J22" s="139">
        <v>2.95</v>
      </c>
      <c r="K22" s="106" t="s">
        <v>1912</v>
      </c>
      <c r="L22" s="103"/>
      <c r="M22" s="103">
        <v>5.9</v>
      </c>
    </row>
    <row r="23" spans="1:13" x14ac:dyDescent="0.3">
      <c r="A23" s="102" t="s">
        <v>895</v>
      </c>
      <c r="B23" s="102" t="s">
        <v>899</v>
      </c>
      <c r="C23" s="102" t="s">
        <v>8</v>
      </c>
      <c r="D23" s="103" t="s">
        <v>1807</v>
      </c>
      <c r="E23" s="103">
        <v>1</v>
      </c>
      <c r="F23" s="103" t="s">
        <v>1808</v>
      </c>
      <c r="G23" s="103" t="s">
        <v>1809</v>
      </c>
      <c r="H23" s="103" t="s">
        <v>1810</v>
      </c>
      <c r="I23" s="103"/>
      <c r="J23" s="139">
        <v>2.95</v>
      </c>
      <c r="K23" s="106" t="s">
        <v>1910</v>
      </c>
      <c r="L23" s="103"/>
      <c r="M23" s="103"/>
    </row>
    <row r="24" spans="1:13" x14ac:dyDescent="0.3">
      <c r="A24" s="102" t="s">
        <v>895</v>
      </c>
      <c r="B24" s="102" t="s">
        <v>1607</v>
      </c>
      <c r="C24" s="102" t="s">
        <v>8</v>
      </c>
      <c r="D24" s="103" t="s">
        <v>1108</v>
      </c>
      <c r="E24" s="103">
        <v>1</v>
      </c>
      <c r="F24" s="103" t="s">
        <v>1109</v>
      </c>
      <c r="G24" s="103" t="s">
        <v>1110</v>
      </c>
      <c r="H24" s="103" t="s">
        <v>1111</v>
      </c>
      <c r="I24" s="103"/>
      <c r="J24" s="139">
        <v>24.95</v>
      </c>
      <c r="K24" s="106" t="s">
        <v>1910</v>
      </c>
      <c r="M24" s="105">
        <f>E24*J24</f>
        <v>24.95</v>
      </c>
    </row>
    <row r="25" spans="1:13" x14ac:dyDescent="0.3">
      <c r="A25" s="102" t="s">
        <v>895</v>
      </c>
      <c r="B25" s="102" t="s">
        <v>1607</v>
      </c>
      <c r="C25" s="102" t="s">
        <v>8</v>
      </c>
      <c r="D25" s="103" t="s">
        <v>493</v>
      </c>
      <c r="E25" s="103">
        <v>5</v>
      </c>
      <c r="F25" s="103" t="s">
        <v>494</v>
      </c>
      <c r="G25" s="103" t="s">
        <v>495</v>
      </c>
      <c r="H25" s="103" t="s">
        <v>218</v>
      </c>
      <c r="I25" s="103">
        <v>1</v>
      </c>
      <c r="J25" s="139">
        <v>4.95</v>
      </c>
      <c r="K25" s="106" t="s">
        <v>1910</v>
      </c>
      <c r="M25" s="105">
        <f>E25*J25</f>
        <v>24.75</v>
      </c>
    </row>
    <row r="26" spans="1:13" x14ac:dyDescent="0.3">
      <c r="A26" s="103" t="s">
        <v>895</v>
      </c>
      <c r="B26" s="103" t="s">
        <v>1607</v>
      </c>
      <c r="C26" s="103" t="s">
        <v>1898</v>
      </c>
      <c r="D26" s="103" t="s">
        <v>2364</v>
      </c>
      <c r="E26" s="103">
        <v>0</v>
      </c>
      <c r="F26" s="103"/>
      <c r="G26" s="103"/>
      <c r="H26" s="102" t="s">
        <v>2365</v>
      </c>
      <c r="J26" s="140">
        <v>6.95</v>
      </c>
      <c r="K26" s="107" t="s">
        <v>1910</v>
      </c>
    </row>
    <row r="27" spans="1:13" x14ac:dyDescent="0.3">
      <c r="A27" s="102" t="s">
        <v>895</v>
      </c>
      <c r="B27" s="102" t="s">
        <v>1607</v>
      </c>
      <c r="C27" s="102" t="s">
        <v>8</v>
      </c>
      <c r="D27" s="103" t="s">
        <v>496</v>
      </c>
      <c r="E27" s="103">
        <v>8</v>
      </c>
      <c r="F27" s="103" t="s">
        <v>497</v>
      </c>
      <c r="G27" s="103" t="s">
        <v>498</v>
      </c>
      <c r="H27" s="103" t="s">
        <v>214</v>
      </c>
      <c r="I27" s="103">
        <v>1</v>
      </c>
      <c r="J27" s="139">
        <v>4.95</v>
      </c>
      <c r="K27" s="106" t="s">
        <v>1910</v>
      </c>
      <c r="M27" s="105">
        <f>E27*J27</f>
        <v>39.6</v>
      </c>
    </row>
    <row r="28" spans="1:13" x14ac:dyDescent="0.3">
      <c r="A28" s="103" t="s">
        <v>895</v>
      </c>
      <c r="B28" s="103" t="s">
        <v>1607</v>
      </c>
      <c r="C28" s="103" t="s">
        <v>1898</v>
      </c>
      <c r="D28" s="103" t="s">
        <v>2356</v>
      </c>
      <c r="E28" s="103">
        <v>0</v>
      </c>
      <c r="F28" s="103"/>
      <c r="G28" s="103"/>
      <c r="H28" s="102" t="s">
        <v>2357</v>
      </c>
      <c r="J28" s="140">
        <v>9.9499999999999993</v>
      </c>
      <c r="K28" s="107" t="s">
        <v>1910</v>
      </c>
    </row>
    <row r="29" spans="1:13" x14ac:dyDescent="0.3">
      <c r="A29" s="103" t="s">
        <v>895</v>
      </c>
      <c r="B29" s="103" t="s">
        <v>1607</v>
      </c>
      <c r="C29" s="103" t="s">
        <v>1898</v>
      </c>
      <c r="D29" s="103" t="s">
        <v>2358</v>
      </c>
      <c r="E29" s="103">
        <v>0</v>
      </c>
      <c r="F29" s="103"/>
      <c r="G29" s="103"/>
      <c r="H29" s="102" t="s">
        <v>2359</v>
      </c>
      <c r="J29" s="140">
        <v>5.95</v>
      </c>
      <c r="K29" s="107" t="s">
        <v>1910</v>
      </c>
    </row>
    <row r="30" spans="1:13" x14ac:dyDescent="0.3">
      <c r="A30" s="102" t="s">
        <v>895</v>
      </c>
      <c r="B30" s="102" t="s">
        <v>2041</v>
      </c>
      <c r="C30" s="102" t="s">
        <v>8</v>
      </c>
      <c r="D30" s="103" t="s">
        <v>1503</v>
      </c>
      <c r="E30" s="103">
        <v>0</v>
      </c>
      <c r="F30" s="103" t="s">
        <v>1504</v>
      </c>
      <c r="G30" s="103" t="s">
        <v>1505</v>
      </c>
      <c r="H30" s="103" t="s">
        <v>1506</v>
      </c>
      <c r="I30" s="103">
        <v>1</v>
      </c>
      <c r="J30" s="139">
        <v>2.95</v>
      </c>
      <c r="K30" s="106" t="s">
        <v>1910</v>
      </c>
      <c r="M30" s="105">
        <f>E30*J30</f>
        <v>0</v>
      </c>
    </row>
    <row r="31" spans="1:13" x14ac:dyDescent="0.3">
      <c r="A31" s="102" t="s">
        <v>895</v>
      </c>
      <c r="B31" s="102" t="s">
        <v>2041</v>
      </c>
      <c r="C31" s="102" t="s">
        <v>8</v>
      </c>
      <c r="D31" s="103" t="s">
        <v>1515</v>
      </c>
      <c r="E31" s="103">
        <v>0</v>
      </c>
      <c r="F31" s="103" t="s">
        <v>1516</v>
      </c>
      <c r="G31" s="103" t="s">
        <v>1517</v>
      </c>
      <c r="H31" s="103" t="s">
        <v>1518</v>
      </c>
      <c r="I31" s="103"/>
      <c r="J31" s="139">
        <v>2.95</v>
      </c>
      <c r="K31" s="106" t="s">
        <v>1910</v>
      </c>
      <c r="M31" s="105">
        <f>E31*J31</f>
        <v>0</v>
      </c>
    </row>
    <row r="32" spans="1:13" x14ac:dyDescent="0.3">
      <c r="A32" s="103" t="s">
        <v>895</v>
      </c>
      <c r="B32" s="103" t="s">
        <v>2041</v>
      </c>
      <c r="C32" s="103" t="s">
        <v>1898</v>
      </c>
      <c r="D32" s="103" t="s">
        <v>2370</v>
      </c>
      <c r="E32" s="103">
        <v>0</v>
      </c>
      <c r="F32" s="103"/>
      <c r="G32" s="103"/>
      <c r="H32" s="102" t="s">
        <v>2371</v>
      </c>
      <c r="J32" s="140">
        <v>2.5</v>
      </c>
      <c r="K32" s="107" t="s">
        <v>1910</v>
      </c>
    </row>
    <row r="33" spans="1:13" x14ac:dyDescent="0.3">
      <c r="A33" s="103" t="s">
        <v>895</v>
      </c>
      <c r="B33" s="103" t="s">
        <v>2041</v>
      </c>
      <c r="C33" s="103" t="s">
        <v>1898</v>
      </c>
      <c r="D33" s="103" t="s">
        <v>2366</v>
      </c>
      <c r="E33" s="103">
        <v>5</v>
      </c>
      <c r="F33" s="103"/>
      <c r="G33" s="103"/>
      <c r="H33" s="102" t="s">
        <v>2367</v>
      </c>
      <c r="J33" s="140">
        <v>2.95</v>
      </c>
      <c r="K33" s="107" t="s">
        <v>1910</v>
      </c>
    </row>
    <row r="34" spans="1:13" x14ac:dyDescent="0.3">
      <c r="A34" s="102" t="s">
        <v>895</v>
      </c>
      <c r="B34" s="102" t="s">
        <v>2041</v>
      </c>
      <c r="C34" s="102" t="s">
        <v>8</v>
      </c>
      <c r="D34" s="103" t="s">
        <v>244</v>
      </c>
      <c r="E34" s="103">
        <v>1</v>
      </c>
      <c r="F34" s="103" t="s">
        <v>245</v>
      </c>
      <c r="G34" s="103" t="s">
        <v>246</v>
      </c>
      <c r="H34" s="103" t="s">
        <v>247</v>
      </c>
      <c r="I34" s="103"/>
      <c r="J34" s="139">
        <v>9.9499999999999993</v>
      </c>
      <c r="K34" s="106" t="s">
        <v>1910</v>
      </c>
      <c r="M34" s="105">
        <f>E34*J34</f>
        <v>9.9499999999999993</v>
      </c>
    </row>
    <row r="35" spans="1:13" x14ac:dyDescent="0.3">
      <c r="A35" s="103" t="s">
        <v>895</v>
      </c>
      <c r="B35" s="103" t="s">
        <v>2041</v>
      </c>
      <c r="C35" s="103" t="s">
        <v>1898</v>
      </c>
      <c r="D35" s="103" t="s">
        <v>2368</v>
      </c>
      <c r="E35" s="103">
        <v>0</v>
      </c>
      <c r="F35" s="103"/>
      <c r="G35" s="103"/>
      <c r="H35" s="102" t="s">
        <v>2369</v>
      </c>
      <c r="J35" s="140">
        <v>2.95</v>
      </c>
      <c r="K35" s="107" t="s">
        <v>1910</v>
      </c>
    </row>
    <row r="36" spans="1:13" x14ac:dyDescent="0.3">
      <c r="A36" s="102" t="s">
        <v>895</v>
      </c>
      <c r="B36" s="102" t="s">
        <v>2041</v>
      </c>
      <c r="C36" s="102" t="s">
        <v>8</v>
      </c>
      <c r="D36" s="103" t="s">
        <v>252</v>
      </c>
      <c r="E36" s="103">
        <v>1</v>
      </c>
      <c r="F36" s="103" t="s">
        <v>253</v>
      </c>
      <c r="G36" s="103" t="s">
        <v>254</v>
      </c>
      <c r="H36" s="103" t="s">
        <v>255</v>
      </c>
      <c r="I36" s="103"/>
      <c r="J36" s="139">
        <v>6.97</v>
      </c>
      <c r="K36" s="106" t="s">
        <v>1910</v>
      </c>
      <c r="M36" s="105">
        <f t="shared" ref="M36:M41" si="1">E36*J36</f>
        <v>6.97</v>
      </c>
    </row>
    <row r="37" spans="1:13" x14ac:dyDescent="0.3">
      <c r="A37" s="102" t="s">
        <v>895</v>
      </c>
      <c r="B37" s="102" t="s">
        <v>1604</v>
      </c>
      <c r="C37" s="102" t="s">
        <v>8</v>
      </c>
      <c r="D37" s="103" t="s">
        <v>280</v>
      </c>
      <c r="E37" s="103">
        <v>5</v>
      </c>
      <c r="F37" s="103" t="s">
        <v>281</v>
      </c>
      <c r="G37" s="103" t="s">
        <v>282</v>
      </c>
      <c r="H37" s="103" t="s">
        <v>224</v>
      </c>
      <c r="I37" s="103"/>
      <c r="J37" s="139">
        <v>6.95</v>
      </c>
      <c r="K37" s="106" t="s">
        <v>1911</v>
      </c>
      <c r="M37" s="105">
        <f t="shared" si="1"/>
        <v>34.75</v>
      </c>
    </row>
    <row r="38" spans="1:13" x14ac:dyDescent="0.3">
      <c r="A38" s="102" t="s">
        <v>895</v>
      </c>
      <c r="B38" s="102" t="s">
        <v>1604</v>
      </c>
      <c r="C38" s="102" t="s">
        <v>8</v>
      </c>
      <c r="D38" s="103" t="s">
        <v>283</v>
      </c>
      <c r="E38" s="103">
        <v>5</v>
      </c>
      <c r="F38" s="103" t="s">
        <v>284</v>
      </c>
      <c r="G38" s="103" t="s">
        <v>285</v>
      </c>
      <c r="H38" s="103" t="s">
        <v>210</v>
      </c>
      <c r="I38" s="103">
        <v>1</v>
      </c>
      <c r="J38" s="139">
        <v>12.95</v>
      </c>
      <c r="K38" s="106" t="s">
        <v>1911</v>
      </c>
      <c r="M38" s="105">
        <f t="shared" si="1"/>
        <v>64.75</v>
      </c>
    </row>
    <row r="39" spans="1:13" x14ac:dyDescent="0.3">
      <c r="A39" s="102" t="s">
        <v>895</v>
      </c>
      <c r="B39" s="117" t="s">
        <v>1604</v>
      </c>
      <c r="C39" s="117" t="s">
        <v>8</v>
      </c>
      <c r="D39" s="103" t="s">
        <v>929</v>
      </c>
      <c r="E39" s="103">
        <v>0</v>
      </c>
      <c r="F39" s="103" t="s">
        <v>930</v>
      </c>
      <c r="G39" s="103" t="s">
        <v>931</v>
      </c>
      <c r="H39" s="103" t="s">
        <v>932</v>
      </c>
      <c r="I39" s="103">
        <v>1</v>
      </c>
      <c r="J39" s="139">
        <v>14.95</v>
      </c>
      <c r="K39" s="106" t="s">
        <v>1910</v>
      </c>
      <c r="M39" s="105">
        <f t="shared" si="1"/>
        <v>0</v>
      </c>
    </row>
    <row r="40" spans="1:13" x14ac:dyDescent="0.3">
      <c r="A40" s="102" t="s">
        <v>895</v>
      </c>
      <c r="B40" s="117" t="s">
        <v>1604</v>
      </c>
      <c r="C40" s="117" t="s">
        <v>8</v>
      </c>
      <c r="D40" s="103" t="s">
        <v>1015</v>
      </c>
      <c r="E40" s="103">
        <v>1</v>
      </c>
      <c r="F40" s="103" t="s">
        <v>1016</v>
      </c>
      <c r="G40" s="103" t="s">
        <v>1017</v>
      </c>
      <c r="H40" s="103" t="s">
        <v>1018</v>
      </c>
      <c r="I40" s="103">
        <v>1</v>
      </c>
      <c r="J40" s="139">
        <v>11.95</v>
      </c>
      <c r="K40" s="106" t="s">
        <v>1910</v>
      </c>
      <c r="M40" s="105">
        <f t="shared" si="1"/>
        <v>11.95</v>
      </c>
    </row>
    <row r="41" spans="1:13" x14ac:dyDescent="0.3">
      <c r="A41" s="102" t="s">
        <v>895</v>
      </c>
      <c r="B41" s="102" t="s">
        <v>1604</v>
      </c>
      <c r="C41" s="102" t="s">
        <v>8</v>
      </c>
      <c r="D41" s="103" t="s">
        <v>1015</v>
      </c>
      <c r="E41" s="103">
        <v>1</v>
      </c>
      <c r="F41" s="103" t="s">
        <v>1020</v>
      </c>
      <c r="G41" s="103" t="s">
        <v>1021</v>
      </c>
      <c r="H41" s="103" t="s">
        <v>1022</v>
      </c>
      <c r="I41" s="103">
        <v>1</v>
      </c>
      <c r="J41" s="139">
        <v>19.95</v>
      </c>
      <c r="K41" s="106" t="s">
        <v>1910</v>
      </c>
      <c r="M41" s="105">
        <f t="shared" si="1"/>
        <v>19.95</v>
      </c>
    </row>
    <row r="42" spans="1:13" x14ac:dyDescent="0.3">
      <c r="A42" s="102">
        <f>COUNTA(A2:A41)</f>
        <v>40</v>
      </c>
      <c r="D42" s="103"/>
      <c r="E42" s="103">
        <f>SUM(E4:E27)</f>
        <v>75</v>
      </c>
      <c r="F42" s="103"/>
      <c r="G42" s="103"/>
      <c r="H42" s="103"/>
      <c r="I42" s="103"/>
      <c r="J42" s="139">
        <f>AVERAGE(J4:J27)</f>
        <v>8.1291666666666629</v>
      </c>
      <c r="K42" s="106"/>
      <c r="M42" s="105">
        <f>SUM(M4:M27)</f>
        <v>250.6</v>
      </c>
    </row>
    <row r="43" spans="1:13" x14ac:dyDescent="0.3">
      <c r="D43" s="103"/>
      <c r="E43" s="103"/>
      <c r="F43" s="103"/>
      <c r="G43" s="103"/>
      <c r="H43" s="103"/>
      <c r="I43" s="103"/>
      <c r="J43" s="139"/>
      <c r="K43" s="106"/>
    </row>
    <row r="44" spans="1:13" x14ac:dyDescent="0.3">
      <c r="D44" s="103"/>
      <c r="E44" s="103"/>
      <c r="F44" s="103"/>
      <c r="G44" s="103"/>
      <c r="H44" s="103"/>
      <c r="I44" s="103"/>
      <c r="J44" s="139"/>
      <c r="K44" s="106"/>
    </row>
    <row r="45" spans="1:13" x14ac:dyDescent="0.3">
      <c r="D45" s="103"/>
      <c r="E45" s="103"/>
      <c r="F45" s="103"/>
      <c r="G45" s="103"/>
      <c r="H45" s="103"/>
      <c r="I45" s="103"/>
      <c r="J45" s="139"/>
      <c r="K45" s="106"/>
    </row>
    <row r="48" spans="1:13" x14ac:dyDescent="0.3">
      <c r="D48" s="103"/>
      <c r="E48" s="103"/>
      <c r="F48" s="103"/>
      <c r="G48" s="103"/>
      <c r="H48" s="103"/>
      <c r="I48" s="103"/>
      <c r="J48" s="139"/>
      <c r="K48" s="106"/>
    </row>
    <row r="49" spans="4:11" x14ac:dyDescent="0.3">
      <c r="D49" s="103"/>
      <c r="E49" s="103"/>
      <c r="F49" s="103"/>
      <c r="G49" s="103"/>
      <c r="H49" s="103"/>
      <c r="I49" s="103"/>
      <c r="J49" s="139"/>
      <c r="K49" s="106"/>
    </row>
    <row r="50" spans="4:11" x14ac:dyDescent="0.3">
      <c r="D50" s="103"/>
      <c r="E50" s="103"/>
      <c r="F50" s="103"/>
      <c r="G50" s="103"/>
      <c r="H50" s="103"/>
      <c r="I50" s="103"/>
      <c r="J50" s="139"/>
      <c r="K50" s="106"/>
    </row>
    <row r="51" spans="4:11" x14ac:dyDescent="0.3">
      <c r="D51" s="103"/>
      <c r="E51" s="103"/>
      <c r="F51" s="103"/>
      <c r="G51" s="103"/>
      <c r="H51" s="103"/>
      <c r="I51" s="103"/>
      <c r="J51" s="139"/>
      <c r="K51" s="106"/>
    </row>
    <row r="52" spans="4:11" x14ac:dyDescent="0.3">
      <c r="D52" s="103"/>
      <c r="E52" s="103"/>
      <c r="F52" s="103"/>
      <c r="G52" s="103"/>
      <c r="H52" s="103"/>
      <c r="I52" s="103"/>
      <c r="J52" s="139"/>
      <c r="K52" s="106"/>
    </row>
    <row r="53" spans="4:11" x14ac:dyDescent="0.3">
      <c r="D53" s="103"/>
      <c r="E53" s="103"/>
      <c r="F53" s="103"/>
      <c r="G53" s="103"/>
      <c r="H53" s="103"/>
      <c r="I53" s="103"/>
      <c r="J53" s="139"/>
      <c r="K53" s="106"/>
    </row>
    <row r="54" spans="4:11" x14ac:dyDescent="0.3">
      <c r="D54" s="103"/>
      <c r="E54" s="103"/>
      <c r="F54" s="103"/>
      <c r="G54" s="103"/>
      <c r="H54" s="103"/>
      <c r="I54" s="103"/>
      <c r="J54" s="139"/>
      <c r="K54" s="106"/>
    </row>
    <row r="55" spans="4:11" x14ac:dyDescent="0.3">
      <c r="D55" s="103"/>
      <c r="E55" s="103"/>
      <c r="F55" s="103"/>
      <c r="G55" s="103"/>
      <c r="H55" s="103"/>
      <c r="I55" s="103"/>
      <c r="J55" s="139"/>
      <c r="K55" s="106"/>
    </row>
    <row r="56" spans="4:11" x14ac:dyDescent="0.3">
      <c r="D56" s="103"/>
      <c r="E56" s="103"/>
      <c r="F56" s="103"/>
      <c r="G56" s="103"/>
      <c r="H56" s="103"/>
      <c r="I56" s="103"/>
      <c r="J56" s="139"/>
      <c r="K56" s="106"/>
    </row>
    <row r="57" spans="4:11" x14ac:dyDescent="0.3">
      <c r="D57" s="103"/>
      <c r="E57" s="103"/>
      <c r="F57" s="103"/>
      <c r="G57" s="103"/>
      <c r="H57" s="103"/>
      <c r="I57" s="103"/>
      <c r="J57" s="139"/>
      <c r="K57" s="106"/>
    </row>
    <row r="58" spans="4:11" x14ac:dyDescent="0.3">
      <c r="D58" s="103"/>
      <c r="E58" s="103"/>
      <c r="F58" s="103"/>
      <c r="G58" s="103"/>
      <c r="H58" s="103"/>
      <c r="I58" s="103"/>
      <c r="J58" s="139"/>
      <c r="K58" s="106"/>
    </row>
    <row r="59" spans="4:11" x14ac:dyDescent="0.3">
      <c r="D59" s="103"/>
      <c r="E59" s="103"/>
      <c r="F59" s="103"/>
      <c r="G59" s="103"/>
      <c r="H59" s="103"/>
      <c r="I59" s="103"/>
      <c r="J59" s="139"/>
      <c r="K59" s="106"/>
    </row>
    <row r="60" spans="4:11" x14ac:dyDescent="0.3">
      <c r="D60" s="103"/>
      <c r="E60" s="103"/>
      <c r="F60" s="103"/>
      <c r="G60" s="103"/>
      <c r="H60" s="103"/>
      <c r="I60" s="103"/>
      <c r="J60" s="139"/>
      <c r="K60" s="106"/>
    </row>
    <row r="61" spans="4:11" x14ac:dyDescent="0.3">
      <c r="D61" s="103"/>
      <c r="E61" s="103"/>
      <c r="F61" s="103"/>
      <c r="G61" s="103"/>
      <c r="H61" s="103"/>
      <c r="I61" s="103"/>
      <c r="J61" s="139"/>
      <c r="K61" s="106"/>
    </row>
    <row r="62" spans="4:11" x14ac:dyDescent="0.3">
      <c r="D62" s="103"/>
      <c r="E62" s="103"/>
      <c r="F62" s="103"/>
      <c r="G62" s="103"/>
      <c r="H62" s="103"/>
      <c r="I62" s="103"/>
      <c r="J62" s="139"/>
      <c r="K62" s="106"/>
    </row>
    <row r="63" spans="4:11" x14ac:dyDescent="0.3">
      <c r="D63" s="103"/>
      <c r="E63" s="103"/>
      <c r="F63" s="103"/>
      <c r="G63" s="103"/>
      <c r="H63" s="103"/>
      <c r="I63" s="103"/>
      <c r="J63" s="139"/>
      <c r="K63" s="106"/>
    </row>
    <row r="64" spans="4:11" x14ac:dyDescent="0.3">
      <c r="D64" s="103"/>
      <c r="E64" s="103"/>
      <c r="F64" s="103"/>
      <c r="G64" s="103"/>
      <c r="H64" s="103"/>
      <c r="I64" s="103"/>
      <c r="J64" s="139"/>
      <c r="K64" s="106"/>
    </row>
    <row r="65" spans="4:11" x14ac:dyDescent="0.3">
      <c r="D65" s="103"/>
      <c r="E65" s="103"/>
      <c r="F65" s="103"/>
      <c r="G65" s="103"/>
      <c r="H65" s="103"/>
      <c r="I65" s="103"/>
      <c r="J65" s="139"/>
      <c r="K65" s="106"/>
    </row>
    <row r="66" spans="4:11" x14ac:dyDescent="0.3">
      <c r="D66" s="103"/>
      <c r="E66" s="103"/>
      <c r="F66" s="103"/>
      <c r="G66" s="103"/>
      <c r="H66" s="103"/>
      <c r="I66" s="103"/>
      <c r="J66" s="139"/>
      <c r="K66" s="106"/>
    </row>
    <row r="67" spans="4:11" x14ac:dyDescent="0.3">
      <c r="D67" s="103"/>
      <c r="E67" s="103"/>
      <c r="F67" s="103"/>
      <c r="G67" s="103"/>
      <c r="H67" s="103"/>
      <c r="I67" s="103"/>
      <c r="J67" s="139"/>
      <c r="K67" s="106"/>
    </row>
    <row r="68" spans="4:11" x14ac:dyDescent="0.3">
      <c r="D68" s="103"/>
      <c r="E68" s="103"/>
      <c r="F68" s="103"/>
      <c r="G68" s="103"/>
      <c r="H68" s="103"/>
      <c r="I68" s="103"/>
      <c r="J68" s="139"/>
      <c r="K68" s="106"/>
    </row>
    <row r="69" spans="4:11" x14ac:dyDescent="0.3">
      <c r="D69" s="103"/>
      <c r="E69" s="103"/>
      <c r="F69" s="103"/>
      <c r="G69" s="103"/>
      <c r="H69" s="103"/>
      <c r="I69" s="103"/>
      <c r="J69" s="139"/>
      <c r="K69" s="106"/>
    </row>
    <row r="70" spans="4:11" x14ac:dyDescent="0.3">
      <c r="D70" s="103"/>
      <c r="E70" s="103"/>
      <c r="F70" s="103"/>
      <c r="G70" s="103"/>
      <c r="H70" s="103"/>
      <c r="I70" s="103"/>
      <c r="J70" s="139"/>
      <c r="K70" s="106"/>
    </row>
    <row r="71" spans="4:11" x14ac:dyDescent="0.3">
      <c r="D71" s="103"/>
      <c r="E71" s="103"/>
      <c r="F71" s="103"/>
      <c r="G71" s="103"/>
      <c r="H71" s="103"/>
      <c r="I71" s="103"/>
      <c r="J71" s="139"/>
      <c r="K71" s="106"/>
    </row>
    <row r="72" spans="4:11" x14ac:dyDescent="0.3">
      <c r="D72" s="103"/>
      <c r="E72" s="103"/>
      <c r="F72" s="103"/>
      <c r="G72" s="103"/>
      <c r="H72" s="103"/>
      <c r="I72" s="103"/>
      <c r="J72" s="139"/>
      <c r="K72" s="106"/>
    </row>
    <row r="73" spans="4:11" x14ac:dyDescent="0.3">
      <c r="D73" s="103"/>
      <c r="E73" s="103"/>
      <c r="F73" s="103"/>
      <c r="G73" s="103"/>
      <c r="H73" s="103"/>
      <c r="I73" s="103"/>
      <c r="J73" s="139"/>
      <c r="K73" s="106"/>
    </row>
    <row r="74" spans="4:11" x14ac:dyDescent="0.3">
      <c r="D74" s="103"/>
      <c r="E74" s="103"/>
      <c r="F74" s="103"/>
      <c r="G74" s="103"/>
      <c r="H74" s="103"/>
      <c r="I74" s="103"/>
      <c r="J74" s="139"/>
      <c r="K74" s="106"/>
    </row>
    <row r="75" spans="4:11" x14ac:dyDescent="0.3">
      <c r="D75" s="103"/>
      <c r="E75" s="103"/>
      <c r="F75" s="103"/>
      <c r="G75" s="103"/>
      <c r="H75" s="103"/>
      <c r="I75" s="103"/>
      <c r="J75" s="139"/>
      <c r="K75" s="106"/>
    </row>
    <row r="76" spans="4:11" x14ac:dyDescent="0.3">
      <c r="D76" s="103"/>
      <c r="E76" s="103"/>
      <c r="F76" s="103"/>
      <c r="G76" s="103"/>
      <c r="H76" s="103"/>
      <c r="I76" s="103"/>
      <c r="J76" s="139"/>
      <c r="K76" s="106"/>
    </row>
    <row r="77" spans="4:11" x14ac:dyDescent="0.3">
      <c r="D77" s="103"/>
      <c r="E77" s="103"/>
      <c r="F77" s="103"/>
      <c r="G77" s="103"/>
      <c r="H77" s="103"/>
      <c r="I77" s="103"/>
      <c r="J77" s="139"/>
      <c r="K77" s="106"/>
    </row>
    <row r="78" spans="4:11" x14ac:dyDescent="0.3">
      <c r="D78" s="103"/>
      <c r="E78" s="103"/>
      <c r="F78" s="103"/>
      <c r="G78" s="103"/>
      <c r="H78" s="103"/>
      <c r="I78" s="103"/>
      <c r="J78" s="139"/>
      <c r="K78" s="106"/>
    </row>
    <row r="79" spans="4:11" x14ac:dyDescent="0.3">
      <c r="D79" s="103"/>
      <c r="E79" s="103"/>
      <c r="F79" s="103"/>
      <c r="G79" s="103"/>
      <c r="H79" s="103"/>
      <c r="I79" s="103"/>
      <c r="J79" s="139"/>
      <c r="K79" s="106"/>
    </row>
    <row r="80" spans="4:11" x14ac:dyDescent="0.3">
      <c r="D80" s="103"/>
      <c r="E80" s="103"/>
      <c r="F80" s="103"/>
      <c r="G80" s="103"/>
      <c r="H80" s="103"/>
      <c r="I80" s="103"/>
      <c r="J80" s="139"/>
      <c r="K80" s="106"/>
    </row>
    <row r="81" spans="4:11" x14ac:dyDescent="0.3">
      <c r="D81" s="103"/>
      <c r="E81" s="103"/>
      <c r="F81" s="103"/>
      <c r="G81" s="103"/>
      <c r="H81" s="103"/>
      <c r="I81" s="103"/>
      <c r="J81" s="139"/>
      <c r="K81" s="106"/>
    </row>
    <row r="82" spans="4:11" x14ac:dyDescent="0.3">
      <c r="D82" s="103"/>
      <c r="E82" s="103"/>
      <c r="F82" s="103"/>
      <c r="G82" s="103"/>
      <c r="H82" s="103"/>
      <c r="I82" s="103"/>
      <c r="J82" s="139"/>
      <c r="K82" s="106"/>
    </row>
    <row r="83" spans="4:11" x14ac:dyDescent="0.3">
      <c r="D83" s="103"/>
      <c r="E83" s="103"/>
      <c r="F83" s="103"/>
      <c r="G83" s="103"/>
      <c r="H83" s="103"/>
      <c r="I83" s="103"/>
      <c r="J83" s="139"/>
      <c r="K83" s="106"/>
    </row>
    <row r="84" spans="4:11" x14ac:dyDescent="0.3">
      <c r="D84" s="103"/>
      <c r="E84" s="103"/>
      <c r="F84" s="103"/>
      <c r="G84" s="103"/>
      <c r="H84" s="103"/>
      <c r="I84" s="103"/>
      <c r="J84" s="139"/>
      <c r="K84" s="106"/>
    </row>
    <row r="85" spans="4:11" x14ac:dyDescent="0.3">
      <c r="D85" s="103"/>
      <c r="E85" s="103"/>
      <c r="F85" s="103"/>
      <c r="G85" s="103"/>
      <c r="H85" s="103"/>
      <c r="I85" s="103"/>
      <c r="J85" s="139"/>
      <c r="K85" s="106"/>
    </row>
    <row r="86" spans="4:11" x14ac:dyDescent="0.3">
      <c r="D86" s="103"/>
      <c r="E86" s="103"/>
      <c r="F86" s="103"/>
      <c r="G86" s="103"/>
      <c r="H86" s="103"/>
      <c r="I86" s="103"/>
      <c r="J86" s="139"/>
      <c r="K86" s="106"/>
    </row>
    <row r="87" spans="4:11" x14ac:dyDescent="0.3">
      <c r="D87" s="103"/>
      <c r="E87" s="103"/>
      <c r="F87" s="103"/>
      <c r="G87" s="103"/>
      <c r="H87" s="103"/>
      <c r="I87" s="103"/>
      <c r="J87" s="139"/>
      <c r="K87" s="106"/>
    </row>
    <row r="88" spans="4:11" x14ac:dyDescent="0.3">
      <c r="D88" s="103"/>
      <c r="E88" s="103"/>
      <c r="F88" s="103"/>
      <c r="G88" s="103"/>
      <c r="H88" s="103"/>
      <c r="I88" s="103"/>
      <c r="J88" s="139"/>
      <c r="K88" s="106"/>
    </row>
    <row r="89" spans="4:11" x14ac:dyDescent="0.3">
      <c r="D89" s="103"/>
      <c r="E89" s="103"/>
      <c r="F89" s="103"/>
      <c r="G89" s="103"/>
      <c r="H89" s="103"/>
      <c r="I89" s="103"/>
      <c r="J89" s="139"/>
      <c r="K89" s="106"/>
    </row>
    <row r="90" spans="4:11" x14ac:dyDescent="0.3">
      <c r="D90" s="103"/>
      <c r="E90" s="103"/>
      <c r="F90" s="103"/>
      <c r="G90" s="103"/>
      <c r="H90" s="103"/>
      <c r="I90" s="103"/>
      <c r="J90" s="139"/>
      <c r="K90" s="106"/>
    </row>
    <row r="91" spans="4:11" x14ac:dyDescent="0.3">
      <c r="D91" s="103"/>
      <c r="E91" s="103"/>
      <c r="F91" s="103"/>
      <c r="G91" s="103"/>
      <c r="H91" s="103"/>
      <c r="I91" s="103"/>
      <c r="J91" s="139"/>
      <c r="K91" s="106"/>
    </row>
    <row r="92" spans="4:11" x14ac:dyDescent="0.3">
      <c r="D92" s="103"/>
      <c r="E92" s="103"/>
      <c r="F92" s="103"/>
      <c r="G92" s="103"/>
      <c r="H92" s="103"/>
      <c r="I92" s="103"/>
      <c r="J92" s="139"/>
      <c r="K92" s="106"/>
    </row>
    <row r="93" spans="4:11" x14ac:dyDescent="0.3">
      <c r="D93" s="103"/>
      <c r="E93" s="103"/>
      <c r="F93" s="103"/>
      <c r="G93" s="103"/>
      <c r="H93" s="103"/>
      <c r="I93" s="103"/>
      <c r="J93" s="139"/>
      <c r="K93" s="106"/>
    </row>
    <row r="94" spans="4:11" x14ac:dyDescent="0.3">
      <c r="D94" s="103"/>
      <c r="E94" s="103"/>
      <c r="F94" s="103"/>
      <c r="G94" s="103"/>
      <c r="H94" s="103"/>
      <c r="I94" s="103"/>
      <c r="J94" s="139"/>
      <c r="K94" s="106"/>
    </row>
    <row r="95" spans="4:11" x14ac:dyDescent="0.3">
      <c r="D95" s="103"/>
      <c r="E95" s="103"/>
      <c r="F95" s="103"/>
      <c r="G95" s="103"/>
      <c r="H95" s="103"/>
      <c r="I95" s="103"/>
      <c r="J95" s="139"/>
      <c r="K95" s="106"/>
    </row>
    <row r="96" spans="4:11" x14ac:dyDescent="0.3">
      <c r="D96" s="103"/>
      <c r="E96" s="103"/>
      <c r="F96" s="103"/>
      <c r="G96" s="103"/>
      <c r="H96" s="103"/>
      <c r="I96" s="103"/>
      <c r="J96" s="139"/>
      <c r="K96" s="106"/>
    </row>
    <row r="97" spans="4:11" x14ac:dyDescent="0.3">
      <c r="D97" s="103"/>
      <c r="E97" s="103"/>
      <c r="F97" s="103"/>
      <c r="G97" s="103"/>
      <c r="H97" s="103"/>
      <c r="I97" s="103"/>
      <c r="J97" s="139"/>
      <c r="K97" s="106"/>
    </row>
    <row r="98" spans="4:11" x14ac:dyDescent="0.3">
      <c r="D98" s="103"/>
      <c r="E98" s="103"/>
      <c r="F98" s="103"/>
      <c r="G98" s="103"/>
      <c r="H98" s="103"/>
      <c r="I98" s="103"/>
      <c r="J98" s="139"/>
      <c r="K98" s="106"/>
    </row>
    <row r="99" spans="4:11" x14ac:dyDescent="0.3">
      <c r="D99" s="103"/>
      <c r="E99" s="103"/>
      <c r="F99" s="103"/>
      <c r="G99" s="103"/>
      <c r="H99" s="103"/>
      <c r="I99" s="103"/>
      <c r="J99" s="139"/>
      <c r="K99" s="106"/>
    </row>
    <row r="100" spans="4:11" x14ac:dyDescent="0.3">
      <c r="D100" s="103"/>
      <c r="E100" s="103"/>
      <c r="F100" s="103"/>
      <c r="G100" s="103"/>
      <c r="H100" s="103"/>
      <c r="I100" s="103"/>
      <c r="J100" s="139"/>
      <c r="K100" s="106"/>
    </row>
    <row r="101" spans="4:11" x14ac:dyDescent="0.3">
      <c r="D101" s="103"/>
      <c r="E101" s="103"/>
      <c r="F101" s="103"/>
      <c r="G101" s="103"/>
      <c r="H101" s="103"/>
      <c r="I101" s="103"/>
      <c r="J101" s="139"/>
      <c r="K101" s="106"/>
    </row>
    <row r="102" spans="4:11" x14ac:dyDescent="0.3">
      <c r="D102" s="103"/>
      <c r="E102" s="103"/>
      <c r="F102" s="103"/>
      <c r="G102" s="103"/>
      <c r="H102" s="103"/>
      <c r="I102" s="103"/>
      <c r="J102" s="139"/>
      <c r="K102" s="106"/>
    </row>
    <row r="103" spans="4:11" x14ac:dyDescent="0.3">
      <c r="D103" s="103"/>
      <c r="E103" s="103"/>
      <c r="F103" s="103"/>
      <c r="G103" s="103"/>
      <c r="H103" s="103"/>
      <c r="I103" s="103"/>
      <c r="J103" s="139"/>
      <c r="K103" s="106"/>
    </row>
    <row r="104" spans="4:11" x14ac:dyDescent="0.3">
      <c r="D104" s="103"/>
      <c r="E104" s="103"/>
      <c r="F104" s="103"/>
      <c r="G104" s="103"/>
      <c r="H104" s="103"/>
      <c r="I104" s="103"/>
      <c r="J104" s="139"/>
      <c r="K104" s="106"/>
    </row>
    <row r="105" spans="4:11" x14ac:dyDescent="0.3">
      <c r="D105" s="103"/>
      <c r="E105" s="103"/>
      <c r="F105" s="103"/>
      <c r="G105" s="103"/>
      <c r="H105" s="103"/>
      <c r="I105" s="103"/>
      <c r="J105" s="139"/>
      <c r="K105" s="106"/>
    </row>
    <row r="106" spans="4:11" x14ac:dyDescent="0.3">
      <c r="D106" s="103"/>
      <c r="E106" s="103"/>
      <c r="F106" s="103"/>
      <c r="G106" s="103"/>
      <c r="H106" s="103"/>
      <c r="I106" s="103"/>
      <c r="J106" s="139"/>
      <c r="K106" s="106"/>
    </row>
    <row r="107" spans="4:11" x14ac:dyDescent="0.3">
      <c r="D107" s="103"/>
      <c r="E107" s="103"/>
      <c r="F107" s="103"/>
      <c r="G107" s="103"/>
      <c r="H107" s="103"/>
      <c r="I107" s="103"/>
      <c r="J107" s="139"/>
      <c r="K107" s="106"/>
    </row>
    <row r="108" spans="4:11" x14ac:dyDescent="0.3">
      <c r="D108" s="103"/>
      <c r="E108" s="103"/>
      <c r="F108" s="103"/>
      <c r="G108" s="103"/>
      <c r="H108" s="103"/>
      <c r="I108" s="103"/>
      <c r="J108" s="139"/>
      <c r="K108" s="106"/>
    </row>
    <row r="109" spans="4:11" x14ac:dyDescent="0.3">
      <c r="D109" s="103"/>
      <c r="E109" s="103"/>
      <c r="F109" s="103"/>
      <c r="G109" s="103"/>
      <c r="H109" s="103"/>
      <c r="I109" s="103"/>
      <c r="J109" s="139"/>
      <c r="K109" s="106"/>
    </row>
    <row r="110" spans="4:11" x14ac:dyDescent="0.3">
      <c r="D110" s="103"/>
      <c r="E110" s="103"/>
      <c r="F110" s="103"/>
      <c r="G110" s="103"/>
      <c r="H110" s="103"/>
      <c r="I110" s="103"/>
      <c r="J110" s="139"/>
      <c r="K110" s="106"/>
    </row>
    <row r="111" spans="4:11" x14ac:dyDescent="0.3">
      <c r="D111" s="103"/>
      <c r="E111" s="103"/>
      <c r="F111" s="103"/>
      <c r="G111" s="103"/>
      <c r="H111" s="103"/>
      <c r="I111" s="103"/>
      <c r="J111" s="139"/>
      <c r="K111" s="106"/>
    </row>
    <row r="112" spans="4:11" x14ac:dyDescent="0.3">
      <c r="D112" s="103"/>
      <c r="E112" s="103"/>
      <c r="F112" s="103"/>
      <c r="G112" s="103"/>
      <c r="H112" s="103"/>
      <c r="I112" s="103"/>
      <c r="J112" s="139"/>
      <c r="K112" s="106"/>
    </row>
    <row r="113" spans="4:11" x14ac:dyDescent="0.3">
      <c r="D113" s="103"/>
      <c r="E113" s="103"/>
      <c r="F113" s="103"/>
      <c r="G113" s="103"/>
      <c r="H113" s="103"/>
      <c r="I113" s="103"/>
      <c r="J113" s="139"/>
      <c r="K113" s="106"/>
    </row>
    <row r="114" spans="4:11" x14ac:dyDescent="0.3">
      <c r="D114" s="103"/>
      <c r="E114" s="103"/>
      <c r="F114" s="103"/>
      <c r="G114" s="103"/>
      <c r="H114" s="103"/>
      <c r="I114" s="103"/>
      <c r="J114" s="139"/>
      <c r="K114" s="106"/>
    </row>
    <row r="115" spans="4:11" x14ac:dyDescent="0.3">
      <c r="D115" s="103"/>
      <c r="E115" s="103"/>
      <c r="F115" s="103"/>
      <c r="G115" s="103"/>
      <c r="H115" s="103"/>
      <c r="I115" s="103"/>
      <c r="J115" s="139"/>
      <c r="K115" s="106"/>
    </row>
    <row r="116" spans="4:11" x14ac:dyDescent="0.3">
      <c r="D116" s="103"/>
      <c r="E116" s="103"/>
      <c r="F116" s="103"/>
      <c r="G116" s="103"/>
      <c r="H116" s="103"/>
      <c r="I116" s="103"/>
      <c r="J116" s="139"/>
      <c r="K116" s="106"/>
    </row>
    <row r="117" spans="4:11" x14ac:dyDescent="0.3">
      <c r="D117" s="103"/>
      <c r="E117" s="103"/>
      <c r="F117" s="103"/>
      <c r="G117" s="103"/>
      <c r="H117" s="103"/>
      <c r="I117" s="103"/>
      <c r="J117" s="139"/>
      <c r="K117" s="106"/>
    </row>
    <row r="118" spans="4:11" x14ac:dyDescent="0.3">
      <c r="D118" s="103"/>
      <c r="E118" s="103"/>
      <c r="F118" s="103"/>
      <c r="G118" s="103"/>
      <c r="H118" s="103"/>
      <c r="I118" s="103"/>
      <c r="J118" s="139"/>
      <c r="K118" s="106"/>
    </row>
    <row r="119" spans="4:11" x14ac:dyDescent="0.3">
      <c r="D119" s="103"/>
      <c r="E119" s="103"/>
      <c r="F119" s="103"/>
      <c r="G119" s="103"/>
      <c r="H119" s="103"/>
      <c r="I119" s="103"/>
      <c r="J119" s="139"/>
      <c r="K119" s="106"/>
    </row>
    <row r="120" spans="4:11" x14ac:dyDescent="0.3">
      <c r="D120" s="103"/>
      <c r="E120" s="103"/>
      <c r="F120" s="103"/>
      <c r="G120" s="103"/>
      <c r="H120" s="103"/>
      <c r="I120" s="103"/>
      <c r="J120" s="139"/>
      <c r="K120" s="106"/>
    </row>
    <row r="121" spans="4:11" x14ac:dyDescent="0.3">
      <c r="D121" s="103"/>
      <c r="E121" s="103"/>
      <c r="F121" s="103"/>
      <c r="G121" s="103"/>
      <c r="H121" s="103"/>
      <c r="I121" s="103"/>
      <c r="J121" s="139"/>
      <c r="K121" s="106"/>
    </row>
    <row r="122" spans="4:11" x14ac:dyDescent="0.3">
      <c r="D122" s="103"/>
      <c r="E122" s="103"/>
      <c r="F122" s="103"/>
      <c r="G122" s="103"/>
      <c r="H122" s="103"/>
      <c r="I122" s="103"/>
      <c r="J122" s="139"/>
      <c r="K122" s="106"/>
    </row>
    <row r="123" spans="4:11" x14ac:dyDescent="0.3">
      <c r="D123" s="103"/>
      <c r="E123" s="103"/>
      <c r="F123" s="103"/>
      <c r="G123" s="103"/>
      <c r="H123" s="103"/>
      <c r="I123" s="103"/>
      <c r="J123" s="139"/>
      <c r="K123" s="106"/>
    </row>
    <row r="124" spans="4:11" x14ac:dyDescent="0.3">
      <c r="D124" s="103"/>
      <c r="E124" s="103"/>
      <c r="F124" s="103"/>
      <c r="G124" s="103"/>
      <c r="H124" s="103"/>
      <c r="I124" s="103"/>
      <c r="J124" s="139"/>
      <c r="K124" s="106"/>
    </row>
    <row r="125" spans="4:11" x14ac:dyDescent="0.3">
      <c r="D125" s="103"/>
      <c r="E125" s="103"/>
      <c r="F125" s="103"/>
      <c r="G125" s="103"/>
      <c r="H125" s="103"/>
      <c r="I125" s="103"/>
      <c r="J125" s="139"/>
      <c r="K125" s="106"/>
    </row>
    <row r="126" spans="4:11" x14ac:dyDescent="0.3">
      <c r="D126" s="103"/>
      <c r="E126" s="103"/>
      <c r="F126" s="103"/>
      <c r="G126" s="103"/>
      <c r="H126" s="103"/>
      <c r="I126" s="103"/>
      <c r="J126" s="139"/>
      <c r="K126" s="106"/>
    </row>
    <row r="127" spans="4:11" x14ac:dyDescent="0.3">
      <c r="D127" s="103"/>
      <c r="E127" s="103"/>
      <c r="F127" s="103"/>
      <c r="G127" s="103"/>
      <c r="H127" s="103"/>
      <c r="I127" s="103"/>
      <c r="J127" s="139"/>
      <c r="K127" s="106"/>
    </row>
    <row r="128" spans="4:11" x14ac:dyDescent="0.3">
      <c r="D128" s="103"/>
      <c r="E128" s="103"/>
      <c r="F128" s="103"/>
      <c r="G128" s="103"/>
      <c r="H128" s="103"/>
      <c r="I128" s="103"/>
      <c r="J128" s="139"/>
      <c r="K128" s="106"/>
    </row>
    <row r="129" spans="4:11" x14ac:dyDescent="0.3">
      <c r="D129" s="103"/>
      <c r="E129" s="103"/>
      <c r="F129" s="103"/>
      <c r="G129" s="103"/>
      <c r="H129" s="103"/>
      <c r="I129" s="103"/>
      <c r="J129" s="139"/>
      <c r="K129" s="106"/>
    </row>
    <row r="130" spans="4:11" x14ac:dyDescent="0.3">
      <c r="D130" s="103"/>
      <c r="E130" s="103"/>
      <c r="F130" s="103"/>
      <c r="G130" s="103"/>
      <c r="H130" s="103"/>
      <c r="I130" s="103"/>
      <c r="J130" s="139"/>
      <c r="K130" s="106"/>
    </row>
    <row r="131" spans="4:11" x14ac:dyDescent="0.3">
      <c r="D131" s="103"/>
      <c r="E131" s="103"/>
      <c r="F131" s="103"/>
      <c r="G131" s="103"/>
      <c r="H131" s="103"/>
      <c r="I131" s="103"/>
      <c r="J131" s="139"/>
      <c r="K131" s="106"/>
    </row>
    <row r="132" spans="4:11" x14ac:dyDescent="0.3">
      <c r="D132" s="103"/>
      <c r="E132" s="103"/>
      <c r="F132" s="103"/>
      <c r="G132" s="103"/>
      <c r="H132" s="103"/>
      <c r="I132" s="103"/>
      <c r="J132" s="139"/>
      <c r="K132" s="106"/>
    </row>
    <row r="133" spans="4:11" x14ac:dyDescent="0.3">
      <c r="D133" s="103"/>
      <c r="E133" s="103"/>
      <c r="F133" s="103"/>
      <c r="G133" s="103"/>
      <c r="H133" s="103"/>
      <c r="I133" s="103"/>
      <c r="J133" s="139"/>
      <c r="K133" s="106"/>
    </row>
    <row r="134" spans="4:11" x14ac:dyDescent="0.3">
      <c r="D134" s="103"/>
      <c r="E134" s="103"/>
      <c r="F134" s="103"/>
      <c r="G134" s="103"/>
      <c r="H134" s="103"/>
      <c r="I134" s="103"/>
      <c r="J134" s="139"/>
      <c r="K134" s="106"/>
    </row>
    <row r="135" spans="4:11" x14ac:dyDescent="0.3">
      <c r="D135" s="103"/>
      <c r="E135" s="103"/>
      <c r="F135" s="103"/>
      <c r="G135" s="103"/>
      <c r="H135" s="103"/>
      <c r="I135" s="103"/>
      <c r="J135" s="139"/>
      <c r="K135" s="106"/>
    </row>
    <row r="136" spans="4:11" x14ac:dyDescent="0.3">
      <c r="D136" s="103"/>
      <c r="E136" s="103"/>
      <c r="F136" s="103"/>
      <c r="G136" s="103"/>
      <c r="H136" s="103"/>
      <c r="I136" s="103"/>
      <c r="J136" s="139"/>
      <c r="K136" s="106"/>
    </row>
    <row r="137" spans="4:11" x14ac:dyDescent="0.3">
      <c r="D137" s="103"/>
      <c r="E137" s="103"/>
      <c r="F137" s="103"/>
      <c r="G137" s="103"/>
      <c r="H137" s="103"/>
      <c r="I137" s="103"/>
      <c r="J137" s="139"/>
      <c r="K137" s="106"/>
    </row>
    <row r="138" spans="4:11" x14ac:dyDescent="0.3">
      <c r="D138" s="103"/>
      <c r="E138" s="103"/>
      <c r="F138" s="103"/>
      <c r="G138" s="103"/>
      <c r="H138" s="103"/>
      <c r="I138" s="103"/>
      <c r="J138" s="139"/>
      <c r="K138" s="106"/>
    </row>
    <row r="139" spans="4:11" x14ac:dyDescent="0.3">
      <c r="D139" s="103"/>
      <c r="E139" s="103"/>
      <c r="F139" s="103"/>
      <c r="G139" s="103"/>
      <c r="H139" s="103"/>
      <c r="I139" s="103"/>
      <c r="J139" s="139"/>
      <c r="K139" s="106"/>
    </row>
    <row r="140" spans="4:11" x14ac:dyDescent="0.3">
      <c r="D140" s="103"/>
      <c r="E140" s="103"/>
      <c r="F140" s="103"/>
      <c r="G140" s="103"/>
      <c r="H140" s="103"/>
      <c r="I140" s="103"/>
      <c r="J140" s="139"/>
      <c r="K140" s="106"/>
    </row>
    <row r="141" spans="4:11" x14ac:dyDescent="0.3">
      <c r="D141" s="103"/>
      <c r="E141" s="103"/>
      <c r="F141" s="103"/>
      <c r="G141" s="103"/>
      <c r="H141" s="103"/>
      <c r="I141" s="103"/>
      <c r="J141" s="139"/>
      <c r="K141" s="106"/>
    </row>
    <row r="142" spans="4:11" x14ac:dyDescent="0.3">
      <c r="D142" s="103"/>
      <c r="E142" s="103"/>
      <c r="F142" s="103"/>
      <c r="G142" s="103"/>
      <c r="H142" s="103"/>
      <c r="I142" s="103"/>
      <c r="J142" s="139"/>
      <c r="K142" s="106"/>
    </row>
    <row r="143" spans="4:11" x14ac:dyDescent="0.3">
      <c r="D143" s="103"/>
      <c r="E143" s="103"/>
      <c r="F143" s="103"/>
      <c r="G143" s="103"/>
      <c r="H143" s="103"/>
      <c r="I143" s="103"/>
      <c r="J143" s="139"/>
      <c r="K143" s="106"/>
    </row>
    <row r="144" spans="4:11" x14ac:dyDescent="0.3">
      <c r="D144" s="103"/>
      <c r="E144" s="103"/>
      <c r="F144" s="103"/>
      <c r="G144" s="103"/>
      <c r="H144" s="103"/>
      <c r="I144" s="103"/>
      <c r="J144" s="139"/>
      <c r="K144" s="106"/>
    </row>
    <row r="145" spans="4:11" x14ac:dyDescent="0.3">
      <c r="D145" s="103"/>
      <c r="E145" s="103"/>
      <c r="F145" s="103"/>
      <c r="G145" s="103"/>
      <c r="H145" s="103"/>
      <c r="I145" s="103"/>
      <c r="J145" s="139"/>
      <c r="K145" s="106"/>
    </row>
    <row r="146" spans="4:11" x14ac:dyDescent="0.3">
      <c r="D146" s="103"/>
      <c r="E146" s="103"/>
      <c r="F146" s="103"/>
      <c r="G146" s="103"/>
      <c r="H146" s="103"/>
      <c r="I146" s="103"/>
      <c r="J146" s="139"/>
      <c r="K146" s="106"/>
    </row>
    <row r="147" spans="4:11" x14ac:dyDescent="0.3">
      <c r="D147" s="103"/>
      <c r="E147" s="103"/>
      <c r="F147" s="103"/>
      <c r="G147" s="103"/>
      <c r="H147" s="103"/>
      <c r="I147" s="103"/>
      <c r="J147" s="139"/>
      <c r="K147" s="106"/>
    </row>
    <row r="148" spans="4:11" x14ac:dyDescent="0.3">
      <c r="D148" s="103"/>
      <c r="E148" s="103"/>
      <c r="F148" s="103"/>
      <c r="G148" s="103"/>
      <c r="H148" s="103"/>
      <c r="I148" s="103"/>
      <c r="J148" s="139"/>
      <c r="K148" s="106"/>
    </row>
    <row r="149" spans="4:11" x14ac:dyDescent="0.3">
      <c r="D149" s="103"/>
      <c r="E149" s="103"/>
      <c r="F149" s="103"/>
      <c r="G149" s="103"/>
      <c r="H149" s="103"/>
      <c r="I149" s="103"/>
      <c r="J149" s="139"/>
      <c r="K149" s="106"/>
    </row>
    <row r="150" spans="4:11" x14ac:dyDescent="0.3">
      <c r="D150" s="103"/>
      <c r="E150" s="103"/>
      <c r="F150" s="103"/>
      <c r="G150" s="103"/>
      <c r="H150" s="103"/>
      <c r="I150" s="103"/>
      <c r="J150" s="139"/>
      <c r="K150" s="106"/>
    </row>
    <row r="151" spans="4:11" x14ac:dyDescent="0.3">
      <c r="D151" s="103"/>
      <c r="E151" s="103"/>
      <c r="F151" s="103"/>
      <c r="G151" s="103"/>
      <c r="H151" s="103"/>
      <c r="I151" s="103"/>
      <c r="J151" s="139"/>
      <c r="K151" s="106"/>
    </row>
    <row r="152" spans="4:11" x14ac:dyDescent="0.3">
      <c r="D152" s="103"/>
      <c r="E152" s="103"/>
      <c r="F152" s="103"/>
      <c r="G152" s="103"/>
      <c r="H152" s="103"/>
      <c r="I152" s="103"/>
      <c r="J152" s="139"/>
      <c r="K152" s="106"/>
    </row>
    <row r="153" spans="4:11" x14ac:dyDescent="0.3">
      <c r="D153" s="103"/>
      <c r="E153" s="103"/>
      <c r="F153" s="103"/>
      <c r="G153" s="103"/>
      <c r="H153" s="103"/>
      <c r="I153" s="103"/>
      <c r="J153" s="139"/>
      <c r="K153" s="106"/>
    </row>
    <row r="154" spans="4:11" x14ac:dyDescent="0.3">
      <c r="D154" s="103"/>
      <c r="E154" s="103"/>
      <c r="F154" s="103"/>
      <c r="G154" s="103"/>
      <c r="H154" s="103"/>
      <c r="I154" s="103"/>
      <c r="J154" s="139"/>
      <c r="K154" s="106"/>
    </row>
    <row r="155" spans="4:11" x14ac:dyDescent="0.3">
      <c r="D155" s="103"/>
      <c r="E155" s="103"/>
      <c r="F155" s="103"/>
      <c r="G155" s="103"/>
      <c r="H155" s="103"/>
      <c r="I155" s="103"/>
      <c r="J155" s="139"/>
      <c r="K155" s="106"/>
    </row>
    <row r="156" spans="4:11" x14ac:dyDescent="0.3">
      <c r="D156" s="103"/>
      <c r="E156" s="103"/>
      <c r="F156" s="103"/>
      <c r="G156" s="103"/>
      <c r="H156" s="103"/>
      <c r="I156" s="103"/>
      <c r="J156" s="139"/>
      <c r="K156" s="106"/>
    </row>
    <row r="157" spans="4:11" x14ac:dyDescent="0.3">
      <c r="D157" s="103"/>
      <c r="E157" s="103"/>
      <c r="F157" s="103"/>
      <c r="G157" s="103"/>
      <c r="H157" s="103"/>
      <c r="I157" s="103"/>
      <c r="J157" s="139"/>
      <c r="K157" s="106"/>
    </row>
    <row r="158" spans="4:11" x14ac:dyDescent="0.3">
      <c r="D158" s="103"/>
      <c r="E158" s="103"/>
      <c r="F158" s="103"/>
      <c r="G158" s="103"/>
      <c r="H158" s="103"/>
      <c r="I158" s="103"/>
      <c r="J158" s="139"/>
      <c r="K158" s="106"/>
    </row>
    <row r="159" spans="4:11" x14ac:dyDescent="0.3">
      <c r="D159" s="103"/>
      <c r="E159" s="103"/>
      <c r="F159" s="103"/>
      <c r="G159" s="103"/>
      <c r="H159" s="103"/>
      <c r="I159" s="103"/>
      <c r="J159" s="139"/>
      <c r="K159" s="106"/>
    </row>
    <row r="160" spans="4:11" x14ac:dyDescent="0.3">
      <c r="D160" s="103"/>
      <c r="E160" s="103"/>
      <c r="F160" s="103"/>
      <c r="G160" s="103"/>
      <c r="H160" s="103"/>
      <c r="I160" s="103"/>
      <c r="J160" s="139"/>
      <c r="K160" s="106"/>
    </row>
    <row r="161" spans="4:11" x14ac:dyDescent="0.3">
      <c r="D161" s="103"/>
      <c r="E161" s="103"/>
      <c r="F161" s="103"/>
      <c r="G161" s="103"/>
      <c r="H161" s="103"/>
      <c r="I161" s="103"/>
      <c r="J161" s="139"/>
      <c r="K161" s="106"/>
    </row>
  </sheetData>
  <sortState ref="B4:J27">
    <sortCondition ref="B4:B27"/>
  </sortState>
  <conditionalFormatting sqref="A1:M1048576">
    <cfRule type="expression" dxfId="201" priority="9">
      <formula>AND(($E1=0),NOT(ISBLANK($E1)))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B7E9C897-A3F1-424C-ACD1-3220672CDC4D}">
            <xm:f>$K1=FilterSpecs!$F$13</xm:f>
            <x14:dxf>
              <font>
                <b/>
                <i val="0"/>
                <color theme="0"/>
              </font>
              <fill>
                <patternFill>
                  <bgColor theme="9" tint="-0.499984740745262"/>
                </patternFill>
              </fill>
            </x14:dxf>
          </x14:cfRule>
          <x14:cfRule type="expression" priority="2" id="{03FCD56F-9484-47B6-86C8-3A1B54397F91}">
            <xm:f>$K1=FilterSpecs!$F$12</xm:f>
            <x14:dxf>
              <font>
                <b/>
                <i val="0"/>
                <color theme="0"/>
              </font>
              <fill>
                <patternFill>
                  <bgColor rgb="FFFF4F4F"/>
                </patternFill>
              </fill>
            </x14:dxf>
          </x14:cfRule>
          <x14:cfRule type="expression" priority="8" id="{483D4AC2-AF81-4DD1-89CB-DF5412C8EE86}">
            <xm:f>$K1=FilterSpecs!$F$9</xm:f>
            <x14:dxf>
              <font>
                <b/>
                <i val="0"/>
                <color theme="0"/>
              </font>
              <fill>
                <patternFill>
                  <bgColor rgb="FFFF0000"/>
                </patternFill>
              </fill>
            </x14:dxf>
          </x14:cfRule>
          <x14:cfRule type="expression" priority="10" id="{2B708964-29EC-42C1-8744-0E95DAE68030}">
            <xm:f>$K1=FilterSpecs!$F$7</xm:f>
            <x14:dxf>
              <font>
                <b/>
                <i val="0"/>
                <color theme="0"/>
              </font>
              <fill>
                <patternFill>
                  <bgColor rgb="FF00B0F0"/>
                </patternFill>
              </fill>
            </x14:dxf>
          </x14:cfRule>
          <x14:cfRule type="expression" priority="11" id="{C48DAB96-0204-4C73-9AFC-3BCB5DE2F7D2}">
            <xm:f>$K1=FilterSpecs!$F$8</xm:f>
            <x14:dxf>
              <font>
                <b/>
                <i val="0"/>
                <color theme="0"/>
              </font>
              <fill>
                <patternFill>
                  <bgColor rgb="FFFFC000"/>
                </patternFill>
              </fill>
            </x14:dxf>
          </x14:cfRule>
          <x14:cfRule type="expression" priority="12" id="{BF52D5D1-1914-4348-8C61-D351D4AD47AE}">
            <xm:f>$K1=FilterSpecs!$F$10</xm:f>
            <x14:dxf>
              <font>
                <b/>
                <i val="0"/>
                <color theme="0"/>
              </font>
              <fill>
                <patternFill>
                  <bgColor rgb="FF002060"/>
                </patternFill>
              </fill>
            </x14:dxf>
          </x14:cfRule>
          <xm:sqref>A1:M1048576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C7929-297C-49EB-A240-D8EA2159D036}">
  <sheetPr codeName="Sheet12"/>
  <dimension ref="A1:XFD219"/>
  <sheetViews>
    <sheetView topLeftCell="A16" workbookViewId="0">
      <selection activeCell="B5" sqref="B5"/>
    </sheetView>
  </sheetViews>
  <sheetFormatPr defaultRowHeight="14.4" x14ac:dyDescent="0.3"/>
  <cols>
    <col min="1" max="1" width="44.88671875" style="102" customWidth="1"/>
    <col min="2" max="2" width="39.6640625" style="102" customWidth="1"/>
    <col min="3" max="3" width="10.21875" style="102" bestFit="1" customWidth="1"/>
    <col min="4" max="4" width="10.77734375" style="102" customWidth="1"/>
    <col min="5" max="5" width="9.21875" style="102" customWidth="1"/>
    <col min="6" max="6" width="9.5546875" style="105" hidden="1" customWidth="1"/>
    <col min="7" max="7" width="0.109375" style="105" customWidth="1"/>
    <col min="8" max="8" width="57.21875" style="102" customWidth="1"/>
    <col min="9" max="9" width="0.21875" style="105" hidden="1" customWidth="1"/>
    <col min="10" max="10" width="12.88671875" style="102" bestFit="1" customWidth="1"/>
    <col min="11" max="11" width="12.88671875" style="102" customWidth="1"/>
    <col min="12" max="12" width="123.109375" style="105" customWidth="1"/>
    <col min="13" max="16384" width="8.88671875" style="105"/>
  </cols>
  <sheetData>
    <row r="1" spans="1:16384" s="77" customFormat="1" ht="15.6" thickTop="1" thickBot="1" x14ac:dyDescent="0.35">
      <c r="A1" s="88" t="s">
        <v>893</v>
      </c>
      <c r="B1" s="88" t="s">
        <v>163</v>
      </c>
      <c r="C1" s="88" t="s">
        <v>7</v>
      </c>
      <c r="D1" s="88" t="s">
        <v>25</v>
      </c>
      <c r="E1" s="88" t="s">
        <v>26</v>
      </c>
      <c r="F1" s="77" t="s">
        <v>27</v>
      </c>
      <c r="G1" s="77" t="s">
        <v>28</v>
      </c>
      <c r="H1" s="88" t="s">
        <v>29</v>
      </c>
      <c r="I1" s="77" t="s">
        <v>30</v>
      </c>
      <c r="J1" s="88" t="s">
        <v>31</v>
      </c>
      <c r="K1" s="88" t="s">
        <v>1918</v>
      </c>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ht="15" thickTop="1" x14ac:dyDescent="0.3">
      <c r="A2" s="102" t="s">
        <v>1070</v>
      </c>
      <c r="B2" s="102" t="s">
        <v>1603</v>
      </c>
      <c r="C2" s="102" t="s">
        <v>8</v>
      </c>
      <c r="D2" s="103" t="s">
        <v>1527</v>
      </c>
      <c r="E2" s="103">
        <v>1</v>
      </c>
      <c r="F2" s="103" t="s">
        <v>1528</v>
      </c>
      <c r="G2" s="103" t="s">
        <v>1529</v>
      </c>
      <c r="H2" s="103" t="s">
        <v>1530</v>
      </c>
      <c r="I2" s="103">
        <v>1</v>
      </c>
      <c r="J2" s="103">
        <v>24.95</v>
      </c>
      <c r="K2" s="103" t="s">
        <v>1914</v>
      </c>
      <c r="M2" s="105">
        <f>E2*J2</f>
        <v>24.95</v>
      </c>
    </row>
    <row r="3" spans="1:16384" x14ac:dyDescent="0.3">
      <c r="A3" s="102" t="s">
        <v>1070</v>
      </c>
      <c r="B3" s="102" t="s">
        <v>1013</v>
      </c>
      <c r="C3" s="102" t="s">
        <v>8</v>
      </c>
      <c r="D3" s="103" t="s">
        <v>949</v>
      </c>
      <c r="E3" s="103">
        <v>1</v>
      </c>
      <c r="F3" s="103" t="s">
        <v>950</v>
      </c>
      <c r="G3" s="103" t="s">
        <v>951</v>
      </c>
      <c r="H3" s="103" t="s">
        <v>952</v>
      </c>
      <c r="I3" s="103"/>
      <c r="J3" s="103">
        <v>11.95</v>
      </c>
      <c r="K3" s="103" t="s">
        <v>1914</v>
      </c>
      <c r="L3" s="103" t="s">
        <v>1063</v>
      </c>
      <c r="M3" s="105">
        <f t="shared" ref="M3:M24" si="0">E3*J3</f>
        <v>11.95</v>
      </c>
    </row>
    <row r="4" spans="1:16384" x14ac:dyDescent="0.3">
      <c r="A4" s="102" t="s">
        <v>1070</v>
      </c>
      <c r="B4" s="102" t="s">
        <v>1013</v>
      </c>
      <c r="C4" s="102" t="s">
        <v>8</v>
      </c>
      <c r="D4" s="103" t="s">
        <v>969</v>
      </c>
      <c r="E4" s="103">
        <v>1</v>
      </c>
      <c r="F4" s="103" t="s">
        <v>970</v>
      </c>
      <c r="G4" s="103" t="s">
        <v>971</v>
      </c>
      <c r="H4" s="103" t="s">
        <v>972</v>
      </c>
      <c r="I4" s="103">
        <v>1</v>
      </c>
      <c r="J4" s="103">
        <v>49.95</v>
      </c>
      <c r="K4" s="103" t="s">
        <v>1914</v>
      </c>
      <c r="L4" s="103" t="s">
        <v>1056</v>
      </c>
      <c r="M4" s="105">
        <f t="shared" si="0"/>
        <v>49.95</v>
      </c>
    </row>
    <row r="5" spans="1:16384" x14ac:dyDescent="0.3">
      <c r="A5" s="102" t="s">
        <v>1070</v>
      </c>
      <c r="B5" s="117" t="s">
        <v>1013</v>
      </c>
      <c r="C5" s="102" t="s">
        <v>8</v>
      </c>
      <c r="D5" s="103" t="s">
        <v>989</v>
      </c>
      <c r="E5" s="103">
        <v>0</v>
      </c>
      <c r="F5" s="103" t="s">
        <v>990</v>
      </c>
      <c r="G5" s="103" t="s">
        <v>991</v>
      </c>
      <c r="H5" s="103" t="s">
        <v>992</v>
      </c>
      <c r="I5" s="103">
        <v>1</v>
      </c>
      <c r="J5" s="103">
        <v>44.95</v>
      </c>
      <c r="K5" s="103" t="s">
        <v>1914</v>
      </c>
      <c r="L5" s="103" t="s">
        <v>1057</v>
      </c>
      <c r="M5" s="105">
        <f t="shared" si="0"/>
        <v>0</v>
      </c>
    </row>
    <row r="6" spans="1:16384" x14ac:dyDescent="0.3">
      <c r="A6" s="102" t="s">
        <v>1070</v>
      </c>
      <c r="B6" s="102" t="s">
        <v>1013</v>
      </c>
      <c r="C6" s="102" t="s">
        <v>8</v>
      </c>
      <c r="D6" s="103" t="s">
        <v>953</v>
      </c>
      <c r="E6" s="103">
        <v>1</v>
      </c>
      <c r="F6" s="103" t="s">
        <v>954</v>
      </c>
      <c r="G6" s="103" t="s">
        <v>955</v>
      </c>
      <c r="H6" s="103" t="s">
        <v>956</v>
      </c>
      <c r="I6" s="103">
        <v>1</v>
      </c>
      <c r="J6" s="103">
        <v>59.95</v>
      </c>
      <c r="K6" s="103" t="s">
        <v>1914</v>
      </c>
      <c r="L6" s="103" t="s">
        <v>1057</v>
      </c>
      <c r="M6" s="105">
        <f t="shared" si="0"/>
        <v>59.95</v>
      </c>
    </row>
    <row r="7" spans="1:16384" x14ac:dyDescent="0.3">
      <c r="A7" s="103" t="s">
        <v>1070</v>
      </c>
      <c r="B7" s="103" t="s">
        <v>1013</v>
      </c>
      <c r="C7" s="103" t="s">
        <v>1898</v>
      </c>
      <c r="D7" s="103" t="s">
        <v>2094</v>
      </c>
      <c r="E7" s="103">
        <v>0</v>
      </c>
      <c r="F7" s="103"/>
      <c r="G7" s="103"/>
      <c r="H7" s="103" t="s">
        <v>2095</v>
      </c>
      <c r="I7" s="103"/>
      <c r="J7" s="103">
        <v>44.95</v>
      </c>
      <c r="K7" s="103" t="s">
        <v>1910</v>
      </c>
    </row>
    <row r="8" spans="1:16384" x14ac:dyDescent="0.3">
      <c r="A8" s="103" t="s">
        <v>1070</v>
      </c>
      <c r="B8" s="103" t="s">
        <v>2065</v>
      </c>
      <c r="C8" s="103" t="s">
        <v>1898</v>
      </c>
      <c r="D8" s="103" t="s">
        <v>2073</v>
      </c>
      <c r="E8" s="103">
        <v>1</v>
      </c>
      <c r="F8" s="103"/>
      <c r="G8" s="103"/>
      <c r="H8" s="103" t="s">
        <v>2072</v>
      </c>
      <c r="I8" s="103"/>
      <c r="J8" s="103">
        <v>39.950000000000003</v>
      </c>
      <c r="K8" s="103" t="s">
        <v>1910</v>
      </c>
    </row>
    <row r="9" spans="1:16384" x14ac:dyDescent="0.3">
      <c r="A9" s="103" t="s">
        <v>1070</v>
      </c>
      <c r="B9" s="103" t="s">
        <v>2065</v>
      </c>
      <c r="C9" s="103" t="s">
        <v>1898</v>
      </c>
      <c r="D9" s="103" t="s">
        <v>2071</v>
      </c>
      <c r="E9" s="103">
        <v>1</v>
      </c>
      <c r="F9" s="103"/>
      <c r="G9" s="103"/>
      <c r="H9" s="102" t="s">
        <v>2070</v>
      </c>
      <c r="J9" s="102">
        <v>9</v>
      </c>
      <c r="K9" s="102" t="s">
        <v>1910</v>
      </c>
    </row>
    <row r="10" spans="1:16384" x14ac:dyDescent="0.3">
      <c r="A10" s="103" t="s">
        <v>1070</v>
      </c>
      <c r="B10" s="103" t="s">
        <v>2065</v>
      </c>
      <c r="C10" s="103" t="s">
        <v>1898</v>
      </c>
      <c r="D10" s="103" t="s">
        <v>2069</v>
      </c>
      <c r="E10" s="103">
        <v>1</v>
      </c>
      <c r="F10" s="103"/>
      <c r="G10" s="103"/>
      <c r="H10" s="102" t="s">
        <v>2068</v>
      </c>
      <c r="J10" s="102">
        <v>2.95</v>
      </c>
      <c r="K10" s="102" t="s">
        <v>1910</v>
      </c>
    </row>
    <row r="11" spans="1:16384" x14ac:dyDescent="0.3">
      <c r="A11" s="102" t="s">
        <v>1070</v>
      </c>
      <c r="B11" s="125" t="s">
        <v>1439</v>
      </c>
      <c r="C11" s="102" t="s">
        <v>8</v>
      </c>
      <c r="D11" s="103" t="s">
        <v>1405</v>
      </c>
      <c r="E11" s="103">
        <v>1</v>
      </c>
      <c r="F11" s="103" t="s">
        <v>1406</v>
      </c>
      <c r="G11" s="103" t="s">
        <v>1407</v>
      </c>
      <c r="H11" s="103" t="s">
        <v>1408</v>
      </c>
      <c r="I11" s="103"/>
      <c r="J11" s="103">
        <v>149.94999999999999</v>
      </c>
      <c r="K11" s="103" t="s">
        <v>1914</v>
      </c>
      <c r="M11" s="105">
        <f t="shared" si="0"/>
        <v>149.94999999999999</v>
      </c>
    </row>
    <row r="12" spans="1:16384" x14ac:dyDescent="0.3">
      <c r="A12" s="102" t="s">
        <v>1070</v>
      </c>
      <c r="B12" s="117" t="s">
        <v>1014</v>
      </c>
      <c r="C12" s="102" t="s">
        <v>8</v>
      </c>
      <c r="D12" s="103" t="s">
        <v>957</v>
      </c>
      <c r="E12" s="103">
        <v>1</v>
      </c>
      <c r="F12" s="103" t="s">
        <v>958</v>
      </c>
      <c r="G12" s="103" t="s">
        <v>959</v>
      </c>
      <c r="H12" s="103" t="s">
        <v>960</v>
      </c>
      <c r="I12" s="103">
        <v>1</v>
      </c>
      <c r="J12" s="103">
        <v>4.95</v>
      </c>
      <c r="K12" s="103" t="s">
        <v>1914</v>
      </c>
      <c r="L12" s="103" t="s">
        <v>1065</v>
      </c>
      <c r="M12" s="105">
        <f t="shared" si="0"/>
        <v>4.95</v>
      </c>
    </row>
    <row r="13" spans="1:16384" x14ac:dyDescent="0.3">
      <c r="A13" s="102" t="s">
        <v>1070</v>
      </c>
      <c r="B13" s="117" t="s">
        <v>1014</v>
      </c>
      <c r="C13" s="102" t="s">
        <v>8</v>
      </c>
      <c r="D13" s="103" t="s">
        <v>973</v>
      </c>
      <c r="E13" s="103">
        <v>1</v>
      </c>
      <c r="F13" s="103" t="s">
        <v>974</v>
      </c>
      <c r="G13" s="103" t="s">
        <v>975</v>
      </c>
      <c r="H13" s="103" t="s">
        <v>976</v>
      </c>
      <c r="I13" s="103">
        <v>1</v>
      </c>
      <c r="J13" s="103">
        <v>349</v>
      </c>
      <c r="K13" s="103" t="s">
        <v>1914</v>
      </c>
      <c r="L13" s="103" t="s">
        <v>1058</v>
      </c>
      <c r="M13" s="105">
        <f t="shared" si="0"/>
        <v>349</v>
      </c>
    </row>
    <row r="14" spans="1:16384" ht="16.2" customHeight="1" x14ac:dyDescent="0.3">
      <c r="A14" s="102" t="s">
        <v>1070</v>
      </c>
      <c r="B14" s="117" t="s">
        <v>1014</v>
      </c>
      <c r="C14" s="102" t="s">
        <v>8</v>
      </c>
      <c r="D14" s="103" t="s">
        <v>1032</v>
      </c>
      <c r="E14" s="103">
        <v>1</v>
      </c>
      <c r="F14" s="126" t="s">
        <v>1034</v>
      </c>
      <c r="G14" s="102" t="s">
        <v>1033</v>
      </c>
      <c r="H14" s="103" t="s">
        <v>1031</v>
      </c>
      <c r="I14" s="103">
        <v>1</v>
      </c>
      <c r="J14" s="103">
        <v>14.95</v>
      </c>
      <c r="K14" s="103" t="s">
        <v>1914</v>
      </c>
      <c r="L14" s="103" t="s">
        <v>1064</v>
      </c>
      <c r="M14" s="105">
        <f t="shared" si="0"/>
        <v>14.95</v>
      </c>
    </row>
    <row r="15" spans="1:16384" x14ac:dyDescent="0.3">
      <c r="A15" s="102" t="s">
        <v>1070</v>
      </c>
      <c r="B15" s="125" t="s">
        <v>993</v>
      </c>
      <c r="C15" s="102" t="s">
        <v>8</v>
      </c>
      <c r="D15" s="103" t="s">
        <v>917</v>
      </c>
      <c r="E15" s="103">
        <v>1</v>
      </c>
      <c r="F15" s="103" t="s">
        <v>918</v>
      </c>
      <c r="G15" s="103" t="s">
        <v>919</v>
      </c>
      <c r="H15" s="103" t="s">
        <v>920</v>
      </c>
      <c r="I15" s="103">
        <v>1</v>
      </c>
      <c r="J15" s="103">
        <v>24.95</v>
      </c>
      <c r="K15" s="103" t="s">
        <v>1914</v>
      </c>
      <c r="L15" s="103" t="s">
        <v>1059</v>
      </c>
      <c r="M15" s="105">
        <f t="shared" si="0"/>
        <v>24.95</v>
      </c>
    </row>
    <row r="16" spans="1:16384" x14ac:dyDescent="0.3">
      <c r="A16" s="102" t="s">
        <v>1070</v>
      </c>
      <c r="B16" s="102" t="s">
        <v>993</v>
      </c>
      <c r="C16" s="102" t="s">
        <v>8</v>
      </c>
      <c r="D16" s="103" t="s">
        <v>921</v>
      </c>
      <c r="E16" s="103">
        <v>1</v>
      </c>
      <c r="F16" s="103" t="s">
        <v>922</v>
      </c>
      <c r="G16" s="103" t="s">
        <v>923</v>
      </c>
      <c r="H16" s="103" t="s">
        <v>924</v>
      </c>
      <c r="I16" s="103">
        <v>1</v>
      </c>
      <c r="J16" s="103">
        <v>14.95</v>
      </c>
      <c r="K16" s="103" t="s">
        <v>1914</v>
      </c>
      <c r="L16" s="103" t="s">
        <v>1059</v>
      </c>
      <c r="M16" s="105">
        <f t="shared" si="0"/>
        <v>14.95</v>
      </c>
    </row>
    <row r="17" spans="1:13" x14ac:dyDescent="0.3">
      <c r="A17" s="102" t="s">
        <v>1070</v>
      </c>
      <c r="B17" s="117" t="s">
        <v>1438</v>
      </c>
      <c r="C17" s="102" t="s">
        <v>8</v>
      </c>
      <c r="D17" s="103" t="s">
        <v>985</v>
      </c>
      <c r="E17" s="103">
        <v>0</v>
      </c>
      <c r="F17" s="103" t="s">
        <v>986</v>
      </c>
      <c r="G17" s="103" t="s">
        <v>987</v>
      </c>
      <c r="H17" s="103" t="s">
        <v>988</v>
      </c>
      <c r="I17" s="103">
        <v>1</v>
      </c>
      <c r="J17" s="103">
        <v>179.95</v>
      </c>
      <c r="K17" s="103" t="s">
        <v>1914</v>
      </c>
      <c r="L17" s="103" t="s">
        <v>1060</v>
      </c>
      <c r="M17" s="105">
        <f t="shared" si="0"/>
        <v>0</v>
      </c>
    </row>
    <row r="18" spans="1:13" x14ac:dyDescent="0.3">
      <c r="A18" s="102" t="s">
        <v>1070</v>
      </c>
      <c r="B18" s="117" t="s">
        <v>1438</v>
      </c>
      <c r="C18" s="102" t="s">
        <v>8</v>
      </c>
      <c r="D18" s="103" t="s">
        <v>1783</v>
      </c>
      <c r="E18" s="103">
        <v>1</v>
      </c>
      <c r="F18" s="103" t="s">
        <v>1784</v>
      </c>
      <c r="G18" s="103" t="s">
        <v>1785</v>
      </c>
      <c r="H18" s="103" t="s">
        <v>1786</v>
      </c>
      <c r="I18" s="103"/>
      <c r="J18" s="103">
        <v>84.95</v>
      </c>
      <c r="K18" s="103" t="s">
        <v>1914</v>
      </c>
      <c r="M18" s="105">
        <f t="shared" si="0"/>
        <v>84.95</v>
      </c>
    </row>
    <row r="19" spans="1:13" x14ac:dyDescent="0.3">
      <c r="A19" s="102" t="s">
        <v>1070</v>
      </c>
      <c r="B19" s="117" t="s">
        <v>1438</v>
      </c>
      <c r="C19" s="102" t="s">
        <v>8</v>
      </c>
      <c r="D19" s="103" t="s">
        <v>1747</v>
      </c>
      <c r="E19" s="103">
        <v>0</v>
      </c>
      <c r="F19" s="103" t="s">
        <v>1748</v>
      </c>
      <c r="G19" s="103" t="s">
        <v>1749</v>
      </c>
      <c r="H19" s="103" t="s">
        <v>1750</v>
      </c>
      <c r="I19" s="103">
        <v>1</v>
      </c>
      <c r="J19" s="103">
        <v>84.95</v>
      </c>
      <c r="K19" s="103" t="s">
        <v>1914</v>
      </c>
      <c r="M19" s="105">
        <f t="shared" si="0"/>
        <v>0</v>
      </c>
    </row>
    <row r="20" spans="1:13" x14ac:dyDescent="0.3">
      <c r="A20" s="103" t="s">
        <v>1070</v>
      </c>
      <c r="B20" s="103" t="s">
        <v>1438</v>
      </c>
      <c r="C20" s="103" t="s">
        <v>1898</v>
      </c>
      <c r="D20" s="103" t="s">
        <v>2096</v>
      </c>
      <c r="E20" s="103">
        <v>0</v>
      </c>
      <c r="F20" s="103"/>
      <c r="G20" s="103"/>
      <c r="H20" s="102" t="s">
        <v>2097</v>
      </c>
      <c r="J20" s="102">
        <v>39.950000000000003</v>
      </c>
      <c r="K20" s="102" t="s">
        <v>1910</v>
      </c>
    </row>
    <row r="21" spans="1:13" x14ac:dyDescent="0.3">
      <c r="A21" s="103" t="s">
        <v>1070</v>
      </c>
      <c r="B21" s="103" t="s">
        <v>1438</v>
      </c>
      <c r="C21" s="103" t="s">
        <v>1898</v>
      </c>
      <c r="D21" s="103" t="s">
        <v>2098</v>
      </c>
      <c r="E21" s="103">
        <v>0</v>
      </c>
      <c r="F21" s="103"/>
      <c r="G21" s="103"/>
      <c r="H21" s="102" t="s">
        <v>2099</v>
      </c>
      <c r="J21" s="102">
        <v>44.95</v>
      </c>
      <c r="K21" s="102" t="s">
        <v>1910</v>
      </c>
    </row>
    <row r="22" spans="1:13" x14ac:dyDescent="0.3">
      <c r="A22" s="102" t="s">
        <v>1070</v>
      </c>
      <c r="B22" s="117" t="s">
        <v>1438</v>
      </c>
      <c r="C22" s="102" t="s">
        <v>8</v>
      </c>
      <c r="D22" s="103" t="s">
        <v>1743</v>
      </c>
      <c r="E22" s="103">
        <v>1</v>
      </c>
      <c r="F22" s="103" t="s">
        <v>1744</v>
      </c>
      <c r="G22" s="103" t="s">
        <v>1745</v>
      </c>
      <c r="H22" s="103" t="s">
        <v>1746</v>
      </c>
      <c r="I22" s="103">
        <v>1</v>
      </c>
      <c r="J22" s="103">
        <v>24.95</v>
      </c>
      <c r="K22" s="103" t="s">
        <v>1914</v>
      </c>
      <c r="M22" s="105">
        <f t="shared" si="0"/>
        <v>24.95</v>
      </c>
    </row>
    <row r="23" spans="1:13" x14ac:dyDescent="0.3">
      <c r="A23" s="102" t="s">
        <v>1070</v>
      </c>
      <c r="B23" s="117" t="s">
        <v>1071</v>
      </c>
      <c r="C23" s="102" t="s">
        <v>8</v>
      </c>
      <c r="D23" s="103" t="s">
        <v>981</v>
      </c>
      <c r="E23" s="103">
        <v>1</v>
      </c>
      <c r="F23" s="103" t="s">
        <v>982</v>
      </c>
      <c r="G23" s="103" t="s">
        <v>983</v>
      </c>
      <c r="H23" s="103" t="s">
        <v>984</v>
      </c>
      <c r="I23" s="103"/>
      <c r="J23" s="103">
        <v>209.95</v>
      </c>
      <c r="K23" s="103" t="s">
        <v>1914</v>
      </c>
      <c r="L23" s="103" t="s">
        <v>1062</v>
      </c>
      <c r="M23" s="105">
        <f t="shared" si="0"/>
        <v>209.95</v>
      </c>
    </row>
    <row r="24" spans="1:13" x14ac:dyDescent="0.3">
      <c r="A24" s="102" t="s">
        <v>1070</v>
      </c>
      <c r="B24" s="117" t="s">
        <v>1437</v>
      </c>
      <c r="C24" s="102" t="s">
        <v>8</v>
      </c>
      <c r="D24" s="103" t="s">
        <v>977</v>
      </c>
      <c r="E24" s="103">
        <v>1</v>
      </c>
      <c r="F24" s="103" t="s">
        <v>978</v>
      </c>
      <c r="G24" s="103" t="s">
        <v>979</v>
      </c>
      <c r="H24" s="103" t="s">
        <v>980</v>
      </c>
      <c r="I24" s="103">
        <v>1</v>
      </c>
      <c r="J24" s="103">
        <v>49.95</v>
      </c>
      <c r="K24" s="103" t="s">
        <v>1910</v>
      </c>
      <c r="L24" s="103" t="s">
        <v>1061</v>
      </c>
      <c r="M24" s="105">
        <f t="shared" si="0"/>
        <v>49.95</v>
      </c>
    </row>
    <row r="25" spans="1:13" x14ac:dyDescent="0.3">
      <c r="A25" s="102" t="s">
        <v>1070</v>
      </c>
      <c r="B25" s="117" t="s">
        <v>2023</v>
      </c>
      <c r="C25" s="102" t="s">
        <v>1898</v>
      </c>
      <c r="D25" s="103" t="s">
        <v>2348</v>
      </c>
      <c r="E25" s="103">
        <v>0</v>
      </c>
      <c r="F25" s="103"/>
      <c r="G25" s="103"/>
      <c r="H25" s="103" t="s">
        <v>2349</v>
      </c>
      <c r="I25" s="103"/>
      <c r="J25" s="103">
        <v>9.9499999999999993</v>
      </c>
      <c r="K25" s="103" t="s">
        <v>1910</v>
      </c>
      <c r="L25" s="127"/>
    </row>
    <row r="26" spans="1:13" x14ac:dyDescent="0.3">
      <c r="A26" s="102" t="s">
        <v>1070</v>
      </c>
      <c r="B26" s="117" t="s">
        <v>2023</v>
      </c>
      <c r="C26" s="102" t="s">
        <v>1898</v>
      </c>
      <c r="D26" s="103" t="s">
        <v>2350</v>
      </c>
      <c r="E26" s="103">
        <v>0</v>
      </c>
      <c r="F26" s="103"/>
      <c r="G26" s="103"/>
      <c r="H26" s="103" t="s">
        <v>2351</v>
      </c>
      <c r="I26" s="103"/>
      <c r="J26" s="103">
        <v>24.95</v>
      </c>
      <c r="K26" s="103" t="s">
        <v>1910</v>
      </c>
      <c r="L26" s="127"/>
    </row>
    <row r="27" spans="1:13" x14ac:dyDescent="0.3">
      <c r="A27" s="102" t="s">
        <v>1070</v>
      </c>
      <c r="B27" s="117" t="s">
        <v>2023</v>
      </c>
      <c r="C27" s="102" t="s">
        <v>1898</v>
      </c>
      <c r="D27" s="103" t="s">
        <v>2352</v>
      </c>
      <c r="E27" s="103">
        <v>0</v>
      </c>
      <c r="F27" s="103"/>
      <c r="G27" s="103"/>
      <c r="H27" s="103" t="s">
        <v>2353</v>
      </c>
      <c r="I27" s="103"/>
      <c r="J27" s="103">
        <v>26.95</v>
      </c>
      <c r="K27" s="103" t="s">
        <v>1913</v>
      </c>
      <c r="L27" s="127"/>
    </row>
    <row r="28" spans="1:13" x14ac:dyDescent="0.3">
      <c r="A28" s="102" t="s">
        <v>1070</v>
      </c>
      <c r="B28" s="117" t="s">
        <v>2023</v>
      </c>
      <c r="C28" s="102" t="s">
        <v>1898</v>
      </c>
      <c r="D28" s="103" t="s">
        <v>2354</v>
      </c>
      <c r="E28" s="103">
        <v>0</v>
      </c>
      <c r="F28" s="103"/>
      <c r="G28" s="103"/>
      <c r="H28" s="103" t="s">
        <v>2355</v>
      </c>
      <c r="I28" s="103"/>
      <c r="J28" s="103">
        <v>14.95</v>
      </c>
      <c r="K28" s="103" t="s">
        <v>1910</v>
      </c>
      <c r="L28" s="127"/>
    </row>
    <row r="29" spans="1:13" x14ac:dyDescent="0.3">
      <c r="A29" s="102">
        <f>COUNTA(A2:A28)</f>
        <v>27</v>
      </c>
      <c r="E29" s="102">
        <f>SUM(E2:E24)</f>
        <v>17</v>
      </c>
      <c r="J29" s="102">
        <f>AVERAGE(J2:J24)</f>
        <v>68.128260869565239</v>
      </c>
      <c r="M29" s="105">
        <f>SUM(M2:M24)</f>
        <v>1075.3500000000004</v>
      </c>
    </row>
    <row r="36" spans="4:12" x14ac:dyDescent="0.3">
      <c r="D36" s="103"/>
      <c r="E36" s="103"/>
      <c r="F36" s="103"/>
      <c r="G36" s="103"/>
      <c r="H36" s="103"/>
      <c r="I36" s="103"/>
      <c r="J36" s="103"/>
      <c r="K36" s="103"/>
      <c r="L36" s="127"/>
    </row>
    <row r="37" spans="4:12" x14ac:dyDescent="0.3">
      <c r="D37" s="103"/>
      <c r="E37" s="103"/>
      <c r="F37" s="103"/>
      <c r="G37" s="103"/>
      <c r="H37" s="103"/>
      <c r="I37" s="103"/>
      <c r="J37" s="103"/>
      <c r="K37" s="103"/>
      <c r="L37" s="127"/>
    </row>
    <row r="38" spans="4:12" x14ac:dyDescent="0.3">
      <c r="D38" s="103"/>
      <c r="E38" s="103"/>
      <c r="F38" s="103"/>
      <c r="G38" s="103"/>
      <c r="H38" s="103"/>
      <c r="I38" s="103"/>
      <c r="J38" s="103"/>
      <c r="K38" s="103"/>
      <c r="L38" s="127"/>
    </row>
    <row r="39" spans="4:12" x14ac:dyDescent="0.3">
      <c r="D39" s="103"/>
      <c r="E39" s="103"/>
      <c r="F39" s="103"/>
      <c r="G39" s="103"/>
      <c r="H39" s="103"/>
      <c r="I39" s="103"/>
      <c r="J39" s="103"/>
      <c r="K39" s="103"/>
    </row>
    <row r="40" spans="4:12" x14ac:dyDescent="0.3">
      <c r="D40" s="103"/>
      <c r="E40" s="103"/>
      <c r="F40" s="103"/>
      <c r="G40" s="103"/>
      <c r="H40" s="103"/>
      <c r="I40" s="103"/>
      <c r="J40" s="103"/>
      <c r="K40" s="103"/>
    </row>
    <row r="41" spans="4:12" x14ac:dyDescent="0.3">
      <c r="D41" s="103"/>
      <c r="E41" s="103"/>
      <c r="F41" s="103"/>
      <c r="G41" s="103"/>
      <c r="H41" s="103"/>
      <c r="I41" s="103"/>
      <c r="J41" s="103"/>
      <c r="K41" s="103"/>
    </row>
    <row r="42" spans="4:12" x14ac:dyDescent="0.3">
      <c r="D42" s="103"/>
      <c r="E42" s="103"/>
      <c r="F42" s="103"/>
      <c r="G42" s="103"/>
      <c r="H42" s="103"/>
      <c r="I42" s="103"/>
      <c r="J42" s="103"/>
      <c r="K42" s="103"/>
    </row>
    <row r="43" spans="4:12" x14ac:dyDescent="0.3">
      <c r="D43" s="103"/>
      <c r="E43" s="103"/>
      <c r="F43" s="103"/>
      <c r="G43" s="103"/>
      <c r="H43" s="103"/>
      <c r="I43" s="103"/>
      <c r="J43" s="103"/>
      <c r="K43" s="103"/>
    </row>
    <row r="44" spans="4:12" x14ac:dyDescent="0.3">
      <c r="D44" s="103"/>
      <c r="E44" s="103"/>
      <c r="F44" s="103"/>
      <c r="G44" s="103"/>
      <c r="H44" s="103"/>
      <c r="I44" s="103"/>
      <c r="J44" s="103"/>
      <c r="K44" s="103"/>
    </row>
    <row r="45" spans="4:12" x14ac:dyDescent="0.3">
      <c r="D45" s="103"/>
      <c r="E45" s="103"/>
      <c r="F45" s="103"/>
      <c r="G45" s="103"/>
      <c r="H45" s="103"/>
      <c r="I45" s="103"/>
      <c r="J45" s="103"/>
      <c r="K45" s="103"/>
    </row>
    <row r="46" spans="4:12" x14ac:dyDescent="0.3">
      <c r="D46" s="103"/>
      <c r="E46" s="103"/>
      <c r="F46" s="103"/>
      <c r="G46" s="103"/>
      <c r="H46" s="103"/>
      <c r="I46" s="103"/>
      <c r="J46" s="103"/>
      <c r="K46" s="103"/>
    </row>
    <row r="47" spans="4:12" x14ac:dyDescent="0.3">
      <c r="D47" s="103"/>
      <c r="E47" s="103"/>
      <c r="F47" s="103"/>
      <c r="G47" s="103"/>
      <c r="H47" s="103"/>
      <c r="I47" s="103"/>
      <c r="J47" s="103"/>
      <c r="K47" s="103"/>
    </row>
    <row r="48" spans="4:12" x14ac:dyDescent="0.3">
      <c r="D48" s="103"/>
      <c r="E48" s="103"/>
      <c r="F48" s="103"/>
      <c r="G48" s="103"/>
      <c r="H48" s="103"/>
      <c r="I48" s="103"/>
      <c r="J48" s="103"/>
      <c r="K48" s="103"/>
    </row>
    <row r="49" spans="4:11" x14ac:dyDescent="0.3">
      <c r="D49" s="103"/>
      <c r="E49" s="103"/>
      <c r="F49" s="103"/>
      <c r="G49" s="103"/>
      <c r="H49" s="103"/>
      <c r="I49" s="103"/>
      <c r="J49" s="103"/>
      <c r="K49" s="103"/>
    </row>
    <row r="50" spans="4:11" x14ac:dyDescent="0.3">
      <c r="D50" s="103"/>
      <c r="E50" s="103"/>
      <c r="F50" s="103"/>
      <c r="G50" s="103"/>
      <c r="H50" s="103"/>
      <c r="I50" s="103"/>
      <c r="J50" s="103"/>
      <c r="K50" s="103"/>
    </row>
    <row r="51" spans="4:11" x14ac:dyDescent="0.3">
      <c r="D51" s="103"/>
      <c r="E51" s="103"/>
      <c r="F51" s="103"/>
      <c r="G51" s="103"/>
      <c r="H51" s="103"/>
      <c r="I51" s="103"/>
      <c r="J51" s="103"/>
      <c r="K51" s="103"/>
    </row>
    <row r="52" spans="4:11" x14ac:dyDescent="0.3">
      <c r="D52" s="103"/>
      <c r="E52" s="103"/>
      <c r="F52" s="103"/>
      <c r="G52" s="103"/>
      <c r="H52" s="103"/>
      <c r="I52" s="103"/>
      <c r="J52" s="103"/>
      <c r="K52" s="103"/>
    </row>
    <row r="53" spans="4:11" x14ac:dyDescent="0.3">
      <c r="D53" s="103"/>
      <c r="E53" s="103"/>
      <c r="F53" s="103"/>
      <c r="G53" s="103"/>
      <c r="H53" s="103"/>
      <c r="I53" s="103"/>
      <c r="J53" s="103"/>
      <c r="K53" s="103"/>
    </row>
    <row r="54" spans="4:11" x14ac:dyDescent="0.3">
      <c r="D54" s="103"/>
      <c r="E54" s="103"/>
      <c r="F54" s="103"/>
      <c r="G54" s="103"/>
      <c r="H54" s="103"/>
      <c r="I54" s="103"/>
      <c r="J54" s="103"/>
      <c r="K54" s="103"/>
    </row>
    <row r="55" spans="4:11" x14ac:dyDescent="0.3">
      <c r="D55" s="103"/>
      <c r="E55" s="103"/>
      <c r="F55" s="103"/>
      <c r="G55" s="103"/>
      <c r="H55" s="103"/>
      <c r="I55" s="103"/>
      <c r="J55" s="103"/>
      <c r="K55" s="103"/>
    </row>
    <row r="56" spans="4:11" x14ac:dyDescent="0.3">
      <c r="D56" s="103"/>
      <c r="E56" s="103"/>
      <c r="F56" s="103"/>
      <c r="G56" s="103"/>
      <c r="H56" s="103"/>
      <c r="I56" s="103"/>
      <c r="J56" s="103"/>
      <c r="K56" s="103"/>
    </row>
    <row r="57" spans="4:11" x14ac:dyDescent="0.3">
      <c r="D57" s="103"/>
      <c r="E57" s="103"/>
      <c r="F57" s="103"/>
      <c r="G57" s="103"/>
      <c r="H57" s="103"/>
      <c r="I57" s="103"/>
      <c r="J57" s="103"/>
      <c r="K57" s="103"/>
    </row>
    <row r="58" spans="4:11" x14ac:dyDescent="0.3">
      <c r="D58" s="103"/>
      <c r="E58" s="103"/>
      <c r="F58" s="103"/>
      <c r="G58" s="103"/>
      <c r="H58" s="103"/>
      <c r="I58" s="103"/>
      <c r="J58" s="103"/>
      <c r="K58" s="103"/>
    </row>
    <row r="59" spans="4:11" x14ac:dyDescent="0.3">
      <c r="D59" s="103"/>
      <c r="E59" s="103"/>
      <c r="F59" s="103"/>
      <c r="G59" s="103"/>
      <c r="H59" s="103"/>
      <c r="I59" s="103"/>
      <c r="J59" s="103"/>
      <c r="K59" s="103"/>
    </row>
    <row r="60" spans="4:11" x14ac:dyDescent="0.3">
      <c r="D60" s="103"/>
      <c r="E60" s="103"/>
      <c r="F60" s="103"/>
      <c r="G60" s="103"/>
      <c r="H60" s="103"/>
      <c r="I60" s="103"/>
      <c r="J60" s="103"/>
      <c r="K60" s="103"/>
    </row>
    <row r="61" spans="4:11" x14ac:dyDescent="0.3">
      <c r="D61" s="103"/>
      <c r="E61" s="103"/>
      <c r="F61" s="103"/>
      <c r="G61" s="103"/>
      <c r="H61" s="103"/>
      <c r="I61" s="103"/>
      <c r="J61" s="103"/>
      <c r="K61" s="103"/>
    </row>
    <row r="62" spans="4:11" x14ac:dyDescent="0.3">
      <c r="D62" s="103"/>
      <c r="E62" s="103"/>
      <c r="F62" s="103"/>
      <c r="G62" s="103"/>
      <c r="H62" s="103"/>
      <c r="I62" s="103"/>
      <c r="J62" s="103"/>
      <c r="K62" s="103"/>
    </row>
    <row r="63" spans="4:11" x14ac:dyDescent="0.3">
      <c r="D63" s="103"/>
      <c r="E63" s="103"/>
      <c r="F63" s="103"/>
      <c r="G63" s="103"/>
      <c r="H63" s="103"/>
      <c r="I63" s="103"/>
      <c r="J63" s="103"/>
      <c r="K63" s="103"/>
    </row>
    <row r="64" spans="4:11" x14ac:dyDescent="0.3">
      <c r="D64" s="103"/>
      <c r="E64" s="103"/>
      <c r="F64" s="103"/>
      <c r="G64" s="103"/>
      <c r="H64" s="103"/>
      <c r="I64" s="103"/>
      <c r="J64" s="103"/>
      <c r="K64" s="103"/>
    </row>
    <row r="65" spans="4:11" x14ac:dyDescent="0.3">
      <c r="D65" s="103"/>
      <c r="E65" s="103"/>
      <c r="F65" s="103"/>
      <c r="G65" s="103"/>
      <c r="H65" s="103"/>
      <c r="I65" s="103"/>
      <c r="J65" s="103"/>
      <c r="K65" s="103"/>
    </row>
    <row r="66" spans="4:11" x14ac:dyDescent="0.3">
      <c r="D66" s="103"/>
      <c r="E66" s="103"/>
      <c r="F66" s="103"/>
      <c r="G66" s="103"/>
      <c r="H66" s="103"/>
      <c r="I66" s="103"/>
      <c r="J66" s="103"/>
      <c r="K66" s="103"/>
    </row>
    <row r="67" spans="4:11" x14ac:dyDescent="0.3">
      <c r="D67" s="103"/>
      <c r="E67" s="103"/>
      <c r="F67" s="103"/>
      <c r="G67" s="103"/>
      <c r="H67" s="103"/>
      <c r="I67" s="103"/>
      <c r="J67" s="103"/>
      <c r="K67" s="103"/>
    </row>
    <row r="68" spans="4:11" x14ac:dyDescent="0.3">
      <c r="D68" s="103"/>
      <c r="E68" s="103"/>
      <c r="F68" s="103"/>
      <c r="G68" s="103"/>
      <c r="H68" s="103"/>
      <c r="I68" s="103"/>
      <c r="J68" s="103"/>
      <c r="K68" s="103"/>
    </row>
    <row r="69" spans="4:11" x14ac:dyDescent="0.3">
      <c r="D69" s="103"/>
      <c r="E69" s="103"/>
      <c r="F69" s="103"/>
      <c r="G69" s="103"/>
      <c r="H69" s="103"/>
      <c r="I69" s="103"/>
      <c r="J69" s="103"/>
      <c r="K69" s="103"/>
    </row>
    <row r="70" spans="4:11" x14ac:dyDescent="0.3">
      <c r="D70" s="103"/>
      <c r="E70" s="103"/>
      <c r="F70" s="103"/>
      <c r="G70" s="103"/>
      <c r="H70" s="103"/>
      <c r="I70" s="103"/>
      <c r="J70" s="103"/>
      <c r="K70" s="103"/>
    </row>
    <row r="71" spans="4:11" x14ac:dyDescent="0.3">
      <c r="D71" s="103"/>
      <c r="E71" s="103"/>
      <c r="F71" s="103"/>
      <c r="G71" s="103"/>
      <c r="H71" s="103"/>
      <c r="I71" s="103"/>
      <c r="J71" s="103"/>
      <c r="K71" s="103"/>
    </row>
    <row r="72" spans="4:11" x14ac:dyDescent="0.3">
      <c r="D72" s="103"/>
      <c r="E72" s="103"/>
      <c r="F72" s="103"/>
      <c r="G72" s="103"/>
      <c r="H72" s="103"/>
      <c r="I72" s="103"/>
      <c r="J72" s="103"/>
      <c r="K72" s="103"/>
    </row>
    <row r="73" spans="4:11" x14ac:dyDescent="0.3">
      <c r="D73" s="103"/>
      <c r="E73" s="103"/>
      <c r="F73" s="103"/>
      <c r="G73" s="103"/>
      <c r="H73" s="103"/>
      <c r="I73" s="103"/>
      <c r="J73" s="103"/>
      <c r="K73" s="103"/>
    </row>
    <row r="74" spans="4:11" x14ac:dyDescent="0.3">
      <c r="D74" s="103"/>
      <c r="E74" s="103"/>
      <c r="F74" s="103"/>
      <c r="G74" s="103"/>
      <c r="H74" s="103"/>
      <c r="I74" s="103"/>
      <c r="J74" s="103"/>
      <c r="K74" s="103"/>
    </row>
    <row r="75" spans="4:11" x14ac:dyDescent="0.3">
      <c r="D75" s="103"/>
      <c r="E75" s="103"/>
      <c r="F75" s="103"/>
      <c r="G75" s="103"/>
      <c r="H75" s="103"/>
      <c r="I75" s="103"/>
      <c r="J75" s="103"/>
      <c r="K75" s="103"/>
    </row>
    <row r="76" spans="4:11" x14ac:dyDescent="0.3">
      <c r="D76" s="103"/>
      <c r="E76" s="103"/>
      <c r="F76" s="103"/>
      <c r="G76" s="103"/>
      <c r="H76" s="103"/>
      <c r="I76" s="103"/>
      <c r="J76" s="103"/>
      <c r="K76" s="103"/>
    </row>
    <row r="77" spans="4:11" x14ac:dyDescent="0.3">
      <c r="D77" s="103"/>
      <c r="E77" s="103"/>
      <c r="F77" s="103"/>
      <c r="G77" s="103"/>
      <c r="H77" s="103"/>
      <c r="I77" s="103"/>
      <c r="J77" s="103"/>
      <c r="K77" s="103"/>
    </row>
    <row r="78" spans="4:11" x14ac:dyDescent="0.3">
      <c r="D78" s="103"/>
      <c r="E78" s="103"/>
      <c r="F78" s="103"/>
      <c r="G78" s="103"/>
      <c r="H78" s="103"/>
      <c r="I78" s="103"/>
      <c r="J78" s="103"/>
      <c r="K78" s="103"/>
    </row>
    <row r="79" spans="4:11" x14ac:dyDescent="0.3">
      <c r="D79" s="103"/>
      <c r="E79" s="103"/>
      <c r="F79" s="103"/>
      <c r="G79" s="103"/>
      <c r="H79" s="103"/>
      <c r="I79" s="103"/>
      <c r="J79" s="103"/>
      <c r="K79" s="103"/>
    </row>
    <row r="80" spans="4:11" x14ac:dyDescent="0.3">
      <c r="D80" s="103"/>
      <c r="E80" s="103"/>
      <c r="F80" s="103"/>
      <c r="G80" s="103"/>
      <c r="H80" s="103"/>
      <c r="I80" s="103"/>
      <c r="J80" s="103"/>
      <c r="K80" s="103"/>
    </row>
    <row r="81" spans="4:11" x14ac:dyDescent="0.3">
      <c r="D81" s="103"/>
      <c r="E81" s="103"/>
      <c r="F81" s="103"/>
      <c r="G81" s="103"/>
      <c r="H81" s="103"/>
      <c r="I81" s="103"/>
      <c r="J81" s="103"/>
      <c r="K81" s="103"/>
    </row>
    <row r="82" spans="4:11" x14ac:dyDescent="0.3">
      <c r="D82" s="103"/>
      <c r="E82" s="103"/>
      <c r="F82" s="103"/>
      <c r="G82" s="103"/>
      <c r="H82" s="103"/>
      <c r="I82" s="103"/>
      <c r="J82" s="103"/>
      <c r="K82" s="103"/>
    </row>
    <row r="83" spans="4:11" x14ac:dyDescent="0.3">
      <c r="D83" s="103"/>
      <c r="E83" s="103"/>
      <c r="F83" s="103"/>
      <c r="G83" s="103"/>
      <c r="H83" s="103"/>
      <c r="I83" s="103"/>
      <c r="J83" s="103"/>
      <c r="K83" s="103"/>
    </row>
    <row r="84" spans="4:11" x14ac:dyDescent="0.3">
      <c r="D84" s="103"/>
      <c r="E84" s="103"/>
      <c r="F84" s="103"/>
      <c r="G84" s="103"/>
      <c r="H84" s="103"/>
      <c r="I84" s="103"/>
      <c r="J84" s="103"/>
      <c r="K84" s="103"/>
    </row>
    <row r="85" spans="4:11" x14ac:dyDescent="0.3">
      <c r="D85" s="103"/>
      <c r="E85" s="103"/>
      <c r="F85" s="103"/>
      <c r="G85" s="103"/>
      <c r="H85" s="103"/>
      <c r="I85" s="103"/>
      <c r="J85" s="103"/>
      <c r="K85" s="103"/>
    </row>
    <row r="86" spans="4:11" x14ac:dyDescent="0.3">
      <c r="D86" s="103"/>
      <c r="E86" s="103"/>
      <c r="F86" s="103"/>
      <c r="G86" s="103"/>
      <c r="H86" s="103"/>
      <c r="I86" s="103"/>
      <c r="J86" s="103"/>
      <c r="K86" s="103"/>
    </row>
    <row r="87" spans="4:11" x14ac:dyDescent="0.3">
      <c r="D87" s="103"/>
      <c r="E87" s="103"/>
      <c r="F87" s="103"/>
      <c r="G87" s="103"/>
      <c r="H87" s="103"/>
      <c r="I87" s="103"/>
      <c r="J87" s="103"/>
      <c r="K87" s="103"/>
    </row>
    <row r="88" spans="4:11" x14ac:dyDescent="0.3">
      <c r="D88" s="103"/>
      <c r="E88" s="103"/>
      <c r="F88" s="103"/>
      <c r="G88" s="103"/>
      <c r="H88" s="103"/>
      <c r="I88" s="103"/>
      <c r="J88" s="103"/>
      <c r="K88" s="103"/>
    </row>
    <row r="89" spans="4:11" x14ac:dyDescent="0.3">
      <c r="D89" s="103"/>
      <c r="E89" s="103"/>
      <c r="F89" s="103"/>
      <c r="G89" s="103"/>
      <c r="H89" s="103"/>
      <c r="I89" s="103"/>
      <c r="J89" s="103"/>
      <c r="K89" s="103"/>
    </row>
    <row r="90" spans="4:11" x14ac:dyDescent="0.3">
      <c r="D90" s="103"/>
      <c r="E90" s="103"/>
      <c r="F90" s="103"/>
      <c r="G90" s="103"/>
      <c r="H90" s="103"/>
      <c r="I90" s="103"/>
      <c r="J90" s="103"/>
      <c r="K90" s="103"/>
    </row>
    <row r="91" spans="4:11" x14ac:dyDescent="0.3">
      <c r="D91" s="103"/>
      <c r="E91" s="103"/>
      <c r="F91" s="103"/>
      <c r="G91" s="103"/>
      <c r="H91" s="103"/>
      <c r="I91" s="103"/>
      <c r="J91" s="103"/>
      <c r="K91" s="103"/>
    </row>
    <row r="92" spans="4:11" x14ac:dyDescent="0.3">
      <c r="D92" s="103"/>
      <c r="E92" s="103"/>
      <c r="F92" s="103"/>
      <c r="G92" s="103"/>
      <c r="H92" s="103"/>
      <c r="I92" s="103"/>
      <c r="J92" s="103"/>
      <c r="K92" s="103"/>
    </row>
    <row r="93" spans="4:11" x14ac:dyDescent="0.3">
      <c r="D93" s="103"/>
      <c r="E93" s="103"/>
      <c r="F93" s="103"/>
      <c r="G93" s="103"/>
      <c r="H93" s="103"/>
      <c r="I93" s="103"/>
      <c r="J93" s="103"/>
      <c r="K93" s="103"/>
    </row>
    <row r="94" spans="4:11" x14ac:dyDescent="0.3">
      <c r="D94" s="103"/>
      <c r="E94" s="103"/>
      <c r="F94" s="103"/>
      <c r="G94" s="103"/>
      <c r="H94" s="103"/>
      <c r="I94" s="103"/>
      <c r="J94" s="103"/>
      <c r="K94" s="103"/>
    </row>
    <row r="95" spans="4:11" x14ac:dyDescent="0.3">
      <c r="D95" s="103"/>
      <c r="E95" s="103"/>
      <c r="F95" s="103"/>
      <c r="G95" s="103"/>
      <c r="H95" s="103"/>
      <c r="I95" s="103"/>
      <c r="J95" s="103"/>
      <c r="K95" s="103"/>
    </row>
    <row r="96" spans="4:11" x14ac:dyDescent="0.3">
      <c r="D96" s="103"/>
      <c r="E96" s="103"/>
      <c r="F96" s="103"/>
      <c r="G96" s="103"/>
      <c r="H96" s="103"/>
      <c r="I96" s="103"/>
      <c r="J96" s="103"/>
      <c r="K96" s="103"/>
    </row>
    <row r="97" spans="4:11" x14ac:dyDescent="0.3">
      <c r="D97" s="103"/>
      <c r="E97" s="103"/>
      <c r="F97" s="103"/>
      <c r="G97" s="103"/>
      <c r="H97" s="103"/>
      <c r="I97" s="103"/>
      <c r="J97" s="103"/>
      <c r="K97" s="103"/>
    </row>
    <row r="98" spans="4:11" x14ac:dyDescent="0.3">
      <c r="D98" s="103"/>
      <c r="E98" s="103"/>
      <c r="F98" s="103"/>
      <c r="G98" s="103"/>
      <c r="H98" s="103"/>
      <c r="I98" s="103"/>
      <c r="J98" s="103"/>
      <c r="K98" s="103"/>
    </row>
    <row r="99" spans="4:11" x14ac:dyDescent="0.3">
      <c r="D99" s="103"/>
      <c r="E99" s="103"/>
      <c r="F99" s="103"/>
      <c r="G99" s="103"/>
      <c r="H99" s="103"/>
      <c r="I99" s="103"/>
      <c r="J99" s="103"/>
      <c r="K99" s="103"/>
    </row>
    <row r="100" spans="4:11" x14ac:dyDescent="0.3">
      <c r="D100" s="103"/>
      <c r="E100" s="103"/>
      <c r="F100" s="103"/>
      <c r="G100" s="103"/>
      <c r="H100" s="103"/>
      <c r="I100" s="103"/>
      <c r="J100" s="103"/>
      <c r="K100" s="103"/>
    </row>
    <row r="101" spans="4:11" x14ac:dyDescent="0.3">
      <c r="D101" s="103"/>
      <c r="E101" s="103"/>
      <c r="F101" s="103"/>
      <c r="G101" s="103"/>
      <c r="H101" s="103"/>
      <c r="I101" s="103"/>
      <c r="J101" s="103"/>
      <c r="K101" s="103"/>
    </row>
    <row r="102" spans="4:11" x14ac:dyDescent="0.3">
      <c r="D102" s="103"/>
      <c r="E102" s="103"/>
      <c r="F102" s="103"/>
      <c r="G102" s="103"/>
      <c r="H102" s="103"/>
      <c r="I102" s="103"/>
      <c r="J102" s="103"/>
      <c r="K102" s="103"/>
    </row>
    <row r="103" spans="4:11" x14ac:dyDescent="0.3">
      <c r="D103" s="103"/>
      <c r="E103" s="103"/>
      <c r="F103" s="103"/>
      <c r="G103" s="103"/>
      <c r="H103" s="103"/>
      <c r="I103" s="103"/>
      <c r="J103" s="103"/>
      <c r="K103" s="103"/>
    </row>
    <row r="104" spans="4:11" x14ac:dyDescent="0.3">
      <c r="D104" s="103"/>
      <c r="E104" s="103"/>
      <c r="F104" s="103"/>
      <c r="G104" s="103"/>
      <c r="H104" s="103"/>
      <c r="I104" s="103"/>
      <c r="J104" s="103"/>
      <c r="K104" s="103"/>
    </row>
    <row r="105" spans="4:11" x14ac:dyDescent="0.3">
      <c r="D105" s="103"/>
      <c r="E105" s="103"/>
      <c r="F105" s="103"/>
      <c r="G105" s="103"/>
      <c r="H105" s="103"/>
      <c r="I105" s="103"/>
      <c r="J105" s="103"/>
      <c r="K105" s="103"/>
    </row>
    <row r="106" spans="4:11" x14ac:dyDescent="0.3">
      <c r="D106" s="103"/>
      <c r="E106" s="103"/>
      <c r="F106" s="103"/>
      <c r="G106" s="103"/>
      <c r="H106" s="103"/>
      <c r="I106" s="103"/>
      <c r="J106" s="103"/>
      <c r="K106" s="103"/>
    </row>
    <row r="107" spans="4:11" x14ac:dyDescent="0.3">
      <c r="D107" s="103"/>
      <c r="E107" s="103"/>
      <c r="F107" s="103"/>
      <c r="G107" s="103"/>
      <c r="H107" s="103"/>
      <c r="I107" s="103"/>
      <c r="J107" s="103"/>
      <c r="K107" s="103"/>
    </row>
    <row r="108" spans="4:11" x14ac:dyDescent="0.3">
      <c r="D108" s="103"/>
      <c r="E108" s="103"/>
      <c r="F108" s="103"/>
      <c r="G108" s="103"/>
      <c r="H108" s="103"/>
      <c r="I108" s="103"/>
      <c r="J108" s="103"/>
      <c r="K108" s="103"/>
    </row>
    <row r="109" spans="4:11" x14ac:dyDescent="0.3">
      <c r="D109" s="103"/>
      <c r="E109" s="103"/>
      <c r="F109" s="103"/>
      <c r="G109" s="103"/>
      <c r="H109" s="103"/>
      <c r="I109" s="103"/>
      <c r="J109" s="103"/>
      <c r="K109" s="103"/>
    </row>
    <row r="110" spans="4:11" x14ac:dyDescent="0.3">
      <c r="D110" s="103"/>
      <c r="E110" s="103"/>
      <c r="F110" s="103"/>
      <c r="G110" s="103"/>
      <c r="H110" s="103"/>
      <c r="I110" s="103"/>
      <c r="J110" s="103"/>
      <c r="K110" s="103"/>
    </row>
    <row r="111" spans="4:11" x14ac:dyDescent="0.3">
      <c r="D111" s="103"/>
      <c r="E111" s="103"/>
      <c r="F111" s="103"/>
      <c r="G111" s="103"/>
      <c r="H111" s="103"/>
      <c r="I111" s="103"/>
      <c r="J111" s="103"/>
      <c r="K111" s="103"/>
    </row>
    <row r="112" spans="4:11" x14ac:dyDescent="0.3">
      <c r="D112" s="103"/>
      <c r="E112" s="103"/>
      <c r="F112" s="103"/>
      <c r="G112" s="103"/>
      <c r="H112" s="103"/>
      <c r="I112" s="103"/>
      <c r="J112" s="103"/>
      <c r="K112" s="103"/>
    </row>
    <row r="113" spans="4:11" x14ac:dyDescent="0.3">
      <c r="D113" s="103"/>
      <c r="E113" s="103"/>
      <c r="F113" s="103"/>
      <c r="G113" s="103"/>
      <c r="H113" s="103"/>
      <c r="I113" s="103"/>
      <c r="J113" s="103"/>
      <c r="K113" s="103"/>
    </row>
    <row r="114" spans="4:11" x14ac:dyDescent="0.3">
      <c r="D114" s="103"/>
      <c r="E114" s="103"/>
      <c r="F114" s="103"/>
      <c r="G114" s="103"/>
      <c r="H114" s="103"/>
      <c r="I114" s="103"/>
      <c r="J114" s="103"/>
      <c r="K114" s="103"/>
    </row>
    <row r="115" spans="4:11" x14ac:dyDescent="0.3">
      <c r="D115" s="103"/>
      <c r="E115" s="103"/>
      <c r="F115" s="103"/>
      <c r="G115" s="103"/>
      <c r="H115" s="103"/>
      <c r="I115" s="103"/>
      <c r="J115" s="103"/>
      <c r="K115" s="103"/>
    </row>
    <row r="116" spans="4:11" x14ac:dyDescent="0.3">
      <c r="D116" s="103"/>
      <c r="E116" s="103"/>
      <c r="F116" s="103"/>
      <c r="G116" s="103"/>
      <c r="H116" s="103"/>
      <c r="I116" s="103"/>
      <c r="J116" s="103"/>
      <c r="K116" s="103"/>
    </row>
    <row r="117" spans="4:11" x14ac:dyDescent="0.3">
      <c r="D117" s="103"/>
      <c r="E117" s="103"/>
      <c r="F117" s="103"/>
      <c r="G117" s="103"/>
      <c r="H117" s="103"/>
      <c r="I117" s="103"/>
      <c r="J117" s="103"/>
      <c r="K117" s="103"/>
    </row>
    <row r="118" spans="4:11" x14ac:dyDescent="0.3">
      <c r="D118" s="103"/>
      <c r="E118" s="103"/>
      <c r="F118" s="103"/>
      <c r="G118" s="103"/>
      <c r="H118" s="103"/>
      <c r="I118" s="103"/>
      <c r="J118" s="103"/>
      <c r="K118" s="103"/>
    </row>
    <row r="119" spans="4:11" x14ac:dyDescent="0.3">
      <c r="D119" s="103"/>
      <c r="E119" s="103"/>
      <c r="F119" s="103"/>
      <c r="G119" s="103"/>
      <c r="H119" s="103"/>
      <c r="I119" s="103"/>
      <c r="J119" s="103"/>
      <c r="K119" s="103"/>
    </row>
    <row r="120" spans="4:11" x14ac:dyDescent="0.3">
      <c r="D120" s="103"/>
      <c r="E120" s="103"/>
      <c r="F120" s="103"/>
      <c r="G120" s="103"/>
      <c r="H120" s="103"/>
      <c r="I120" s="103"/>
      <c r="J120" s="103"/>
      <c r="K120" s="103"/>
    </row>
    <row r="121" spans="4:11" x14ac:dyDescent="0.3">
      <c r="D121" s="103"/>
      <c r="E121" s="103"/>
      <c r="F121" s="103"/>
      <c r="G121" s="103"/>
      <c r="H121" s="103"/>
      <c r="I121" s="103"/>
      <c r="J121" s="103"/>
      <c r="K121" s="103"/>
    </row>
    <row r="122" spans="4:11" x14ac:dyDescent="0.3">
      <c r="D122" s="103"/>
      <c r="E122" s="103"/>
      <c r="F122" s="103"/>
      <c r="G122" s="103"/>
      <c r="H122" s="103"/>
      <c r="I122" s="103"/>
      <c r="J122" s="103"/>
      <c r="K122" s="103"/>
    </row>
    <row r="123" spans="4:11" x14ac:dyDescent="0.3">
      <c r="D123" s="103"/>
      <c r="E123" s="103"/>
      <c r="F123" s="103"/>
      <c r="G123" s="103"/>
      <c r="H123" s="103"/>
      <c r="I123" s="103"/>
      <c r="J123" s="103"/>
      <c r="K123" s="103"/>
    </row>
    <row r="124" spans="4:11" x14ac:dyDescent="0.3">
      <c r="D124" s="103"/>
      <c r="E124" s="103"/>
      <c r="F124" s="103"/>
      <c r="G124" s="103"/>
      <c r="H124" s="103"/>
      <c r="I124" s="103"/>
      <c r="J124" s="103"/>
      <c r="K124" s="103"/>
    </row>
    <row r="125" spans="4:11" x14ac:dyDescent="0.3">
      <c r="D125" s="103"/>
      <c r="E125" s="103"/>
      <c r="F125" s="103"/>
      <c r="G125" s="103"/>
      <c r="H125" s="103"/>
      <c r="I125" s="103"/>
      <c r="J125" s="103"/>
      <c r="K125" s="103"/>
    </row>
    <row r="126" spans="4:11" x14ac:dyDescent="0.3">
      <c r="D126" s="103"/>
      <c r="E126" s="103"/>
      <c r="F126" s="103"/>
      <c r="G126" s="103"/>
      <c r="H126" s="103"/>
      <c r="I126" s="103"/>
      <c r="J126" s="103"/>
      <c r="K126" s="103"/>
    </row>
    <row r="127" spans="4:11" x14ac:dyDescent="0.3">
      <c r="D127" s="103"/>
      <c r="E127" s="103"/>
      <c r="F127" s="103"/>
      <c r="G127" s="103"/>
      <c r="H127" s="103"/>
      <c r="I127" s="103"/>
      <c r="J127" s="103"/>
      <c r="K127" s="103"/>
    </row>
    <row r="128" spans="4:11" x14ac:dyDescent="0.3">
      <c r="D128" s="103"/>
      <c r="E128" s="103"/>
      <c r="F128" s="103"/>
      <c r="G128" s="103"/>
      <c r="H128" s="103"/>
      <c r="I128" s="103"/>
      <c r="J128" s="103"/>
      <c r="K128" s="103"/>
    </row>
    <row r="129" spans="4:11" x14ac:dyDescent="0.3">
      <c r="D129" s="103"/>
      <c r="E129" s="103"/>
      <c r="F129" s="103"/>
      <c r="G129" s="103"/>
      <c r="H129" s="103"/>
      <c r="I129" s="103"/>
      <c r="J129" s="103"/>
      <c r="K129" s="103"/>
    </row>
    <row r="130" spans="4:11" x14ac:dyDescent="0.3">
      <c r="D130" s="103"/>
      <c r="E130" s="103"/>
      <c r="F130" s="103"/>
      <c r="G130" s="103"/>
      <c r="H130" s="103"/>
      <c r="I130" s="103"/>
      <c r="J130" s="103"/>
      <c r="K130" s="103"/>
    </row>
    <row r="131" spans="4:11" x14ac:dyDescent="0.3">
      <c r="D131" s="103"/>
      <c r="E131" s="103"/>
      <c r="F131" s="103"/>
      <c r="G131" s="103"/>
      <c r="H131" s="103"/>
      <c r="I131" s="103"/>
      <c r="J131" s="103"/>
      <c r="K131" s="103"/>
    </row>
    <row r="132" spans="4:11" x14ac:dyDescent="0.3">
      <c r="D132" s="103"/>
      <c r="E132" s="103"/>
      <c r="F132" s="103"/>
      <c r="G132" s="103"/>
      <c r="H132" s="103"/>
      <c r="I132" s="103"/>
      <c r="J132" s="103"/>
      <c r="K132" s="103"/>
    </row>
    <row r="133" spans="4:11" x14ac:dyDescent="0.3">
      <c r="D133" s="103"/>
      <c r="E133" s="103"/>
      <c r="F133" s="103"/>
      <c r="G133" s="103"/>
      <c r="H133" s="103"/>
      <c r="I133" s="103"/>
      <c r="J133" s="103"/>
      <c r="K133" s="103"/>
    </row>
    <row r="134" spans="4:11" x14ac:dyDescent="0.3">
      <c r="D134" s="103"/>
      <c r="E134" s="103"/>
      <c r="F134" s="103"/>
      <c r="G134" s="103"/>
      <c r="H134" s="103"/>
      <c r="I134" s="103"/>
      <c r="J134" s="103"/>
      <c r="K134" s="103"/>
    </row>
    <row r="135" spans="4:11" x14ac:dyDescent="0.3">
      <c r="D135" s="103"/>
      <c r="E135" s="103"/>
      <c r="F135" s="103"/>
      <c r="G135" s="103"/>
      <c r="H135" s="103"/>
      <c r="I135" s="103"/>
      <c r="J135" s="103"/>
      <c r="K135" s="103"/>
    </row>
    <row r="136" spans="4:11" x14ac:dyDescent="0.3">
      <c r="D136" s="103"/>
      <c r="E136" s="103"/>
      <c r="F136" s="103"/>
      <c r="G136" s="103"/>
      <c r="H136" s="103"/>
      <c r="I136" s="103"/>
      <c r="J136" s="103"/>
      <c r="K136" s="103"/>
    </row>
    <row r="137" spans="4:11" x14ac:dyDescent="0.3">
      <c r="D137" s="103"/>
      <c r="E137" s="103"/>
      <c r="F137" s="103"/>
      <c r="G137" s="103"/>
      <c r="H137" s="103"/>
      <c r="I137" s="103"/>
      <c r="J137" s="103"/>
      <c r="K137" s="103"/>
    </row>
    <row r="138" spans="4:11" x14ac:dyDescent="0.3">
      <c r="D138" s="103"/>
      <c r="E138" s="103"/>
      <c r="F138" s="103"/>
      <c r="G138" s="103"/>
      <c r="H138" s="103"/>
      <c r="I138" s="103"/>
      <c r="J138" s="103"/>
      <c r="K138" s="103"/>
    </row>
    <row r="139" spans="4:11" x14ac:dyDescent="0.3">
      <c r="D139" s="103"/>
      <c r="E139" s="103"/>
      <c r="F139" s="103"/>
      <c r="G139" s="103"/>
      <c r="H139" s="103"/>
      <c r="I139" s="103"/>
      <c r="J139" s="103"/>
      <c r="K139" s="103"/>
    </row>
    <row r="140" spans="4:11" x14ac:dyDescent="0.3">
      <c r="D140" s="103"/>
      <c r="E140" s="103"/>
      <c r="F140" s="103"/>
      <c r="G140" s="103"/>
      <c r="H140" s="103"/>
      <c r="I140" s="103"/>
      <c r="J140" s="103"/>
      <c r="K140" s="103"/>
    </row>
    <row r="141" spans="4:11" x14ac:dyDescent="0.3">
      <c r="D141" s="103"/>
      <c r="E141" s="103"/>
      <c r="F141" s="103"/>
      <c r="G141" s="103"/>
      <c r="H141" s="103"/>
      <c r="I141" s="103"/>
      <c r="J141" s="103"/>
      <c r="K141" s="103"/>
    </row>
    <row r="142" spans="4:11" x14ac:dyDescent="0.3">
      <c r="D142" s="103"/>
      <c r="E142" s="103"/>
      <c r="F142" s="103"/>
      <c r="G142" s="103"/>
      <c r="H142" s="103"/>
      <c r="I142" s="103"/>
      <c r="J142" s="103"/>
      <c r="K142" s="103"/>
    </row>
    <row r="143" spans="4:11" x14ac:dyDescent="0.3">
      <c r="D143" s="103"/>
      <c r="E143" s="103"/>
      <c r="F143" s="103"/>
      <c r="G143" s="103"/>
      <c r="H143" s="103"/>
      <c r="I143" s="103"/>
      <c r="J143" s="103"/>
      <c r="K143" s="103"/>
    </row>
    <row r="144" spans="4:11" x14ac:dyDescent="0.3">
      <c r="D144" s="103"/>
      <c r="E144" s="103"/>
      <c r="F144" s="103"/>
      <c r="G144" s="103"/>
      <c r="H144" s="103"/>
      <c r="I144" s="103"/>
      <c r="J144" s="103"/>
      <c r="K144" s="103"/>
    </row>
    <row r="145" spans="4:11" x14ac:dyDescent="0.3">
      <c r="D145" s="103"/>
      <c r="E145" s="103"/>
      <c r="F145" s="103"/>
      <c r="G145" s="103"/>
      <c r="H145" s="103"/>
      <c r="I145" s="103"/>
      <c r="J145" s="103"/>
      <c r="K145" s="103"/>
    </row>
    <row r="146" spans="4:11" x14ac:dyDescent="0.3">
      <c r="D146" s="103"/>
      <c r="E146" s="103"/>
      <c r="F146" s="103"/>
      <c r="G146" s="103"/>
      <c r="H146" s="103"/>
      <c r="I146" s="103"/>
      <c r="J146" s="103"/>
      <c r="K146" s="103"/>
    </row>
    <row r="147" spans="4:11" x14ac:dyDescent="0.3">
      <c r="D147" s="103"/>
      <c r="E147" s="103"/>
      <c r="F147" s="103"/>
      <c r="G147" s="103"/>
      <c r="H147" s="103"/>
      <c r="I147" s="103"/>
      <c r="J147" s="103"/>
      <c r="K147" s="103"/>
    </row>
    <row r="148" spans="4:11" x14ac:dyDescent="0.3">
      <c r="D148" s="103"/>
      <c r="E148" s="103"/>
      <c r="F148" s="103"/>
      <c r="G148" s="103"/>
      <c r="H148" s="103"/>
      <c r="I148" s="103"/>
      <c r="J148" s="103"/>
      <c r="K148" s="103"/>
    </row>
    <row r="149" spans="4:11" x14ac:dyDescent="0.3">
      <c r="D149" s="103"/>
      <c r="E149" s="103"/>
      <c r="F149" s="103"/>
      <c r="G149" s="103"/>
      <c r="H149" s="103"/>
      <c r="I149" s="103"/>
      <c r="J149" s="103"/>
      <c r="K149" s="103"/>
    </row>
    <row r="150" spans="4:11" x14ac:dyDescent="0.3">
      <c r="D150" s="103"/>
      <c r="E150" s="103"/>
      <c r="F150" s="103"/>
      <c r="G150" s="103"/>
      <c r="H150" s="103"/>
      <c r="I150" s="103"/>
      <c r="J150" s="103"/>
      <c r="K150" s="103"/>
    </row>
    <row r="151" spans="4:11" x14ac:dyDescent="0.3">
      <c r="D151" s="103"/>
      <c r="E151" s="103"/>
      <c r="F151" s="103"/>
      <c r="G151" s="103"/>
      <c r="H151" s="103"/>
      <c r="I151" s="103"/>
      <c r="J151" s="103"/>
      <c r="K151" s="103"/>
    </row>
    <row r="152" spans="4:11" x14ac:dyDescent="0.3">
      <c r="D152" s="103"/>
      <c r="E152" s="103"/>
      <c r="F152" s="103"/>
      <c r="G152" s="103"/>
      <c r="H152" s="103"/>
      <c r="I152" s="103"/>
      <c r="J152" s="103"/>
      <c r="K152" s="103"/>
    </row>
    <row r="153" spans="4:11" x14ac:dyDescent="0.3">
      <c r="D153" s="103"/>
      <c r="E153" s="103"/>
      <c r="F153" s="103"/>
      <c r="G153" s="103"/>
      <c r="H153" s="103"/>
      <c r="I153" s="103"/>
      <c r="J153" s="103"/>
      <c r="K153" s="103"/>
    </row>
    <row r="154" spans="4:11" x14ac:dyDescent="0.3">
      <c r="D154" s="103"/>
      <c r="E154" s="103"/>
      <c r="F154" s="103"/>
      <c r="G154" s="103"/>
      <c r="H154" s="103"/>
      <c r="I154" s="103"/>
      <c r="J154" s="103"/>
      <c r="K154" s="103"/>
    </row>
    <row r="155" spans="4:11" x14ac:dyDescent="0.3">
      <c r="D155" s="103"/>
      <c r="E155" s="103"/>
      <c r="F155" s="103"/>
      <c r="G155" s="103"/>
      <c r="H155" s="103"/>
      <c r="I155" s="103"/>
      <c r="J155" s="103"/>
      <c r="K155" s="103"/>
    </row>
    <row r="156" spans="4:11" x14ac:dyDescent="0.3">
      <c r="D156" s="103"/>
      <c r="E156" s="103"/>
      <c r="F156" s="103"/>
      <c r="G156" s="103"/>
      <c r="H156" s="103"/>
      <c r="I156" s="103"/>
      <c r="J156" s="103"/>
      <c r="K156" s="103"/>
    </row>
    <row r="157" spans="4:11" x14ac:dyDescent="0.3">
      <c r="D157" s="103"/>
      <c r="E157" s="103"/>
      <c r="F157" s="103"/>
      <c r="G157" s="103"/>
      <c r="H157" s="103"/>
      <c r="I157" s="103"/>
      <c r="J157" s="103"/>
      <c r="K157" s="103"/>
    </row>
    <row r="158" spans="4:11" x14ac:dyDescent="0.3">
      <c r="D158" s="103"/>
      <c r="E158" s="103"/>
      <c r="F158" s="103"/>
      <c r="G158" s="103"/>
      <c r="H158" s="103"/>
      <c r="I158" s="103"/>
      <c r="J158" s="103"/>
      <c r="K158" s="103"/>
    </row>
    <row r="159" spans="4:11" x14ac:dyDescent="0.3">
      <c r="D159" s="103"/>
      <c r="E159" s="103"/>
      <c r="F159" s="103"/>
      <c r="G159" s="103"/>
      <c r="H159" s="103"/>
      <c r="I159" s="103"/>
      <c r="J159" s="103"/>
      <c r="K159" s="103"/>
    </row>
    <row r="160" spans="4:11" x14ac:dyDescent="0.3">
      <c r="D160" s="103"/>
      <c r="E160" s="103"/>
      <c r="F160" s="103"/>
      <c r="G160" s="103"/>
      <c r="H160" s="103"/>
      <c r="I160" s="103"/>
      <c r="J160" s="103"/>
      <c r="K160" s="103"/>
    </row>
    <row r="161" spans="4:11" x14ac:dyDescent="0.3">
      <c r="D161" s="103"/>
      <c r="E161" s="103"/>
      <c r="F161" s="103"/>
      <c r="G161" s="103"/>
      <c r="H161" s="103"/>
      <c r="I161" s="103"/>
      <c r="J161" s="103"/>
      <c r="K161" s="103"/>
    </row>
    <row r="162" spans="4:11" x14ac:dyDescent="0.3">
      <c r="D162" s="103"/>
      <c r="E162" s="103"/>
      <c r="F162" s="103"/>
      <c r="G162" s="103"/>
      <c r="H162" s="103"/>
      <c r="I162" s="103"/>
      <c r="J162" s="103"/>
      <c r="K162" s="103"/>
    </row>
    <row r="163" spans="4:11" x14ac:dyDescent="0.3">
      <c r="D163" s="103"/>
      <c r="E163" s="103"/>
      <c r="F163" s="103"/>
      <c r="G163" s="103"/>
      <c r="H163" s="103"/>
      <c r="I163" s="103"/>
      <c r="J163" s="103"/>
      <c r="K163" s="103"/>
    </row>
    <row r="164" spans="4:11" x14ac:dyDescent="0.3">
      <c r="D164" s="103"/>
      <c r="E164" s="103"/>
      <c r="F164" s="103"/>
      <c r="G164" s="103"/>
      <c r="H164" s="103"/>
      <c r="I164" s="103"/>
      <c r="J164" s="103"/>
      <c r="K164" s="103"/>
    </row>
    <row r="165" spans="4:11" x14ac:dyDescent="0.3">
      <c r="D165" s="103"/>
      <c r="E165" s="103"/>
      <c r="F165" s="103"/>
      <c r="G165" s="103"/>
      <c r="H165" s="103"/>
      <c r="I165" s="103"/>
      <c r="J165" s="103"/>
      <c r="K165" s="103"/>
    </row>
    <row r="166" spans="4:11" x14ac:dyDescent="0.3">
      <c r="D166" s="103"/>
      <c r="E166" s="103"/>
      <c r="F166" s="103"/>
      <c r="G166" s="103"/>
      <c r="H166" s="103"/>
      <c r="I166" s="103"/>
      <c r="J166" s="103"/>
      <c r="K166" s="103"/>
    </row>
    <row r="167" spans="4:11" x14ac:dyDescent="0.3">
      <c r="D167" s="103"/>
      <c r="E167" s="103"/>
      <c r="F167" s="103"/>
      <c r="G167" s="103"/>
      <c r="H167" s="103"/>
      <c r="I167" s="103"/>
      <c r="J167" s="103"/>
      <c r="K167" s="103"/>
    </row>
    <row r="168" spans="4:11" x14ac:dyDescent="0.3">
      <c r="D168" s="103"/>
      <c r="E168" s="103"/>
      <c r="F168" s="103"/>
      <c r="G168" s="103"/>
      <c r="H168" s="103"/>
      <c r="I168" s="103"/>
      <c r="J168" s="103"/>
      <c r="K168" s="103"/>
    </row>
    <row r="169" spans="4:11" x14ac:dyDescent="0.3">
      <c r="D169" s="103"/>
      <c r="E169" s="103"/>
      <c r="F169" s="103"/>
      <c r="G169" s="103"/>
      <c r="H169" s="103"/>
      <c r="I169" s="103"/>
      <c r="J169" s="103"/>
      <c r="K169" s="103"/>
    </row>
    <row r="170" spans="4:11" x14ac:dyDescent="0.3">
      <c r="D170" s="103"/>
      <c r="E170" s="103"/>
      <c r="F170" s="103"/>
      <c r="G170" s="103"/>
      <c r="H170" s="103"/>
      <c r="I170" s="103"/>
      <c r="J170" s="103"/>
      <c r="K170" s="103"/>
    </row>
    <row r="171" spans="4:11" x14ac:dyDescent="0.3">
      <c r="D171" s="103"/>
      <c r="E171" s="103"/>
      <c r="F171" s="103"/>
      <c r="G171" s="103"/>
      <c r="H171" s="103"/>
      <c r="I171" s="103"/>
      <c r="J171" s="103"/>
      <c r="K171" s="103"/>
    </row>
    <row r="172" spans="4:11" x14ac:dyDescent="0.3">
      <c r="D172" s="103"/>
      <c r="E172" s="103"/>
      <c r="F172" s="103"/>
      <c r="G172" s="103"/>
      <c r="H172" s="103"/>
      <c r="I172" s="103"/>
      <c r="J172" s="103"/>
      <c r="K172" s="103"/>
    </row>
    <row r="173" spans="4:11" x14ac:dyDescent="0.3">
      <c r="D173" s="103"/>
      <c r="E173" s="103"/>
      <c r="F173" s="103"/>
      <c r="G173" s="103"/>
      <c r="H173" s="103"/>
      <c r="I173" s="103"/>
      <c r="J173" s="103"/>
      <c r="K173" s="103"/>
    </row>
    <row r="174" spans="4:11" x14ac:dyDescent="0.3">
      <c r="D174" s="103"/>
      <c r="E174" s="103"/>
      <c r="F174" s="103"/>
      <c r="G174" s="103"/>
      <c r="H174" s="103"/>
      <c r="I174" s="103"/>
      <c r="J174" s="103"/>
      <c r="K174" s="103"/>
    </row>
    <row r="175" spans="4:11" x14ac:dyDescent="0.3">
      <c r="D175" s="103"/>
      <c r="E175" s="103"/>
      <c r="F175" s="103"/>
      <c r="G175" s="103"/>
      <c r="H175" s="103"/>
      <c r="I175" s="103"/>
      <c r="J175" s="103"/>
      <c r="K175" s="103"/>
    </row>
    <row r="176" spans="4:11" x14ac:dyDescent="0.3">
      <c r="D176" s="103"/>
      <c r="E176" s="103"/>
      <c r="F176" s="103"/>
      <c r="G176" s="103"/>
      <c r="H176" s="103"/>
      <c r="I176" s="103"/>
      <c r="J176" s="103"/>
      <c r="K176" s="103"/>
    </row>
    <row r="177" spans="4:11" x14ac:dyDescent="0.3">
      <c r="D177" s="103"/>
      <c r="E177" s="103"/>
      <c r="F177" s="103"/>
      <c r="G177" s="103"/>
      <c r="H177" s="103"/>
      <c r="I177" s="103"/>
      <c r="J177" s="103"/>
      <c r="K177" s="103"/>
    </row>
    <row r="178" spans="4:11" x14ac:dyDescent="0.3">
      <c r="D178" s="103"/>
      <c r="E178" s="103"/>
      <c r="F178" s="103"/>
      <c r="G178" s="103"/>
      <c r="H178" s="103"/>
      <c r="I178" s="103"/>
      <c r="J178" s="103"/>
      <c r="K178" s="103"/>
    </row>
    <row r="179" spans="4:11" x14ac:dyDescent="0.3">
      <c r="D179" s="103"/>
      <c r="E179" s="103"/>
      <c r="F179" s="103"/>
      <c r="G179" s="103"/>
      <c r="H179" s="103"/>
      <c r="I179" s="103"/>
      <c r="J179" s="103"/>
      <c r="K179" s="103"/>
    </row>
    <row r="180" spans="4:11" x14ac:dyDescent="0.3">
      <c r="D180" s="103"/>
      <c r="E180" s="103"/>
      <c r="F180" s="103"/>
      <c r="G180" s="103"/>
      <c r="H180" s="103"/>
      <c r="I180" s="103"/>
      <c r="J180" s="103"/>
      <c r="K180" s="103"/>
    </row>
    <row r="181" spans="4:11" x14ac:dyDescent="0.3">
      <c r="D181" s="103"/>
      <c r="E181" s="103"/>
      <c r="F181" s="103"/>
      <c r="G181" s="103"/>
      <c r="H181" s="103"/>
      <c r="I181" s="103"/>
      <c r="J181" s="103"/>
      <c r="K181" s="103"/>
    </row>
    <row r="182" spans="4:11" x14ac:dyDescent="0.3">
      <c r="D182" s="103"/>
      <c r="E182" s="103"/>
      <c r="F182" s="103"/>
      <c r="G182" s="103"/>
      <c r="H182" s="103"/>
      <c r="I182" s="103"/>
      <c r="J182" s="103"/>
      <c r="K182" s="103"/>
    </row>
    <row r="183" spans="4:11" x14ac:dyDescent="0.3">
      <c r="D183" s="103"/>
      <c r="E183" s="103"/>
      <c r="F183" s="103"/>
      <c r="G183" s="103"/>
      <c r="H183" s="103"/>
      <c r="I183" s="103"/>
      <c r="J183" s="103"/>
      <c r="K183" s="103"/>
    </row>
    <row r="184" spans="4:11" x14ac:dyDescent="0.3">
      <c r="D184" s="103"/>
      <c r="E184" s="103"/>
      <c r="F184" s="103"/>
      <c r="G184" s="103"/>
      <c r="H184" s="103"/>
      <c r="I184" s="103"/>
      <c r="J184" s="103"/>
      <c r="K184" s="103"/>
    </row>
    <row r="185" spans="4:11" x14ac:dyDescent="0.3">
      <c r="D185" s="103"/>
      <c r="E185" s="103"/>
      <c r="F185" s="103"/>
      <c r="G185" s="103"/>
      <c r="H185" s="103"/>
      <c r="I185" s="103"/>
      <c r="J185" s="103"/>
      <c r="K185" s="103"/>
    </row>
    <row r="186" spans="4:11" x14ac:dyDescent="0.3">
      <c r="D186" s="103"/>
      <c r="E186" s="103"/>
      <c r="F186" s="103"/>
      <c r="G186" s="103"/>
      <c r="H186" s="103"/>
      <c r="I186" s="103"/>
      <c r="J186" s="103"/>
      <c r="K186" s="103"/>
    </row>
    <row r="187" spans="4:11" x14ac:dyDescent="0.3">
      <c r="D187" s="103"/>
      <c r="E187" s="103"/>
      <c r="F187" s="103"/>
      <c r="G187" s="103"/>
      <c r="H187" s="103"/>
      <c r="I187" s="103"/>
      <c r="J187" s="103"/>
      <c r="K187" s="103"/>
    </row>
    <row r="188" spans="4:11" x14ac:dyDescent="0.3">
      <c r="D188" s="103"/>
      <c r="E188" s="103"/>
      <c r="F188" s="103"/>
      <c r="G188" s="103"/>
      <c r="H188" s="103"/>
      <c r="I188" s="103"/>
      <c r="J188" s="103"/>
      <c r="K188" s="103"/>
    </row>
    <row r="189" spans="4:11" x14ac:dyDescent="0.3">
      <c r="D189" s="103"/>
      <c r="E189" s="103"/>
      <c r="F189" s="103"/>
      <c r="G189" s="103"/>
      <c r="H189" s="103"/>
      <c r="I189" s="103"/>
      <c r="J189" s="103"/>
      <c r="K189" s="103"/>
    </row>
    <row r="190" spans="4:11" x14ac:dyDescent="0.3">
      <c r="D190" s="103"/>
      <c r="E190" s="103"/>
      <c r="F190" s="103"/>
      <c r="G190" s="103"/>
      <c r="H190" s="103"/>
      <c r="I190" s="103"/>
      <c r="J190" s="103"/>
      <c r="K190" s="103"/>
    </row>
    <row r="191" spans="4:11" x14ac:dyDescent="0.3">
      <c r="D191" s="103"/>
      <c r="E191" s="103"/>
      <c r="F191" s="103"/>
      <c r="G191" s="103"/>
      <c r="H191" s="103"/>
      <c r="I191" s="103"/>
      <c r="J191" s="103"/>
      <c r="K191" s="103"/>
    </row>
    <row r="192" spans="4:11" x14ac:dyDescent="0.3">
      <c r="D192" s="103"/>
      <c r="E192" s="103"/>
      <c r="F192" s="103"/>
      <c r="G192" s="103"/>
      <c r="H192" s="103"/>
      <c r="I192" s="103"/>
      <c r="J192" s="103"/>
      <c r="K192" s="103"/>
    </row>
    <row r="193" spans="4:11" x14ac:dyDescent="0.3">
      <c r="D193" s="103"/>
      <c r="E193" s="103"/>
      <c r="F193" s="103"/>
      <c r="G193" s="103"/>
      <c r="H193" s="103"/>
      <c r="I193" s="103"/>
      <c r="J193" s="103"/>
      <c r="K193" s="103"/>
    </row>
    <row r="194" spans="4:11" x14ac:dyDescent="0.3">
      <c r="D194" s="103"/>
      <c r="E194" s="103"/>
      <c r="F194" s="103"/>
      <c r="G194" s="103"/>
      <c r="H194" s="103"/>
      <c r="I194" s="103"/>
      <c r="J194" s="103"/>
      <c r="K194" s="103"/>
    </row>
    <row r="195" spans="4:11" x14ac:dyDescent="0.3">
      <c r="D195" s="103"/>
      <c r="E195" s="103"/>
      <c r="F195" s="103"/>
      <c r="G195" s="103"/>
      <c r="H195" s="103"/>
      <c r="I195" s="103"/>
      <c r="J195" s="103"/>
      <c r="K195" s="103"/>
    </row>
    <row r="196" spans="4:11" x14ac:dyDescent="0.3">
      <c r="D196" s="103"/>
      <c r="E196" s="103"/>
      <c r="F196" s="103"/>
      <c r="G196" s="103"/>
      <c r="H196" s="103"/>
      <c r="I196" s="103"/>
      <c r="J196" s="103"/>
      <c r="K196" s="103"/>
    </row>
    <row r="197" spans="4:11" x14ac:dyDescent="0.3">
      <c r="D197" s="103"/>
      <c r="E197" s="103"/>
      <c r="F197" s="103"/>
      <c r="G197" s="103"/>
      <c r="H197" s="103"/>
      <c r="I197" s="103"/>
      <c r="J197" s="103"/>
      <c r="K197" s="103"/>
    </row>
    <row r="198" spans="4:11" x14ac:dyDescent="0.3">
      <c r="D198" s="103"/>
      <c r="E198" s="103"/>
      <c r="F198" s="103"/>
      <c r="G198" s="103"/>
      <c r="H198" s="103"/>
      <c r="I198" s="103"/>
      <c r="J198" s="103"/>
      <c r="K198" s="103"/>
    </row>
    <row r="199" spans="4:11" x14ac:dyDescent="0.3">
      <c r="D199" s="103"/>
      <c r="E199" s="103"/>
      <c r="F199" s="103"/>
      <c r="G199" s="103"/>
      <c r="H199" s="103"/>
      <c r="I199" s="103"/>
      <c r="J199" s="103"/>
      <c r="K199" s="103"/>
    </row>
    <row r="200" spans="4:11" x14ac:dyDescent="0.3">
      <c r="D200" s="103"/>
      <c r="E200" s="103"/>
      <c r="F200" s="103"/>
      <c r="G200" s="103"/>
      <c r="H200" s="103"/>
      <c r="I200" s="103"/>
      <c r="J200" s="103"/>
      <c r="K200" s="103"/>
    </row>
    <row r="201" spans="4:11" x14ac:dyDescent="0.3">
      <c r="D201" s="103"/>
      <c r="E201" s="103"/>
      <c r="F201" s="103"/>
      <c r="G201" s="103"/>
      <c r="H201" s="103"/>
      <c r="I201" s="103"/>
      <c r="J201" s="103"/>
      <c r="K201" s="103"/>
    </row>
    <row r="202" spans="4:11" x14ac:dyDescent="0.3">
      <c r="D202" s="103"/>
      <c r="E202" s="103"/>
      <c r="F202" s="103"/>
      <c r="G202" s="103"/>
      <c r="H202" s="103"/>
      <c r="I202" s="103"/>
      <c r="J202" s="103"/>
      <c r="K202" s="103"/>
    </row>
    <row r="203" spans="4:11" x14ac:dyDescent="0.3">
      <c r="D203" s="103"/>
      <c r="E203" s="103"/>
      <c r="F203" s="103"/>
      <c r="G203" s="103"/>
      <c r="H203" s="103"/>
      <c r="I203" s="103"/>
      <c r="J203" s="103"/>
      <c r="K203" s="103"/>
    </row>
    <row r="204" spans="4:11" x14ac:dyDescent="0.3">
      <c r="D204" s="103"/>
      <c r="E204" s="103"/>
      <c r="F204" s="103"/>
      <c r="G204" s="103"/>
      <c r="H204" s="103"/>
      <c r="I204" s="103"/>
      <c r="J204" s="103"/>
      <c r="K204" s="103"/>
    </row>
    <row r="205" spans="4:11" x14ac:dyDescent="0.3">
      <c r="D205" s="103"/>
      <c r="E205" s="103"/>
      <c r="F205" s="103"/>
      <c r="G205" s="103"/>
      <c r="H205" s="103"/>
      <c r="I205" s="103"/>
      <c r="J205" s="103"/>
      <c r="K205" s="103"/>
    </row>
    <row r="206" spans="4:11" x14ac:dyDescent="0.3">
      <c r="D206" s="103"/>
      <c r="E206" s="103"/>
      <c r="F206" s="103"/>
      <c r="G206" s="103"/>
      <c r="H206" s="103"/>
      <c r="I206" s="103"/>
      <c r="J206" s="103"/>
      <c r="K206" s="103"/>
    </row>
    <row r="207" spans="4:11" x14ac:dyDescent="0.3">
      <c r="D207" s="103"/>
      <c r="E207" s="103"/>
      <c r="F207" s="103"/>
      <c r="G207" s="103"/>
      <c r="H207" s="103"/>
      <c r="I207" s="103"/>
      <c r="J207" s="103"/>
      <c r="K207" s="103"/>
    </row>
    <row r="208" spans="4:11" x14ac:dyDescent="0.3">
      <c r="D208" s="103"/>
      <c r="E208" s="103"/>
      <c r="F208" s="103"/>
      <c r="G208" s="103"/>
      <c r="H208" s="103"/>
      <c r="I208" s="103"/>
      <c r="J208" s="103"/>
      <c r="K208" s="103"/>
    </row>
    <row r="209" spans="4:11" x14ac:dyDescent="0.3">
      <c r="D209" s="103"/>
      <c r="E209" s="103"/>
      <c r="F209" s="103"/>
      <c r="G209" s="103"/>
      <c r="H209" s="103"/>
      <c r="I209" s="103"/>
      <c r="J209" s="103"/>
      <c r="K209" s="103"/>
    </row>
    <row r="210" spans="4:11" x14ac:dyDescent="0.3">
      <c r="D210" s="103"/>
      <c r="E210" s="103"/>
      <c r="F210" s="103"/>
      <c r="G210" s="103"/>
      <c r="H210" s="103"/>
      <c r="I210" s="103"/>
      <c r="J210" s="103"/>
      <c r="K210" s="103"/>
    </row>
    <row r="211" spans="4:11" x14ac:dyDescent="0.3">
      <c r="D211" s="103"/>
      <c r="E211" s="103"/>
      <c r="F211" s="103"/>
      <c r="G211" s="103"/>
      <c r="H211" s="103"/>
      <c r="I211" s="103"/>
      <c r="J211" s="103"/>
      <c r="K211" s="103"/>
    </row>
    <row r="212" spans="4:11" x14ac:dyDescent="0.3">
      <c r="D212" s="103"/>
      <c r="E212" s="103"/>
      <c r="F212" s="103"/>
      <c r="G212" s="103"/>
      <c r="H212" s="103"/>
      <c r="I212" s="103"/>
      <c r="J212" s="103"/>
      <c r="K212" s="103"/>
    </row>
    <row r="213" spans="4:11" x14ac:dyDescent="0.3">
      <c r="D213" s="103"/>
      <c r="E213" s="103"/>
      <c r="F213" s="103"/>
      <c r="G213" s="103"/>
      <c r="H213" s="103"/>
      <c r="I213" s="103"/>
      <c r="J213" s="103"/>
      <c r="K213" s="103"/>
    </row>
    <row r="214" spans="4:11" x14ac:dyDescent="0.3">
      <c r="D214" s="103"/>
      <c r="E214" s="103"/>
      <c r="F214" s="103"/>
      <c r="G214" s="103"/>
      <c r="H214" s="103"/>
      <c r="I214" s="103"/>
      <c r="J214" s="103"/>
      <c r="K214" s="103"/>
    </row>
    <row r="215" spans="4:11" x14ac:dyDescent="0.3">
      <c r="D215" s="103"/>
      <c r="E215" s="103"/>
      <c r="F215" s="103"/>
      <c r="G215" s="103"/>
      <c r="H215" s="103"/>
      <c r="I215" s="103"/>
      <c r="J215" s="103"/>
      <c r="K215" s="103"/>
    </row>
    <row r="216" spans="4:11" x14ac:dyDescent="0.3">
      <c r="D216" s="103"/>
      <c r="E216" s="103"/>
      <c r="F216" s="103"/>
      <c r="G216" s="103"/>
      <c r="H216" s="103"/>
      <c r="I216" s="103"/>
      <c r="J216" s="103"/>
      <c r="K216" s="103"/>
    </row>
    <row r="217" spans="4:11" x14ac:dyDescent="0.3">
      <c r="D217" s="103"/>
      <c r="E217" s="103"/>
      <c r="F217" s="103"/>
      <c r="G217" s="103"/>
      <c r="H217" s="103"/>
      <c r="I217" s="103"/>
      <c r="J217" s="103"/>
      <c r="K217" s="103"/>
    </row>
    <row r="218" spans="4:11" x14ac:dyDescent="0.3">
      <c r="D218" s="103"/>
      <c r="E218" s="103"/>
      <c r="F218" s="103"/>
      <c r="G218" s="103"/>
      <c r="H218" s="103"/>
      <c r="I218" s="103"/>
      <c r="J218" s="103"/>
      <c r="K218" s="103"/>
    </row>
    <row r="219" spans="4:11" x14ac:dyDescent="0.3">
      <c r="D219" s="103"/>
      <c r="E219" s="103"/>
      <c r="F219" s="103"/>
      <c r="G219" s="103"/>
      <c r="H219" s="103"/>
      <c r="I219" s="103"/>
      <c r="J219" s="103"/>
      <c r="K219" s="103"/>
    </row>
  </sheetData>
  <conditionalFormatting sqref="A1:M1048576">
    <cfRule type="expression" dxfId="194" priority="24">
      <formula>AND(($E1=0),NOT(ISBLANK($E1)))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7528B0EC-8C69-4C7A-9AFB-E7BE84C4E8AB}">
            <xm:f>$K1=FilterSpecs!$F$13</xm:f>
            <x14:dxf>
              <font>
                <b/>
                <i val="0"/>
                <color theme="0"/>
              </font>
              <fill>
                <patternFill>
                  <bgColor theme="9" tint="-0.499984740745262"/>
                </patternFill>
              </fill>
            </x14:dxf>
          </x14:cfRule>
          <x14:cfRule type="expression" priority="2" id="{3811A1C1-BF6A-46E5-BDD2-7D8BB2E6E4D8}">
            <xm:f>$K1=FilterSpecs!$F$12</xm:f>
            <x14:dxf>
              <font>
                <b/>
                <i val="0"/>
                <color theme="0"/>
              </font>
              <fill>
                <patternFill>
                  <bgColor rgb="FFFF4F4F"/>
                </patternFill>
              </fill>
            </x14:dxf>
          </x14:cfRule>
          <x14:cfRule type="expression" priority="23" id="{E173FCC5-270E-4454-87CB-82806A8CDCBC}">
            <xm:f>$K1=FilterSpecs!$F$9</xm:f>
            <x14:dxf>
              <font>
                <b/>
                <i val="0"/>
                <color theme="0"/>
              </font>
              <fill>
                <patternFill>
                  <bgColor rgb="FFFF0000"/>
                </patternFill>
              </fill>
            </x14:dxf>
          </x14:cfRule>
          <x14:cfRule type="expression" priority="25" id="{C5FC5F0E-0B4C-4FC8-B2A0-2ED84AFD2964}">
            <xm:f>$K1=FilterSpecs!$F$7</xm:f>
            <x14:dxf>
              <font>
                <b/>
                <i val="0"/>
                <color theme="0"/>
              </font>
              <fill>
                <patternFill>
                  <bgColor rgb="FF00B0F0"/>
                </patternFill>
              </fill>
            </x14:dxf>
          </x14:cfRule>
          <x14:cfRule type="expression" priority="26" id="{FC02F295-7181-4BD2-909D-6F99BB0CFFF2}">
            <xm:f>$K1=FilterSpecs!$F$8</xm:f>
            <x14:dxf>
              <font>
                <b/>
                <i val="0"/>
                <color theme="0"/>
              </font>
              <fill>
                <patternFill>
                  <bgColor rgb="FFFFC000"/>
                </patternFill>
              </fill>
            </x14:dxf>
          </x14:cfRule>
          <x14:cfRule type="expression" priority="27" id="{765F211F-BACD-4173-8E57-0142279B8B56}">
            <xm:f>$K1=FilterSpecs!$F$10</xm:f>
            <x14:dxf>
              <font>
                <b/>
                <i val="0"/>
                <color theme="0"/>
              </font>
              <fill>
                <patternFill>
                  <bgColor rgb="FF002060"/>
                </patternFill>
              </fill>
            </x14:dxf>
          </x14:cfRule>
          <xm:sqref>A1:M1048576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DBFE7-1D48-4DC4-A2B5-93BDB5F95741}">
  <sheetPr codeName="Sheet9"/>
  <dimension ref="A1:XFD43"/>
  <sheetViews>
    <sheetView topLeftCell="B1" workbookViewId="0">
      <selection activeCell="E4" sqref="E4"/>
    </sheetView>
  </sheetViews>
  <sheetFormatPr defaultRowHeight="14.4" x14ac:dyDescent="0.3"/>
  <cols>
    <col min="1" max="1" width="43.77734375" style="125" bestFit="1" customWidth="1"/>
    <col min="2" max="2" width="39.6640625" style="125" customWidth="1"/>
    <col min="3" max="3" width="11.21875" style="125" customWidth="1"/>
    <col min="4" max="4" width="12.109375" style="125" bestFit="1" customWidth="1"/>
    <col min="5" max="5" width="8" style="111" customWidth="1"/>
    <col min="6" max="6" width="0.109375" style="105" customWidth="1"/>
    <col min="7" max="7" width="8.88671875" style="105" hidden="1" customWidth="1"/>
    <col min="8" max="8" width="61.88671875" style="125" customWidth="1"/>
    <col min="9" max="9" width="8.88671875" style="105" hidden="1" customWidth="1"/>
    <col min="10" max="10" width="12.88671875" style="102" bestFit="1" customWidth="1"/>
    <col min="11" max="11" width="4.33203125" style="125" customWidth="1"/>
    <col min="12" max="12" width="164.77734375" style="102" bestFit="1" customWidth="1"/>
    <col min="13" max="16384" width="8.88671875" style="105"/>
  </cols>
  <sheetData>
    <row r="1" spans="1:16384" s="77" customFormat="1" ht="15.6" thickTop="1" thickBot="1" x14ac:dyDescent="0.35">
      <c r="A1" s="115" t="s">
        <v>893</v>
      </c>
      <c r="B1" s="115" t="s">
        <v>163</v>
      </c>
      <c r="C1" s="115" t="s">
        <v>7</v>
      </c>
      <c r="D1" s="115" t="s">
        <v>25</v>
      </c>
      <c r="E1" s="87" t="s">
        <v>26</v>
      </c>
      <c r="F1" s="77" t="s">
        <v>27</v>
      </c>
      <c r="G1" s="77" t="s">
        <v>28</v>
      </c>
      <c r="H1" s="115" t="s">
        <v>29</v>
      </c>
      <c r="I1" s="77" t="s">
        <v>30</v>
      </c>
      <c r="J1" s="88" t="s">
        <v>31</v>
      </c>
      <c r="K1" s="115" t="s">
        <v>1918</v>
      </c>
      <c r="L1" s="88"/>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0"/>
      <c r="BJ1" s="70"/>
      <c r="BK1" s="70"/>
      <c r="BL1" s="70"/>
      <c r="BM1" s="70"/>
      <c r="BN1" s="70"/>
      <c r="BO1" s="70"/>
      <c r="BP1" s="70"/>
      <c r="BQ1" s="70"/>
      <c r="BR1" s="70"/>
      <c r="BS1" s="70"/>
      <c r="BT1" s="70"/>
      <c r="BU1" s="70"/>
      <c r="BV1" s="70"/>
      <c r="BW1" s="70"/>
      <c r="BX1" s="70"/>
      <c r="BY1" s="70"/>
      <c r="BZ1" s="70"/>
      <c r="CA1" s="70"/>
      <c r="CB1" s="70"/>
      <c r="CC1" s="70"/>
      <c r="CD1" s="70"/>
      <c r="CE1" s="70"/>
      <c r="CF1" s="70"/>
      <c r="CG1" s="70"/>
      <c r="CH1" s="70"/>
      <c r="CI1" s="70"/>
      <c r="CJ1" s="70"/>
      <c r="CK1" s="70"/>
      <c r="CL1" s="70"/>
      <c r="CM1" s="70"/>
      <c r="CN1" s="70"/>
      <c r="CO1" s="70"/>
      <c r="CP1" s="70"/>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0"/>
      <c r="BSU1" s="70"/>
      <c r="BSV1" s="70"/>
      <c r="BSW1" s="70"/>
      <c r="BSX1" s="70"/>
      <c r="BSY1" s="70"/>
      <c r="BSZ1" s="70"/>
      <c r="BTA1" s="70"/>
      <c r="BTB1" s="70"/>
      <c r="BTC1" s="70"/>
      <c r="BTD1" s="70"/>
      <c r="BTE1" s="70"/>
      <c r="BTF1" s="70"/>
      <c r="BTG1" s="70"/>
      <c r="BTH1" s="70"/>
      <c r="BTI1" s="70"/>
      <c r="BTJ1" s="70"/>
      <c r="BTK1" s="70"/>
      <c r="BTL1" s="70"/>
      <c r="BTM1" s="70"/>
      <c r="BTN1" s="70"/>
      <c r="BTO1" s="70"/>
      <c r="BTP1" s="70"/>
      <c r="BTQ1" s="70"/>
      <c r="BTR1" s="70"/>
      <c r="BTS1" s="70"/>
      <c r="BTT1" s="70"/>
      <c r="BTU1" s="70"/>
      <c r="BTV1" s="70"/>
      <c r="BTW1" s="70"/>
      <c r="BTX1" s="70"/>
      <c r="BTY1" s="70"/>
      <c r="BTZ1" s="70"/>
      <c r="BUA1" s="70"/>
      <c r="BUB1" s="70"/>
      <c r="BUC1" s="70"/>
      <c r="BUD1" s="70"/>
      <c r="BUE1" s="70"/>
      <c r="BUF1" s="70"/>
      <c r="BUG1" s="70"/>
      <c r="BUH1" s="70"/>
      <c r="BUI1" s="70"/>
      <c r="BUJ1" s="70"/>
      <c r="BUK1" s="70"/>
      <c r="BUL1" s="70"/>
      <c r="BUM1" s="70"/>
      <c r="BUN1" s="70"/>
      <c r="BUO1" s="70"/>
      <c r="BUP1" s="70"/>
      <c r="BUQ1" s="70"/>
      <c r="BUR1" s="70"/>
      <c r="BUS1" s="70"/>
      <c r="BUT1" s="70"/>
      <c r="BUU1" s="70"/>
      <c r="BUV1" s="70"/>
      <c r="BUW1" s="70"/>
      <c r="BUX1" s="70"/>
      <c r="BUY1" s="70"/>
      <c r="BUZ1" s="70"/>
      <c r="BVA1" s="70"/>
      <c r="BVB1" s="70"/>
      <c r="BVC1" s="70"/>
      <c r="BVD1" s="70"/>
      <c r="BVE1" s="70"/>
      <c r="BVF1" s="70"/>
      <c r="BVG1" s="70"/>
      <c r="BVH1" s="70"/>
      <c r="BVI1" s="70"/>
      <c r="BVJ1" s="70"/>
      <c r="BVK1" s="70"/>
      <c r="BVL1" s="70"/>
      <c r="BVM1" s="70"/>
      <c r="BVN1" s="70"/>
      <c r="BVO1" s="70"/>
      <c r="BVP1" s="70"/>
      <c r="BVQ1" s="70"/>
      <c r="BVR1" s="70"/>
      <c r="BVS1" s="70"/>
      <c r="BVT1" s="70"/>
      <c r="BVU1" s="70"/>
      <c r="BVV1" s="70"/>
      <c r="BVW1" s="70"/>
      <c r="BVX1" s="70"/>
      <c r="BVY1" s="70"/>
      <c r="BVZ1" s="70"/>
      <c r="BWA1" s="70"/>
      <c r="BWB1" s="70"/>
      <c r="BWC1" s="70"/>
      <c r="BWD1" s="70"/>
      <c r="BWE1" s="70"/>
      <c r="BWF1" s="70"/>
      <c r="BWG1" s="70"/>
      <c r="BWH1" s="70"/>
      <c r="BWI1" s="70"/>
      <c r="BWJ1" s="70"/>
      <c r="BWK1" s="70"/>
      <c r="BWL1" s="70"/>
      <c r="BWM1" s="70"/>
      <c r="BWN1" s="70"/>
      <c r="BWO1" s="70"/>
      <c r="BWP1" s="70"/>
      <c r="BWQ1" s="70"/>
      <c r="BWR1" s="70"/>
      <c r="BWS1" s="70"/>
      <c r="BWT1" s="70"/>
      <c r="BWU1" s="70"/>
      <c r="BWV1" s="70"/>
      <c r="BWW1" s="70"/>
      <c r="BWX1" s="70"/>
      <c r="BWY1" s="70"/>
      <c r="BWZ1" s="70"/>
      <c r="BXA1" s="70"/>
      <c r="BXB1" s="70"/>
      <c r="BXC1" s="70"/>
      <c r="BXD1" s="70"/>
      <c r="BXE1" s="70"/>
      <c r="BXF1" s="70"/>
      <c r="BXG1" s="70"/>
      <c r="BXH1" s="70"/>
      <c r="BXI1" s="70"/>
      <c r="BXJ1" s="70"/>
      <c r="BXK1" s="70"/>
      <c r="BXL1" s="70"/>
      <c r="BXM1" s="70"/>
      <c r="BXN1" s="70"/>
      <c r="BXO1" s="70"/>
      <c r="BXP1" s="70"/>
      <c r="BXQ1" s="70"/>
      <c r="BXR1" s="70"/>
      <c r="BXS1" s="70"/>
      <c r="BXT1" s="70"/>
      <c r="BXU1" s="70"/>
      <c r="BXV1" s="70"/>
      <c r="BXW1" s="70"/>
      <c r="BXX1" s="70"/>
      <c r="BXY1" s="70"/>
      <c r="BXZ1" s="70"/>
      <c r="BYA1" s="70"/>
      <c r="BYB1" s="70"/>
      <c r="BYC1" s="70"/>
      <c r="BYD1" s="70"/>
      <c r="BYE1" s="70"/>
      <c r="BYF1" s="70"/>
      <c r="BYG1" s="70"/>
      <c r="BYH1" s="70"/>
      <c r="BYI1" s="70"/>
      <c r="BYJ1" s="70"/>
      <c r="BYK1" s="70"/>
      <c r="BYL1" s="70"/>
      <c r="BYM1" s="70"/>
      <c r="BYN1" s="70"/>
      <c r="BYO1" s="70"/>
      <c r="BYP1" s="70"/>
      <c r="BYQ1" s="70"/>
      <c r="BYR1" s="70"/>
      <c r="BYS1" s="70"/>
      <c r="BYT1" s="70"/>
      <c r="BYU1" s="70"/>
      <c r="BYV1" s="70"/>
      <c r="BYW1" s="70"/>
      <c r="BYX1" s="70"/>
      <c r="BYY1" s="70"/>
      <c r="BYZ1" s="70"/>
      <c r="BZA1" s="70"/>
      <c r="BZB1" s="70"/>
      <c r="BZC1" s="70"/>
      <c r="BZD1" s="70"/>
      <c r="BZE1" s="70"/>
      <c r="BZF1" s="70"/>
      <c r="BZG1" s="70"/>
      <c r="BZH1" s="70"/>
      <c r="BZI1" s="70"/>
      <c r="BZJ1" s="70"/>
      <c r="BZK1" s="70"/>
      <c r="BZL1" s="70"/>
      <c r="BZM1" s="70"/>
      <c r="BZN1" s="70"/>
      <c r="BZO1" s="70"/>
      <c r="BZP1" s="70"/>
      <c r="BZQ1" s="70"/>
      <c r="BZR1" s="70"/>
      <c r="BZS1" s="70"/>
      <c r="BZT1" s="70"/>
      <c r="BZU1" s="70"/>
      <c r="BZV1" s="70"/>
      <c r="BZW1" s="70"/>
      <c r="BZX1" s="70"/>
      <c r="BZY1" s="70"/>
      <c r="BZZ1" s="70"/>
      <c r="CAA1" s="70"/>
      <c r="CAB1" s="70"/>
      <c r="CAC1" s="70"/>
      <c r="CAD1" s="70"/>
      <c r="CAE1" s="70"/>
      <c r="CAF1" s="70"/>
      <c r="CAG1" s="70"/>
      <c r="CAH1" s="70"/>
      <c r="CAI1" s="70"/>
      <c r="CAJ1" s="70"/>
      <c r="CAK1" s="70"/>
      <c r="CAL1" s="70"/>
      <c r="CAM1" s="70"/>
      <c r="CAN1" s="70"/>
      <c r="CAO1" s="70"/>
      <c r="CAP1" s="70"/>
      <c r="CAQ1" s="70"/>
      <c r="CAR1" s="70"/>
      <c r="CAS1" s="70"/>
      <c r="CAT1" s="70"/>
      <c r="CAU1" s="70"/>
      <c r="CAV1" s="70"/>
      <c r="CAW1" s="70"/>
      <c r="CAX1" s="70"/>
      <c r="CAY1" s="70"/>
      <c r="CAZ1" s="70"/>
      <c r="CBA1" s="70"/>
      <c r="CBB1" s="70"/>
      <c r="CBC1" s="70"/>
      <c r="CBD1" s="70"/>
      <c r="CBE1" s="70"/>
      <c r="CBF1" s="70"/>
      <c r="CBG1" s="70"/>
      <c r="CBH1" s="70"/>
      <c r="CBI1" s="70"/>
      <c r="CBJ1" s="70"/>
      <c r="CBK1" s="70"/>
      <c r="CBL1" s="70"/>
      <c r="CBM1" s="70"/>
      <c r="CBN1" s="70"/>
      <c r="CBO1" s="70"/>
      <c r="CBP1" s="70"/>
      <c r="CBQ1" s="70"/>
      <c r="CBR1" s="70"/>
      <c r="CBS1" s="70"/>
      <c r="CBT1" s="70"/>
      <c r="CBU1" s="70"/>
      <c r="CBV1" s="70"/>
      <c r="CBW1" s="70"/>
      <c r="CBX1" s="70"/>
      <c r="CBY1" s="70"/>
      <c r="CBZ1" s="70"/>
      <c r="CCA1" s="70"/>
      <c r="CCB1" s="70"/>
      <c r="CCC1" s="70"/>
      <c r="CCD1" s="70"/>
      <c r="CCE1" s="70"/>
      <c r="CCF1" s="70"/>
      <c r="CCG1" s="70"/>
      <c r="CCH1" s="70"/>
      <c r="CCI1" s="70"/>
      <c r="CCJ1" s="70"/>
      <c r="CCK1" s="70"/>
      <c r="CCL1" s="70"/>
      <c r="CCM1" s="70"/>
      <c r="CCN1" s="70"/>
      <c r="CCO1" s="70"/>
      <c r="CCP1" s="70"/>
      <c r="CCQ1" s="70"/>
      <c r="CCR1" s="70"/>
      <c r="CCS1" s="70"/>
      <c r="CCT1" s="70"/>
      <c r="CCU1" s="70"/>
      <c r="CCV1" s="70"/>
      <c r="CCW1" s="70"/>
      <c r="CCX1" s="70"/>
      <c r="CCY1" s="70"/>
      <c r="CCZ1" s="70"/>
      <c r="CDA1" s="70"/>
      <c r="CDB1" s="70"/>
      <c r="CDC1" s="70"/>
      <c r="CDD1" s="70"/>
      <c r="CDE1" s="70"/>
      <c r="CDF1" s="70"/>
      <c r="CDG1" s="70"/>
      <c r="CDH1" s="70"/>
      <c r="CDI1" s="70"/>
      <c r="CDJ1" s="70"/>
      <c r="CDK1" s="70"/>
      <c r="CDL1" s="70"/>
      <c r="CDM1" s="70"/>
      <c r="CDN1" s="70"/>
      <c r="CDO1" s="70"/>
      <c r="CDP1" s="70"/>
      <c r="CDQ1" s="70"/>
      <c r="CDR1" s="70"/>
      <c r="CDS1" s="70"/>
      <c r="CDT1" s="70"/>
      <c r="CDU1" s="70"/>
      <c r="CDV1" s="70"/>
      <c r="CDW1" s="70"/>
      <c r="CDX1" s="70"/>
      <c r="CDY1" s="70"/>
      <c r="CDZ1" s="70"/>
      <c r="CEA1" s="70"/>
      <c r="CEB1" s="70"/>
      <c r="CEC1" s="70"/>
      <c r="CED1" s="70"/>
      <c r="CEE1" s="70"/>
      <c r="CEF1" s="70"/>
      <c r="CEG1" s="70"/>
      <c r="CEH1" s="70"/>
      <c r="CEI1" s="70"/>
      <c r="CEJ1" s="70"/>
      <c r="CEK1" s="70"/>
      <c r="CEL1" s="70"/>
      <c r="CEM1" s="70"/>
      <c r="CEN1" s="70"/>
      <c r="CEO1" s="70"/>
      <c r="CEP1" s="70"/>
      <c r="CEQ1" s="70"/>
      <c r="CER1" s="70"/>
      <c r="CES1" s="70"/>
      <c r="CET1" s="70"/>
      <c r="CEU1" s="70"/>
      <c r="CEV1" s="70"/>
      <c r="CEW1" s="70"/>
      <c r="CEX1" s="70"/>
      <c r="CEY1" s="70"/>
      <c r="CEZ1" s="70"/>
      <c r="CFA1" s="70"/>
      <c r="CFB1" s="70"/>
      <c r="CFC1" s="70"/>
      <c r="CFD1" s="70"/>
      <c r="CFE1" s="70"/>
      <c r="CFF1" s="70"/>
      <c r="CFG1" s="70"/>
      <c r="CFH1" s="70"/>
      <c r="CFI1" s="70"/>
      <c r="CFJ1" s="70"/>
      <c r="CFK1" s="70"/>
      <c r="CFL1" s="70"/>
      <c r="CFM1" s="70"/>
      <c r="CFN1" s="70"/>
      <c r="CFO1" s="70"/>
      <c r="CFP1" s="70"/>
      <c r="CFQ1" s="70"/>
      <c r="CFR1" s="70"/>
      <c r="CFS1" s="70"/>
      <c r="CFT1" s="70"/>
      <c r="CFU1" s="70"/>
      <c r="CFV1" s="70"/>
      <c r="CFW1" s="70"/>
      <c r="CFX1" s="70"/>
      <c r="CFY1" s="70"/>
      <c r="CFZ1" s="70"/>
      <c r="CGA1" s="70"/>
      <c r="CGB1" s="70"/>
      <c r="CGC1" s="70"/>
      <c r="CGD1" s="70"/>
      <c r="CGE1" s="70"/>
      <c r="CGF1" s="70"/>
      <c r="CGG1" s="70"/>
      <c r="CGH1" s="70"/>
      <c r="CGI1" s="70"/>
      <c r="CGJ1" s="70"/>
      <c r="CGK1" s="70"/>
      <c r="CGL1" s="70"/>
      <c r="CGM1" s="70"/>
      <c r="CGN1" s="70"/>
      <c r="CGO1" s="70"/>
      <c r="CGP1" s="70"/>
      <c r="CGQ1" s="70"/>
      <c r="CGR1" s="70"/>
      <c r="CGS1" s="70"/>
      <c r="CGT1" s="70"/>
      <c r="CGU1" s="70"/>
      <c r="CGV1" s="70"/>
      <c r="CGW1" s="70"/>
      <c r="CGX1" s="70"/>
      <c r="CGY1" s="70"/>
      <c r="CGZ1" s="70"/>
      <c r="CHA1" s="70"/>
      <c r="CHB1" s="70"/>
      <c r="CHC1" s="70"/>
      <c r="CHD1" s="70"/>
      <c r="CHE1" s="70"/>
      <c r="CHF1" s="70"/>
      <c r="CHG1" s="70"/>
      <c r="CHH1" s="70"/>
      <c r="CHI1" s="70"/>
      <c r="CHJ1" s="70"/>
      <c r="CHK1" s="70"/>
      <c r="CHL1" s="70"/>
      <c r="CHM1" s="70"/>
      <c r="CHN1" s="70"/>
      <c r="CHO1" s="70"/>
      <c r="CHP1" s="70"/>
      <c r="CHQ1" s="70"/>
      <c r="CHR1" s="70"/>
      <c r="CHS1" s="70"/>
      <c r="CHT1" s="70"/>
      <c r="CHU1" s="70"/>
      <c r="CHV1" s="70"/>
      <c r="CHW1" s="70"/>
      <c r="CHX1" s="70"/>
      <c r="CHY1" s="70"/>
      <c r="CHZ1" s="70"/>
      <c r="CIA1" s="70"/>
      <c r="CIB1" s="70"/>
      <c r="CIC1" s="70"/>
      <c r="CID1" s="70"/>
      <c r="CIE1" s="70"/>
      <c r="CIF1" s="70"/>
      <c r="CIG1" s="70"/>
      <c r="CIH1" s="70"/>
      <c r="CII1" s="70"/>
      <c r="CIJ1" s="70"/>
      <c r="CIK1" s="70"/>
      <c r="CIL1" s="70"/>
      <c r="CIM1" s="70"/>
      <c r="CIN1" s="70"/>
      <c r="CIO1" s="70"/>
      <c r="CIP1" s="70"/>
      <c r="CIQ1" s="70"/>
      <c r="CIR1" s="70"/>
      <c r="CIS1" s="70"/>
      <c r="CIT1" s="70"/>
      <c r="CIU1" s="70"/>
      <c r="CIV1" s="70"/>
      <c r="CIW1" s="70"/>
      <c r="CIX1" s="70"/>
      <c r="CIY1" s="70"/>
      <c r="CIZ1" s="70"/>
      <c r="CJA1" s="70"/>
      <c r="CJB1" s="70"/>
      <c r="CJC1" s="70"/>
      <c r="CJD1" s="70"/>
      <c r="CJE1" s="70"/>
      <c r="CJF1" s="70"/>
      <c r="CJG1" s="70"/>
      <c r="CJH1" s="70"/>
      <c r="CJI1" s="70"/>
      <c r="CJJ1" s="70"/>
      <c r="CJK1" s="70"/>
      <c r="CJL1" s="70"/>
      <c r="CJM1" s="70"/>
      <c r="CJN1" s="70"/>
      <c r="CJO1" s="70"/>
      <c r="CJP1" s="70"/>
      <c r="CJQ1" s="70"/>
      <c r="CJR1" s="70"/>
      <c r="CJS1" s="70"/>
      <c r="CJT1" s="70"/>
      <c r="CJU1" s="70"/>
      <c r="CJV1" s="70"/>
      <c r="CJW1" s="70"/>
      <c r="CJX1" s="70"/>
      <c r="CJY1" s="70"/>
      <c r="CJZ1" s="70"/>
      <c r="CKA1" s="70"/>
      <c r="CKB1" s="70"/>
      <c r="CKC1" s="70"/>
      <c r="CKD1" s="70"/>
      <c r="CKE1" s="70"/>
      <c r="CKF1" s="70"/>
      <c r="CKG1" s="70"/>
      <c r="CKH1" s="70"/>
      <c r="CKI1" s="70"/>
      <c r="CKJ1" s="70"/>
      <c r="CKK1" s="70"/>
      <c r="CKL1" s="70"/>
      <c r="CKM1" s="70"/>
      <c r="CKN1" s="70"/>
      <c r="CKO1" s="70"/>
      <c r="CKP1" s="70"/>
      <c r="CKQ1" s="70"/>
      <c r="CKR1" s="70"/>
      <c r="CKS1" s="70"/>
      <c r="CKT1" s="70"/>
      <c r="CKU1" s="70"/>
      <c r="CKV1" s="70"/>
      <c r="CKW1" s="70"/>
      <c r="CKX1" s="70"/>
      <c r="CKY1" s="70"/>
      <c r="CKZ1" s="70"/>
      <c r="CLA1" s="70"/>
      <c r="CLB1" s="70"/>
      <c r="CLC1" s="70"/>
      <c r="CLD1" s="70"/>
      <c r="CLE1" s="70"/>
      <c r="CLF1" s="70"/>
      <c r="CLG1" s="70"/>
      <c r="CLH1" s="70"/>
      <c r="CLI1" s="70"/>
      <c r="CLJ1" s="70"/>
      <c r="CLK1" s="70"/>
      <c r="CLL1" s="70"/>
      <c r="CLM1" s="70"/>
      <c r="CLN1" s="70"/>
      <c r="CLO1" s="70"/>
      <c r="CLP1" s="70"/>
      <c r="CLQ1" s="70"/>
      <c r="CLR1" s="70"/>
      <c r="CLS1" s="70"/>
      <c r="CLT1" s="70"/>
      <c r="CLU1" s="70"/>
      <c r="CLV1" s="70"/>
      <c r="CLW1" s="70"/>
      <c r="CLX1" s="70"/>
      <c r="CLY1" s="70"/>
      <c r="CLZ1" s="70"/>
      <c r="CMA1" s="70"/>
      <c r="CMB1" s="70"/>
      <c r="CMC1" s="70"/>
      <c r="CMD1" s="70"/>
      <c r="CME1" s="70"/>
      <c r="CMF1" s="70"/>
      <c r="CMG1" s="70"/>
      <c r="CMH1" s="70"/>
      <c r="CMI1" s="70"/>
      <c r="CMJ1" s="70"/>
      <c r="CMK1" s="70"/>
      <c r="CML1" s="70"/>
      <c r="CMM1" s="70"/>
      <c r="CMN1" s="70"/>
      <c r="CMO1" s="70"/>
      <c r="CMP1" s="70"/>
      <c r="CMQ1" s="70"/>
      <c r="CMR1" s="70"/>
      <c r="CMS1" s="70"/>
      <c r="CMT1" s="70"/>
      <c r="CMU1" s="70"/>
      <c r="CMV1" s="70"/>
      <c r="CMW1" s="70"/>
      <c r="CMX1" s="70"/>
      <c r="CMY1" s="70"/>
      <c r="CMZ1" s="70"/>
      <c r="CNA1" s="70"/>
      <c r="CNB1" s="70"/>
      <c r="CNC1" s="70"/>
      <c r="CND1" s="70"/>
      <c r="CNE1" s="70"/>
      <c r="CNF1" s="70"/>
      <c r="CNG1" s="70"/>
      <c r="CNH1" s="70"/>
      <c r="CNI1" s="70"/>
      <c r="CNJ1" s="70"/>
      <c r="CNK1" s="70"/>
      <c r="CNL1" s="70"/>
      <c r="CNM1" s="70"/>
      <c r="CNN1" s="70"/>
      <c r="CNO1" s="70"/>
      <c r="CNP1" s="70"/>
      <c r="CNQ1" s="70"/>
      <c r="CNR1" s="70"/>
      <c r="CNS1" s="70"/>
      <c r="CNT1" s="70"/>
      <c r="CNU1" s="70"/>
      <c r="CNV1" s="70"/>
      <c r="CNW1" s="70"/>
      <c r="CNX1" s="70"/>
      <c r="CNY1" s="70"/>
      <c r="CNZ1" s="70"/>
      <c r="COA1" s="70"/>
      <c r="COB1" s="70"/>
      <c r="COC1" s="70"/>
      <c r="COD1" s="70"/>
      <c r="COE1" s="70"/>
      <c r="COF1" s="70"/>
      <c r="COG1" s="70"/>
      <c r="COH1" s="70"/>
      <c r="COI1" s="70"/>
      <c r="COJ1" s="70"/>
      <c r="COK1" s="70"/>
      <c r="COL1" s="70"/>
      <c r="COM1" s="70"/>
      <c r="CON1" s="70"/>
      <c r="COO1" s="70"/>
      <c r="COP1" s="70"/>
      <c r="COQ1" s="70"/>
      <c r="COR1" s="70"/>
      <c r="COS1" s="70"/>
      <c r="COT1" s="70"/>
      <c r="COU1" s="70"/>
      <c r="COV1" s="70"/>
      <c r="COW1" s="70"/>
      <c r="COX1" s="70"/>
      <c r="COY1" s="70"/>
      <c r="COZ1" s="70"/>
      <c r="CPA1" s="70"/>
      <c r="CPB1" s="70"/>
      <c r="CPC1" s="70"/>
      <c r="CPD1" s="70"/>
      <c r="CPE1" s="70"/>
      <c r="CPF1" s="70"/>
      <c r="CPG1" s="70"/>
      <c r="CPH1" s="70"/>
      <c r="CPI1" s="70"/>
      <c r="CPJ1" s="70"/>
      <c r="CPK1" s="70"/>
      <c r="CPL1" s="70"/>
      <c r="CPM1" s="70"/>
      <c r="CPN1" s="70"/>
      <c r="CPO1" s="70"/>
      <c r="CPP1" s="70"/>
      <c r="CPQ1" s="70"/>
      <c r="CPR1" s="70"/>
      <c r="CPS1" s="70"/>
      <c r="CPT1" s="70"/>
      <c r="CPU1" s="70"/>
      <c r="CPV1" s="70"/>
      <c r="CPW1" s="70"/>
      <c r="CPX1" s="70"/>
      <c r="CPY1" s="70"/>
      <c r="CPZ1" s="70"/>
      <c r="CQA1" s="70"/>
      <c r="CQB1" s="70"/>
      <c r="CQC1" s="70"/>
      <c r="CQD1" s="70"/>
      <c r="CQE1" s="70"/>
      <c r="CQF1" s="70"/>
      <c r="CQG1" s="70"/>
      <c r="CQH1" s="70"/>
      <c r="CQI1" s="70"/>
      <c r="CQJ1" s="70"/>
      <c r="CQK1" s="70"/>
      <c r="CQL1" s="70"/>
      <c r="CQM1" s="70"/>
      <c r="CQN1" s="70"/>
      <c r="CQO1" s="70"/>
      <c r="CQP1" s="70"/>
      <c r="CQQ1" s="70"/>
      <c r="CQR1" s="70"/>
      <c r="CQS1" s="70"/>
      <c r="CQT1" s="70"/>
      <c r="CQU1" s="70"/>
      <c r="CQV1" s="70"/>
      <c r="CQW1" s="70"/>
      <c r="CQX1" s="70"/>
      <c r="CQY1" s="70"/>
      <c r="CQZ1" s="70"/>
      <c r="CRA1" s="70"/>
      <c r="CRB1" s="70"/>
      <c r="CRC1" s="70"/>
      <c r="CRD1" s="70"/>
      <c r="CRE1" s="70"/>
      <c r="CRF1" s="70"/>
      <c r="CRG1" s="70"/>
      <c r="CRH1" s="70"/>
      <c r="CRI1" s="70"/>
      <c r="CRJ1" s="70"/>
      <c r="CRK1" s="70"/>
      <c r="CRL1" s="70"/>
      <c r="CRM1" s="70"/>
      <c r="CRN1" s="70"/>
      <c r="CRO1" s="70"/>
      <c r="CRP1" s="70"/>
      <c r="CRQ1" s="70"/>
      <c r="CRR1" s="70"/>
      <c r="CRS1" s="70"/>
      <c r="CRT1" s="70"/>
      <c r="CRU1" s="70"/>
      <c r="CRV1" s="70"/>
      <c r="CRW1" s="70"/>
      <c r="CRX1" s="70"/>
      <c r="CRY1" s="70"/>
      <c r="CRZ1" s="70"/>
      <c r="CSA1" s="70"/>
      <c r="CSB1" s="70"/>
      <c r="CSC1" s="70"/>
      <c r="CSD1" s="70"/>
      <c r="CSE1" s="70"/>
      <c r="CSF1" s="70"/>
      <c r="CSG1" s="70"/>
      <c r="CSH1" s="70"/>
      <c r="CSI1" s="70"/>
      <c r="CSJ1" s="70"/>
      <c r="CSK1" s="70"/>
      <c r="CSL1" s="70"/>
      <c r="CSM1" s="70"/>
      <c r="CSN1" s="70"/>
      <c r="CSO1" s="70"/>
      <c r="CSP1" s="70"/>
      <c r="CSQ1" s="70"/>
      <c r="CSR1" s="70"/>
      <c r="CSS1" s="70"/>
      <c r="CST1" s="70"/>
      <c r="CSU1" s="70"/>
      <c r="CSV1" s="70"/>
      <c r="CSW1" s="70"/>
      <c r="CSX1" s="70"/>
      <c r="CSY1" s="70"/>
      <c r="CSZ1" s="70"/>
      <c r="CTA1" s="70"/>
      <c r="CTB1" s="70"/>
      <c r="CTC1" s="70"/>
      <c r="CTD1" s="70"/>
      <c r="CTE1" s="70"/>
      <c r="CTF1" s="70"/>
      <c r="CTG1" s="70"/>
      <c r="CTH1" s="70"/>
      <c r="CTI1" s="70"/>
      <c r="CTJ1" s="70"/>
      <c r="CTK1" s="70"/>
      <c r="CTL1" s="70"/>
      <c r="CTM1" s="70"/>
      <c r="CTN1" s="70"/>
      <c r="CTO1" s="70"/>
      <c r="CTP1" s="70"/>
      <c r="CTQ1" s="70"/>
      <c r="CTR1" s="70"/>
      <c r="CTS1" s="70"/>
      <c r="CTT1" s="70"/>
      <c r="CTU1" s="70"/>
      <c r="CTV1" s="70"/>
      <c r="CTW1" s="70"/>
      <c r="CTX1" s="70"/>
      <c r="CTY1" s="70"/>
      <c r="CTZ1" s="70"/>
      <c r="CUA1" s="70"/>
      <c r="CUB1" s="70"/>
      <c r="CUC1" s="70"/>
      <c r="CUD1" s="70"/>
      <c r="CUE1" s="70"/>
      <c r="CUF1" s="70"/>
      <c r="CUG1" s="70"/>
      <c r="CUH1" s="70"/>
      <c r="CUI1" s="70"/>
      <c r="CUJ1" s="70"/>
      <c r="CUK1" s="70"/>
      <c r="CUL1" s="70"/>
      <c r="CUM1" s="70"/>
      <c r="CUN1" s="70"/>
      <c r="CUO1" s="70"/>
      <c r="CUP1" s="70"/>
      <c r="CUQ1" s="70"/>
      <c r="CUR1" s="70"/>
      <c r="CUS1" s="70"/>
      <c r="CUT1" s="70"/>
      <c r="CUU1" s="70"/>
      <c r="CUV1" s="70"/>
      <c r="CUW1" s="70"/>
      <c r="CUX1" s="70"/>
      <c r="CUY1" s="70"/>
      <c r="CUZ1" s="70"/>
      <c r="CVA1" s="70"/>
      <c r="CVB1" s="70"/>
      <c r="CVC1" s="70"/>
      <c r="CVD1" s="70"/>
      <c r="CVE1" s="70"/>
      <c r="CVF1" s="70"/>
      <c r="CVG1" s="70"/>
      <c r="CVH1" s="70"/>
      <c r="CVI1" s="70"/>
      <c r="CVJ1" s="70"/>
      <c r="CVK1" s="70"/>
      <c r="CVL1" s="70"/>
      <c r="CVM1" s="70"/>
      <c r="CVN1" s="70"/>
      <c r="CVO1" s="70"/>
      <c r="CVP1" s="70"/>
      <c r="CVQ1" s="70"/>
      <c r="CVR1" s="70"/>
      <c r="CVS1" s="70"/>
      <c r="CVT1" s="70"/>
      <c r="CVU1" s="70"/>
      <c r="CVV1" s="70"/>
      <c r="CVW1" s="70"/>
      <c r="CVX1" s="70"/>
      <c r="CVY1" s="70"/>
      <c r="CVZ1" s="70"/>
      <c r="CWA1" s="70"/>
      <c r="CWB1" s="70"/>
      <c r="CWC1" s="70"/>
      <c r="CWD1" s="70"/>
      <c r="CWE1" s="70"/>
      <c r="CWF1" s="70"/>
      <c r="CWG1" s="70"/>
      <c r="CWH1" s="70"/>
      <c r="CWI1" s="70"/>
      <c r="CWJ1" s="70"/>
      <c r="CWK1" s="70"/>
      <c r="CWL1" s="70"/>
      <c r="CWM1" s="70"/>
      <c r="CWN1" s="70"/>
      <c r="CWO1" s="70"/>
      <c r="CWP1" s="70"/>
      <c r="CWQ1" s="70"/>
      <c r="CWR1" s="70"/>
      <c r="CWS1" s="70"/>
      <c r="CWT1" s="70"/>
      <c r="CWU1" s="70"/>
      <c r="CWV1" s="70"/>
      <c r="CWW1" s="70"/>
      <c r="CWX1" s="70"/>
      <c r="CWY1" s="70"/>
      <c r="CWZ1" s="70"/>
      <c r="CXA1" s="70"/>
      <c r="CXB1" s="70"/>
      <c r="CXC1" s="70"/>
      <c r="CXD1" s="70"/>
      <c r="CXE1" s="70"/>
      <c r="CXF1" s="70"/>
      <c r="CXG1" s="70"/>
      <c r="CXH1" s="70"/>
      <c r="CXI1" s="70"/>
      <c r="CXJ1" s="70"/>
      <c r="CXK1" s="70"/>
      <c r="CXL1" s="70"/>
      <c r="CXM1" s="70"/>
      <c r="CXN1" s="70"/>
      <c r="CXO1" s="70"/>
      <c r="CXP1" s="70"/>
      <c r="CXQ1" s="70"/>
      <c r="CXR1" s="70"/>
      <c r="CXS1" s="70"/>
      <c r="CXT1" s="70"/>
      <c r="CXU1" s="70"/>
      <c r="CXV1" s="70"/>
      <c r="CXW1" s="70"/>
      <c r="CXX1" s="70"/>
      <c r="CXY1" s="70"/>
      <c r="CXZ1" s="70"/>
      <c r="CYA1" s="70"/>
      <c r="CYB1" s="70"/>
      <c r="CYC1" s="70"/>
      <c r="CYD1" s="70"/>
      <c r="CYE1" s="70"/>
      <c r="CYF1" s="70"/>
      <c r="CYG1" s="70"/>
      <c r="CYH1" s="70"/>
      <c r="CYI1" s="70"/>
      <c r="CYJ1" s="70"/>
      <c r="CYK1" s="70"/>
      <c r="CYL1" s="70"/>
      <c r="CYM1" s="70"/>
      <c r="CYN1" s="70"/>
      <c r="CYO1" s="70"/>
      <c r="CYP1" s="70"/>
      <c r="CYQ1" s="70"/>
      <c r="CYR1" s="70"/>
      <c r="CYS1" s="70"/>
      <c r="CYT1" s="70"/>
      <c r="CYU1" s="70"/>
      <c r="CYV1" s="70"/>
      <c r="CYW1" s="70"/>
      <c r="CYX1" s="70"/>
      <c r="CYY1" s="70"/>
      <c r="CYZ1" s="70"/>
      <c r="CZA1" s="70"/>
      <c r="CZB1" s="70"/>
      <c r="CZC1" s="70"/>
      <c r="CZD1" s="70"/>
      <c r="CZE1" s="70"/>
      <c r="CZF1" s="70"/>
      <c r="CZG1" s="70"/>
      <c r="CZH1" s="70"/>
      <c r="CZI1" s="70"/>
      <c r="CZJ1" s="70"/>
      <c r="CZK1" s="70"/>
      <c r="CZL1" s="70"/>
      <c r="CZM1" s="70"/>
      <c r="CZN1" s="70"/>
      <c r="CZO1" s="70"/>
      <c r="CZP1" s="70"/>
      <c r="CZQ1" s="70"/>
      <c r="CZR1" s="70"/>
      <c r="CZS1" s="70"/>
      <c r="CZT1" s="70"/>
      <c r="CZU1" s="70"/>
      <c r="CZV1" s="70"/>
      <c r="CZW1" s="70"/>
      <c r="CZX1" s="70"/>
      <c r="CZY1" s="70"/>
      <c r="CZZ1" s="70"/>
      <c r="DAA1" s="70"/>
      <c r="DAB1" s="70"/>
      <c r="DAC1" s="70"/>
      <c r="DAD1" s="70"/>
      <c r="DAE1" s="70"/>
      <c r="DAF1" s="70"/>
      <c r="DAG1" s="70"/>
      <c r="DAH1" s="70"/>
      <c r="DAI1" s="70"/>
      <c r="DAJ1" s="70"/>
      <c r="DAK1" s="70"/>
      <c r="DAL1" s="70"/>
      <c r="DAM1" s="70"/>
      <c r="DAN1" s="70"/>
      <c r="DAO1" s="70"/>
      <c r="DAP1" s="70"/>
      <c r="DAQ1" s="70"/>
      <c r="DAR1" s="70"/>
      <c r="DAS1" s="70"/>
      <c r="DAT1" s="70"/>
      <c r="DAU1" s="70"/>
      <c r="DAV1" s="70"/>
      <c r="DAW1" s="70"/>
      <c r="DAX1" s="70"/>
      <c r="DAY1" s="70"/>
      <c r="DAZ1" s="70"/>
      <c r="DBA1" s="70"/>
      <c r="DBB1" s="70"/>
      <c r="DBC1" s="70"/>
      <c r="DBD1" s="70"/>
      <c r="DBE1" s="70"/>
      <c r="DBF1" s="70"/>
      <c r="DBG1" s="70"/>
      <c r="DBH1" s="70"/>
      <c r="DBI1" s="70"/>
      <c r="DBJ1" s="70"/>
      <c r="DBK1" s="70"/>
      <c r="DBL1" s="70"/>
      <c r="DBM1" s="70"/>
      <c r="DBN1" s="70"/>
      <c r="DBO1" s="70"/>
      <c r="DBP1" s="70"/>
      <c r="DBQ1" s="70"/>
      <c r="DBR1" s="70"/>
      <c r="DBS1" s="70"/>
      <c r="DBT1" s="70"/>
      <c r="DBU1" s="70"/>
      <c r="DBV1" s="70"/>
      <c r="DBW1" s="70"/>
      <c r="DBX1" s="70"/>
      <c r="DBY1" s="70"/>
      <c r="DBZ1" s="70"/>
      <c r="DCA1" s="70"/>
      <c r="DCB1" s="70"/>
      <c r="DCC1" s="70"/>
      <c r="DCD1" s="70"/>
      <c r="DCE1" s="70"/>
      <c r="DCF1" s="70"/>
      <c r="DCG1" s="70"/>
      <c r="DCH1" s="70"/>
      <c r="DCI1" s="70"/>
      <c r="DCJ1" s="70"/>
      <c r="DCK1" s="70"/>
      <c r="DCL1" s="70"/>
      <c r="DCM1" s="70"/>
      <c r="DCN1" s="70"/>
      <c r="DCO1" s="70"/>
      <c r="DCP1" s="70"/>
      <c r="DCQ1" s="70"/>
      <c r="DCR1" s="70"/>
      <c r="DCS1" s="70"/>
      <c r="DCT1" s="70"/>
      <c r="DCU1" s="70"/>
      <c r="DCV1" s="70"/>
      <c r="DCW1" s="70"/>
      <c r="DCX1" s="70"/>
      <c r="DCY1" s="70"/>
      <c r="DCZ1" s="70"/>
      <c r="DDA1" s="70"/>
      <c r="DDB1" s="70"/>
      <c r="DDC1" s="70"/>
      <c r="DDD1" s="70"/>
      <c r="DDE1" s="70"/>
      <c r="DDF1" s="70"/>
      <c r="DDG1" s="70"/>
      <c r="DDH1" s="70"/>
      <c r="DDI1" s="70"/>
      <c r="DDJ1" s="70"/>
      <c r="DDK1" s="70"/>
      <c r="DDL1" s="70"/>
      <c r="DDM1" s="70"/>
      <c r="DDN1" s="70"/>
      <c r="DDO1" s="70"/>
      <c r="DDP1" s="70"/>
      <c r="DDQ1" s="70"/>
      <c r="DDR1" s="70"/>
      <c r="DDS1" s="70"/>
      <c r="DDT1" s="70"/>
      <c r="DDU1" s="70"/>
      <c r="DDV1" s="70"/>
      <c r="DDW1" s="70"/>
      <c r="DDX1" s="70"/>
      <c r="DDY1" s="70"/>
      <c r="DDZ1" s="70"/>
      <c r="DEA1" s="70"/>
      <c r="DEB1" s="70"/>
      <c r="DEC1" s="70"/>
      <c r="DED1" s="70"/>
      <c r="DEE1" s="70"/>
      <c r="DEF1" s="70"/>
      <c r="DEG1" s="70"/>
      <c r="DEH1" s="70"/>
      <c r="DEI1" s="70"/>
      <c r="DEJ1" s="70"/>
      <c r="DEK1" s="70"/>
      <c r="DEL1" s="70"/>
      <c r="DEM1" s="70"/>
      <c r="DEN1" s="70"/>
      <c r="DEO1" s="70"/>
      <c r="DEP1" s="70"/>
      <c r="DEQ1" s="70"/>
      <c r="DER1" s="70"/>
      <c r="DES1" s="70"/>
      <c r="DET1" s="70"/>
      <c r="DEU1" s="70"/>
      <c r="DEV1" s="70"/>
      <c r="DEW1" s="70"/>
      <c r="DEX1" s="70"/>
      <c r="DEY1" s="70"/>
      <c r="DEZ1" s="70"/>
      <c r="DFA1" s="70"/>
      <c r="DFB1" s="70"/>
      <c r="DFC1" s="70"/>
      <c r="DFD1" s="70"/>
      <c r="DFE1" s="70"/>
      <c r="DFF1" s="70"/>
      <c r="DFG1" s="70"/>
      <c r="DFH1" s="70"/>
      <c r="DFI1" s="70"/>
      <c r="DFJ1" s="70"/>
      <c r="DFK1" s="70"/>
      <c r="DFL1" s="70"/>
      <c r="DFM1" s="70"/>
      <c r="DFN1" s="70"/>
      <c r="DFO1" s="70"/>
      <c r="DFP1" s="70"/>
      <c r="DFQ1" s="70"/>
      <c r="DFR1" s="70"/>
      <c r="DFS1" s="70"/>
      <c r="DFT1" s="70"/>
      <c r="DFU1" s="70"/>
      <c r="DFV1" s="70"/>
      <c r="DFW1" s="70"/>
      <c r="DFX1" s="70"/>
      <c r="DFY1" s="70"/>
      <c r="DFZ1" s="70"/>
      <c r="DGA1" s="70"/>
      <c r="DGB1" s="70"/>
      <c r="DGC1" s="70"/>
      <c r="DGD1" s="70"/>
      <c r="DGE1" s="70"/>
      <c r="DGF1" s="70"/>
      <c r="DGG1" s="70"/>
      <c r="DGH1" s="70"/>
      <c r="DGI1" s="70"/>
      <c r="DGJ1" s="70"/>
      <c r="DGK1" s="70"/>
      <c r="DGL1" s="70"/>
      <c r="DGM1" s="70"/>
      <c r="DGN1" s="70"/>
      <c r="DGO1" s="70"/>
      <c r="DGP1" s="70"/>
      <c r="DGQ1" s="70"/>
      <c r="DGR1" s="70"/>
      <c r="DGS1" s="70"/>
      <c r="DGT1" s="70"/>
      <c r="DGU1" s="70"/>
      <c r="DGV1" s="70"/>
      <c r="DGW1" s="70"/>
      <c r="DGX1" s="70"/>
      <c r="DGY1" s="70"/>
      <c r="DGZ1" s="70"/>
      <c r="DHA1" s="70"/>
      <c r="DHB1" s="70"/>
      <c r="DHC1" s="70"/>
      <c r="DHD1" s="70"/>
      <c r="DHE1" s="70"/>
      <c r="DHF1" s="70"/>
      <c r="DHG1" s="70"/>
      <c r="DHH1" s="70"/>
      <c r="DHI1" s="70"/>
      <c r="DHJ1" s="70"/>
      <c r="DHK1" s="70"/>
      <c r="DHL1" s="70"/>
      <c r="DHM1" s="70"/>
      <c r="DHN1" s="70"/>
      <c r="DHO1" s="70"/>
      <c r="DHP1" s="70"/>
      <c r="DHQ1" s="70"/>
      <c r="DHR1" s="70"/>
      <c r="DHS1" s="70"/>
      <c r="DHT1" s="70"/>
      <c r="DHU1" s="70"/>
      <c r="DHV1" s="70"/>
      <c r="DHW1" s="70"/>
      <c r="DHX1" s="70"/>
      <c r="DHY1" s="70"/>
      <c r="DHZ1" s="70"/>
      <c r="DIA1" s="70"/>
      <c r="DIB1" s="70"/>
      <c r="DIC1" s="70"/>
      <c r="DID1" s="70"/>
      <c r="DIE1" s="70"/>
      <c r="DIF1" s="70"/>
      <c r="DIG1" s="70"/>
      <c r="DIH1" s="70"/>
      <c r="DII1" s="70"/>
      <c r="DIJ1" s="70"/>
      <c r="DIK1" s="70"/>
      <c r="DIL1" s="70"/>
      <c r="DIM1" s="70"/>
      <c r="DIN1" s="70"/>
      <c r="DIO1" s="70"/>
      <c r="DIP1" s="70"/>
      <c r="DIQ1" s="70"/>
      <c r="DIR1" s="70"/>
      <c r="DIS1" s="70"/>
      <c r="DIT1" s="70"/>
      <c r="DIU1" s="70"/>
      <c r="DIV1" s="70"/>
      <c r="DIW1" s="70"/>
      <c r="DIX1" s="70"/>
      <c r="DIY1" s="70"/>
      <c r="DIZ1" s="70"/>
      <c r="DJA1" s="70"/>
      <c r="DJB1" s="70"/>
      <c r="DJC1" s="70"/>
      <c r="DJD1" s="70"/>
      <c r="DJE1" s="70"/>
      <c r="DJF1" s="70"/>
      <c r="DJG1" s="70"/>
      <c r="DJH1" s="70"/>
      <c r="DJI1" s="70"/>
      <c r="DJJ1" s="70"/>
      <c r="DJK1" s="70"/>
      <c r="DJL1" s="70"/>
      <c r="DJM1" s="70"/>
      <c r="DJN1" s="70"/>
      <c r="DJO1" s="70"/>
      <c r="DJP1" s="70"/>
      <c r="DJQ1" s="70"/>
      <c r="DJR1" s="70"/>
      <c r="DJS1" s="70"/>
      <c r="DJT1" s="70"/>
      <c r="DJU1" s="70"/>
      <c r="DJV1" s="70"/>
      <c r="DJW1" s="70"/>
      <c r="DJX1" s="70"/>
      <c r="DJY1" s="70"/>
      <c r="DJZ1" s="70"/>
      <c r="DKA1" s="70"/>
      <c r="DKB1" s="70"/>
      <c r="DKC1" s="70"/>
      <c r="DKD1" s="70"/>
      <c r="DKE1" s="70"/>
      <c r="DKF1" s="70"/>
      <c r="DKG1" s="70"/>
      <c r="DKH1" s="70"/>
      <c r="DKI1" s="70"/>
      <c r="DKJ1" s="70"/>
      <c r="DKK1" s="70"/>
      <c r="DKL1" s="70"/>
      <c r="DKM1" s="70"/>
      <c r="DKN1" s="70"/>
      <c r="DKO1" s="70"/>
      <c r="DKP1" s="70"/>
      <c r="DKQ1" s="70"/>
      <c r="DKR1" s="70"/>
      <c r="DKS1" s="70"/>
      <c r="DKT1" s="70"/>
      <c r="DKU1" s="70"/>
      <c r="DKV1" s="70"/>
      <c r="DKW1" s="70"/>
      <c r="DKX1" s="70"/>
      <c r="DKY1" s="70"/>
      <c r="DKZ1" s="70"/>
      <c r="DLA1" s="70"/>
      <c r="DLB1" s="70"/>
      <c r="DLC1" s="70"/>
      <c r="DLD1" s="70"/>
      <c r="DLE1" s="70"/>
      <c r="DLF1" s="70"/>
      <c r="DLG1" s="70"/>
      <c r="DLH1" s="70"/>
      <c r="DLI1" s="70"/>
      <c r="DLJ1" s="70"/>
      <c r="DLK1" s="70"/>
      <c r="DLL1" s="70"/>
      <c r="DLM1" s="70"/>
      <c r="DLN1" s="70"/>
      <c r="DLO1" s="70"/>
      <c r="DLP1" s="70"/>
      <c r="DLQ1" s="70"/>
      <c r="DLR1" s="70"/>
      <c r="DLS1" s="70"/>
      <c r="DLT1" s="70"/>
      <c r="DLU1" s="70"/>
      <c r="DLV1" s="70"/>
      <c r="DLW1" s="70"/>
      <c r="DLX1" s="70"/>
      <c r="DLY1" s="70"/>
      <c r="DLZ1" s="70"/>
      <c r="DMA1" s="70"/>
      <c r="DMB1" s="70"/>
      <c r="DMC1" s="70"/>
      <c r="DMD1" s="70"/>
      <c r="DME1" s="70"/>
      <c r="DMF1" s="70"/>
      <c r="DMG1" s="70"/>
      <c r="DMH1" s="70"/>
      <c r="DMI1" s="70"/>
      <c r="DMJ1" s="70"/>
      <c r="DMK1" s="70"/>
      <c r="DML1" s="70"/>
      <c r="DMM1" s="70"/>
      <c r="DMN1" s="70"/>
      <c r="DMO1" s="70"/>
      <c r="DMP1" s="70"/>
      <c r="DMQ1" s="70"/>
      <c r="DMR1" s="70"/>
      <c r="DMS1" s="70"/>
      <c r="DMT1" s="70"/>
      <c r="DMU1" s="70"/>
      <c r="DMV1" s="70"/>
      <c r="DMW1" s="70"/>
      <c r="DMX1" s="70"/>
      <c r="DMY1" s="70"/>
      <c r="DMZ1" s="70"/>
      <c r="DNA1" s="70"/>
      <c r="DNB1" s="70"/>
      <c r="DNC1" s="70"/>
      <c r="DND1" s="70"/>
      <c r="DNE1" s="70"/>
      <c r="DNF1" s="70"/>
      <c r="DNG1" s="70"/>
      <c r="DNH1" s="70"/>
      <c r="DNI1" s="70"/>
      <c r="DNJ1" s="70"/>
      <c r="DNK1" s="70"/>
      <c r="DNL1" s="70"/>
      <c r="DNM1" s="70"/>
      <c r="DNN1" s="70"/>
      <c r="DNO1" s="70"/>
      <c r="DNP1" s="70"/>
      <c r="DNQ1" s="70"/>
      <c r="DNR1" s="70"/>
      <c r="DNS1" s="70"/>
      <c r="DNT1" s="70"/>
      <c r="DNU1" s="70"/>
      <c r="DNV1" s="70"/>
      <c r="DNW1" s="70"/>
      <c r="DNX1" s="70"/>
      <c r="DNY1" s="70"/>
      <c r="DNZ1" s="70"/>
      <c r="DOA1" s="70"/>
      <c r="DOB1" s="70"/>
      <c r="DOC1" s="70"/>
      <c r="DOD1" s="70"/>
      <c r="DOE1" s="70"/>
      <c r="DOF1" s="70"/>
      <c r="DOG1" s="70"/>
      <c r="DOH1" s="70"/>
      <c r="DOI1" s="70"/>
      <c r="DOJ1" s="70"/>
      <c r="DOK1" s="70"/>
      <c r="DOL1" s="70"/>
      <c r="DOM1" s="70"/>
      <c r="DON1" s="70"/>
      <c r="DOO1" s="70"/>
      <c r="DOP1" s="70"/>
      <c r="DOQ1" s="70"/>
      <c r="DOR1" s="70"/>
      <c r="DOS1" s="70"/>
      <c r="DOT1" s="70"/>
      <c r="DOU1" s="70"/>
      <c r="DOV1" s="70"/>
      <c r="DOW1" s="70"/>
      <c r="DOX1" s="70"/>
      <c r="DOY1" s="70"/>
      <c r="DOZ1" s="70"/>
      <c r="DPA1" s="70"/>
      <c r="DPB1" s="70"/>
      <c r="DPC1" s="70"/>
      <c r="DPD1" s="70"/>
      <c r="DPE1" s="70"/>
      <c r="DPF1" s="70"/>
      <c r="DPG1" s="70"/>
      <c r="DPH1" s="70"/>
      <c r="DPI1" s="70"/>
      <c r="DPJ1" s="70"/>
      <c r="DPK1" s="70"/>
      <c r="DPL1" s="70"/>
      <c r="DPM1" s="70"/>
      <c r="DPN1" s="70"/>
      <c r="DPO1" s="70"/>
      <c r="DPP1" s="70"/>
      <c r="DPQ1" s="70"/>
      <c r="DPR1" s="70"/>
      <c r="DPS1" s="70"/>
      <c r="DPT1" s="70"/>
      <c r="DPU1" s="70"/>
      <c r="DPV1" s="70"/>
      <c r="DPW1" s="70"/>
      <c r="DPX1" s="70"/>
      <c r="DPY1" s="70"/>
      <c r="DPZ1" s="70"/>
      <c r="DQA1" s="70"/>
      <c r="DQB1" s="70"/>
      <c r="DQC1" s="70"/>
      <c r="DQD1" s="70"/>
      <c r="DQE1" s="70"/>
      <c r="DQF1" s="70"/>
      <c r="DQG1" s="70"/>
      <c r="DQH1" s="70"/>
      <c r="DQI1" s="70"/>
      <c r="DQJ1" s="70"/>
      <c r="DQK1" s="70"/>
      <c r="DQL1" s="70"/>
      <c r="DQM1" s="70"/>
      <c r="DQN1" s="70"/>
      <c r="DQO1" s="70"/>
      <c r="DQP1" s="70"/>
      <c r="DQQ1" s="70"/>
      <c r="DQR1" s="70"/>
      <c r="DQS1" s="70"/>
      <c r="DQT1" s="70"/>
      <c r="DQU1" s="70"/>
      <c r="DQV1" s="70"/>
      <c r="DQW1" s="70"/>
      <c r="DQX1" s="70"/>
      <c r="DQY1" s="70"/>
      <c r="DQZ1" s="70"/>
      <c r="DRA1" s="70"/>
      <c r="DRB1" s="70"/>
      <c r="DRC1" s="70"/>
      <c r="DRD1" s="70"/>
      <c r="DRE1" s="70"/>
      <c r="DRF1" s="70"/>
      <c r="DRG1" s="70"/>
      <c r="DRH1" s="70"/>
      <c r="DRI1" s="70"/>
      <c r="DRJ1" s="70"/>
      <c r="DRK1" s="70"/>
      <c r="DRL1" s="70"/>
      <c r="DRM1" s="70"/>
      <c r="DRN1" s="70"/>
      <c r="DRO1" s="70"/>
      <c r="DRP1" s="70"/>
      <c r="DRQ1" s="70"/>
      <c r="DRR1" s="70"/>
      <c r="DRS1" s="70"/>
      <c r="DRT1" s="70"/>
      <c r="DRU1" s="70"/>
      <c r="DRV1" s="70"/>
      <c r="DRW1" s="70"/>
      <c r="DRX1" s="70"/>
      <c r="DRY1" s="70"/>
      <c r="DRZ1" s="70"/>
      <c r="DSA1" s="70"/>
      <c r="DSB1" s="70"/>
      <c r="DSC1" s="70"/>
      <c r="DSD1" s="70"/>
      <c r="DSE1" s="70"/>
      <c r="DSF1" s="70"/>
      <c r="DSG1" s="70"/>
      <c r="DSH1" s="70"/>
      <c r="DSI1" s="70"/>
      <c r="DSJ1" s="70"/>
      <c r="DSK1" s="70"/>
      <c r="DSL1" s="70"/>
      <c r="DSM1" s="70"/>
      <c r="DSN1" s="70"/>
      <c r="DSO1" s="70"/>
      <c r="DSP1" s="70"/>
      <c r="DSQ1" s="70"/>
      <c r="DSR1" s="70"/>
      <c r="DSS1" s="70"/>
      <c r="DST1" s="70"/>
      <c r="DSU1" s="70"/>
      <c r="DSV1" s="70"/>
      <c r="DSW1" s="70"/>
      <c r="DSX1" s="70"/>
      <c r="DSY1" s="70"/>
      <c r="DSZ1" s="70"/>
      <c r="DTA1" s="70"/>
      <c r="DTB1" s="70"/>
      <c r="DTC1" s="70"/>
      <c r="DTD1" s="70"/>
      <c r="DTE1" s="70"/>
      <c r="DTF1" s="70"/>
      <c r="DTG1" s="70"/>
      <c r="DTH1" s="70"/>
      <c r="DTI1" s="70"/>
      <c r="DTJ1" s="70"/>
      <c r="DTK1" s="70"/>
      <c r="DTL1" s="70"/>
      <c r="DTM1" s="70"/>
      <c r="DTN1" s="70"/>
      <c r="DTO1" s="70"/>
      <c r="DTP1" s="70"/>
      <c r="DTQ1" s="70"/>
      <c r="DTR1" s="70"/>
      <c r="DTS1" s="70"/>
      <c r="DTT1" s="70"/>
      <c r="DTU1" s="70"/>
      <c r="DTV1" s="70"/>
      <c r="DTW1" s="70"/>
      <c r="DTX1" s="70"/>
      <c r="DTY1" s="70"/>
      <c r="DTZ1" s="70"/>
      <c r="DUA1" s="70"/>
      <c r="DUB1" s="70"/>
      <c r="DUC1" s="70"/>
      <c r="DUD1" s="70"/>
      <c r="DUE1" s="70"/>
      <c r="DUF1" s="70"/>
      <c r="DUG1" s="70"/>
      <c r="DUH1" s="70"/>
      <c r="DUI1" s="70"/>
      <c r="DUJ1" s="70"/>
      <c r="DUK1" s="70"/>
      <c r="DUL1" s="70"/>
      <c r="DUM1" s="70"/>
      <c r="DUN1" s="70"/>
      <c r="DUO1" s="70"/>
      <c r="DUP1" s="70"/>
      <c r="DUQ1" s="70"/>
      <c r="DUR1" s="70"/>
      <c r="DUS1" s="70"/>
      <c r="DUT1" s="70"/>
      <c r="DUU1" s="70"/>
      <c r="DUV1" s="70"/>
      <c r="DUW1" s="70"/>
      <c r="DUX1" s="70"/>
      <c r="DUY1" s="70"/>
      <c r="DUZ1" s="70"/>
      <c r="DVA1" s="70"/>
      <c r="DVB1" s="70"/>
      <c r="DVC1" s="70"/>
      <c r="DVD1" s="70"/>
      <c r="DVE1" s="70"/>
      <c r="DVF1" s="70"/>
      <c r="DVG1" s="70"/>
      <c r="DVH1" s="70"/>
      <c r="DVI1" s="70"/>
      <c r="DVJ1" s="70"/>
      <c r="DVK1" s="70"/>
      <c r="DVL1" s="70"/>
      <c r="DVM1" s="70"/>
      <c r="DVN1" s="70"/>
      <c r="DVO1" s="70"/>
      <c r="DVP1" s="70"/>
      <c r="DVQ1" s="70"/>
      <c r="DVR1" s="70"/>
      <c r="DVS1" s="70"/>
      <c r="DVT1" s="70"/>
      <c r="DVU1" s="70"/>
      <c r="DVV1" s="70"/>
      <c r="DVW1" s="70"/>
      <c r="DVX1" s="70"/>
      <c r="DVY1" s="70"/>
      <c r="DVZ1" s="70"/>
      <c r="DWA1" s="70"/>
      <c r="DWB1" s="70"/>
      <c r="DWC1" s="70"/>
      <c r="DWD1" s="70"/>
      <c r="DWE1" s="70"/>
      <c r="DWF1" s="70"/>
      <c r="DWG1" s="70"/>
      <c r="DWH1" s="70"/>
      <c r="DWI1" s="70"/>
      <c r="DWJ1" s="70"/>
      <c r="DWK1" s="70"/>
      <c r="DWL1" s="70"/>
      <c r="DWM1" s="70"/>
      <c r="DWN1" s="70"/>
      <c r="DWO1" s="70"/>
      <c r="DWP1" s="70"/>
      <c r="DWQ1" s="70"/>
      <c r="DWR1" s="70"/>
      <c r="DWS1" s="70"/>
      <c r="DWT1" s="70"/>
      <c r="DWU1" s="70"/>
      <c r="DWV1" s="70"/>
      <c r="DWW1" s="70"/>
      <c r="DWX1" s="70"/>
      <c r="DWY1" s="70"/>
      <c r="DWZ1" s="70"/>
      <c r="DXA1" s="70"/>
      <c r="DXB1" s="70"/>
      <c r="DXC1" s="70"/>
      <c r="DXD1" s="70"/>
      <c r="DXE1" s="70"/>
      <c r="DXF1" s="70"/>
      <c r="DXG1" s="70"/>
      <c r="DXH1" s="70"/>
      <c r="DXI1" s="70"/>
      <c r="DXJ1" s="70"/>
      <c r="DXK1" s="70"/>
      <c r="DXL1" s="70"/>
      <c r="DXM1" s="70"/>
      <c r="DXN1" s="70"/>
      <c r="DXO1" s="70"/>
      <c r="DXP1" s="70"/>
      <c r="DXQ1" s="70"/>
      <c r="DXR1" s="70"/>
      <c r="DXS1" s="70"/>
      <c r="DXT1" s="70"/>
      <c r="DXU1" s="70"/>
      <c r="DXV1" s="70"/>
      <c r="DXW1" s="70"/>
      <c r="DXX1" s="70"/>
      <c r="DXY1" s="70"/>
      <c r="DXZ1" s="70"/>
      <c r="DYA1" s="70"/>
      <c r="DYB1" s="70"/>
      <c r="DYC1" s="70"/>
      <c r="DYD1" s="70"/>
      <c r="DYE1" s="70"/>
      <c r="DYF1" s="70"/>
      <c r="DYG1" s="70"/>
      <c r="DYH1" s="70"/>
      <c r="DYI1" s="70"/>
      <c r="DYJ1" s="70"/>
      <c r="DYK1" s="70"/>
      <c r="DYL1" s="70"/>
      <c r="DYM1" s="70"/>
      <c r="DYN1" s="70"/>
      <c r="DYO1" s="70"/>
      <c r="DYP1" s="70"/>
      <c r="DYQ1" s="70"/>
      <c r="DYR1" s="70"/>
      <c r="DYS1" s="70"/>
      <c r="DYT1" s="70"/>
      <c r="DYU1" s="70"/>
      <c r="DYV1" s="70"/>
      <c r="DYW1" s="70"/>
      <c r="DYX1" s="70"/>
      <c r="DYY1" s="70"/>
      <c r="DYZ1" s="70"/>
      <c r="DZA1" s="70"/>
      <c r="DZB1" s="70"/>
      <c r="DZC1" s="70"/>
      <c r="DZD1" s="70"/>
      <c r="DZE1" s="70"/>
      <c r="DZF1" s="70"/>
      <c r="DZG1" s="70"/>
      <c r="DZH1" s="70"/>
      <c r="DZI1" s="70"/>
      <c r="DZJ1" s="70"/>
      <c r="DZK1" s="70"/>
      <c r="DZL1" s="70"/>
      <c r="DZM1" s="70"/>
      <c r="DZN1" s="70"/>
      <c r="DZO1" s="70"/>
      <c r="DZP1" s="70"/>
      <c r="DZQ1" s="70"/>
      <c r="DZR1" s="70"/>
      <c r="DZS1" s="70"/>
      <c r="DZT1" s="70"/>
      <c r="DZU1" s="70"/>
      <c r="DZV1" s="70"/>
      <c r="DZW1" s="70"/>
      <c r="DZX1" s="70"/>
      <c r="DZY1" s="70"/>
      <c r="DZZ1" s="70"/>
      <c r="EAA1" s="70"/>
      <c r="EAB1" s="70"/>
      <c r="EAC1" s="70"/>
      <c r="EAD1" s="70"/>
      <c r="EAE1" s="70"/>
      <c r="EAF1" s="70"/>
      <c r="EAG1" s="70"/>
      <c r="EAH1" s="70"/>
      <c r="EAI1" s="70"/>
      <c r="EAJ1" s="70"/>
      <c r="EAK1" s="70"/>
      <c r="EAL1" s="70"/>
      <c r="EAM1" s="70"/>
      <c r="EAN1" s="70"/>
      <c r="EAO1" s="70"/>
      <c r="EAP1" s="70"/>
      <c r="EAQ1" s="70"/>
      <c r="EAR1" s="70"/>
      <c r="EAS1" s="70"/>
      <c r="EAT1" s="70"/>
      <c r="EAU1" s="70"/>
      <c r="EAV1" s="70"/>
      <c r="EAW1" s="70"/>
      <c r="EAX1" s="70"/>
      <c r="EAY1" s="70"/>
      <c r="EAZ1" s="70"/>
      <c r="EBA1" s="70"/>
      <c r="EBB1" s="70"/>
      <c r="EBC1" s="70"/>
      <c r="EBD1" s="70"/>
      <c r="EBE1" s="70"/>
      <c r="EBF1" s="70"/>
      <c r="EBG1" s="70"/>
      <c r="EBH1" s="70"/>
      <c r="EBI1" s="70"/>
      <c r="EBJ1" s="70"/>
      <c r="EBK1" s="70"/>
      <c r="EBL1" s="70"/>
      <c r="EBM1" s="70"/>
      <c r="EBN1" s="70"/>
      <c r="EBO1" s="70"/>
      <c r="EBP1" s="70"/>
      <c r="EBQ1" s="70"/>
      <c r="EBR1" s="70"/>
      <c r="EBS1" s="70"/>
      <c r="EBT1" s="70"/>
      <c r="EBU1" s="70"/>
      <c r="EBV1" s="70"/>
      <c r="EBW1" s="70"/>
      <c r="EBX1" s="70"/>
      <c r="EBY1" s="70"/>
      <c r="EBZ1" s="70"/>
      <c r="ECA1" s="70"/>
      <c r="ECB1" s="70"/>
      <c r="ECC1" s="70"/>
      <c r="ECD1" s="70"/>
      <c r="ECE1" s="70"/>
      <c r="ECF1" s="70"/>
      <c r="ECG1" s="70"/>
      <c r="ECH1" s="70"/>
      <c r="ECI1" s="70"/>
      <c r="ECJ1" s="70"/>
      <c r="ECK1" s="70"/>
      <c r="ECL1" s="70"/>
      <c r="ECM1" s="70"/>
      <c r="ECN1" s="70"/>
      <c r="ECO1" s="70"/>
      <c r="ECP1" s="70"/>
      <c r="ECQ1" s="70"/>
      <c r="ECR1" s="70"/>
      <c r="ECS1" s="70"/>
      <c r="ECT1" s="70"/>
      <c r="ECU1" s="70"/>
      <c r="ECV1" s="70"/>
      <c r="ECW1" s="70"/>
      <c r="ECX1" s="70"/>
      <c r="ECY1" s="70"/>
      <c r="ECZ1" s="70"/>
      <c r="EDA1" s="70"/>
      <c r="EDB1" s="70"/>
      <c r="EDC1" s="70"/>
      <c r="EDD1" s="70"/>
      <c r="EDE1" s="70"/>
      <c r="EDF1" s="70"/>
      <c r="EDG1" s="70"/>
      <c r="EDH1" s="70"/>
      <c r="EDI1" s="70"/>
      <c r="EDJ1" s="70"/>
      <c r="EDK1" s="70"/>
      <c r="EDL1" s="70"/>
      <c r="EDM1" s="70"/>
      <c r="EDN1" s="70"/>
      <c r="EDO1" s="70"/>
      <c r="EDP1" s="70"/>
      <c r="EDQ1" s="70"/>
      <c r="EDR1" s="70"/>
      <c r="EDS1" s="70"/>
      <c r="EDT1" s="70"/>
      <c r="EDU1" s="70"/>
      <c r="EDV1" s="70"/>
      <c r="EDW1" s="70"/>
      <c r="EDX1" s="70"/>
      <c r="EDY1" s="70"/>
      <c r="EDZ1" s="70"/>
      <c r="EEA1" s="70"/>
      <c r="EEB1" s="70"/>
      <c r="EEC1" s="70"/>
      <c r="EED1" s="70"/>
      <c r="EEE1" s="70"/>
      <c r="EEF1" s="70"/>
      <c r="EEG1" s="70"/>
      <c r="EEH1" s="70"/>
      <c r="EEI1" s="70"/>
      <c r="EEJ1" s="70"/>
      <c r="EEK1" s="70"/>
      <c r="EEL1" s="70"/>
      <c r="EEM1" s="70"/>
      <c r="EEN1" s="70"/>
      <c r="EEO1" s="70"/>
      <c r="EEP1" s="70"/>
      <c r="EEQ1" s="70"/>
      <c r="EER1" s="70"/>
      <c r="EES1" s="70"/>
      <c r="EET1" s="70"/>
      <c r="EEU1" s="70"/>
      <c r="EEV1" s="70"/>
      <c r="EEW1" s="70"/>
      <c r="EEX1" s="70"/>
      <c r="EEY1" s="70"/>
      <c r="EEZ1" s="70"/>
      <c r="EFA1" s="70"/>
      <c r="EFB1" s="70"/>
      <c r="EFC1" s="70"/>
      <c r="EFD1" s="70"/>
      <c r="EFE1" s="70"/>
      <c r="EFF1" s="70"/>
      <c r="EFG1" s="70"/>
      <c r="EFH1" s="70"/>
      <c r="EFI1" s="70"/>
      <c r="EFJ1" s="70"/>
      <c r="EFK1" s="70"/>
      <c r="EFL1" s="70"/>
      <c r="EFM1" s="70"/>
      <c r="EFN1" s="70"/>
      <c r="EFO1" s="70"/>
      <c r="EFP1" s="70"/>
      <c r="EFQ1" s="70"/>
      <c r="EFR1" s="70"/>
      <c r="EFS1" s="70"/>
      <c r="EFT1" s="70"/>
      <c r="EFU1" s="70"/>
      <c r="EFV1" s="70"/>
      <c r="EFW1" s="70"/>
      <c r="EFX1" s="70"/>
      <c r="EFY1" s="70"/>
      <c r="EFZ1" s="70"/>
      <c r="EGA1" s="70"/>
      <c r="EGB1" s="70"/>
      <c r="EGC1" s="70"/>
      <c r="EGD1" s="70"/>
      <c r="EGE1" s="70"/>
      <c r="EGF1" s="70"/>
      <c r="EGG1" s="70"/>
      <c r="EGH1" s="70"/>
      <c r="EGI1" s="70"/>
      <c r="EGJ1" s="70"/>
      <c r="EGK1" s="70"/>
      <c r="EGL1" s="70"/>
      <c r="EGM1" s="70"/>
      <c r="EGN1" s="70"/>
      <c r="EGO1" s="70"/>
      <c r="EGP1" s="70"/>
      <c r="EGQ1" s="70"/>
      <c r="EGR1" s="70"/>
      <c r="EGS1" s="70"/>
      <c r="EGT1" s="70"/>
      <c r="EGU1" s="70"/>
      <c r="EGV1" s="70"/>
      <c r="EGW1" s="70"/>
      <c r="EGX1" s="70"/>
      <c r="EGY1" s="70"/>
      <c r="EGZ1" s="70"/>
      <c r="EHA1" s="70"/>
      <c r="EHB1" s="70"/>
      <c r="EHC1" s="70"/>
      <c r="EHD1" s="70"/>
      <c r="EHE1" s="70"/>
      <c r="EHF1" s="70"/>
      <c r="EHG1" s="70"/>
      <c r="EHH1" s="70"/>
      <c r="EHI1" s="70"/>
      <c r="EHJ1" s="70"/>
      <c r="EHK1" s="70"/>
      <c r="EHL1" s="70"/>
      <c r="EHM1" s="70"/>
      <c r="EHN1" s="70"/>
      <c r="EHO1" s="70"/>
      <c r="EHP1" s="70"/>
      <c r="EHQ1" s="70"/>
      <c r="EHR1" s="70"/>
      <c r="EHS1" s="70"/>
      <c r="EHT1" s="70"/>
      <c r="EHU1" s="70"/>
      <c r="EHV1" s="70"/>
      <c r="EHW1" s="70"/>
      <c r="EHX1" s="70"/>
      <c r="EHY1" s="70"/>
      <c r="EHZ1" s="70"/>
      <c r="EIA1" s="70"/>
      <c r="EIB1" s="70"/>
      <c r="EIC1" s="70"/>
      <c r="EID1" s="70"/>
      <c r="EIE1" s="70"/>
      <c r="EIF1" s="70"/>
      <c r="EIG1" s="70"/>
      <c r="EIH1" s="70"/>
      <c r="EII1" s="70"/>
      <c r="EIJ1" s="70"/>
      <c r="EIK1" s="70"/>
      <c r="EIL1" s="70"/>
      <c r="EIM1" s="70"/>
      <c r="EIN1" s="70"/>
      <c r="EIO1" s="70"/>
      <c r="EIP1" s="70"/>
      <c r="EIQ1" s="70"/>
      <c r="EIR1" s="70"/>
      <c r="EIS1" s="70"/>
      <c r="EIT1" s="70"/>
      <c r="EIU1" s="70"/>
      <c r="EIV1" s="70"/>
      <c r="EIW1" s="70"/>
      <c r="EIX1" s="70"/>
      <c r="EIY1" s="70"/>
      <c r="EIZ1" s="70"/>
      <c r="EJA1" s="70"/>
      <c r="EJB1" s="70"/>
      <c r="EJC1" s="70"/>
      <c r="EJD1" s="70"/>
      <c r="EJE1" s="70"/>
      <c r="EJF1" s="70"/>
      <c r="EJG1" s="70"/>
      <c r="EJH1" s="70"/>
      <c r="EJI1" s="70"/>
      <c r="EJJ1" s="70"/>
      <c r="EJK1" s="70"/>
      <c r="EJL1" s="70"/>
      <c r="EJM1" s="70"/>
      <c r="EJN1" s="70"/>
      <c r="EJO1" s="70"/>
      <c r="EJP1" s="70"/>
      <c r="EJQ1" s="70"/>
      <c r="EJR1" s="70"/>
      <c r="EJS1" s="70"/>
      <c r="EJT1" s="70"/>
      <c r="EJU1" s="70"/>
      <c r="EJV1" s="70"/>
      <c r="EJW1" s="70"/>
      <c r="EJX1" s="70"/>
      <c r="EJY1" s="70"/>
      <c r="EJZ1" s="70"/>
      <c r="EKA1" s="70"/>
      <c r="EKB1" s="70"/>
      <c r="EKC1" s="70"/>
      <c r="EKD1" s="70"/>
      <c r="EKE1" s="70"/>
      <c r="EKF1" s="70"/>
      <c r="EKG1" s="70"/>
      <c r="EKH1" s="70"/>
      <c r="EKI1" s="70"/>
      <c r="EKJ1" s="70"/>
      <c r="EKK1" s="70"/>
      <c r="EKL1" s="70"/>
      <c r="EKM1" s="70"/>
      <c r="EKN1" s="70"/>
      <c r="EKO1" s="70"/>
      <c r="EKP1" s="70"/>
      <c r="EKQ1" s="70"/>
      <c r="EKR1" s="70"/>
      <c r="EKS1" s="70"/>
      <c r="EKT1" s="70"/>
      <c r="EKU1" s="70"/>
      <c r="EKV1" s="70"/>
      <c r="EKW1" s="70"/>
      <c r="EKX1" s="70"/>
      <c r="EKY1" s="70"/>
      <c r="EKZ1" s="70"/>
      <c r="ELA1" s="70"/>
      <c r="ELB1" s="70"/>
      <c r="ELC1" s="70"/>
      <c r="ELD1" s="70"/>
      <c r="ELE1" s="70"/>
      <c r="ELF1" s="70"/>
      <c r="ELG1" s="70"/>
      <c r="ELH1" s="70"/>
      <c r="ELI1" s="70"/>
      <c r="ELJ1" s="70"/>
      <c r="ELK1" s="70"/>
      <c r="ELL1" s="70"/>
      <c r="ELM1" s="70"/>
      <c r="ELN1" s="70"/>
      <c r="ELO1" s="70"/>
      <c r="ELP1" s="70"/>
      <c r="ELQ1" s="70"/>
      <c r="ELR1" s="70"/>
      <c r="ELS1" s="70"/>
      <c r="ELT1" s="70"/>
      <c r="ELU1" s="70"/>
      <c r="ELV1" s="70"/>
      <c r="ELW1" s="70"/>
      <c r="ELX1" s="70"/>
      <c r="ELY1" s="70"/>
      <c r="ELZ1" s="70"/>
      <c r="EMA1" s="70"/>
      <c r="EMB1" s="70"/>
      <c r="EMC1" s="70"/>
      <c r="EMD1" s="70"/>
      <c r="EME1" s="70"/>
      <c r="EMF1" s="70"/>
      <c r="EMG1" s="70"/>
      <c r="EMH1" s="70"/>
      <c r="EMI1" s="70"/>
      <c r="EMJ1" s="70"/>
      <c r="EMK1" s="70"/>
      <c r="EML1" s="70"/>
      <c r="EMM1" s="70"/>
      <c r="EMN1" s="70"/>
      <c r="EMO1" s="70"/>
      <c r="EMP1" s="70"/>
      <c r="EMQ1" s="70"/>
      <c r="EMR1" s="70"/>
      <c r="EMS1" s="70"/>
      <c r="EMT1" s="70"/>
      <c r="EMU1" s="70"/>
      <c r="EMV1" s="70"/>
      <c r="EMW1" s="70"/>
      <c r="EMX1" s="70"/>
      <c r="EMY1" s="70"/>
      <c r="EMZ1" s="70"/>
      <c r="ENA1" s="70"/>
      <c r="ENB1" s="70"/>
      <c r="ENC1" s="70"/>
      <c r="END1" s="70"/>
      <c r="ENE1" s="70"/>
      <c r="ENF1" s="70"/>
      <c r="ENG1" s="70"/>
      <c r="ENH1" s="70"/>
      <c r="ENI1" s="70"/>
      <c r="ENJ1" s="70"/>
      <c r="ENK1" s="70"/>
      <c r="ENL1" s="70"/>
      <c r="ENM1" s="70"/>
      <c r="ENN1" s="70"/>
      <c r="ENO1" s="70"/>
      <c r="ENP1" s="70"/>
      <c r="ENQ1" s="70"/>
      <c r="ENR1" s="70"/>
      <c r="ENS1" s="70"/>
      <c r="ENT1" s="70"/>
      <c r="ENU1" s="70"/>
      <c r="ENV1" s="70"/>
      <c r="ENW1" s="70"/>
      <c r="ENX1" s="70"/>
      <c r="ENY1" s="70"/>
      <c r="ENZ1" s="70"/>
      <c r="EOA1" s="70"/>
      <c r="EOB1" s="70"/>
      <c r="EOC1" s="70"/>
      <c r="EOD1" s="70"/>
      <c r="EOE1" s="70"/>
      <c r="EOF1" s="70"/>
      <c r="EOG1" s="70"/>
      <c r="EOH1" s="70"/>
      <c r="EOI1" s="70"/>
      <c r="EOJ1" s="70"/>
      <c r="EOK1" s="70"/>
      <c r="EOL1" s="70"/>
      <c r="EOM1" s="70"/>
      <c r="EON1" s="70"/>
      <c r="EOO1" s="70"/>
      <c r="EOP1" s="70"/>
      <c r="EOQ1" s="70"/>
      <c r="EOR1" s="70"/>
      <c r="EOS1" s="70"/>
      <c r="EOT1" s="70"/>
      <c r="EOU1" s="70"/>
      <c r="EOV1" s="70"/>
      <c r="EOW1" s="70"/>
      <c r="EOX1" s="70"/>
      <c r="EOY1" s="70"/>
      <c r="EOZ1" s="70"/>
      <c r="EPA1" s="70"/>
      <c r="EPB1" s="70"/>
      <c r="EPC1" s="70"/>
      <c r="EPD1" s="70"/>
      <c r="EPE1" s="70"/>
      <c r="EPF1" s="70"/>
      <c r="EPG1" s="70"/>
      <c r="EPH1" s="70"/>
      <c r="EPI1" s="70"/>
      <c r="EPJ1" s="70"/>
      <c r="EPK1" s="70"/>
      <c r="EPL1" s="70"/>
      <c r="EPM1" s="70"/>
      <c r="EPN1" s="70"/>
      <c r="EPO1" s="70"/>
      <c r="EPP1" s="70"/>
      <c r="EPQ1" s="70"/>
      <c r="EPR1" s="70"/>
      <c r="EPS1" s="70"/>
      <c r="EPT1" s="70"/>
      <c r="EPU1" s="70"/>
      <c r="EPV1" s="70"/>
      <c r="EPW1" s="70"/>
      <c r="EPX1" s="70"/>
      <c r="EPY1" s="70"/>
      <c r="EPZ1" s="70"/>
      <c r="EQA1" s="70"/>
      <c r="EQB1" s="70"/>
      <c r="EQC1" s="70"/>
      <c r="EQD1" s="70"/>
      <c r="EQE1" s="70"/>
      <c r="EQF1" s="70"/>
      <c r="EQG1" s="70"/>
      <c r="EQH1" s="70"/>
      <c r="EQI1" s="70"/>
      <c r="EQJ1" s="70"/>
      <c r="EQK1" s="70"/>
      <c r="EQL1" s="70"/>
      <c r="EQM1" s="70"/>
      <c r="EQN1" s="70"/>
      <c r="EQO1" s="70"/>
      <c r="EQP1" s="70"/>
      <c r="EQQ1" s="70"/>
      <c r="EQR1" s="70"/>
      <c r="EQS1" s="70"/>
      <c r="EQT1" s="70"/>
      <c r="EQU1" s="70"/>
      <c r="EQV1" s="70"/>
      <c r="EQW1" s="70"/>
      <c r="EQX1" s="70"/>
      <c r="EQY1" s="70"/>
      <c r="EQZ1" s="70"/>
      <c r="ERA1" s="70"/>
      <c r="ERB1" s="70"/>
      <c r="ERC1" s="70"/>
      <c r="ERD1" s="70"/>
      <c r="ERE1" s="70"/>
      <c r="ERF1" s="70"/>
      <c r="ERG1" s="70"/>
      <c r="ERH1" s="70"/>
      <c r="ERI1" s="70"/>
      <c r="ERJ1" s="70"/>
      <c r="ERK1" s="70"/>
      <c r="ERL1" s="70"/>
      <c r="ERM1" s="70"/>
      <c r="ERN1" s="70"/>
      <c r="ERO1" s="70"/>
      <c r="ERP1" s="70"/>
      <c r="ERQ1" s="70"/>
      <c r="ERR1" s="70"/>
      <c r="ERS1" s="70"/>
      <c r="ERT1" s="70"/>
      <c r="ERU1" s="70"/>
      <c r="ERV1" s="70"/>
      <c r="ERW1" s="70"/>
      <c r="ERX1" s="70"/>
      <c r="ERY1" s="70"/>
      <c r="ERZ1" s="70"/>
      <c r="ESA1" s="70"/>
      <c r="ESB1" s="70"/>
      <c r="ESC1" s="70"/>
      <c r="ESD1" s="70"/>
      <c r="ESE1" s="70"/>
      <c r="ESF1" s="70"/>
      <c r="ESG1" s="70"/>
      <c r="ESH1" s="70"/>
      <c r="ESI1" s="70"/>
      <c r="ESJ1" s="70"/>
      <c r="ESK1" s="70"/>
      <c r="ESL1" s="70"/>
      <c r="ESM1" s="70"/>
      <c r="ESN1" s="70"/>
      <c r="ESO1" s="70"/>
      <c r="ESP1" s="70"/>
      <c r="ESQ1" s="70"/>
      <c r="ESR1" s="70"/>
      <c r="ESS1" s="70"/>
      <c r="EST1" s="70"/>
      <c r="ESU1" s="70"/>
      <c r="ESV1" s="70"/>
      <c r="ESW1" s="70"/>
      <c r="ESX1" s="70"/>
      <c r="ESY1" s="70"/>
      <c r="ESZ1" s="70"/>
      <c r="ETA1" s="70"/>
      <c r="ETB1" s="70"/>
      <c r="ETC1" s="70"/>
      <c r="ETD1" s="70"/>
      <c r="ETE1" s="70"/>
      <c r="ETF1" s="70"/>
      <c r="ETG1" s="70"/>
      <c r="ETH1" s="70"/>
      <c r="ETI1" s="70"/>
      <c r="ETJ1" s="70"/>
      <c r="ETK1" s="70"/>
      <c r="ETL1" s="70"/>
      <c r="ETM1" s="70"/>
      <c r="ETN1" s="70"/>
      <c r="ETO1" s="70"/>
      <c r="ETP1" s="70"/>
      <c r="ETQ1" s="70"/>
      <c r="ETR1" s="70"/>
      <c r="ETS1" s="70"/>
      <c r="ETT1" s="70"/>
      <c r="ETU1" s="70"/>
      <c r="ETV1" s="70"/>
      <c r="ETW1" s="70"/>
      <c r="ETX1" s="70"/>
      <c r="ETY1" s="70"/>
      <c r="ETZ1" s="70"/>
      <c r="EUA1" s="70"/>
      <c r="EUB1" s="70"/>
      <c r="EUC1" s="70"/>
      <c r="EUD1" s="70"/>
      <c r="EUE1" s="70"/>
      <c r="EUF1" s="70"/>
      <c r="EUG1" s="70"/>
      <c r="EUH1" s="70"/>
      <c r="EUI1" s="70"/>
      <c r="EUJ1" s="70"/>
      <c r="EUK1" s="70"/>
      <c r="EUL1" s="70"/>
      <c r="EUM1" s="70"/>
      <c r="EUN1" s="70"/>
      <c r="EUO1" s="70"/>
      <c r="EUP1" s="70"/>
      <c r="EUQ1" s="70"/>
      <c r="EUR1" s="70"/>
      <c r="EUS1" s="70"/>
      <c r="EUT1" s="70"/>
      <c r="EUU1" s="70"/>
      <c r="EUV1" s="70"/>
      <c r="EUW1" s="70"/>
      <c r="EUX1" s="70"/>
      <c r="EUY1" s="70"/>
      <c r="EUZ1" s="70"/>
      <c r="EVA1" s="70"/>
      <c r="EVB1" s="70"/>
      <c r="EVC1" s="70"/>
      <c r="EVD1" s="70"/>
      <c r="EVE1" s="70"/>
      <c r="EVF1" s="70"/>
      <c r="EVG1" s="70"/>
      <c r="EVH1" s="70"/>
      <c r="EVI1" s="70"/>
      <c r="EVJ1" s="70"/>
      <c r="EVK1" s="70"/>
      <c r="EVL1" s="70"/>
      <c r="EVM1" s="70"/>
      <c r="EVN1" s="70"/>
      <c r="EVO1" s="70"/>
      <c r="EVP1" s="70"/>
      <c r="EVQ1" s="70"/>
      <c r="EVR1" s="70"/>
      <c r="EVS1" s="70"/>
      <c r="EVT1" s="70"/>
      <c r="EVU1" s="70"/>
      <c r="EVV1" s="70"/>
      <c r="EVW1" s="70"/>
      <c r="EVX1" s="70"/>
      <c r="EVY1" s="70"/>
      <c r="EVZ1" s="70"/>
      <c r="EWA1" s="70"/>
      <c r="EWB1" s="70"/>
      <c r="EWC1" s="70"/>
      <c r="EWD1" s="70"/>
      <c r="EWE1" s="70"/>
      <c r="EWF1" s="70"/>
      <c r="EWG1" s="70"/>
      <c r="EWH1" s="70"/>
      <c r="EWI1" s="70"/>
      <c r="EWJ1" s="70"/>
      <c r="EWK1" s="70"/>
      <c r="EWL1" s="70"/>
      <c r="EWM1" s="70"/>
      <c r="EWN1" s="70"/>
      <c r="EWO1" s="70"/>
      <c r="EWP1" s="70"/>
      <c r="EWQ1" s="70"/>
      <c r="EWR1" s="70"/>
      <c r="EWS1" s="70"/>
      <c r="EWT1" s="70"/>
      <c r="EWU1" s="70"/>
      <c r="EWV1" s="70"/>
      <c r="EWW1" s="70"/>
      <c r="EWX1" s="70"/>
      <c r="EWY1" s="70"/>
      <c r="EWZ1" s="70"/>
      <c r="EXA1" s="70"/>
      <c r="EXB1" s="70"/>
      <c r="EXC1" s="70"/>
      <c r="EXD1" s="70"/>
      <c r="EXE1" s="70"/>
      <c r="EXF1" s="70"/>
      <c r="EXG1" s="70"/>
      <c r="EXH1" s="70"/>
      <c r="EXI1" s="70"/>
      <c r="EXJ1" s="70"/>
      <c r="EXK1" s="70"/>
      <c r="EXL1" s="70"/>
      <c r="EXM1" s="70"/>
      <c r="EXN1" s="70"/>
      <c r="EXO1" s="70"/>
      <c r="EXP1" s="70"/>
      <c r="EXQ1" s="70"/>
      <c r="EXR1" s="70"/>
      <c r="EXS1" s="70"/>
      <c r="EXT1" s="70"/>
      <c r="EXU1" s="70"/>
      <c r="EXV1" s="70"/>
      <c r="EXW1" s="70"/>
      <c r="EXX1" s="70"/>
      <c r="EXY1" s="70"/>
      <c r="EXZ1" s="70"/>
      <c r="EYA1" s="70"/>
      <c r="EYB1" s="70"/>
      <c r="EYC1" s="70"/>
      <c r="EYD1" s="70"/>
      <c r="EYE1" s="70"/>
      <c r="EYF1" s="70"/>
      <c r="EYG1" s="70"/>
      <c r="EYH1" s="70"/>
      <c r="EYI1" s="70"/>
      <c r="EYJ1" s="70"/>
      <c r="EYK1" s="70"/>
      <c r="EYL1" s="70"/>
      <c r="EYM1" s="70"/>
      <c r="EYN1" s="70"/>
      <c r="EYO1" s="70"/>
      <c r="EYP1" s="70"/>
      <c r="EYQ1" s="70"/>
      <c r="EYR1" s="70"/>
      <c r="EYS1" s="70"/>
      <c r="EYT1" s="70"/>
      <c r="EYU1" s="70"/>
      <c r="EYV1" s="70"/>
      <c r="EYW1" s="70"/>
      <c r="EYX1" s="70"/>
      <c r="EYY1" s="70"/>
      <c r="EYZ1" s="70"/>
      <c r="EZA1" s="70"/>
      <c r="EZB1" s="70"/>
      <c r="EZC1" s="70"/>
      <c r="EZD1" s="70"/>
      <c r="EZE1" s="70"/>
      <c r="EZF1" s="70"/>
      <c r="EZG1" s="70"/>
      <c r="EZH1" s="70"/>
      <c r="EZI1" s="70"/>
      <c r="EZJ1" s="70"/>
      <c r="EZK1" s="70"/>
      <c r="EZL1" s="70"/>
      <c r="EZM1" s="70"/>
      <c r="EZN1" s="70"/>
      <c r="EZO1" s="70"/>
      <c r="EZP1" s="70"/>
      <c r="EZQ1" s="70"/>
      <c r="EZR1" s="70"/>
      <c r="EZS1" s="70"/>
      <c r="EZT1" s="70"/>
      <c r="EZU1" s="70"/>
      <c r="EZV1" s="70"/>
      <c r="EZW1" s="70"/>
      <c r="EZX1" s="70"/>
      <c r="EZY1" s="70"/>
      <c r="EZZ1" s="70"/>
      <c r="FAA1" s="70"/>
      <c r="FAB1" s="70"/>
      <c r="FAC1" s="70"/>
      <c r="FAD1" s="70"/>
      <c r="FAE1" s="70"/>
      <c r="FAF1" s="70"/>
      <c r="FAG1" s="70"/>
      <c r="FAH1" s="70"/>
      <c r="FAI1" s="70"/>
      <c r="FAJ1" s="70"/>
      <c r="FAK1" s="70"/>
      <c r="FAL1" s="70"/>
      <c r="FAM1" s="70"/>
      <c r="FAN1" s="70"/>
      <c r="FAO1" s="70"/>
      <c r="FAP1" s="70"/>
      <c r="FAQ1" s="70"/>
      <c r="FAR1" s="70"/>
      <c r="FAS1" s="70"/>
      <c r="FAT1" s="70"/>
      <c r="FAU1" s="70"/>
      <c r="FAV1" s="70"/>
      <c r="FAW1" s="70"/>
      <c r="FAX1" s="70"/>
      <c r="FAY1" s="70"/>
      <c r="FAZ1" s="70"/>
      <c r="FBA1" s="70"/>
      <c r="FBB1" s="70"/>
      <c r="FBC1" s="70"/>
      <c r="FBD1" s="70"/>
      <c r="FBE1" s="70"/>
      <c r="FBF1" s="70"/>
      <c r="FBG1" s="70"/>
      <c r="FBH1" s="70"/>
      <c r="FBI1" s="70"/>
      <c r="FBJ1" s="70"/>
      <c r="FBK1" s="70"/>
      <c r="FBL1" s="70"/>
      <c r="FBM1" s="70"/>
      <c r="FBN1" s="70"/>
      <c r="FBO1" s="70"/>
      <c r="FBP1" s="70"/>
      <c r="FBQ1" s="70"/>
      <c r="FBR1" s="70"/>
      <c r="FBS1" s="70"/>
      <c r="FBT1" s="70"/>
      <c r="FBU1" s="70"/>
      <c r="FBV1" s="70"/>
      <c r="FBW1" s="70"/>
      <c r="FBX1" s="70"/>
      <c r="FBY1" s="70"/>
      <c r="FBZ1" s="70"/>
      <c r="FCA1" s="70"/>
      <c r="FCB1" s="70"/>
      <c r="FCC1" s="70"/>
      <c r="FCD1" s="70"/>
      <c r="FCE1" s="70"/>
      <c r="FCF1" s="70"/>
      <c r="FCG1" s="70"/>
      <c r="FCH1" s="70"/>
      <c r="FCI1" s="70"/>
      <c r="FCJ1" s="70"/>
      <c r="FCK1" s="70"/>
      <c r="FCL1" s="70"/>
      <c r="FCM1" s="70"/>
      <c r="FCN1" s="70"/>
      <c r="FCO1" s="70"/>
      <c r="FCP1" s="70"/>
      <c r="FCQ1" s="70"/>
      <c r="FCR1" s="70"/>
      <c r="FCS1" s="70"/>
      <c r="FCT1" s="70"/>
      <c r="FCU1" s="70"/>
      <c r="FCV1" s="70"/>
      <c r="FCW1" s="70"/>
      <c r="FCX1" s="70"/>
      <c r="FCY1" s="70"/>
      <c r="FCZ1" s="70"/>
      <c r="FDA1" s="70"/>
      <c r="FDB1" s="70"/>
      <c r="FDC1" s="70"/>
      <c r="FDD1" s="70"/>
      <c r="FDE1" s="70"/>
      <c r="FDF1" s="70"/>
      <c r="FDG1" s="70"/>
      <c r="FDH1" s="70"/>
      <c r="FDI1" s="70"/>
      <c r="FDJ1" s="70"/>
      <c r="FDK1" s="70"/>
      <c r="FDL1" s="70"/>
      <c r="FDM1" s="70"/>
      <c r="FDN1" s="70"/>
      <c r="FDO1" s="70"/>
      <c r="FDP1" s="70"/>
      <c r="FDQ1" s="70"/>
      <c r="FDR1" s="70"/>
      <c r="FDS1" s="70"/>
      <c r="FDT1" s="70"/>
      <c r="FDU1" s="70"/>
      <c r="FDV1" s="70"/>
      <c r="FDW1" s="70"/>
      <c r="FDX1" s="70"/>
      <c r="FDY1" s="70"/>
      <c r="FDZ1" s="70"/>
      <c r="FEA1" s="70"/>
      <c r="FEB1" s="70"/>
      <c r="FEC1" s="70"/>
      <c r="FED1" s="70"/>
      <c r="FEE1" s="70"/>
      <c r="FEF1" s="70"/>
      <c r="FEG1" s="70"/>
      <c r="FEH1" s="70"/>
      <c r="FEI1" s="70"/>
      <c r="FEJ1" s="70"/>
      <c r="FEK1" s="70"/>
      <c r="FEL1" s="70"/>
      <c r="FEM1" s="70"/>
      <c r="FEN1" s="70"/>
      <c r="FEO1" s="70"/>
      <c r="FEP1" s="70"/>
      <c r="FEQ1" s="70"/>
      <c r="FER1" s="70"/>
      <c r="FES1" s="70"/>
      <c r="FET1" s="70"/>
      <c r="FEU1" s="70"/>
      <c r="FEV1" s="70"/>
      <c r="FEW1" s="70"/>
      <c r="FEX1" s="70"/>
      <c r="FEY1" s="70"/>
      <c r="FEZ1" s="70"/>
      <c r="FFA1" s="70"/>
      <c r="FFB1" s="70"/>
      <c r="FFC1" s="70"/>
      <c r="FFD1" s="70"/>
      <c r="FFE1" s="70"/>
      <c r="FFF1" s="70"/>
      <c r="FFG1" s="70"/>
      <c r="FFH1" s="70"/>
      <c r="FFI1" s="70"/>
      <c r="FFJ1" s="70"/>
      <c r="FFK1" s="70"/>
      <c r="FFL1" s="70"/>
      <c r="FFM1" s="70"/>
      <c r="FFN1" s="70"/>
      <c r="FFO1" s="70"/>
      <c r="FFP1" s="70"/>
      <c r="FFQ1" s="70"/>
      <c r="FFR1" s="70"/>
      <c r="FFS1" s="70"/>
      <c r="FFT1" s="70"/>
      <c r="FFU1" s="70"/>
      <c r="FFV1" s="70"/>
      <c r="FFW1" s="70"/>
      <c r="FFX1" s="70"/>
      <c r="FFY1" s="70"/>
      <c r="FFZ1" s="70"/>
      <c r="FGA1" s="70"/>
      <c r="FGB1" s="70"/>
      <c r="FGC1" s="70"/>
      <c r="FGD1" s="70"/>
      <c r="FGE1" s="70"/>
      <c r="FGF1" s="70"/>
      <c r="FGG1" s="70"/>
      <c r="FGH1" s="70"/>
      <c r="FGI1" s="70"/>
      <c r="FGJ1" s="70"/>
      <c r="FGK1" s="70"/>
      <c r="FGL1" s="70"/>
      <c r="FGM1" s="70"/>
      <c r="FGN1" s="70"/>
      <c r="FGO1" s="70"/>
      <c r="FGP1" s="70"/>
      <c r="FGQ1" s="70"/>
      <c r="FGR1" s="70"/>
      <c r="FGS1" s="70"/>
      <c r="FGT1" s="70"/>
      <c r="FGU1" s="70"/>
      <c r="FGV1" s="70"/>
      <c r="FGW1" s="70"/>
      <c r="FGX1" s="70"/>
      <c r="FGY1" s="70"/>
      <c r="FGZ1" s="70"/>
      <c r="FHA1" s="70"/>
      <c r="FHB1" s="70"/>
      <c r="FHC1" s="70"/>
      <c r="FHD1" s="70"/>
      <c r="FHE1" s="70"/>
      <c r="FHF1" s="70"/>
      <c r="FHG1" s="70"/>
      <c r="FHH1" s="70"/>
      <c r="FHI1" s="70"/>
      <c r="FHJ1" s="70"/>
      <c r="FHK1" s="70"/>
      <c r="FHL1" s="70"/>
      <c r="FHM1" s="70"/>
      <c r="FHN1" s="70"/>
      <c r="FHO1" s="70"/>
      <c r="FHP1" s="70"/>
      <c r="FHQ1" s="70"/>
      <c r="FHR1" s="70"/>
      <c r="FHS1" s="70"/>
      <c r="FHT1" s="70"/>
      <c r="FHU1" s="70"/>
      <c r="FHV1" s="70"/>
      <c r="FHW1" s="70"/>
      <c r="FHX1" s="70"/>
      <c r="FHY1" s="70"/>
      <c r="FHZ1" s="70"/>
      <c r="FIA1" s="70"/>
      <c r="FIB1" s="70"/>
      <c r="FIC1" s="70"/>
      <c r="FID1" s="70"/>
      <c r="FIE1" s="70"/>
      <c r="FIF1" s="70"/>
      <c r="FIG1" s="70"/>
      <c r="FIH1" s="70"/>
      <c r="FII1" s="70"/>
      <c r="FIJ1" s="70"/>
      <c r="FIK1" s="70"/>
      <c r="FIL1" s="70"/>
      <c r="FIM1" s="70"/>
      <c r="FIN1" s="70"/>
      <c r="FIO1" s="70"/>
      <c r="FIP1" s="70"/>
      <c r="FIQ1" s="70"/>
      <c r="FIR1" s="70"/>
      <c r="FIS1" s="70"/>
      <c r="FIT1" s="70"/>
      <c r="FIU1" s="70"/>
      <c r="FIV1" s="70"/>
      <c r="FIW1" s="70"/>
      <c r="FIX1" s="70"/>
      <c r="FIY1" s="70"/>
      <c r="FIZ1" s="70"/>
      <c r="FJA1" s="70"/>
      <c r="FJB1" s="70"/>
      <c r="FJC1" s="70"/>
      <c r="FJD1" s="70"/>
      <c r="FJE1" s="70"/>
      <c r="FJF1" s="70"/>
      <c r="FJG1" s="70"/>
      <c r="FJH1" s="70"/>
      <c r="FJI1" s="70"/>
      <c r="FJJ1" s="70"/>
      <c r="FJK1" s="70"/>
      <c r="FJL1" s="70"/>
      <c r="FJM1" s="70"/>
      <c r="FJN1" s="70"/>
      <c r="FJO1" s="70"/>
      <c r="FJP1" s="70"/>
      <c r="FJQ1" s="70"/>
      <c r="FJR1" s="70"/>
      <c r="FJS1" s="70"/>
      <c r="FJT1" s="70"/>
      <c r="FJU1" s="70"/>
      <c r="FJV1" s="70"/>
      <c r="FJW1" s="70"/>
      <c r="FJX1" s="70"/>
      <c r="FJY1" s="70"/>
      <c r="FJZ1" s="70"/>
      <c r="FKA1" s="70"/>
      <c r="FKB1" s="70"/>
      <c r="FKC1" s="70"/>
      <c r="FKD1" s="70"/>
      <c r="FKE1" s="70"/>
      <c r="FKF1" s="70"/>
      <c r="FKG1" s="70"/>
      <c r="FKH1" s="70"/>
      <c r="FKI1" s="70"/>
      <c r="FKJ1" s="70"/>
      <c r="FKK1" s="70"/>
      <c r="FKL1" s="70"/>
      <c r="FKM1" s="70"/>
      <c r="FKN1" s="70"/>
      <c r="FKO1" s="70"/>
      <c r="FKP1" s="70"/>
      <c r="FKQ1" s="70"/>
      <c r="FKR1" s="70"/>
      <c r="FKS1" s="70"/>
      <c r="FKT1" s="70"/>
      <c r="FKU1" s="70"/>
      <c r="FKV1" s="70"/>
      <c r="FKW1" s="70"/>
      <c r="FKX1" s="70"/>
      <c r="FKY1" s="70"/>
      <c r="FKZ1" s="70"/>
      <c r="FLA1" s="70"/>
      <c r="FLB1" s="70"/>
      <c r="FLC1" s="70"/>
      <c r="FLD1" s="70"/>
      <c r="FLE1" s="70"/>
      <c r="FLF1" s="70"/>
      <c r="FLG1" s="70"/>
      <c r="FLH1" s="70"/>
      <c r="FLI1" s="70"/>
      <c r="FLJ1" s="70"/>
      <c r="FLK1" s="70"/>
      <c r="FLL1" s="70"/>
      <c r="FLM1" s="70"/>
      <c r="FLN1" s="70"/>
      <c r="FLO1" s="70"/>
      <c r="FLP1" s="70"/>
      <c r="FLQ1" s="70"/>
      <c r="FLR1" s="70"/>
      <c r="FLS1" s="70"/>
      <c r="FLT1" s="70"/>
      <c r="FLU1" s="70"/>
      <c r="FLV1" s="70"/>
      <c r="FLW1" s="70"/>
      <c r="FLX1" s="70"/>
      <c r="FLY1" s="70"/>
      <c r="FLZ1" s="70"/>
      <c r="FMA1" s="70"/>
      <c r="FMB1" s="70"/>
      <c r="FMC1" s="70"/>
      <c r="FMD1" s="70"/>
      <c r="FME1" s="70"/>
      <c r="FMF1" s="70"/>
      <c r="FMG1" s="70"/>
      <c r="FMH1" s="70"/>
      <c r="FMI1" s="70"/>
      <c r="FMJ1" s="70"/>
      <c r="FMK1" s="70"/>
      <c r="FML1" s="70"/>
      <c r="FMM1" s="70"/>
      <c r="FMN1" s="70"/>
      <c r="FMO1" s="70"/>
      <c r="FMP1" s="70"/>
      <c r="FMQ1" s="70"/>
      <c r="FMR1" s="70"/>
      <c r="FMS1" s="70"/>
      <c r="FMT1" s="70"/>
      <c r="FMU1" s="70"/>
      <c r="FMV1" s="70"/>
      <c r="FMW1" s="70"/>
      <c r="FMX1" s="70"/>
      <c r="FMY1" s="70"/>
      <c r="FMZ1" s="70"/>
      <c r="FNA1" s="70"/>
      <c r="FNB1" s="70"/>
      <c r="FNC1" s="70"/>
      <c r="FND1" s="70"/>
      <c r="FNE1" s="70"/>
      <c r="FNF1" s="70"/>
      <c r="FNG1" s="70"/>
      <c r="FNH1" s="70"/>
      <c r="FNI1" s="70"/>
      <c r="FNJ1" s="70"/>
      <c r="FNK1" s="70"/>
      <c r="FNL1" s="70"/>
      <c r="FNM1" s="70"/>
      <c r="FNN1" s="70"/>
      <c r="FNO1" s="70"/>
      <c r="FNP1" s="70"/>
      <c r="FNQ1" s="70"/>
      <c r="FNR1" s="70"/>
      <c r="FNS1" s="70"/>
      <c r="FNT1" s="70"/>
      <c r="FNU1" s="70"/>
      <c r="FNV1" s="70"/>
      <c r="FNW1" s="70"/>
      <c r="FNX1" s="70"/>
      <c r="FNY1" s="70"/>
      <c r="FNZ1" s="70"/>
      <c r="FOA1" s="70"/>
      <c r="FOB1" s="70"/>
      <c r="FOC1" s="70"/>
      <c r="FOD1" s="70"/>
      <c r="FOE1" s="70"/>
      <c r="FOF1" s="70"/>
      <c r="FOG1" s="70"/>
      <c r="FOH1" s="70"/>
      <c r="FOI1" s="70"/>
      <c r="FOJ1" s="70"/>
      <c r="FOK1" s="70"/>
      <c r="FOL1" s="70"/>
      <c r="FOM1" s="70"/>
      <c r="FON1" s="70"/>
      <c r="FOO1" s="70"/>
      <c r="FOP1" s="70"/>
      <c r="FOQ1" s="70"/>
      <c r="FOR1" s="70"/>
      <c r="FOS1" s="70"/>
      <c r="FOT1" s="70"/>
      <c r="FOU1" s="70"/>
      <c r="FOV1" s="70"/>
      <c r="FOW1" s="70"/>
      <c r="FOX1" s="70"/>
      <c r="FOY1" s="70"/>
      <c r="FOZ1" s="70"/>
      <c r="FPA1" s="70"/>
      <c r="FPB1" s="70"/>
      <c r="FPC1" s="70"/>
      <c r="FPD1" s="70"/>
      <c r="FPE1" s="70"/>
      <c r="FPF1" s="70"/>
      <c r="FPG1" s="70"/>
      <c r="FPH1" s="70"/>
      <c r="FPI1" s="70"/>
      <c r="FPJ1" s="70"/>
      <c r="FPK1" s="70"/>
      <c r="FPL1" s="70"/>
      <c r="FPM1" s="70"/>
      <c r="FPN1" s="70"/>
      <c r="FPO1" s="70"/>
      <c r="FPP1" s="70"/>
      <c r="FPQ1" s="70"/>
      <c r="FPR1" s="70"/>
      <c r="FPS1" s="70"/>
      <c r="FPT1" s="70"/>
      <c r="FPU1" s="70"/>
      <c r="FPV1" s="70"/>
      <c r="FPW1" s="70"/>
      <c r="FPX1" s="70"/>
      <c r="FPY1" s="70"/>
      <c r="FPZ1" s="70"/>
      <c r="FQA1" s="70"/>
      <c r="FQB1" s="70"/>
      <c r="FQC1" s="70"/>
      <c r="FQD1" s="70"/>
      <c r="FQE1" s="70"/>
      <c r="FQF1" s="70"/>
      <c r="FQG1" s="70"/>
      <c r="FQH1" s="70"/>
      <c r="FQI1" s="70"/>
      <c r="FQJ1" s="70"/>
      <c r="FQK1" s="70"/>
      <c r="FQL1" s="70"/>
      <c r="FQM1" s="70"/>
      <c r="FQN1" s="70"/>
      <c r="FQO1" s="70"/>
      <c r="FQP1" s="70"/>
      <c r="FQQ1" s="70"/>
      <c r="FQR1" s="70"/>
      <c r="FQS1" s="70"/>
      <c r="FQT1" s="70"/>
      <c r="FQU1" s="70"/>
      <c r="FQV1" s="70"/>
      <c r="FQW1" s="70"/>
      <c r="FQX1" s="70"/>
      <c r="FQY1" s="70"/>
      <c r="FQZ1" s="70"/>
      <c r="FRA1" s="70"/>
      <c r="FRB1" s="70"/>
      <c r="FRC1" s="70"/>
      <c r="FRD1" s="70"/>
      <c r="FRE1" s="70"/>
      <c r="FRF1" s="70"/>
      <c r="FRG1" s="70"/>
      <c r="FRH1" s="70"/>
      <c r="FRI1" s="70"/>
      <c r="FRJ1" s="70"/>
      <c r="FRK1" s="70"/>
      <c r="FRL1" s="70"/>
      <c r="FRM1" s="70"/>
      <c r="FRN1" s="70"/>
      <c r="FRO1" s="70"/>
      <c r="FRP1" s="70"/>
      <c r="FRQ1" s="70"/>
      <c r="FRR1" s="70"/>
      <c r="FRS1" s="70"/>
      <c r="FRT1" s="70"/>
      <c r="FRU1" s="70"/>
      <c r="FRV1" s="70"/>
      <c r="FRW1" s="70"/>
      <c r="FRX1" s="70"/>
      <c r="FRY1" s="70"/>
      <c r="FRZ1" s="70"/>
      <c r="FSA1" s="70"/>
      <c r="FSB1" s="70"/>
      <c r="FSC1" s="70"/>
      <c r="FSD1" s="70"/>
      <c r="FSE1" s="70"/>
      <c r="FSF1" s="70"/>
      <c r="FSG1" s="70"/>
      <c r="FSH1" s="70"/>
      <c r="FSI1" s="70"/>
      <c r="FSJ1" s="70"/>
      <c r="FSK1" s="70"/>
      <c r="FSL1" s="70"/>
      <c r="FSM1" s="70"/>
      <c r="FSN1" s="70"/>
      <c r="FSO1" s="70"/>
      <c r="FSP1" s="70"/>
      <c r="FSQ1" s="70"/>
      <c r="FSR1" s="70"/>
      <c r="FSS1" s="70"/>
      <c r="FST1" s="70"/>
      <c r="FSU1" s="70"/>
      <c r="FSV1" s="70"/>
      <c r="FSW1" s="70"/>
      <c r="FSX1" s="70"/>
      <c r="FSY1" s="70"/>
      <c r="FSZ1" s="70"/>
      <c r="FTA1" s="70"/>
      <c r="FTB1" s="70"/>
      <c r="FTC1" s="70"/>
      <c r="FTD1" s="70"/>
      <c r="FTE1" s="70"/>
      <c r="FTF1" s="70"/>
      <c r="FTG1" s="70"/>
      <c r="FTH1" s="70"/>
      <c r="FTI1" s="70"/>
      <c r="FTJ1" s="70"/>
      <c r="FTK1" s="70"/>
      <c r="FTL1" s="70"/>
      <c r="FTM1" s="70"/>
      <c r="FTN1" s="70"/>
      <c r="FTO1" s="70"/>
      <c r="FTP1" s="70"/>
      <c r="FTQ1" s="70"/>
      <c r="FTR1" s="70"/>
      <c r="FTS1" s="70"/>
      <c r="FTT1" s="70"/>
      <c r="FTU1" s="70"/>
      <c r="FTV1" s="70"/>
      <c r="FTW1" s="70"/>
      <c r="FTX1" s="70"/>
      <c r="FTY1" s="70"/>
      <c r="FTZ1" s="70"/>
      <c r="FUA1" s="70"/>
      <c r="FUB1" s="70"/>
      <c r="FUC1" s="70"/>
      <c r="FUD1" s="70"/>
      <c r="FUE1" s="70"/>
      <c r="FUF1" s="70"/>
      <c r="FUG1" s="70"/>
      <c r="FUH1" s="70"/>
      <c r="FUI1" s="70"/>
      <c r="FUJ1" s="70"/>
      <c r="FUK1" s="70"/>
      <c r="FUL1" s="70"/>
      <c r="FUM1" s="70"/>
      <c r="FUN1" s="70"/>
      <c r="FUO1" s="70"/>
      <c r="FUP1" s="70"/>
      <c r="FUQ1" s="70"/>
      <c r="FUR1" s="70"/>
      <c r="FUS1" s="70"/>
      <c r="FUT1" s="70"/>
      <c r="FUU1" s="70"/>
      <c r="FUV1" s="70"/>
      <c r="FUW1" s="70"/>
      <c r="FUX1" s="70"/>
      <c r="FUY1" s="70"/>
      <c r="FUZ1" s="70"/>
      <c r="FVA1" s="70"/>
      <c r="FVB1" s="70"/>
      <c r="FVC1" s="70"/>
      <c r="FVD1" s="70"/>
      <c r="FVE1" s="70"/>
      <c r="FVF1" s="70"/>
      <c r="FVG1" s="70"/>
      <c r="FVH1" s="70"/>
      <c r="FVI1" s="70"/>
      <c r="FVJ1" s="70"/>
      <c r="FVK1" s="70"/>
      <c r="FVL1" s="70"/>
      <c r="FVM1" s="70"/>
      <c r="FVN1" s="70"/>
      <c r="FVO1" s="70"/>
      <c r="FVP1" s="70"/>
      <c r="FVQ1" s="70"/>
      <c r="FVR1" s="70"/>
      <c r="FVS1" s="70"/>
      <c r="FVT1" s="70"/>
      <c r="FVU1" s="70"/>
      <c r="FVV1" s="70"/>
      <c r="FVW1" s="70"/>
      <c r="FVX1" s="70"/>
      <c r="FVY1" s="70"/>
      <c r="FVZ1" s="70"/>
      <c r="FWA1" s="70"/>
      <c r="FWB1" s="70"/>
      <c r="FWC1" s="70"/>
      <c r="FWD1" s="70"/>
      <c r="FWE1" s="70"/>
      <c r="FWF1" s="70"/>
      <c r="FWG1" s="70"/>
      <c r="FWH1" s="70"/>
      <c r="FWI1" s="70"/>
      <c r="FWJ1" s="70"/>
      <c r="FWK1" s="70"/>
      <c r="FWL1" s="70"/>
      <c r="FWM1" s="70"/>
      <c r="FWN1" s="70"/>
      <c r="FWO1" s="70"/>
      <c r="FWP1" s="70"/>
      <c r="FWQ1" s="70"/>
      <c r="FWR1" s="70"/>
      <c r="FWS1" s="70"/>
      <c r="FWT1" s="70"/>
      <c r="FWU1" s="70"/>
      <c r="FWV1" s="70"/>
      <c r="FWW1" s="70"/>
      <c r="FWX1" s="70"/>
      <c r="FWY1" s="70"/>
      <c r="FWZ1" s="70"/>
      <c r="FXA1" s="70"/>
      <c r="FXB1" s="70"/>
      <c r="FXC1" s="70"/>
      <c r="FXD1" s="70"/>
      <c r="FXE1" s="70"/>
      <c r="FXF1" s="70"/>
      <c r="FXG1" s="70"/>
      <c r="FXH1" s="70"/>
      <c r="FXI1" s="70"/>
      <c r="FXJ1" s="70"/>
      <c r="FXK1" s="70"/>
      <c r="FXL1" s="70"/>
      <c r="FXM1" s="70"/>
      <c r="FXN1" s="70"/>
      <c r="FXO1" s="70"/>
      <c r="FXP1" s="70"/>
      <c r="FXQ1" s="70"/>
      <c r="FXR1" s="70"/>
      <c r="FXS1" s="70"/>
      <c r="FXT1" s="70"/>
      <c r="FXU1" s="70"/>
      <c r="FXV1" s="70"/>
      <c r="FXW1" s="70"/>
      <c r="FXX1" s="70"/>
      <c r="FXY1" s="70"/>
      <c r="FXZ1" s="70"/>
      <c r="FYA1" s="70"/>
      <c r="FYB1" s="70"/>
      <c r="FYC1" s="70"/>
      <c r="FYD1" s="70"/>
      <c r="FYE1" s="70"/>
      <c r="FYF1" s="70"/>
      <c r="FYG1" s="70"/>
      <c r="FYH1" s="70"/>
      <c r="FYI1" s="70"/>
      <c r="FYJ1" s="70"/>
      <c r="FYK1" s="70"/>
      <c r="FYL1" s="70"/>
      <c r="FYM1" s="70"/>
      <c r="FYN1" s="70"/>
      <c r="FYO1" s="70"/>
      <c r="FYP1" s="70"/>
      <c r="FYQ1" s="70"/>
      <c r="FYR1" s="70"/>
      <c r="FYS1" s="70"/>
      <c r="FYT1" s="70"/>
      <c r="FYU1" s="70"/>
      <c r="FYV1" s="70"/>
      <c r="FYW1" s="70"/>
      <c r="FYX1" s="70"/>
      <c r="FYY1" s="70"/>
      <c r="FYZ1" s="70"/>
      <c r="FZA1" s="70"/>
      <c r="FZB1" s="70"/>
      <c r="FZC1" s="70"/>
      <c r="FZD1" s="70"/>
      <c r="FZE1" s="70"/>
      <c r="FZF1" s="70"/>
      <c r="FZG1" s="70"/>
      <c r="FZH1" s="70"/>
      <c r="FZI1" s="70"/>
      <c r="FZJ1" s="70"/>
      <c r="FZK1" s="70"/>
      <c r="FZL1" s="70"/>
      <c r="FZM1" s="70"/>
      <c r="FZN1" s="70"/>
      <c r="FZO1" s="70"/>
      <c r="FZP1" s="70"/>
      <c r="FZQ1" s="70"/>
      <c r="FZR1" s="70"/>
      <c r="FZS1" s="70"/>
      <c r="FZT1" s="70"/>
      <c r="FZU1" s="70"/>
      <c r="FZV1" s="70"/>
      <c r="FZW1" s="70"/>
      <c r="FZX1" s="70"/>
      <c r="FZY1" s="70"/>
      <c r="FZZ1" s="70"/>
      <c r="GAA1" s="70"/>
      <c r="GAB1" s="70"/>
      <c r="GAC1" s="70"/>
      <c r="GAD1" s="70"/>
      <c r="GAE1" s="70"/>
      <c r="GAF1" s="70"/>
      <c r="GAG1" s="70"/>
      <c r="GAH1" s="70"/>
      <c r="GAI1" s="70"/>
      <c r="GAJ1" s="70"/>
      <c r="GAK1" s="70"/>
      <c r="GAL1" s="70"/>
      <c r="GAM1" s="70"/>
      <c r="GAN1" s="70"/>
      <c r="GAO1" s="70"/>
      <c r="GAP1" s="70"/>
      <c r="GAQ1" s="70"/>
      <c r="GAR1" s="70"/>
      <c r="GAS1" s="70"/>
      <c r="GAT1" s="70"/>
      <c r="GAU1" s="70"/>
      <c r="GAV1" s="70"/>
      <c r="GAW1" s="70"/>
      <c r="GAX1" s="70"/>
      <c r="GAY1" s="70"/>
      <c r="GAZ1" s="70"/>
      <c r="GBA1" s="70"/>
      <c r="GBB1" s="70"/>
      <c r="GBC1" s="70"/>
      <c r="GBD1" s="70"/>
      <c r="GBE1" s="70"/>
      <c r="GBF1" s="70"/>
      <c r="GBG1" s="70"/>
      <c r="GBH1" s="70"/>
      <c r="GBI1" s="70"/>
      <c r="GBJ1" s="70"/>
      <c r="GBK1" s="70"/>
      <c r="GBL1" s="70"/>
      <c r="GBM1" s="70"/>
      <c r="GBN1" s="70"/>
      <c r="GBO1" s="70"/>
      <c r="GBP1" s="70"/>
      <c r="GBQ1" s="70"/>
      <c r="GBR1" s="70"/>
      <c r="GBS1" s="70"/>
      <c r="GBT1" s="70"/>
      <c r="GBU1" s="70"/>
      <c r="GBV1" s="70"/>
      <c r="GBW1" s="70"/>
      <c r="GBX1" s="70"/>
      <c r="GBY1" s="70"/>
      <c r="GBZ1" s="70"/>
      <c r="GCA1" s="70"/>
      <c r="GCB1" s="70"/>
      <c r="GCC1" s="70"/>
      <c r="GCD1" s="70"/>
      <c r="GCE1" s="70"/>
      <c r="GCF1" s="70"/>
      <c r="GCG1" s="70"/>
      <c r="GCH1" s="70"/>
      <c r="GCI1" s="70"/>
      <c r="GCJ1" s="70"/>
      <c r="GCK1" s="70"/>
      <c r="GCL1" s="70"/>
      <c r="GCM1" s="70"/>
      <c r="GCN1" s="70"/>
      <c r="GCO1" s="70"/>
      <c r="GCP1" s="70"/>
      <c r="GCQ1" s="70"/>
      <c r="GCR1" s="70"/>
      <c r="GCS1" s="70"/>
      <c r="GCT1" s="70"/>
      <c r="GCU1" s="70"/>
      <c r="GCV1" s="70"/>
      <c r="GCW1" s="70"/>
      <c r="GCX1" s="70"/>
      <c r="GCY1" s="70"/>
      <c r="GCZ1" s="70"/>
      <c r="GDA1" s="70"/>
      <c r="GDB1" s="70"/>
      <c r="GDC1" s="70"/>
      <c r="GDD1" s="70"/>
      <c r="GDE1" s="70"/>
      <c r="GDF1" s="70"/>
      <c r="GDG1" s="70"/>
      <c r="GDH1" s="70"/>
      <c r="GDI1" s="70"/>
      <c r="GDJ1" s="70"/>
      <c r="GDK1" s="70"/>
      <c r="GDL1" s="70"/>
      <c r="GDM1" s="70"/>
      <c r="GDN1" s="70"/>
      <c r="GDO1" s="70"/>
      <c r="GDP1" s="70"/>
      <c r="GDQ1" s="70"/>
      <c r="GDR1" s="70"/>
      <c r="GDS1" s="70"/>
      <c r="GDT1" s="70"/>
      <c r="GDU1" s="70"/>
      <c r="GDV1" s="70"/>
      <c r="GDW1" s="70"/>
      <c r="GDX1" s="70"/>
      <c r="GDY1" s="70"/>
      <c r="GDZ1" s="70"/>
      <c r="GEA1" s="70"/>
      <c r="GEB1" s="70"/>
      <c r="GEC1" s="70"/>
      <c r="GED1" s="70"/>
      <c r="GEE1" s="70"/>
      <c r="GEF1" s="70"/>
      <c r="GEG1" s="70"/>
      <c r="GEH1" s="70"/>
      <c r="GEI1" s="70"/>
      <c r="GEJ1" s="70"/>
      <c r="GEK1" s="70"/>
      <c r="GEL1" s="70"/>
      <c r="GEM1" s="70"/>
      <c r="GEN1" s="70"/>
      <c r="GEO1" s="70"/>
      <c r="GEP1" s="70"/>
      <c r="GEQ1" s="70"/>
      <c r="GER1" s="70"/>
      <c r="GES1" s="70"/>
      <c r="GET1" s="70"/>
      <c r="GEU1" s="70"/>
      <c r="GEV1" s="70"/>
      <c r="GEW1" s="70"/>
      <c r="GEX1" s="70"/>
      <c r="GEY1" s="70"/>
      <c r="GEZ1" s="70"/>
      <c r="GFA1" s="70"/>
      <c r="GFB1" s="70"/>
      <c r="GFC1" s="70"/>
      <c r="GFD1" s="70"/>
      <c r="GFE1" s="70"/>
      <c r="GFF1" s="70"/>
      <c r="GFG1" s="70"/>
      <c r="GFH1" s="70"/>
      <c r="GFI1" s="70"/>
      <c r="GFJ1" s="70"/>
      <c r="GFK1" s="70"/>
      <c r="GFL1" s="70"/>
      <c r="GFM1" s="70"/>
      <c r="GFN1" s="70"/>
      <c r="GFO1" s="70"/>
      <c r="GFP1" s="70"/>
      <c r="GFQ1" s="70"/>
      <c r="GFR1" s="70"/>
      <c r="GFS1" s="70"/>
      <c r="GFT1" s="70"/>
      <c r="GFU1" s="70"/>
      <c r="GFV1" s="70"/>
      <c r="GFW1" s="70"/>
      <c r="GFX1" s="70"/>
      <c r="GFY1" s="70"/>
      <c r="GFZ1" s="70"/>
      <c r="GGA1" s="70"/>
      <c r="GGB1" s="70"/>
      <c r="GGC1" s="70"/>
      <c r="GGD1" s="70"/>
      <c r="GGE1" s="70"/>
      <c r="GGF1" s="70"/>
      <c r="GGG1" s="70"/>
      <c r="GGH1" s="70"/>
      <c r="GGI1" s="70"/>
      <c r="GGJ1" s="70"/>
      <c r="GGK1" s="70"/>
      <c r="GGL1" s="70"/>
      <c r="GGM1" s="70"/>
      <c r="GGN1" s="70"/>
      <c r="GGO1" s="70"/>
      <c r="GGP1" s="70"/>
      <c r="GGQ1" s="70"/>
      <c r="GGR1" s="70"/>
      <c r="GGS1" s="70"/>
      <c r="GGT1" s="70"/>
      <c r="GGU1" s="70"/>
      <c r="GGV1" s="70"/>
      <c r="GGW1" s="70"/>
      <c r="GGX1" s="70"/>
      <c r="GGY1" s="70"/>
      <c r="GGZ1" s="70"/>
      <c r="GHA1" s="70"/>
      <c r="GHB1" s="70"/>
      <c r="GHC1" s="70"/>
      <c r="GHD1" s="70"/>
      <c r="GHE1" s="70"/>
      <c r="GHF1" s="70"/>
      <c r="GHG1" s="70"/>
      <c r="GHH1" s="70"/>
      <c r="GHI1" s="70"/>
      <c r="GHJ1" s="70"/>
      <c r="GHK1" s="70"/>
      <c r="GHL1" s="70"/>
      <c r="GHM1" s="70"/>
      <c r="GHN1" s="70"/>
      <c r="GHO1" s="70"/>
      <c r="GHP1" s="70"/>
      <c r="GHQ1" s="70"/>
      <c r="GHR1" s="70"/>
      <c r="GHS1" s="70"/>
      <c r="GHT1" s="70"/>
      <c r="GHU1" s="70"/>
      <c r="GHV1" s="70"/>
      <c r="GHW1" s="70"/>
      <c r="GHX1" s="70"/>
      <c r="GHY1" s="70"/>
      <c r="GHZ1" s="70"/>
      <c r="GIA1" s="70"/>
      <c r="GIB1" s="70"/>
      <c r="GIC1" s="70"/>
      <c r="GID1" s="70"/>
      <c r="GIE1" s="70"/>
      <c r="GIF1" s="70"/>
      <c r="GIG1" s="70"/>
      <c r="GIH1" s="70"/>
      <c r="GII1" s="70"/>
      <c r="GIJ1" s="70"/>
      <c r="GIK1" s="70"/>
      <c r="GIL1" s="70"/>
      <c r="GIM1" s="70"/>
      <c r="GIN1" s="70"/>
      <c r="GIO1" s="70"/>
      <c r="GIP1" s="70"/>
      <c r="GIQ1" s="70"/>
      <c r="GIR1" s="70"/>
      <c r="GIS1" s="70"/>
      <c r="GIT1" s="70"/>
      <c r="GIU1" s="70"/>
      <c r="GIV1" s="70"/>
      <c r="GIW1" s="70"/>
      <c r="GIX1" s="70"/>
      <c r="GIY1" s="70"/>
      <c r="GIZ1" s="70"/>
      <c r="GJA1" s="70"/>
      <c r="GJB1" s="70"/>
      <c r="GJC1" s="70"/>
      <c r="GJD1" s="70"/>
      <c r="GJE1" s="70"/>
      <c r="GJF1" s="70"/>
      <c r="GJG1" s="70"/>
      <c r="GJH1" s="70"/>
      <c r="GJI1" s="70"/>
      <c r="GJJ1" s="70"/>
      <c r="GJK1" s="70"/>
      <c r="GJL1" s="70"/>
      <c r="GJM1" s="70"/>
      <c r="GJN1" s="70"/>
      <c r="GJO1" s="70"/>
      <c r="GJP1" s="70"/>
      <c r="GJQ1" s="70"/>
      <c r="GJR1" s="70"/>
      <c r="GJS1" s="70"/>
      <c r="GJT1" s="70"/>
      <c r="GJU1" s="70"/>
      <c r="GJV1" s="70"/>
      <c r="GJW1" s="70"/>
      <c r="GJX1" s="70"/>
      <c r="GJY1" s="70"/>
      <c r="GJZ1" s="70"/>
      <c r="GKA1" s="70"/>
      <c r="GKB1" s="70"/>
      <c r="GKC1" s="70"/>
      <c r="GKD1" s="70"/>
      <c r="GKE1" s="70"/>
      <c r="GKF1" s="70"/>
      <c r="GKG1" s="70"/>
      <c r="GKH1" s="70"/>
      <c r="GKI1" s="70"/>
      <c r="GKJ1" s="70"/>
      <c r="GKK1" s="70"/>
      <c r="GKL1" s="70"/>
      <c r="GKM1" s="70"/>
      <c r="GKN1" s="70"/>
      <c r="GKO1" s="70"/>
      <c r="GKP1" s="70"/>
      <c r="GKQ1" s="70"/>
      <c r="GKR1" s="70"/>
      <c r="GKS1" s="70"/>
      <c r="GKT1" s="70"/>
      <c r="GKU1" s="70"/>
      <c r="GKV1" s="70"/>
      <c r="GKW1" s="70"/>
      <c r="GKX1" s="70"/>
      <c r="GKY1" s="70"/>
      <c r="GKZ1" s="70"/>
      <c r="GLA1" s="70"/>
      <c r="GLB1" s="70"/>
      <c r="GLC1" s="70"/>
      <c r="GLD1" s="70"/>
      <c r="GLE1" s="70"/>
      <c r="GLF1" s="70"/>
      <c r="GLG1" s="70"/>
      <c r="GLH1" s="70"/>
      <c r="GLI1" s="70"/>
      <c r="GLJ1" s="70"/>
      <c r="GLK1" s="70"/>
      <c r="GLL1" s="70"/>
      <c r="GLM1" s="70"/>
      <c r="GLN1" s="70"/>
      <c r="GLO1" s="70"/>
      <c r="GLP1" s="70"/>
      <c r="GLQ1" s="70"/>
      <c r="GLR1" s="70"/>
      <c r="GLS1" s="70"/>
      <c r="GLT1" s="70"/>
      <c r="GLU1" s="70"/>
      <c r="GLV1" s="70"/>
      <c r="GLW1" s="70"/>
      <c r="GLX1" s="70"/>
      <c r="GLY1" s="70"/>
      <c r="GLZ1" s="70"/>
      <c r="GMA1" s="70"/>
      <c r="GMB1" s="70"/>
      <c r="GMC1" s="70"/>
      <c r="GMD1" s="70"/>
      <c r="GME1" s="70"/>
      <c r="GMF1" s="70"/>
      <c r="GMG1" s="70"/>
      <c r="GMH1" s="70"/>
      <c r="GMI1" s="70"/>
      <c r="GMJ1" s="70"/>
      <c r="GMK1" s="70"/>
      <c r="GML1" s="70"/>
      <c r="GMM1" s="70"/>
      <c r="GMN1" s="70"/>
      <c r="GMO1" s="70"/>
      <c r="GMP1" s="70"/>
      <c r="GMQ1" s="70"/>
      <c r="GMR1" s="70"/>
      <c r="GMS1" s="70"/>
      <c r="GMT1" s="70"/>
      <c r="GMU1" s="70"/>
      <c r="GMV1" s="70"/>
      <c r="GMW1" s="70"/>
      <c r="GMX1" s="70"/>
      <c r="GMY1" s="70"/>
      <c r="GMZ1" s="70"/>
      <c r="GNA1" s="70"/>
      <c r="GNB1" s="70"/>
      <c r="GNC1" s="70"/>
      <c r="GND1" s="70"/>
      <c r="GNE1" s="70"/>
      <c r="GNF1" s="70"/>
      <c r="GNG1" s="70"/>
      <c r="GNH1" s="70"/>
      <c r="GNI1" s="70"/>
      <c r="GNJ1" s="70"/>
      <c r="GNK1" s="70"/>
      <c r="GNL1" s="70"/>
      <c r="GNM1" s="70"/>
      <c r="GNN1" s="70"/>
      <c r="GNO1" s="70"/>
      <c r="GNP1" s="70"/>
      <c r="GNQ1" s="70"/>
      <c r="GNR1" s="70"/>
      <c r="GNS1" s="70"/>
      <c r="GNT1" s="70"/>
      <c r="GNU1" s="70"/>
      <c r="GNV1" s="70"/>
      <c r="GNW1" s="70"/>
      <c r="GNX1" s="70"/>
      <c r="GNY1" s="70"/>
      <c r="GNZ1" s="70"/>
      <c r="GOA1" s="70"/>
      <c r="GOB1" s="70"/>
      <c r="GOC1" s="70"/>
      <c r="GOD1" s="70"/>
      <c r="GOE1" s="70"/>
      <c r="GOF1" s="70"/>
      <c r="GOG1" s="70"/>
      <c r="GOH1" s="70"/>
      <c r="GOI1" s="70"/>
      <c r="GOJ1" s="70"/>
      <c r="GOK1" s="70"/>
      <c r="GOL1" s="70"/>
      <c r="GOM1" s="70"/>
      <c r="GON1" s="70"/>
      <c r="GOO1" s="70"/>
      <c r="GOP1" s="70"/>
      <c r="GOQ1" s="70"/>
      <c r="GOR1" s="70"/>
      <c r="GOS1" s="70"/>
      <c r="GOT1" s="70"/>
      <c r="GOU1" s="70"/>
      <c r="GOV1" s="70"/>
      <c r="GOW1" s="70"/>
      <c r="GOX1" s="70"/>
      <c r="GOY1" s="70"/>
      <c r="GOZ1" s="70"/>
      <c r="GPA1" s="70"/>
      <c r="GPB1" s="70"/>
      <c r="GPC1" s="70"/>
      <c r="GPD1" s="70"/>
      <c r="GPE1" s="70"/>
      <c r="GPF1" s="70"/>
      <c r="GPG1" s="70"/>
      <c r="GPH1" s="70"/>
      <c r="GPI1" s="70"/>
      <c r="GPJ1" s="70"/>
      <c r="GPK1" s="70"/>
      <c r="GPL1" s="70"/>
      <c r="GPM1" s="70"/>
      <c r="GPN1" s="70"/>
      <c r="GPO1" s="70"/>
      <c r="GPP1" s="70"/>
      <c r="GPQ1" s="70"/>
      <c r="GPR1" s="70"/>
      <c r="GPS1" s="70"/>
      <c r="GPT1" s="70"/>
      <c r="GPU1" s="70"/>
      <c r="GPV1" s="70"/>
      <c r="GPW1" s="70"/>
      <c r="GPX1" s="70"/>
      <c r="GPY1" s="70"/>
      <c r="GPZ1" s="70"/>
      <c r="GQA1" s="70"/>
      <c r="GQB1" s="70"/>
      <c r="GQC1" s="70"/>
      <c r="GQD1" s="70"/>
      <c r="GQE1" s="70"/>
      <c r="GQF1" s="70"/>
      <c r="GQG1" s="70"/>
      <c r="GQH1" s="70"/>
      <c r="GQI1" s="70"/>
      <c r="GQJ1" s="70"/>
      <c r="GQK1" s="70"/>
      <c r="GQL1" s="70"/>
      <c r="GQM1" s="70"/>
      <c r="GQN1" s="70"/>
      <c r="GQO1" s="70"/>
      <c r="GQP1" s="70"/>
      <c r="GQQ1" s="70"/>
      <c r="GQR1" s="70"/>
      <c r="GQS1" s="70"/>
      <c r="GQT1" s="70"/>
      <c r="GQU1" s="70"/>
      <c r="GQV1" s="70"/>
      <c r="GQW1" s="70"/>
      <c r="GQX1" s="70"/>
      <c r="GQY1" s="70"/>
      <c r="GQZ1" s="70"/>
      <c r="GRA1" s="70"/>
      <c r="GRB1" s="70"/>
      <c r="GRC1" s="70"/>
      <c r="GRD1" s="70"/>
      <c r="GRE1" s="70"/>
      <c r="GRF1" s="70"/>
      <c r="GRG1" s="70"/>
      <c r="GRH1" s="70"/>
      <c r="GRI1" s="70"/>
      <c r="GRJ1" s="70"/>
      <c r="GRK1" s="70"/>
      <c r="GRL1" s="70"/>
      <c r="GRM1" s="70"/>
      <c r="GRN1" s="70"/>
      <c r="GRO1" s="70"/>
      <c r="GRP1" s="70"/>
      <c r="GRQ1" s="70"/>
      <c r="GRR1" s="70"/>
      <c r="GRS1" s="70"/>
      <c r="GRT1" s="70"/>
      <c r="GRU1" s="70"/>
      <c r="GRV1" s="70"/>
      <c r="GRW1" s="70"/>
      <c r="GRX1" s="70"/>
      <c r="GRY1" s="70"/>
      <c r="GRZ1" s="70"/>
      <c r="GSA1" s="70"/>
      <c r="GSB1" s="70"/>
      <c r="GSC1" s="70"/>
      <c r="GSD1" s="70"/>
      <c r="GSE1" s="70"/>
      <c r="GSF1" s="70"/>
      <c r="GSG1" s="70"/>
      <c r="GSH1" s="70"/>
      <c r="GSI1" s="70"/>
      <c r="GSJ1" s="70"/>
      <c r="GSK1" s="70"/>
      <c r="GSL1" s="70"/>
      <c r="GSM1" s="70"/>
      <c r="GSN1" s="70"/>
      <c r="GSO1" s="70"/>
      <c r="GSP1" s="70"/>
      <c r="GSQ1" s="70"/>
      <c r="GSR1" s="70"/>
      <c r="GSS1" s="70"/>
      <c r="GST1" s="70"/>
      <c r="GSU1" s="70"/>
      <c r="GSV1" s="70"/>
      <c r="GSW1" s="70"/>
      <c r="GSX1" s="70"/>
      <c r="GSY1" s="70"/>
      <c r="GSZ1" s="70"/>
      <c r="GTA1" s="70"/>
      <c r="GTB1" s="70"/>
      <c r="GTC1" s="70"/>
      <c r="GTD1" s="70"/>
      <c r="GTE1" s="70"/>
      <c r="GTF1" s="70"/>
      <c r="GTG1" s="70"/>
      <c r="GTH1" s="70"/>
      <c r="GTI1" s="70"/>
      <c r="GTJ1" s="70"/>
      <c r="GTK1" s="70"/>
      <c r="GTL1" s="70"/>
      <c r="GTM1" s="70"/>
      <c r="GTN1" s="70"/>
      <c r="GTO1" s="70"/>
      <c r="GTP1" s="70"/>
      <c r="GTQ1" s="70"/>
      <c r="GTR1" s="70"/>
      <c r="GTS1" s="70"/>
      <c r="GTT1" s="70"/>
      <c r="GTU1" s="70"/>
      <c r="GTV1" s="70"/>
      <c r="GTW1" s="70"/>
      <c r="GTX1" s="70"/>
      <c r="GTY1" s="70"/>
      <c r="GTZ1" s="70"/>
      <c r="GUA1" s="70"/>
      <c r="GUB1" s="70"/>
      <c r="GUC1" s="70"/>
      <c r="GUD1" s="70"/>
      <c r="GUE1" s="70"/>
      <c r="GUF1" s="70"/>
      <c r="GUG1" s="70"/>
      <c r="GUH1" s="70"/>
      <c r="GUI1" s="70"/>
      <c r="GUJ1" s="70"/>
      <c r="GUK1" s="70"/>
      <c r="GUL1" s="70"/>
      <c r="GUM1" s="70"/>
      <c r="GUN1" s="70"/>
      <c r="GUO1" s="70"/>
      <c r="GUP1" s="70"/>
      <c r="GUQ1" s="70"/>
      <c r="GUR1" s="70"/>
      <c r="GUS1" s="70"/>
      <c r="GUT1" s="70"/>
      <c r="GUU1" s="70"/>
      <c r="GUV1" s="70"/>
      <c r="GUW1" s="70"/>
      <c r="GUX1" s="70"/>
      <c r="GUY1" s="70"/>
      <c r="GUZ1" s="70"/>
      <c r="GVA1" s="70"/>
      <c r="GVB1" s="70"/>
      <c r="GVC1" s="70"/>
      <c r="GVD1" s="70"/>
      <c r="GVE1" s="70"/>
      <c r="GVF1" s="70"/>
      <c r="GVG1" s="70"/>
      <c r="GVH1" s="70"/>
      <c r="GVI1" s="70"/>
      <c r="GVJ1" s="70"/>
      <c r="GVK1" s="70"/>
      <c r="GVL1" s="70"/>
      <c r="GVM1" s="70"/>
      <c r="GVN1" s="70"/>
      <c r="GVO1" s="70"/>
      <c r="GVP1" s="70"/>
      <c r="GVQ1" s="70"/>
      <c r="GVR1" s="70"/>
      <c r="GVS1" s="70"/>
      <c r="GVT1" s="70"/>
      <c r="GVU1" s="70"/>
      <c r="GVV1" s="70"/>
      <c r="GVW1" s="70"/>
      <c r="GVX1" s="70"/>
      <c r="GVY1" s="70"/>
      <c r="GVZ1" s="70"/>
      <c r="GWA1" s="70"/>
      <c r="GWB1" s="70"/>
      <c r="GWC1" s="70"/>
      <c r="GWD1" s="70"/>
      <c r="GWE1" s="70"/>
      <c r="GWF1" s="70"/>
      <c r="GWG1" s="70"/>
      <c r="GWH1" s="70"/>
      <c r="GWI1" s="70"/>
      <c r="GWJ1" s="70"/>
      <c r="GWK1" s="70"/>
      <c r="GWL1" s="70"/>
      <c r="GWM1" s="70"/>
      <c r="GWN1" s="70"/>
      <c r="GWO1" s="70"/>
      <c r="GWP1" s="70"/>
      <c r="GWQ1" s="70"/>
      <c r="GWR1" s="70"/>
      <c r="GWS1" s="70"/>
      <c r="GWT1" s="70"/>
      <c r="GWU1" s="70"/>
      <c r="GWV1" s="70"/>
      <c r="GWW1" s="70"/>
      <c r="GWX1" s="70"/>
      <c r="GWY1" s="70"/>
      <c r="GWZ1" s="70"/>
      <c r="GXA1" s="70"/>
      <c r="GXB1" s="70"/>
      <c r="GXC1" s="70"/>
      <c r="GXD1" s="70"/>
      <c r="GXE1" s="70"/>
      <c r="GXF1" s="70"/>
      <c r="GXG1" s="70"/>
      <c r="GXH1" s="70"/>
      <c r="GXI1" s="70"/>
      <c r="GXJ1" s="70"/>
      <c r="GXK1" s="70"/>
      <c r="GXL1" s="70"/>
      <c r="GXM1" s="70"/>
      <c r="GXN1" s="70"/>
      <c r="GXO1" s="70"/>
      <c r="GXP1" s="70"/>
      <c r="GXQ1" s="70"/>
      <c r="GXR1" s="70"/>
      <c r="GXS1" s="70"/>
      <c r="GXT1" s="70"/>
      <c r="GXU1" s="70"/>
      <c r="GXV1" s="70"/>
      <c r="GXW1" s="70"/>
      <c r="GXX1" s="70"/>
      <c r="GXY1" s="70"/>
      <c r="GXZ1" s="70"/>
      <c r="GYA1" s="70"/>
      <c r="GYB1" s="70"/>
      <c r="GYC1" s="70"/>
      <c r="GYD1" s="70"/>
      <c r="GYE1" s="70"/>
      <c r="GYF1" s="70"/>
      <c r="GYG1" s="70"/>
      <c r="GYH1" s="70"/>
      <c r="GYI1" s="70"/>
      <c r="GYJ1" s="70"/>
      <c r="GYK1" s="70"/>
      <c r="GYL1" s="70"/>
      <c r="GYM1" s="70"/>
      <c r="GYN1" s="70"/>
      <c r="GYO1" s="70"/>
      <c r="GYP1" s="70"/>
      <c r="GYQ1" s="70"/>
      <c r="GYR1" s="70"/>
      <c r="GYS1" s="70"/>
      <c r="GYT1" s="70"/>
      <c r="GYU1" s="70"/>
      <c r="GYV1" s="70"/>
      <c r="GYW1" s="70"/>
      <c r="GYX1" s="70"/>
      <c r="GYY1" s="70"/>
      <c r="GYZ1" s="70"/>
      <c r="GZA1" s="70"/>
      <c r="GZB1" s="70"/>
      <c r="GZC1" s="70"/>
      <c r="GZD1" s="70"/>
      <c r="GZE1" s="70"/>
      <c r="GZF1" s="70"/>
      <c r="GZG1" s="70"/>
      <c r="GZH1" s="70"/>
      <c r="GZI1" s="70"/>
      <c r="GZJ1" s="70"/>
      <c r="GZK1" s="70"/>
      <c r="GZL1" s="70"/>
      <c r="GZM1" s="70"/>
      <c r="GZN1" s="70"/>
      <c r="GZO1" s="70"/>
      <c r="GZP1" s="70"/>
      <c r="GZQ1" s="70"/>
      <c r="GZR1" s="70"/>
      <c r="GZS1" s="70"/>
      <c r="GZT1" s="70"/>
      <c r="GZU1" s="70"/>
      <c r="GZV1" s="70"/>
      <c r="GZW1" s="70"/>
      <c r="GZX1" s="70"/>
      <c r="GZY1" s="70"/>
      <c r="GZZ1" s="70"/>
      <c r="HAA1" s="70"/>
      <c r="HAB1" s="70"/>
      <c r="HAC1" s="70"/>
      <c r="HAD1" s="70"/>
      <c r="HAE1" s="70"/>
      <c r="HAF1" s="70"/>
      <c r="HAG1" s="70"/>
      <c r="HAH1" s="70"/>
      <c r="HAI1" s="70"/>
      <c r="HAJ1" s="70"/>
      <c r="HAK1" s="70"/>
      <c r="HAL1" s="70"/>
      <c r="HAM1" s="70"/>
      <c r="HAN1" s="70"/>
      <c r="HAO1" s="70"/>
      <c r="HAP1" s="70"/>
      <c r="HAQ1" s="70"/>
      <c r="HAR1" s="70"/>
      <c r="HAS1" s="70"/>
      <c r="HAT1" s="70"/>
      <c r="HAU1" s="70"/>
      <c r="HAV1" s="70"/>
      <c r="HAW1" s="70"/>
      <c r="HAX1" s="70"/>
      <c r="HAY1" s="70"/>
      <c r="HAZ1" s="70"/>
      <c r="HBA1" s="70"/>
      <c r="HBB1" s="70"/>
      <c r="HBC1" s="70"/>
      <c r="HBD1" s="70"/>
      <c r="HBE1" s="70"/>
      <c r="HBF1" s="70"/>
      <c r="HBG1" s="70"/>
      <c r="HBH1" s="70"/>
      <c r="HBI1" s="70"/>
      <c r="HBJ1" s="70"/>
      <c r="HBK1" s="70"/>
      <c r="HBL1" s="70"/>
      <c r="HBM1" s="70"/>
      <c r="HBN1" s="70"/>
      <c r="HBO1" s="70"/>
      <c r="HBP1" s="70"/>
      <c r="HBQ1" s="70"/>
      <c r="HBR1" s="70"/>
      <c r="HBS1" s="70"/>
      <c r="HBT1" s="70"/>
      <c r="HBU1" s="70"/>
      <c r="HBV1" s="70"/>
      <c r="HBW1" s="70"/>
      <c r="HBX1" s="70"/>
      <c r="HBY1" s="70"/>
      <c r="HBZ1" s="70"/>
      <c r="HCA1" s="70"/>
      <c r="HCB1" s="70"/>
      <c r="HCC1" s="70"/>
      <c r="HCD1" s="70"/>
      <c r="HCE1" s="70"/>
      <c r="HCF1" s="70"/>
      <c r="HCG1" s="70"/>
      <c r="HCH1" s="70"/>
      <c r="HCI1" s="70"/>
      <c r="HCJ1" s="70"/>
      <c r="HCK1" s="70"/>
      <c r="HCL1" s="70"/>
      <c r="HCM1" s="70"/>
      <c r="HCN1" s="70"/>
      <c r="HCO1" s="70"/>
      <c r="HCP1" s="70"/>
      <c r="HCQ1" s="70"/>
      <c r="HCR1" s="70"/>
      <c r="HCS1" s="70"/>
      <c r="HCT1" s="70"/>
      <c r="HCU1" s="70"/>
      <c r="HCV1" s="70"/>
      <c r="HCW1" s="70"/>
      <c r="HCX1" s="70"/>
      <c r="HCY1" s="70"/>
      <c r="HCZ1" s="70"/>
      <c r="HDA1" s="70"/>
      <c r="HDB1" s="70"/>
      <c r="HDC1" s="70"/>
      <c r="HDD1" s="70"/>
      <c r="HDE1" s="70"/>
      <c r="HDF1" s="70"/>
      <c r="HDG1" s="70"/>
      <c r="HDH1" s="70"/>
      <c r="HDI1" s="70"/>
      <c r="HDJ1" s="70"/>
      <c r="HDK1" s="70"/>
      <c r="HDL1" s="70"/>
      <c r="HDM1" s="70"/>
      <c r="HDN1" s="70"/>
      <c r="HDO1" s="70"/>
      <c r="HDP1" s="70"/>
      <c r="HDQ1" s="70"/>
      <c r="HDR1" s="70"/>
      <c r="HDS1" s="70"/>
      <c r="HDT1" s="70"/>
      <c r="HDU1" s="70"/>
      <c r="HDV1" s="70"/>
      <c r="HDW1" s="70"/>
      <c r="HDX1" s="70"/>
      <c r="HDY1" s="70"/>
      <c r="HDZ1" s="70"/>
      <c r="HEA1" s="70"/>
      <c r="HEB1" s="70"/>
      <c r="HEC1" s="70"/>
      <c r="HED1" s="70"/>
      <c r="HEE1" s="70"/>
      <c r="HEF1" s="70"/>
      <c r="HEG1" s="70"/>
      <c r="HEH1" s="70"/>
      <c r="HEI1" s="70"/>
      <c r="HEJ1" s="70"/>
      <c r="HEK1" s="70"/>
      <c r="HEL1" s="70"/>
      <c r="HEM1" s="70"/>
      <c r="HEN1" s="70"/>
      <c r="HEO1" s="70"/>
      <c r="HEP1" s="70"/>
      <c r="HEQ1" s="70"/>
      <c r="HER1" s="70"/>
      <c r="HES1" s="70"/>
      <c r="HET1" s="70"/>
      <c r="HEU1" s="70"/>
      <c r="HEV1" s="70"/>
      <c r="HEW1" s="70"/>
      <c r="HEX1" s="70"/>
      <c r="HEY1" s="70"/>
      <c r="HEZ1" s="70"/>
      <c r="HFA1" s="70"/>
      <c r="HFB1" s="70"/>
      <c r="HFC1" s="70"/>
      <c r="HFD1" s="70"/>
      <c r="HFE1" s="70"/>
      <c r="HFF1" s="70"/>
      <c r="HFG1" s="70"/>
      <c r="HFH1" s="70"/>
      <c r="HFI1" s="70"/>
      <c r="HFJ1" s="70"/>
      <c r="HFK1" s="70"/>
      <c r="HFL1" s="70"/>
      <c r="HFM1" s="70"/>
      <c r="HFN1" s="70"/>
      <c r="HFO1" s="70"/>
      <c r="HFP1" s="70"/>
      <c r="HFQ1" s="70"/>
      <c r="HFR1" s="70"/>
      <c r="HFS1" s="70"/>
      <c r="HFT1" s="70"/>
      <c r="HFU1" s="70"/>
      <c r="HFV1" s="70"/>
      <c r="HFW1" s="70"/>
      <c r="HFX1" s="70"/>
      <c r="HFY1" s="70"/>
      <c r="HFZ1" s="70"/>
      <c r="HGA1" s="70"/>
      <c r="HGB1" s="70"/>
      <c r="HGC1" s="70"/>
      <c r="HGD1" s="70"/>
      <c r="HGE1" s="70"/>
      <c r="HGF1" s="70"/>
      <c r="HGG1" s="70"/>
      <c r="HGH1" s="70"/>
      <c r="HGI1" s="70"/>
      <c r="HGJ1" s="70"/>
      <c r="HGK1" s="70"/>
      <c r="HGL1" s="70"/>
      <c r="HGM1" s="70"/>
      <c r="HGN1" s="70"/>
      <c r="HGO1" s="70"/>
      <c r="HGP1" s="70"/>
      <c r="HGQ1" s="70"/>
      <c r="HGR1" s="70"/>
      <c r="HGS1" s="70"/>
      <c r="HGT1" s="70"/>
      <c r="HGU1" s="70"/>
      <c r="HGV1" s="70"/>
      <c r="HGW1" s="70"/>
      <c r="HGX1" s="70"/>
      <c r="HGY1" s="70"/>
      <c r="HGZ1" s="70"/>
      <c r="HHA1" s="70"/>
      <c r="HHB1" s="70"/>
      <c r="HHC1" s="70"/>
      <c r="HHD1" s="70"/>
      <c r="HHE1" s="70"/>
      <c r="HHF1" s="70"/>
      <c r="HHG1" s="70"/>
      <c r="HHH1" s="70"/>
      <c r="HHI1" s="70"/>
      <c r="HHJ1" s="70"/>
      <c r="HHK1" s="70"/>
      <c r="HHL1" s="70"/>
      <c r="HHM1" s="70"/>
      <c r="HHN1" s="70"/>
      <c r="HHO1" s="70"/>
      <c r="HHP1" s="70"/>
      <c r="HHQ1" s="70"/>
      <c r="HHR1" s="70"/>
      <c r="HHS1" s="70"/>
      <c r="HHT1" s="70"/>
      <c r="HHU1" s="70"/>
      <c r="HHV1" s="70"/>
      <c r="HHW1" s="70"/>
      <c r="HHX1" s="70"/>
      <c r="HHY1" s="70"/>
      <c r="HHZ1" s="70"/>
      <c r="HIA1" s="70"/>
      <c r="HIB1" s="70"/>
      <c r="HIC1" s="70"/>
      <c r="HID1" s="70"/>
      <c r="HIE1" s="70"/>
      <c r="HIF1" s="70"/>
      <c r="HIG1" s="70"/>
      <c r="HIH1" s="70"/>
      <c r="HII1" s="70"/>
      <c r="HIJ1" s="70"/>
      <c r="HIK1" s="70"/>
      <c r="HIL1" s="70"/>
      <c r="HIM1" s="70"/>
      <c r="HIN1" s="70"/>
      <c r="HIO1" s="70"/>
      <c r="HIP1" s="70"/>
      <c r="HIQ1" s="70"/>
      <c r="HIR1" s="70"/>
      <c r="HIS1" s="70"/>
      <c r="HIT1" s="70"/>
      <c r="HIU1" s="70"/>
      <c r="HIV1" s="70"/>
      <c r="HIW1" s="70"/>
      <c r="HIX1" s="70"/>
      <c r="HIY1" s="70"/>
      <c r="HIZ1" s="70"/>
      <c r="HJA1" s="70"/>
      <c r="HJB1" s="70"/>
      <c r="HJC1" s="70"/>
      <c r="HJD1" s="70"/>
      <c r="HJE1" s="70"/>
      <c r="HJF1" s="70"/>
      <c r="HJG1" s="70"/>
      <c r="HJH1" s="70"/>
      <c r="HJI1" s="70"/>
      <c r="HJJ1" s="70"/>
      <c r="HJK1" s="70"/>
      <c r="HJL1" s="70"/>
      <c r="HJM1" s="70"/>
      <c r="HJN1" s="70"/>
      <c r="HJO1" s="70"/>
      <c r="HJP1" s="70"/>
      <c r="HJQ1" s="70"/>
      <c r="HJR1" s="70"/>
      <c r="HJS1" s="70"/>
      <c r="HJT1" s="70"/>
      <c r="HJU1" s="70"/>
      <c r="HJV1" s="70"/>
      <c r="HJW1" s="70"/>
      <c r="HJX1" s="70"/>
      <c r="HJY1" s="70"/>
      <c r="HJZ1" s="70"/>
      <c r="HKA1" s="70"/>
      <c r="HKB1" s="70"/>
      <c r="HKC1" s="70"/>
      <c r="HKD1" s="70"/>
      <c r="HKE1" s="70"/>
      <c r="HKF1" s="70"/>
      <c r="HKG1" s="70"/>
      <c r="HKH1" s="70"/>
      <c r="HKI1" s="70"/>
      <c r="HKJ1" s="70"/>
      <c r="HKK1" s="70"/>
      <c r="HKL1" s="70"/>
      <c r="HKM1" s="70"/>
      <c r="HKN1" s="70"/>
      <c r="HKO1" s="70"/>
      <c r="HKP1" s="70"/>
      <c r="HKQ1" s="70"/>
      <c r="HKR1" s="70"/>
      <c r="HKS1" s="70"/>
      <c r="HKT1" s="70"/>
      <c r="HKU1" s="70"/>
      <c r="HKV1" s="70"/>
      <c r="HKW1" s="70"/>
      <c r="HKX1" s="70"/>
      <c r="HKY1" s="70"/>
      <c r="HKZ1" s="70"/>
      <c r="HLA1" s="70"/>
      <c r="HLB1" s="70"/>
      <c r="HLC1" s="70"/>
      <c r="HLD1" s="70"/>
      <c r="HLE1" s="70"/>
      <c r="HLF1" s="70"/>
      <c r="HLG1" s="70"/>
      <c r="HLH1" s="70"/>
      <c r="HLI1" s="70"/>
      <c r="HLJ1" s="70"/>
      <c r="HLK1" s="70"/>
      <c r="HLL1" s="70"/>
      <c r="HLM1" s="70"/>
      <c r="HLN1" s="70"/>
      <c r="HLO1" s="70"/>
      <c r="HLP1" s="70"/>
      <c r="HLQ1" s="70"/>
      <c r="HLR1" s="70"/>
      <c r="HLS1" s="70"/>
      <c r="HLT1" s="70"/>
      <c r="HLU1" s="70"/>
      <c r="HLV1" s="70"/>
      <c r="HLW1" s="70"/>
      <c r="HLX1" s="70"/>
      <c r="HLY1" s="70"/>
      <c r="HLZ1" s="70"/>
      <c r="HMA1" s="70"/>
      <c r="HMB1" s="70"/>
      <c r="HMC1" s="70"/>
      <c r="HMD1" s="70"/>
      <c r="HME1" s="70"/>
      <c r="HMF1" s="70"/>
      <c r="HMG1" s="70"/>
      <c r="HMH1" s="70"/>
      <c r="HMI1" s="70"/>
      <c r="HMJ1" s="70"/>
      <c r="HMK1" s="70"/>
      <c r="HML1" s="70"/>
      <c r="HMM1" s="70"/>
      <c r="HMN1" s="70"/>
      <c r="HMO1" s="70"/>
      <c r="HMP1" s="70"/>
      <c r="HMQ1" s="70"/>
      <c r="HMR1" s="70"/>
      <c r="HMS1" s="70"/>
      <c r="HMT1" s="70"/>
      <c r="HMU1" s="70"/>
      <c r="HMV1" s="70"/>
      <c r="HMW1" s="70"/>
      <c r="HMX1" s="70"/>
      <c r="HMY1" s="70"/>
      <c r="HMZ1" s="70"/>
      <c r="HNA1" s="70"/>
      <c r="HNB1" s="70"/>
      <c r="HNC1" s="70"/>
      <c r="HND1" s="70"/>
      <c r="HNE1" s="70"/>
      <c r="HNF1" s="70"/>
      <c r="HNG1" s="70"/>
      <c r="HNH1" s="70"/>
      <c r="HNI1" s="70"/>
      <c r="HNJ1" s="70"/>
      <c r="HNK1" s="70"/>
      <c r="HNL1" s="70"/>
      <c r="HNM1" s="70"/>
      <c r="HNN1" s="70"/>
      <c r="HNO1" s="70"/>
      <c r="HNP1" s="70"/>
      <c r="HNQ1" s="70"/>
      <c r="HNR1" s="70"/>
      <c r="HNS1" s="70"/>
      <c r="HNT1" s="70"/>
      <c r="HNU1" s="70"/>
      <c r="HNV1" s="70"/>
      <c r="HNW1" s="70"/>
      <c r="HNX1" s="70"/>
      <c r="HNY1" s="70"/>
      <c r="HNZ1" s="70"/>
      <c r="HOA1" s="70"/>
      <c r="HOB1" s="70"/>
      <c r="HOC1" s="70"/>
      <c r="HOD1" s="70"/>
      <c r="HOE1" s="70"/>
      <c r="HOF1" s="70"/>
      <c r="HOG1" s="70"/>
      <c r="HOH1" s="70"/>
      <c r="HOI1" s="70"/>
      <c r="HOJ1" s="70"/>
      <c r="HOK1" s="70"/>
      <c r="HOL1" s="70"/>
      <c r="HOM1" s="70"/>
      <c r="HON1" s="70"/>
      <c r="HOO1" s="70"/>
      <c r="HOP1" s="70"/>
      <c r="HOQ1" s="70"/>
      <c r="HOR1" s="70"/>
      <c r="HOS1" s="70"/>
      <c r="HOT1" s="70"/>
      <c r="HOU1" s="70"/>
      <c r="HOV1" s="70"/>
      <c r="HOW1" s="70"/>
      <c r="HOX1" s="70"/>
      <c r="HOY1" s="70"/>
      <c r="HOZ1" s="70"/>
      <c r="HPA1" s="70"/>
      <c r="HPB1" s="70"/>
      <c r="HPC1" s="70"/>
      <c r="HPD1" s="70"/>
      <c r="HPE1" s="70"/>
      <c r="HPF1" s="70"/>
      <c r="HPG1" s="70"/>
      <c r="HPH1" s="70"/>
      <c r="HPI1" s="70"/>
      <c r="HPJ1" s="70"/>
      <c r="HPK1" s="70"/>
      <c r="HPL1" s="70"/>
      <c r="HPM1" s="70"/>
      <c r="HPN1" s="70"/>
      <c r="HPO1" s="70"/>
      <c r="HPP1" s="70"/>
      <c r="HPQ1" s="70"/>
      <c r="HPR1" s="70"/>
      <c r="HPS1" s="70"/>
      <c r="HPT1" s="70"/>
      <c r="HPU1" s="70"/>
      <c r="HPV1" s="70"/>
      <c r="HPW1" s="70"/>
      <c r="HPX1" s="70"/>
      <c r="HPY1" s="70"/>
      <c r="HPZ1" s="70"/>
      <c r="HQA1" s="70"/>
      <c r="HQB1" s="70"/>
      <c r="HQC1" s="70"/>
      <c r="HQD1" s="70"/>
      <c r="HQE1" s="70"/>
      <c r="HQF1" s="70"/>
      <c r="HQG1" s="70"/>
      <c r="HQH1" s="70"/>
      <c r="HQI1" s="70"/>
      <c r="HQJ1" s="70"/>
      <c r="HQK1" s="70"/>
      <c r="HQL1" s="70"/>
      <c r="HQM1" s="70"/>
      <c r="HQN1" s="70"/>
      <c r="HQO1" s="70"/>
      <c r="HQP1" s="70"/>
      <c r="HQQ1" s="70"/>
      <c r="HQR1" s="70"/>
      <c r="HQS1" s="70"/>
      <c r="HQT1" s="70"/>
      <c r="HQU1" s="70"/>
      <c r="HQV1" s="70"/>
      <c r="HQW1" s="70"/>
      <c r="HQX1" s="70"/>
      <c r="HQY1" s="70"/>
      <c r="HQZ1" s="70"/>
      <c r="HRA1" s="70"/>
      <c r="HRB1" s="70"/>
      <c r="HRC1" s="70"/>
      <c r="HRD1" s="70"/>
      <c r="HRE1" s="70"/>
      <c r="HRF1" s="70"/>
      <c r="HRG1" s="70"/>
      <c r="HRH1" s="70"/>
      <c r="HRI1" s="70"/>
      <c r="HRJ1" s="70"/>
      <c r="HRK1" s="70"/>
      <c r="HRL1" s="70"/>
      <c r="HRM1" s="70"/>
      <c r="HRN1" s="70"/>
      <c r="HRO1" s="70"/>
      <c r="HRP1" s="70"/>
      <c r="HRQ1" s="70"/>
      <c r="HRR1" s="70"/>
      <c r="HRS1" s="70"/>
      <c r="HRT1" s="70"/>
      <c r="HRU1" s="70"/>
      <c r="HRV1" s="70"/>
      <c r="HRW1" s="70"/>
      <c r="HRX1" s="70"/>
      <c r="HRY1" s="70"/>
      <c r="HRZ1" s="70"/>
      <c r="HSA1" s="70"/>
      <c r="HSB1" s="70"/>
      <c r="HSC1" s="70"/>
      <c r="HSD1" s="70"/>
      <c r="HSE1" s="70"/>
      <c r="HSF1" s="70"/>
      <c r="HSG1" s="70"/>
      <c r="HSH1" s="70"/>
      <c r="HSI1" s="70"/>
      <c r="HSJ1" s="70"/>
      <c r="HSK1" s="70"/>
      <c r="HSL1" s="70"/>
      <c r="HSM1" s="70"/>
      <c r="HSN1" s="70"/>
      <c r="HSO1" s="70"/>
      <c r="HSP1" s="70"/>
      <c r="HSQ1" s="70"/>
      <c r="HSR1" s="70"/>
      <c r="HSS1" s="70"/>
      <c r="HST1" s="70"/>
      <c r="HSU1" s="70"/>
      <c r="HSV1" s="70"/>
      <c r="HSW1" s="70"/>
      <c r="HSX1" s="70"/>
      <c r="HSY1" s="70"/>
      <c r="HSZ1" s="70"/>
      <c r="HTA1" s="70"/>
      <c r="HTB1" s="70"/>
      <c r="HTC1" s="70"/>
      <c r="HTD1" s="70"/>
      <c r="HTE1" s="70"/>
      <c r="HTF1" s="70"/>
      <c r="HTG1" s="70"/>
      <c r="HTH1" s="70"/>
      <c r="HTI1" s="70"/>
      <c r="HTJ1" s="70"/>
      <c r="HTK1" s="70"/>
      <c r="HTL1" s="70"/>
      <c r="HTM1" s="70"/>
      <c r="HTN1" s="70"/>
      <c r="HTO1" s="70"/>
      <c r="HTP1" s="70"/>
      <c r="HTQ1" s="70"/>
      <c r="HTR1" s="70"/>
      <c r="HTS1" s="70"/>
      <c r="HTT1" s="70"/>
      <c r="HTU1" s="70"/>
      <c r="HTV1" s="70"/>
      <c r="HTW1" s="70"/>
      <c r="HTX1" s="70"/>
      <c r="HTY1" s="70"/>
      <c r="HTZ1" s="70"/>
      <c r="HUA1" s="70"/>
      <c r="HUB1" s="70"/>
      <c r="HUC1" s="70"/>
      <c r="HUD1" s="70"/>
      <c r="HUE1" s="70"/>
      <c r="HUF1" s="70"/>
      <c r="HUG1" s="70"/>
      <c r="HUH1" s="70"/>
      <c r="HUI1" s="70"/>
      <c r="HUJ1" s="70"/>
      <c r="HUK1" s="70"/>
      <c r="HUL1" s="70"/>
      <c r="HUM1" s="70"/>
      <c r="HUN1" s="70"/>
      <c r="HUO1" s="70"/>
      <c r="HUP1" s="70"/>
      <c r="HUQ1" s="70"/>
      <c r="HUR1" s="70"/>
      <c r="HUS1" s="70"/>
      <c r="HUT1" s="70"/>
      <c r="HUU1" s="70"/>
      <c r="HUV1" s="70"/>
      <c r="HUW1" s="70"/>
      <c r="HUX1" s="70"/>
      <c r="HUY1" s="70"/>
      <c r="HUZ1" s="70"/>
      <c r="HVA1" s="70"/>
      <c r="HVB1" s="70"/>
      <c r="HVC1" s="70"/>
      <c r="HVD1" s="70"/>
      <c r="HVE1" s="70"/>
      <c r="HVF1" s="70"/>
      <c r="HVG1" s="70"/>
      <c r="HVH1" s="70"/>
      <c r="HVI1" s="70"/>
      <c r="HVJ1" s="70"/>
      <c r="HVK1" s="70"/>
      <c r="HVL1" s="70"/>
      <c r="HVM1" s="70"/>
      <c r="HVN1" s="70"/>
      <c r="HVO1" s="70"/>
      <c r="HVP1" s="70"/>
      <c r="HVQ1" s="70"/>
      <c r="HVR1" s="70"/>
      <c r="HVS1" s="70"/>
      <c r="HVT1" s="70"/>
      <c r="HVU1" s="70"/>
      <c r="HVV1" s="70"/>
      <c r="HVW1" s="70"/>
      <c r="HVX1" s="70"/>
      <c r="HVY1" s="70"/>
      <c r="HVZ1" s="70"/>
      <c r="HWA1" s="70"/>
      <c r="HWB1" s="70"/>
      <c r="HWC1" s="70"/>
      <c r="HWD1" s="70"/>
      <c r="HWE1" s="70"/>
      <c r="HWF1" s="70"/>
      <c r="HWG1" s="70"/>
      <c r="HWH1" s="70"/>
      <c r="HWI1" s="70"/>
      <c r="HWJ1" s="70"/>
      <c r="HWK1" s="70"/>
      <c r="HWL1" s="70"/>
      <c r="HWM1" s="70"/>
      <c r="HWN1" s="70"/>
      <c r="HWO1" s="70"/>
      <c r="HWP1" s="70"/>
      <c r="HWQ1" s="70"/>
      <c r="HWR1" s="70"/>
      <c r="HWS1" s="70"/>
      <c r="HWT1" s="70"/>
      <c r="HWU1" s="70"/>
      <c r="HWV1" s="70"/>
      <c r="HWW1" s="70"/>
      <c r="HWX1" s="70"/>
      <c r="HWY1" s="70"/>
      <c r="HWZ1" s="70"/>
      <c r="HXA1" s="70"/>
      <c r="HXB1" s="70"/>
      <c r="HXC1" s="70"/>
      <c r="HXD1" s="70"/>
      <c r="HXE1" s="70"/>
      <c r="HXF1" s="70"/>
      <c r="HXG1" s="70"/>
      <c r="HXH1" s="70"/>
      <c r="HXI1" s="70"/>
      <c r="HXJ1" s="70"/>
      <c r="HXK1" s="70"/>
      <c r="HXL1" s="70"/>
      <c r="HXM1" s="70"/>
      <c r="HXN1" s="70"/>
      <c r="HXO1" s="70"/>
      <c r="HXP1" s="70"/>
      <c r="HXQ1" s="70"/>
      <c r="HXR1" s="70"/>
      <c r="HXS1" s="70"/>
      <c r="HXT1" s="70"/>
      <c r="HXU1" s="70"/>
      <c r="HXV1" s="70"/>
      <c r="HXW1" s="70"/>
      <c r="HXX1" s="70"/>
      <c r="HXY1" s="70"/>
      <c r="HXZ1" s="70"/>
      <c r="HYA1" s="70"/>
      <c r="HYB1" s="70"/>
      <c r="HYC1" s="70"/>
      <c r="HYD1" s="70"/>
      <c r="HYE1" s="70"/>
      <c r="HYF1" s="70"/>
      <c r="HYG1" s="70"/>
      <c r="HYH1" s="70"/>
      <c r="HYI1" s="70"/>
      <c r="HYJ1" s="70"/>
      <c r="HYK1" s="70"/>
      <c r="HYL1" s="70"/>
      <c r="HYM1" s="70"/>
      <c r="HYN1" s="70"/>
      <c r="HYO1" s="70"/>
      <c r="HYP1" s="70"/>
      <c r="HYQ1" s="70"/>
      <c r="HYR1" s="70"/>
      <c r="HYS1" s="70"/>
      <c r="HYT1" s="70"/>
      <c r="HYU1" s="70"/>
      <c r="HYV1" s="70"/>
      <c r="HYW1" s="70"/>
      <c r="HYX1" s="70"/>
      <c r="HYY1" s="70"/>
      <c r="HYZ1" s="70"/>
      <c r="HZA1" s="70"/>
      <c r="HZB1" s="70"/>
      <c r="HZC1" s="70"/>
      <c r="HZD1" s="70"/>
      <c r="HZE1" s="70"/>
      <c r="HZF1" s="70"/>
      <c r="HZG1" s="70"/>
      <c r="HZH1" s="70"/>
      <c r="HZI1" s="70"/>
      <c r="HZJ1" s="70"/>
      <c r="HZK1" s="70"/>
      <c r="HZL1" s="70"/>
      <c r="HZM1" s="70"/>
      <c r="HZN1" s="70"/>
      <c r="HZO1" s="70"/>
      <c r="HZP1" s="70"/>
      <c r="HZQ1" s="70"/>
      <c r="HZR1" s="70"/>
      <c r="HZS1" s="70"/>
      <c r="HZT1" s="70"/>
      <c r="HZU1" s="70"/>
      <c r="HZV1" s="70"/>
      <c r="HZW1" s="70"/>
      <c r="HZX1" s="70"/>
      <c r="HZY1" s="70"/>
      <c r="HZZ1" s="70"/>
      <c r="IAA1" s="70"/>
      <c r="IAB1" s="70"/>
      <c r="IAC1" s="70"/>
      <c r="IAD1" s="70"/>
      <c r="IAE1" s="70"/>
      <c r="IAF1" s="70"/>
      <c r="IAG1" s="70"/>
      <c r="IAH1" s="70"/>
      <c r="IAI1" s="70"/>
      <c r="IAJ1" s="70"/>
      <c r="IAK1" s="70"/>
      <c r="IAL1" s="70"/>
      <c r="IAM1" s="70"/>
      <c r="IAN1" s="70"/>
      <c r="IAO1" s="70"/>
      <c r="IAP1" s="70"/>
      <c r="IAQ1" s="70"/>
      <c r="IAR1" s="70"/>
      <c r="IAS1" s="70"/>
      <c r="IAT1" s="70"/>
      <c r="IAU1" s="70"/>
      <c r="IAV1" s="70"/>
      <c r="IAW1" s="70"/>
      <c r="IAX1" s="70"/>
      <c r="IAY1" s="70"/>
      <c r="IAZ1" s="70"/>
      <c r="IBA1" s="70"/>
      <c r="IBB1" s="70"/>
      <c r="IBC1" s="70"/>
      <c r="IBD1" s="70"/>
      <c r="IBE1" s="70"/>
      <c r="IBF1" s="70"/>
      <c r="IBG1" s="70"/>
      <c r="IBH1" s="70"/>
      <c r="IBI1" s="70"/>
      <c r="IBJ1" s="70"/>
      <c r="IBK1" s="70"/>
      <c r="IBL1" s="70"/>
      <c r="IBM1" s="70"/>
      <c r="IBN1" s="70"/>
      <c r="IBO1" s="70"/>
      <c r="IBP1" s="70"/>
      <c r="IBQ1" s="70"/>
      <c r="IBR1" s="70"/>
      <c r="IBS1" s="70"/>
      <c r="IBT1" s="70"/>
      <c r="IBU1" s="70"/>
      <c r="IBV1" s="70"/>
      <c r="IBW1" s="70"/>
      <c r="IBX1" s="70"/>
      <c r="IBY1" s="70"/>
      <c r="IBZ1" s="70"/>
      <c r="ICA1" s="70"/>
      <c r="ICB1" s="70"/>
      <c r="ICC1" s="70"/>
      <c r="ICD1" s="70"/>
      <c r="ICE1" s="70"/>
      <c r="ICF1" s="70"/>
      <c r="ICG1" s="70"/>
      <c r="ICH1" s="70"/>
      <c r="ICI1" s="70"/>
      <c r="ICJ1" s="70"/>
      <c r="ICK1" s="70"/>
      <c r="ICL1" s="70"/>
      <c r="ICM1" s="70"/>
      <c r="ICN1" s="70"/>
      <c r="ICO1" s="70"/>
      <c r="ICP1" s="70"/>
      <c r="ICQ1" s="70"/>
      <c r="ICR1" s="70"/>
      <c r="ICS1" s="70"/>
      <c r="ICT1" s="70"/>
      <c r="ICU1" s="70"/>
      <c r="ICV1" s="70"/>
      <c r="ICW1" s="70"/>
      <c r="ICX1" s="70"/>
      <c r="ICY1" s="70"/>
      <c r="ICZ1" s="70"/>
      <c r="IDA1" s="70"/>
      <c r="IDB1" s="70"/>
      <c r="IDC1" s="70"/>
      <c r="IDD1" s="70"/>
      <c r="IDE1" s="70"/>
      <c r="IDF1" s="70"/>
      <c r="IDG1" s="70"/>
      <c r="IDH1" s="70"/>
      <c r="IDI1" s="70"/>
      <c r="IDJ1" s="70"/>
      <c r="IDK1" s="70"/>
      <c r="IDL1" s="70"/>
      <c r="IDM1" s="70"/>
      <c r="IDN1" s="70"/>
      <c r="IDO1" s="70"/>
      <c r="IDP1" s="70"/>
      <c r="IDQ1" s="70"/>
      <c r="IDR1" s="70"/>
      <c r="IDS1" s="70"/>
      <c r="IDT1" s="70"/>
      <c r="IDU1" s="70"/>
      <c r="IDV1" s="70"/>
      <c r="IDW1" s="70"/>
      <c r="IDX1" s="70"/>
      <c r="IDY1" s="70"/>
      <c r="IDZ1" s="70"/>
      <c r="IEA1" s="70"/>
      <c r="IEB1" s="70"/>
      <c r="IEC1" s="70"/>
      <c r="IED1" s="70"/>
      <c r="IEE1" s="70"/>
      <c r="IEF1" s="70"/>
      <c r="IEG1" s="70"/>
      <c r="IEH1" s="70"/>
      <c r="IEI1" s="70"/>
      <c r="IEJ1" s="70"/>
      <c r="IEK1" s="70"/>
      <c r="IEL1" s="70"/>
      <c r="IEM1" s="70"/>
      <c r="IEN1" s="70"/>
      <c r="IEO1" s="70"/>
      <c r="IEP1" s="70"/>
      <c r="IEQ1" s="70"/>
      <c r="IER1" s="70"/>
      <c r="IES1" s="70"/>
      <c r="IET1" s="70"/>
      <c r="IEU1" s="70"/>
      <c r="IEV1" s="70"/>
      <c r="IEW1" s="70"/>
      <c r="IEX1" s="70"/>
      <c r="IEY1" s="70"/>
      <c r="IEZ1" s="70"/>
      <c r="IFA1" s="70"/>
      <c r="IFB1" s="70"/>
      <c r="IFC1" s="70"/>
      <c r="IFD1" s="70"/>
      <c r="IFE1" s="70"/>
      <c r="IFF1" s="70"/>
      <c r="IFG1" s="70"/>
      <c r="IFH1" s="70"/>
      <c r="IFI1" s="70"/>
      <c r="IFJ1" s="70"/>
      <c r="IFK1" s="70"/>
      <c r="IFL1" s="70"/>
      <c r="IFM1" s="70"/>
      <c r="IFN1" s="70"/>
      <c r="IFO1" s="70"/>
      <c r="IFP1" s="70"/>
      <c r="IFQ1" s="70"/>
      <c r="IFR1" s="70"/>
      <c r="IFS1" s="70"/>
      <c r="IFT1" s="70"/>
      <c r="IFU1" s="70"/>
      <c r="IFV1" s="70"/>
      <c r="IFW1" s="70"/>
      <c r="IFX1" s="70"/>
      <c r="IFY1" s="70"/>
      <c r="IFZ1" s="70"/>
      <c r="IGA1" s="70"/>
      <c r="IGB1" s="70"/>
      <c r="IGC1" s="70"/>
      <c r="IGD1" s="70"/>
      <c r="IGE1" s="70"/>
      <c r="IGF1" s="70"/>
      <c r="IGG1" s="70"/>
      <c r="IGH1" s="70"/>
      <c r="IGI1" s="70"/>
      <c r="IGJ1" s="70"/>
      <c r="IGK1" s="70"/>
      <c r="IGL1" s="70"/>
      <c r="IGM1" s="70"/>
      <c r="IGN1" s="70"/>
      <c r="IGO1" s="70"/>
      <c r="IGP1" s="70"/>
      <c r="IGQ1" s="70"/>
      <c r="IGR1" s="70"/>
      <c r="IGS1" s="70"/>
      <c r="IGT1" s="70"/>
      <c r="IGU1" s="70"/>
      <c r="IGV1" s="70"/>
      <c r="IGW1" s="70"/>
      <c r="IGX1" s="70"/>
      <c r="IGY1" s="70"/>
      <c r="IGZ1" s="70"/>
      <c r="IHA1" s="70"/>
      <c r="IHB1" s="70"/>
      <c r="IHC1" s="70"/>
      <c r="IHD1" s="70"/>
      <c r="IHE1" s="70"/>
      <c r="IHF1" s="70"/>
      <c r="IHG1" s="70"/>
      <c r="IHH1" s="70"/>
      <c r="IHI1" s="70"/>
      <c r="IHJ1" s="70"/>
      <c r="IHK1" s="70"/>
      <c r="IHL1" s="70"/>
      <c r="IHM1" s="70"/>
      <c r="IHN1" s="70"/>
      <c r="IHO1" s="70"/>
      <c r="IHP1" s="70"/>
      <c r="IHQ1" s="70"/>
      <c r="IHR1" s="70"/>
      <c r="IHS1" s="70"/>
      <c r="IHT1" s="70"/>
      <c r="IHU1" s="70"/>
      <c r="IHV1" s="70"/>
      <c r="IHW1" s="70"/>
      <c r="IHX1" s="70"/>
      <c r="IHY1" s="70"/>
      <c r="IHZ1" s="70"/>
      <c r="IIA1" s="70"/>
      <c r="IIB1" s="70"/>
      <c r="IIC1" s="70"/>
      <c r="IID1" s="70"/>
      <c r="IIE1" s="70"/>
      <c r="IIF1" s="70"/>
      <c r="IIG1" s="70"/>
      <c r="IIH1" s="70"/>
      <c r="III1" s="70"/>
      <c r="IIJ1" s="70"/>
      <c r="IIK1" s="70"/>
      <c r="IIL1" s="70"/>
      <c r="IIM1" s="70"/>
      <c r="IIN1" s="70"/>
      <c r="IIO1" s="70"/>
      <c r="IIP1" s="70"/>
      <c r="IIQ1" s="70"/>
      <c r="IIR1" s="70"/>
      <c r="IIS1" s="70"/>
      <c r="IIT1" s="70"/>
      <c r="IIU1" s="70"/>
      <c r="IIV1" s="70"/>
      <c r="IIW1" s="70"/>
      <c r="IIX1" s="70"/>
      <c r="IIY1" s="70"/>
      <c r="IIZ1" s="70"/>
      <c r="IJA1" s="70"/>
      <c r="IJB1" s="70"/>
      <c r="IJC1" s="70"/>
      <c r="IJD1" s="70"/>
      <c r="IJE1" s="70"/>
      <c r="IJF1" s="70"/>
      <c r="IJG1" s="70"/>
      <c r="IJH1" s="70"/>
      <c r="IJI1" s="70"/>
      <c r="IJJ1" s="70"/>
      <c r="IJK1" s="70"/>
      <c r="IJL1" s="70"/>
      <c r="IJM1" s="70"/>
      <c r="IJN1" s="70"/>
      <c r="IJO1" s="70"/>
      <c r="IJP1" s="70"/>
      <c r="IJQ1" s="70"/>
      <c r="IJR1" s="70"/>
      <c r="IJS1" s="70"/>
      <c r="IJT1" s="70"/>
      <c r="IJU1" s="70"/>
      <c r="IJV1" s="70"/>
      <c r="IJW1" s="70"/>
      <c r="IJX1" s="70"/>
      <c r="IJY1" s="70"/>
      <c r="IJZ1" s="70"/>
      <c r="IKA1" s="70"/>
      <c r="IKB1" s="70"/>
      <c r="IKC1" s="70"/>
      <c r="IKD1" s="70"/>
      <c r="IKE1" s="70"/>
      <c r="IKF1" s="70"/>
      <c r="IKG1" s="70"/>
      <c r="IKH1" s="70"/>
      <c r="IKI1" s="70"/>
      <c r="IKJ1" s="70"/>
      <c r="IKK1" s="70"/>
      <c r="IKL1" s="70"/>
      <c r="IKM1" s="70"/>
      <c r="IKN1" s="70"/>
      <c r="IKO1" s="70"/>
      <c r="IKP1" s="70"/>
      <c r="IKQ1" s="70"/>
      <c r="IKR1" s="70"/>
      <c r="IKS1" s="70"/>
      <c r="IKT1" s="70"/>
      <c r="IKU1" s="70"/>
      <c r="IKV1" s="70"/>
      <c r="IKW1" s="70"/>
      <c r="IKX1" s="70"/>
      <c r="IKY1" s="70"/>
      <c r="IKZ1" s="70"/>
      <c r="ILA1" s="70"/>
      <c r="ILB1" s="70"/>
      <c r="ILC1" s="70"/>
      <c r="ILD1" s="70"/>
      <c r="ILE1" s="70"/>
      <c r="ILF1" s="70"/>
      <c r="ILG1" s="70"/>
      <c r="ILH1" s="70"/>
      <c r="ILI1" s="70"/>
      <c r="ILJ1" s="70"/>
      <c r="ILK1" s="70"/>
      <c r="ILL1" s="70"/>
      <c r="ILM1" s="70"/>
      <c r="ILN1" s="70"/>
      <c r="ILO1" s="70"/>
      <c r="ILP1" s="70"/>
      <c r="ILQ1" s="70"/>
      <c r="ILR1" s="70"/>
      <c r="ILS1" s="70"/>
      <c r="ILT1" s="70"/>
      <c r="ILU1" s="70"/>
      <c r="ILV1" s="70"/>
      <c r="ILW1" s="70"/>
      <c r="ILX1" s="70"/>
      <c r="ILY1" s="70"/>
      <c r="ILZ1" s="70"/>
      <c r="IMA1" s="70"/>
      <c r="IMB1" s="70"/>
      <c r="IMC1" s="70"/>
      <c r="IMD1" s="70"/>
      <c r="IME1" s="70"/>
      <c r="IMF1" s="70"/>
      <c r="IMG1" s="70"/>
      <c r="IMH1" s="70"/>
      <c r="IMI1" s="70"/>
      <c r="IMJ1" s="70"/>
      <c r="IMK1" s="70"/>
      <c r="IML1" s="70"/>
      <c r="IMM1" s="70"/>
      <c r="IMN1" s="70"/>
      <c r="IMO1" s="70"/>
      <c r="IMP1" s="70"/>
      <c r="IMQ1" s="70"/>
      <c r="IMR1" s="70"/>
      <c r="IMS1" s="70"/>
      <c r="IMT1" s="70"/>
      <c r="IMU1" s="70"/>
      <c r="IMV1" s="70"/>
      <c r="IMW1" s="70"/>
      <c r="IMX1" s="70"/>
      <c r="IMY1" s="70"/>
      <c r="IMZ1" s="70"/>
      <c r="INA1" s="70"/>
      <c r="INB1" s="70"/>
      <c r="INC1" s="70"/>
      <c r="IND1" s="70"/>
      <c r="INE1" s="70"/>
      <c r="INF1" s="70"/>
      <c r="ING1" s="70"/>
      <c r="INH1" s="70"/>
      <c r="INI1" s="70"/>
      <c r="INJ1" s="70"/>
      <c r="INK1" s="70"/>
      <c r="INL1" s="70"/>
      <c r="INM1" s="70"/>
      <c r="INN1" s="70"/>
      <c r="INO1" s="70"/>
      <c r="INP1" s="70"/>
      <c r="INQ1" s="70"/>
      <c r="INR1" s="70"/>
      <c r="INS1" s="70"/>
      <c r="INT1" s="70"/>
      <c r="INU1" s="70"/>
      <c r="INV1" s="70"/>
      <c r="INW1" s="70"/>
      <c r="INX1" s="70"/>
      <c r="INY1" s="70"/>
      <c r="INZ1" s="70"/>
      <c r="IOA1" s="70"/>
      <c r="IOB1" s="70"/>
      <c r="IOC1" s="70"/>
      <c r="IOD1" s="70"/>
      <c r="IOE1" s="70"/>
      <c r="IOF1" s="70"/>
      <c r="IOG1" s="70"/>
      <c r="IOH1" s="70"/>
      <c r="IOI1" s="70"/>
      <c r="IOJ1" s="70"/>
      <c r="IOK1" s="70"/>
      <c r="IOL1" s="70"/>
      <c r="IOM1" s="70"/>
      <c r="ION1" s="70"/>
      <c r="IOO1" s="70"/>
      <c r="IOP1" s="70"/>
      <c r="IOQ1" s="70"/>
      <c r="IOR1" s="70"/>
      <c r="IOS1" s="70"/>
      <c r="IOT1" s="70"/>
      <c r="IOU1" s="70"/>
      <c r="IOV1" s="70"/>
      <c r="IOW1" s="70"/>
      <c r="IOX1" s="70"/>
      <c r="IOY1" s="70"/>
      <c r="IOZ1" s="70"/>
      <c r="IPA1" s="70"/>
      <c r="IPB1" s="70"/>
      <c r="IPC1" s="70"/>
      <c r="IPD1" s="70"/>
      <c r="IPE1" s="70"/>
      <c r="IPF1" s="70"/>
      <c r="IPG1" s="70"/>
      <c r="IPH1" s="70"/>
      <c r="IPI1" s="70"/>
      <c r="IPJ1" s="70"/>
      <c r="IPK1" s="70"/>
      <c r="IPL1" s="70"/>
      <c r="IPM1" s="70"/>
      <c r="IPN1" s="70"/>
      <c r="IPO1" s="70"/>
      <c r="IPP1" s="70"/>
      <c r="IPQ1" s="70"/>
      <c r="IPR1" s="70"/>
      <c r="IPS1" s="70"/>
      <c r="IPT1" s="70"/>
      <c r="IPU1" s="70"/>
      <c r="IPV1" s="70"/>
      <c r="IPW1" s="70"/>
      <c r="IPX1" s="70"/>
      <c r="IPY1" s="70"/>
      <c r="IPZ1" s="70"/>
      <c r="IQA1" s="70"/>
      <c r="IQB1" s="70"/>
      <c r="IQC1" s="70"/>
      <c r="IQD1" s="70"/>
      <c r="IQE1" s="70"/>
      <c r="IQF1" s="70"/>
      <c r="IQG1" s="70"/>
      <c r="IQH1" s="70"/>
      <c r="IQI1" s="70"/>
      <c r="IQJ1" s="70"/>
      <c r="IQK1" s="70"/>
      <c r="IQL1" s="70"/>
      <c r="IQM1" s="70"/>
      <c r="IQN1" s="70"/>
      <c r="IQO1" s="70"/>
      <c r="IQP1" s="70"/>
      <c r="IQQ1" s="70"/>
      <c r="IQR1" s="70"/>
      <c r="IQS1" s="70"/>
      <c r="IQT1" s="70"/>
      <c r="IQU1" s="70"/>
      <c r="IQV1" s="70"/>
      <c r="IQW1" s="70"/>
      <c r="IQX1" s="70"/>
      <c r="IQY1" s="70"/>
      <c r="IQZ1" s="70"/>
      <c r="IRA1" s="70"/>
      <c r="IRB1" s="70"/>
      <c r="IRC1" s="70"/>
      <c r="IRD1" s="70"/>
      <c r="IRE1" s="70"/>
      <c r="IRF1" s="70"/>
      <c r="IRG1" s="70"/>
      <c r="IRH1" s="70"/>
      <c r="IRI1" s="70"/>
      <c r="IRJ1" s="70"/>
      <c r="IRK1" s="70"/>
      <c r="IRL1" s="70"/>
      <c r="IRM1" s="70"/>
      <c r="IRN1" s="70"/>
      <c r="IRO1" s="70"/>
      <c r="IRP1" s="70"/>
      <c r="IRQ1" s="70"/>
      <c r="IRR1" s="70"/>
      <c r="IRS1" s="70"/>
      <c r="IRT1" s="70"/>
      <c r="IRU1" s="70"/>
      <c r="IRV1" s="70"/>
      <c r="IRW1" s="70"/>
      <c r="IRX1" s="70"/>
      <c r="IRY1" s="70"/>
      <c r="IRZ1" s="70"/>
      <c r="ISA1" s="70"/>
      <c r="ISB1" s="70"/>
      <c r="ISC1" s="70"/>
      <c r="ISD1" s="70"/>
      <c r="ISE1" s="70"/>
      <c r="ISF1" s="70"/>
      <c r="ISG1" s="70"/>
      <c r="ISH1" s="70"/>
      <c r="ISI1" s="70"/>
      <c r="ISJ1" s="70"/>
      <c r="ISK1" s="70"/>
      <c r="ISL1" s="70"/>
      <c r="ISM1" s="70"/>
      <c r="ISN1" s="70"/>
      <c r="ISO1" s="70"/>
      <c r="ISP1" s="70"/>
      <c r="ISQ1" s="70"/>
      <c r="ISR1" s="70"/>
      <c r="ISS1" s="70"/>
      <c r="IST1" s="70"/>
      <c r="ISU1" s="70"/>
      <c r="ISV1" s="70"/>
      <c r="ISW1" s="70"/>
      <c r="ISX1" s="70"/>
      <c r="ISY1" s="70"/>
      <c r="ISZ1" s="70"/>
      <c r="ITA1" s="70"/>
      <c r="ITB1" s="70"/>
      <c r="ITC1" s="70"/>
      <c r="ITD1" s="70"/>
      <c r="ITE1" s="70"/>
      <c r="ITF1" s="70"/>
      <c r="ITG1" s="70"/>
      <c r="ITH1" s="70"/>
      <c r="ITI1" s="70"/>
      <c r="ITJ1" s="70"/>
      <c r="ITK1" s="70"/>
      <c r="ITL1" s="70"/>
      <c r="ITM1" s="70"/>
      <c r="ITN1" s="70"/>
      <c r="ITO1" s="70"/>
      <c r="ITP1" s="70"/>
      <c r="ITQ1" s="70"/>
      <c r="ITR1" s="70"/>
      <c r="ITS1" s="70"/>
      <c r="ITT1" s="70"/>
      <c r="ITU1" s="70"/>
      <c r="ITV1" s="70"/>
      <c r="ITW1" s="70"/>
      <c r="ITX1" s="70"/>
      <c r="ITY1" s="70"/>
      <c r="ITZ1" s="70"/>
      <c r="IUA1" s="70"/>
      <c r="IUB1" s="70"/>
      <c r="IUC1" s="70"/>
      <c r="IUD1" s="70"/>
      <c r="IUE1" s="70"/>
      <c r="IUF1" s="70"/>
      <c r="IUG1" s="70"/>
      <c r="IUH1" s="70"/>
      <c r="IUI1" s="70"/>
      <c r="IUJ1" s="70"/>
      <c r="IUK1" s="70"/>
      <c r="IUL1" s="70"/>
      <c r="IUM1" s="70"/>
      <c r="IUN1" s="70"/>
      <c r="IUO1" s="70"/>
      <c r="IUP1" s="70"/>
      <c r="IUQ1" s="70"/>
      <c r="IUR1" s="70"/>
      <c r="IUS1" s="70"/>
      <c r="IUT1" s="70"/>
      <c r="IUU1" s="70"/>
      <c r="IUV1" s="70"/>
      <c r="IUW1" s="70"/>
      <c r="IUX1" s="70"/>
      <c r="IUY1" s="70"/>
      <c r="IUZ1" s="70"/>
      <c r="IVA1" s="70"/>
      <c r="IVB1" s="70"/>
      <c r="IVC1" s="70"/>
      <c r="IVD1" s="70"/>
      <c r="IVE1" s="70"/>
      <c r="IVF1" s="70"/>
      <c r="IVG1" s="70"/>
      <c r="IVH1" s="70"/>
      <c r="IVI1" s="70"/>
      <c r="IVJ1" s="70"/>
      <c r="IVK1" s="70"/>
      <c r="IVL1" s="70"/>
      <c r="IVM1" s="70"/>
      <c r="IVN1" s="70"/>
      <c r="IVO1" s="70"/>
      <c r="IVP1" s="70"/>
      <c r="IVQ1" s="70"/>
      <c r="IVR1" s="70"/>
      <c r="IVS1" s="70"/>
      <c r="IVT1" s="70"/>
      <c r="IVU1" s="70"/>
      <c r="IVV1" s="70"/>
      <c r="IVW1" s="70"/>
      <c r="IVX1" s="70"/>
      <c r="IVY1" s="70"/>
      <c r="IVZ1" s="70"/>
      <c r="IWA1" s="70"/>
      <c r="IWB1" s="70"/>
      <c r="IWC1" s="70"/>
      <c r="IWD1" s="70"/>
      <c r="IWE1" s="70"/>
      <c r="IWF1" s="70"/>
      <c r="IWG1" s="70"/>
      <c r="IWH1" s="70"/>
      <c r="IWI1" s="70"/>
      <c r="IWJ1" s="70"/>
      <c r="IWK1" s="70"/>
      <c r="IWL1" s="70"/>
      <c r="IWM1" s="70"/>
      <c r="IWN1" s="70"/>
      <c r="IWO1" s="70"/>
      <c r="IWP1" s="70"/>
      <c r="IWQ1" s="70"/>
      <c r="IWR1" s="70"/>
      <c r="IWS1" s="70"/>
      <c r="IWT1" s="70"/>
      <c r="IWU1" s="70"/>
      <c r="IWV1" s="70"/>
      <c r="IWW1" s="70"/>
      <c r="IWX1" s="70"/>
      <c r="IWY1" s="70"/>
      <c r="IWZ1" s="70"/>
      <c r="IXA1" s="70"/>
      <c r="IXB1" s="70"/>
      <c r="IXC1" s="70"/>
      <c r="IXD1" s="70"/>
      <c r="IXE1" s="70"/>
      <c r="IXF1" s="70"/>
      <c r="IXG1" s="70"/>
      <c r="IXH1" s="70"/>
      <c r="IXI1" s="70"/>
      <c r="IXJ1" s="70"/>
      <c r="IXK1" s="70"/>
      <c r="IXL1" s="70"/>
      <c r="IXM1" s="70"/>
      <c r="IXN1" s="70"/>
      <c r="IXO1" s="70"/>
      <c r="IXP1" s="70"/>
      <c r="IXQ1" s="70"/>
      <c r="IXR1" s="70"/>
      <c r="IXS1" s="70"/>
      <c r="IXT1" s="70"/>
      <c r="IXU1" s="70"/>
      <c r="IXV1" s="70"/>
      <c r="IXW1" s="70"/>
      <c r="IXX1" s="70"/>
      <c r="IXY1" s="70"/>
      <c r="IXZ1" s="70"/>
      <c r="IYA1" s="70"/>
      <c r="IYB1" s="70"/>
      <c r="IYC1" s="70"/>
      <c r="IYD1" s="70"/>
      <c r="IYE1" s="70"/>
      <c r="IYF1" s="70"/>
      <c r="IYG1" s="70"/>
      <c r="IYH1" s="70"/>
      <c r="IYI1" s="70"/>
      <c r="IYJ1" s="70"/>
      <c r="IYK1" s="70"/>
      <c r="IYL1" s="70"/>
      <c r="IYM1" s="70"/>
      <c r="IYN1" s="70"/>
      <c r="IYO1" s="70"/>
      <c r="IYP1" s="70"/>
      <c r="IYQ1" s="70"/>
      <c r="IYR1" s="70"/>
      <c r="IYS1" s="70"/>
      <c r="IYT1" s="70"/>
      <c r="IYU1" s="70"/>
      <c r="IYV1" s="70"/>
      <c r="IYW1" s="70"/>
      <c r="IYX1" s="70"/>
      <c r="IYY1" s="70"/>
      <c r="IYZ1" s="70"/>
      <c r="IZA1" s="70"/>
      <c r="IZB1" s="70"/>
      <c r="IZC1" s="70"/>
      <c r="IZD1" s="70"/>
      <c r="IZE1" s="70"/>
      <c r="IZF1" s="70"/>
      <c r="IZG1" s="70"/>
      <c r="IZH1" s="70"/>
      <c r="IZI1" s="70"/>
      <c r="IZJ1" s="70"/>
      <c r="IZK1" s="70"/>
      <c r="IZL1" s="70"/>
      <c r="IZM1" s="70"/>
      <c r="IZN1" s="70"/>
      <c r="IZO1" s="70"/>
      <c r="IZP1" s="70"/>
      <c r="IZQ1" s="70"/>
      <c r="IZR1" s="70"/>
      <c r="IZS1" s="70"/>
      <c r="IZT1" s="70"/>
      <c r="IZU1" s="70"/>
      <c r="IZV1" s="70"/>
      <c r="IZW1" s="70"/>
      <c r="IZX1" s="70"/>
      <c r="IZY1" s="70"/>
      <c r="IZZ1" s="70"/>
      <c r="JAA1" s="70"/>
      <c r="JAB1" s="70"/>
      <c r="JAC1" s="70"/>
      <c r="JAD1" s="70"/>
      <c r="JAE1" s="70"/>
      <c r="JAF1" s="70"/>
      <c r="JAG1" s="70"/>
      <c r="JAH1" s="70"/>
      <c r="JAI1" s="70"/>
      <c r="JAJ1" s="70"/>
      <c r="JAK1" s="70"/>
      <c r="JAL1" s="70"/>
      <c r="JAM1" s="70"/>
      <c r="JAN1" s="70"/>
      <c r="JAO1" s="70"/>
      <c r="JAP1" s="70"/>
      <c r="JAQ1" s="70"/>
      <c r="JAR1" s="70"/>
      <c r="JAS1" s="70"/>
      <c r="JAT1" s="70"/>
      <c r="JAU1" s="70"/>
      <c r="JAV1" s="70"/>
      <c r="JAW1" s="70"/>
      <c r="JAX1" s="70"/>
      <c r="JAY1" s="70"/>
      <c r="JAZ1" s="70"/>
      <c r="JBA1" s="70"/>
      <c r="JBB1" s="70"/>
      <c r="JBC1" s="70"/>
      <c r="JBD1" s="70"/>
      <c r="JBE1" s="70"/>
      <c r="JBF1" s="70"/>
      <c r="JBG1" s="70"/>
      <c r="JBH1" s="70"/>
      <c r="JBI1" s="70"/>
      <c r="JBJ1" s="70"/>
      <c r="JBK1" s="70"/>
      <c r="JBL1" s="70"/>
      <c r="JBM1" s="70"/>
      <c r="JBN1" s="70"/>
      <c r="JBO1" s="70"/>
      <c r="JBP1" s="70"/>
      <c r="JBQ1" s="70"/>
      <c r="JBR1" s="70"/>
      <c r="JBS1" s="70"/>
      <c r="JBT1" s="70"/>
      <c r="JBU1" s="70"/>
      <c r="JBV1" s="70"/>
      <c r="JBW1" s="70"/>
      <c r="JBX1" s="70"/>
      <c r="JBY1" s="70"/>
      <c r="JBZ1" s="70"/>
      <c r="JCA1" s="70"/>
      <c r="JCB1" s="70"/>
      <c r="JCC1" s="70"/>
      <c r="JCD1" s="70"/>
      <c r="JCE1" s="70"/>
      <c r="JCF1" s="70"/>
      <c r="JCG1" s="70"/>
      <c r="JCH1" s="70"/>
      <c r="JCI1" s="70"/>
      <c r="JCJ1" s="70"/>
      <c r="JCK1" s="70"/>
      <c r="JCL1" s="70"/>
      <c r="JCM1" s="70"/>
      <c r="JCN1" s="70"/>
      <c r="JCO1" s="70"/>
      <c r="JCP1" s="70"/>
      <c r="JCQ1" s="70"/>
      <c r="JCR1" s="70"/>
      <c r="JCS1" s="70"/>
      <c r="JCT1" s="70"/>
      <c r="JCU1" s="70"/>
      <c r="JCV1" s="70"/>
      <c r="JCW1" s="70"/>
      <c r="JCX1" s="70"/>
      <c r="JCY1" s="70"/>
      <c r="JCZ1" s="70"/>
      <c r="JDA1" s="70"/>
      <c r="JDB1" s="70"/>
      <c r="JDC1" s="70"/>
      <c r="JDD1" s="70"/>
      <c r="JDE1" s="70"/>
      <c r="JDF1" s="70"/>
      <c r="JDG1" s="70"/>
      <c r="JDH1" s="70"/>
      <c r="JDI1" s="70"/>
      <c r="JDJ1" s="70"/>
      <c r="JDK1" s="70"/>
      <c r="JDL1" s="70"/>
      <c r="JDM1" s="70"/>
      <c r="JDN1" s="70"/>
      <c r="JDO1" s="70"/>
      <c r="JDP1" s="70"/>
      <c r="JDQ1" s="70"/>
      <c r="JDR1" s="70"/>
      <c r="JDS1" s="70"/>
      <c r="JDT1" s="70"/>
      <c r="JDU1" s="70"/>
      <c r="JDV1" s="70"/>
      <c r="JDW1" s="70"/>
      <c r="JDX1" s="70"/>
      <c r="JDY1" s="70"/>
      <c r="JDZ1" s="70"/>
      <c r="JEA1" s="70"/>
      <c r="JEB1" s="70"/>
      <c r="JEC1" s="70"/>
      <c r="JED1" s="70"/>
      <c r="JEE1" s="70"/>
      <c r="JEF1" s="70"/>
      <c r="JEG1" s="70"/>
      <c r="JEH1" s="70"/>
      <c r="JEI1" s="70"/>
      <c r="JEJ1" s="70"/>
      <c r="JEK1" s="70"/>
      <c r="JEL1" s="70"/>
      <c r="JEM1" s="70"/>
      <c r="JEN1" s="70"/>
      <c r="JEO1" s="70"/>
      <c r="JEP1" s="70"/>
      <c r="JEQ1" s="70"/>
      <c r="JER1" s="70"/>
      <c r="JES1" s="70"/>
      <c r="JET1" s="70"/>
      <c r="JEU1" s="70"/>
      <c r="JEV1" s="70"/>
      <c r="JEW1" s="70"/>
      <c r="JEX1" s="70"/>
      <c r="JEY1" s="70"/>
      <c r="JEZ1" s="70"/>
      <c r="JFA1" s="70"/>
      <c r="JFB1" s="70"/>
      <c r="JFC1" s="70"/>
      <c r="JFD1" s="70"/>
      <c r="JFE1" s="70"/>
      <c r="JFF1" s="70"/>
      <c r="JFG1" s="70"/>
      <c r="JFH1" s="70"/>
      <c r="JFI1" s="70"/>
      <c r="JFJ1" s="70"/>
      <c r="JFK1" s="70"/>
      <c r="JFL1" s="70"/>
      <c r="JFM1" s="70"/>
      <c r="JFN1" s="70"/>
      <c r="JFO1" s="70"/>
      <c r="JFP1" s="70"/>
      <c r="JFQ1" s="70"/>
      <c r="JFR1" s="70"/>
      <c r="JFS1" s="70"/>
      <c r="JFT1" s="70"/>
      <c r="JFU1" s="70"/>
      <c r="JFV1" s="70"/>
      <c r="JFW1" s="70"/>
      <c r="JFX1" s="70"/>
      <c r="JFY1" s="70"/>
      <c r="JFZ1" s="70"/>
      <c r="JGA1" s="70"/>
      <c r="JGB1" s="70"/>
      <c r="JGC1" s="70"/>
      <c r="JGD1" s="70"/>
      <c r="JGE1" s="70"/>
      <c r="JGF1" s="70"/>
      <c r="JGG1" s="70"/>
      <c r="JGH1" s="70"/>
      <c r="JGI1" s="70"/>
      <c r="JGJ1" s="70"/>
      <c r="JGK1" s="70"/>
      <c r="JGL1" s="70"/>
      <c r="JGM1" s="70"/>
      <c r="JGN1" s="70"/>
      <c r="JGO1" s="70"/>
      <c r="JGP1" s="70"/>
      <c r="JGQ1" s="70"/>
      <c r="JGR1" s="70"/>
      <c r="JGS1" s="70"/>
      <c r="JGT1" s="70"/>
      <c r="JGU1" s="70"/>
      <c r="JGV1" s="70"/>
      <c r="JGW1" s="70"/>
      <c r="JGX1" s="70"/>
      <c r="JGY1" s="70"/>
      <c r="JGZ1" s="70"/>
      <c r="JHA1" s="70"/>
      <c r="JHB1" s="70"/>
      <c r="JHC1" s="70"/>
      <c r="JHD1" s="70"/>
      <c r="JHE1" s="70"/>
      <c r="JHF1" s="70"/>
      <c r="JHG1" s="70"/>
      <c r="JHH1" s="70"/>
      <c r="JHI1" s="70"/>
      <c r="JHJ1" s="70"/>
      <c r="JHK1" s="70"/>
      <c r="JHL1" s="70"/>
      <c r="JHM1" s="70"/>
      <c r="JHN1" s="70"/>
      <c r="JHO1" s="70"/>
      <c r="JHP1" s="70"/>
      <c r="JHQ1" s="70"/>
      <c r="JHR1" s="70"/>
      <c r="JHS1" s="70"/>
      <c r="JHT1" s="70"/>
      <c r="JHU1" s="70"/>
      <c r="JHV1" s="70"/>
      <c r="JHW1" s="70"/>
      <c r="JHX1" s="70"/>
      <c r="JHY1" s="70"/>
      <c r="JHZ1" s="70"/>
      <c r="JIA1" s="70"/>
      <c r="JIB1" s="70"/>
      <c r="JIC1" s="70"/>
      <c r="JID1" s="70"/>
      <c r="JIE1" s="70"/>
      <c r="JIF1" s="70"/>
      <c r="JIG1" s="70"/>
      <c r="JIH1" s="70"/>
      <c r="JII1" s="70"/>
      <c r="JIJ1" s="70"/>
      <c r="JIK1" s="70"/>
      <c r="JIL1" s="70"/>
      <c r="JIM1" s="70"/>
      <c r="JIN1" s="70"/>
      <c r="JIO1" s="70"/>
      <c r="JIP1" s="70"/>
      <c r="JIQ1" s="70"/>
      <c r="JIR1" s="70"/>
      <c r="JIS1" s="70"/>
      <c r="JIT1" s="70"/>
      <c r="JIU1" s="70"/>
      <c r="JIV1" s="70"/>
      <c r="JIW1" s="70"/>
      <c r="JIX1" s="70"/>
      <c r="JIY1" s="70"/>
      <c r="JIZ1" s="70"/>
      <c r="JJA1" s="70"/>
      <c r="JJB1" s="70"/>
      <c r="JJC1" s="70"/>
      <c r="JJD1" s="70"/>
      <c r="JJE1" s="70"/>
      <c r="JJF1" s="70"/>
      <c r="JJG1" s="70"/>
      <c r="JJH1" s="70"/>
      <c r="JJI1" s="70"/>
      <c r="JJJ1" s="70"/>
      <c r="JJK1" s="70"/>
      <c r="JJL1" s="70"/>
      <c r="JJM1" s="70"/>
      <c r="JJN1" s="70"/>
      <c r="JJO1" s="70"/>
      <c r="JJP1" s="70"/>
      <c r="JJQ1" s="70"/>
      <c r="JJR1" s="70"/>
      <c r="JJS1" s="70"/>
      <c r="JJT1" s="70"/>
      <c r="JJU1" s="70"/>
      <c r="JJV1" s="70"/>
      <c r="JJW1" s="70"/>
      <c r="JJX1" s="70"/>
      <c r="JJY1" s="70"/>
      <c r="JJZ1" s="70"/>
      <c r="JKA1" s="70"/>
      <c r="JKB1" s="70"/>
      <c r="JKC1" s="70"/>
      <c r="JKD1" s="70"/>
      <c r="JKE1" s="70"/>
      <c r="JKF1" s="70"/>
      <c r="JKG1" s="70"/>
      <c r="JKH1" s="70"/>
      <c r="JKI1" s="70"/>
      <c r="JKJ1" s="70"/>
      <c r="JKK1" s="70"/>
      <c r="JKL1" s="70"/>
      <c r="JKM1" s="70"/>
      <c r="JKN1" s="70"/>
      <c r="JKO1" s="70"/>
      <c r="JKP1" s="70"/>
      <c r="JKQ1" s="70"/>
      <c r="JKR1" s="70"/>
      <c r="JKS1" s="70"/>
      <c r="JKT1" s="70"/>
      <c r="JKU1" s="70"/>
      <c r="JKV1" s="70"/>
      <c r="JKW1" s="70"/>
      <c r="JKX1" s="70"/>
      <c r="JKY1" s="70"/>
      <c r="JKZ1" s="70"/>
      <c r="JLA1" s="70"/>
      <c r="JLB1" s="70"/>
      <c r="JLC1" s="70"/>
      <c r="JLD1" s="70"/>
      <c r="JLE1" s="70"/>
      <c r="JLF1" s="70"/>
      <c r="JLG1" s="70"/>
      <c r="JLH1" s="70"/>
      <c r="JLI1" s="70"/>
      <c r="JLJ1" s="70"/>
      <c r="JLK1" s="70"/>
      <c r="JLL1" s="70"/>
      <c r="JLM1" s="70"/>
      <c r="JLN1" s="70"/>
      <c r="JLO1" s="70"/>
      <c r="JLP1" s="70"/>
      <c r="JLQ1" s="70"/>
      <c r="JLR1" s="70"/>
      <c r="JLS1" s="70"/>
      <c r="JLT1" s="70"/>
      <c r="JLU1" s="70"/>
      <c r="JLV1" s="70"/>
      <c r="JLW1" s="70"/>
      <c r="JLX1" s="70"/>
      <c r="JLY1" s="70"/>
      <c r="JLZ1" s="70"/>
      <c r="JMA1" s="70"/>
      <c r="JMB1" s="70"/>
      <c r="JMC1" s="70"/>
      <c r="JMD1" s="70"/>
      <c r="JME1" s="70"/>
      <c r="JMF1" s="70"/>
      <c r="JMG1" s="70"/>
      <c r="JMH1" s="70"/>
      <c r="JMI1" s="70"/>
      <c r="JMJ1" s="70"/>
      <c r="JMK1" s="70"/>
      <c r="JML1" s="70"/>
      <c r="JMM1" s="70"/>
      <c r="JMN1" s="70"/>
      <c r="JMO1" s="70"/>
      <c r="JMP1" s="70"/>
      <c r="JMQ1" s="70"/>
      <c r="JMR1" s="70"/>
      <c r="JMS1" s="70"/>
      <c r="JMT1" s="70"/>
      <c r="JMU1" s="70"/>
      <c r="JMV1" s="70"/>
      <c r="JMW1" s="70"/>
      <c r="JMX1" s="70"/>
      <c r="JMY1" s="70"/>
      <c r="JMZ1" s="70"/>
      <c r="JNA1" s="70"/>
      <c r="JNB1" s="70"/>
      <c r="JNC1" s="70"/>
      <c r="JND1" s="70"/>
      <c r="JNE1" s="70"/>
      <c r="JNF1" s="70"/>
      <c r="JNG1" s="70"/>
      <c r="JNH1" s="70"/>
      <c r="JNI1" s="70"/>
      <c r="JNJ1" s="70"/>
      <c r="JNK1" s="70"/>
      <c r="JNL1" s="70"/>
      <c r="JNM1" s="70"/>
      <c r="JNN1" s="70"/>
      <c r="JNO1" s="70"/>
      <c r="JNP1" s="70"/>
      <c r="JNQ1" s="70"/>
      <c r="JNR1" s="70"/>
      <c r="JNS1" s="70"/>
      <c r="JNT1" s="70"/>
      <c r="JNU1" s="70"/>
      <c r="JNV1" s="70"/>
      <c r="JNW1" s="70"/>
      <c r="JNX1" s="70"/>
      <c r="JNY1" s="70"/>
      <c r="JNZ1" s="70"/>
      <c r="JOA1" s="70"/>
      <c r="JOB1" s="70"/>
      <c r="JOC1" s="70"/>
      <c r="JOD1" s="70"/>
      <c r="JOE1" s="70"/>
      <c r="JOF1" s="70"/>
      <c r="JOG1" s="70"/>
      <c r="JOH1" s="70"/>
      <c r="JOI1" s="70"/>
      <c r="JOJ1" s="70"/>
      <c r="JOK1" s="70"/>
      <c r="JOL1" s="70"/>
      <c r="JOM1" s="70"/>
      <c r="JON1" s="70"/>
      <c r="JOO1" s="70"/>
      <c r="JOP1" s="70"/>
      <c r="JOQ1" s="70"/>
      <c r="JOR1" s="70"/>
      <c r="JOS1" s="70"/>
      <c r="JOT1" s="70"/>
      <c r="JOU1" s="70"/>
      <c r="JOV1" s="70"/>
      <c r="JOW1" s="70"/>
      <c r="JOX1" s="70"/>
      <c r="JOY1" s="70"/>
      <c r="JOZ1" s="70"/>
      <c r="JPA1" s="70"/>
      <c r="JPB1" s="70"/>
      <c r="JPC1" s="70"/>
      <c r="JPD1" s="70"/>
      <c r="JPE1" s="70"/>
      <c r="JPF1" s="70"/>
      <c r="JPG1" s="70"/>
      <c r="JPH1" s="70"/>
      <c r="JPI1" s="70"/>
      <c r="JPJ1" s="70"/>
      <c r="JPK1" s="70"/>
      <c r="JPL1" s="70"/>
      <c r="JPM1" s="70"/>
      <c r="JPN1" s="70"/>
      <c r="JPO1" s="70"/>
      <c r="JPP1" s="70"/>
      <c r="JPQ1" s="70"/>
      <c r="JPR1" s="70"/>
      <c r="JPS1" s="70"/>
      <c r="JPT1" s="70"/>
      <c r="JPU1" s="70"/>
      <c r="JPV1" s="70"/>
      <c r="JPW1" s="70"/>
      <c r="JPX1" s="70"/>
      <c r="JPY1" s="70"/>
      <c r="JPZ1" s="70"/>
      <c r="JQA1" s="70"/>
      <c r="JQB1" s="70"/>
      <c r="JQC1" s="70"/>
      <c r="JQD1" s="70"/>
      <c r="JQE1" s="70"/>
      <c r="JQF1" s="70"/>
      <c r="JQG1" s="70"/>
      <c r="JQH1" s="70"/>
      <c r="JQI1" s="70"/>
      <c r="JQJ1" s="70"/>
      <c r="JQK1" s="70"/>
      <c r="JQL1" s="70"/>
      <c r="JQM1" s="70"/>
      <c r="JQN1" s="70"/>
      <c r="JQO1" s="70"/>
      <c r="JQP1" s="70"/>
      <c r="JQQ1" s="70"/>
      <c r="JQR1" s="70"/>
      <c r="JQS1" s="70"/>
      <c r="JQT1" s="70"/>
      <c r="JQU1" s="70"/>
      <c r="JQV1" s="70"/>
      <c r="JQW1" s="70"/>
      <c r="JQX1" s="70"/>
      <c r="JQY1" s="70"/>
      <c r="JQZ1" s="70"/>
      <c r="JRA1" s="70"/>
      <c r="JRB1" s="70"/>
      <c r="JRC1" s="70"/>
      <c r="JRD1" s="70"/>
      <c r="JRE1" s="70"/>
      <c r="JRF1" s="70"/>
      <c r="JRG1" s="70"/>
      <c r="JRH1" s="70"/>
      <c r="JRI1" s="70"/>
      <c r="JRJ1" s="70"/>
      <c r="JRK1" s="70"/>
      <c r="JRL1" s="70"/>
      <c r="JRM1" s="70"/>
      <c r="JRN1" s="70"/>
      <c r="JRO1" s="70"/>
      <c r="JRP1" s="70"/>
      <c r="JRQ1" s="70"/>
      <c r="JRR1" s="70"/>
      <c r="JRS1" s="70"/>
      <c r="JRT1" s="70"/>
      <c r="JRU1" s="70"/>
      <c r="JRV1" s="70"/>
      <c r="JRW1" s="70"/>
      <c r="JRX1" s="70"/>
      <c r="JRY1" s="70"/>
      <c r="JRZ1" s="70"/>
      <c r="JSA1" s="70"/>
      <c r="JSB1" s="70"/>
      <c r="JSC1" s="70"/>
      <c r="JSD1" s="70"/>
      <c r="JSE1" s="70"/>
      <c r="JSF1" s="70"/>
      <c r="JSG1" s="70"/>
      <c r="JSH1" s="70"/>
      <c r="JSI1" s="70"/>
      <c r="JSJ1" s="70"/>
      <c r="JSK1" s="70"/>
      <c r="JSL1" s="70"/>
      <c r="JSM1" s="70"/>
      <c r="JSN1" s="70"/>
      <c r="JSO1" s="70"/>
      <c r="JSP1" s="70"/>
      <c r="JSQ1" s="70"/>
      <c r="JSR1" s="70"/>
      <c r="JSS1" s="70"/>
      <c r="JST1" s="70"/>
      <c r="JSU1" s="70"/>
      <c r="JSV1" s="70"/>
      <c r="JSW1" s="70"/>
      <c r="JSX1" s="70"/>
      <c r="JSY1" s="70"/>
      <c r="JSZ1" s="70"/>
      <c r="JTA1" s="70"/>
      <c r="JTB1" s="70"/>
      <c r="JTC1" s="70"/>
      <c r="JTD1" s="70"/>
      <c r="JTE1" s="70"/>
      <c r="JTF1" s="70"/>
      <c r="JTG1" s="70"/>
      <c r="JTH1" s="70"/>
      <c r="JTI1" s="70"/>
      <c r="JTJ1" s="70"/>
      <c r="JTK1" s="70"/>
      <c r="JTL1" s="70"/>
      <c r="JTM1" s="70"/>
      <c r="JTN1" s="70"/>
      <c r="JTO1" s="70"/>
      <c r="JTP1" s="70"/>
      <c r="JTQ1" s="70"/>
      <c r="JTR1" s="70"/>
      <c r="JTS1" s="70"/>
      <c r="JTT1" s="70"/>
      <c r="JTU1" s="70"/>
      <c r="JTV1" s="70"/>
      <c r="JTW1" s="70"/>
      <c r="JTX1" s="70"/>
      <c r="JTY1" s="70"/>
      <c r="JTZ1" s="70"/>
      <c r="JUA1" s="70"/>
      <c r="JUB1" s="70"/>
      <c r="JUC1" s="70"/>
      <c r="JUD1" s="70"/>
      <c r="JUE1" s="70"/>
      <c r="JUF1" s="70"/>
      <c r="JUG1" s="70"/>
      <c r="JUH1" s="70"/>
      <c r="JUI1" s="70"/>
      <c r="JUJ1" s="70"/>
      <c r="JUK1" s="70"/>
      <c r="JUL1" s="70"/>
      <c r="JUM1" s="70"/>
      <c r="JUN1" s="70"/>
      <c r="JUO1" s="70"/>
      <c r="JUP1" s="70"/>
      <c r="JUQ1" s="70"/>
      <c r="JUR1" s="70"/>
      <c r="JUS1" s="70"/>
      <c r="JUT1" s="70"/>
      <c r="JUU1" s="70"/>
      <c r="JUV1" s="70"/>
      <c r="JUW1" s="70"/>
      <c r="JUX1" s="70"/>
      <c r="JUY1" s="70"/>
      <c r="JUZ1" s="70"/>
      <c r="JVA1" s="70"/>
      <c r="JVB1" s="70"/>
      <c r="JVC1" s="70"/>
      <c r="JVD1" s="70"/>
      <c r="JVE1" s="70"/>
      <c r="JVF1" s="70"/>
      <c r="JVG1" s="70"/>
      <c r="JVH1" s="70"/>
      <c r="JVI1" s="70"/>
      <c r="JVJ1" s="70"/>
      <c r="JVK1" s="70"/>
      <c r="JVL1" s="70"/>
      <c r="JVM1" s="70"/>
      <c r="JVN1" s="70"/>
      <c r="JVO1" s="70"/>
      <c r="JVP1" s="70"/>
      <c r="JVQ1" s="70"/>
      <c r="JVR1" s="70"/>
      <c r="JVS1" s="70"/>
      <c r="JVT1" s="70"/>
      <c r="JVU1" s="70"/>
      <c r="JVV1" s="70"/>
      <c r="JVW1" s="70"/>
      <c r="JVX1" s="70"/>
      <c r="JVY1" s="70"/>
      <c r="JVZ1" s="70"/>
      <c r="JWA1" s="70"/>
      <c r="JWB1" s="70"/>
      <c r="JWC1" s="70"/>
      <c r="JWD1" s="70"/>
      <c r="JWE1" s="70"/>
      <c r="JWF1" s="70"/>
      <c r="JWG1" s="70"/>
      <c r="JWH1" s="70"/>
      <c r="JWI1" s="70"/>
      <c r="JWJ1" s="70"/>
      <c r="JWK1" s="70"/>
      <c r="JWL1" s="70"/>
      <c r="JWM1" s="70"/>
      <c r="JWN1" s="70"/>
      <c r="JWO1" s="70"/>
      <c r="JWP1" s="70"/>
      <c r="JWQ1" s="70"/>
      <c r="JWR1" s="70"/>
      <c r="JWS1" s="70"/>
      <c r="JWT1" s="70"/>
      <c r="JWU1" s="70"/>
      <c r="JWV1" s="70"/>
      <c r="JWW1" s="70"/>
      <c r="JWX1" s="70"/>
      <c r="JWY1" s="70"/>
      <c r="JWZ1" s="70"/>
      <c r="JXA1" s="70"/>
      <c r="JXB1" s="70"/>
      <c r="JXC1" s="70"/>
      <c r="JXD1" s="70"/>
      <c r="JXE1" s="70"/>
      <c r="JXF1" s="70"/>
      <c r="JXG1" s="70"/>
      <c r="JXH1" s="70"/>
      <c r="JXI1" s="70"/>
      <c r="JXJ1" s="70"/>
      <c r="JXK1" s="70"/>
      <c r="JXL1" s="70"/>
      <c r="JXM1" s="70"/>
      <c r="JXN1" s="70"/>
      <c r="JXO1" s="70"/>
      <c r="JXP1" s="70"/>
      <c r="JXQ1" s="70"/>
      <c r="JXR1" s="70"/>
      <c r="JXS1" s="70"/>
      <c r="JXT1" s="70"/>
      <c r="JXU1" s="70"/>
      <c r="JXV1" s="70"/>
      <c r="JXW1" s="70"/>
      <c r="JXX1" s="70"/>
      <c r="JXY1" s="70"/>
      <c r="JXZ1" s="70"/>
      <c r="JYA1" s="70"/>
      <c r="JYB1" s="70"/>
      <c r="JYC1" s="70"/>
      <c r="JYD1" s="70"/>
      <c r="JYE1" s="70"/>
      <c r="JYF1" s="70"/>
      <c r="JYG1" s="70"/>
      <c r="JYH1" s="70"/>
      <c r="JYI1" s="70"/>
      <c r="JYJ1" s="70"/>
      <c r="JYK1" s="70"/>
      <c r="JYL1" s="70"/>
      <c r="JYM1" s="70"/>
      <c r="JYN1" s="70"/>
      <c r="JYO1" s="70"/>
      <c r="JYP1" s="70"/>
      <c r="JYQ1" s="70"/>
      <c r="JYR1" s="70"/>
      <c r="JYS1" s="70"/>
      <c r="JYT1" s="70"/>
      <c r="JYU1" s="70"/>
      <c r="JYV1" s="70"/>
      <c r="JYW1" s="70"/>
      <c r="JYX1" s="70"/>
      <c r="JYY1" s="70"/>
      <c r="JYZ1" s="70"/>
      <c r="JZA1" s="70"/>
      <c r="JZB1" s="70"/>
      <c r="JZC1" s="70"/>
      <c r="JZD1" s="70"/>
      <c r="JZE1" s="70"/>
      <c r="JZF1" s="70"/>
      <c r="JZG1" s="70"/>
      <c r="JZH1" s="70"/>
      <c r="JZI1" s="70"/>
      <c r="JZJ1" s="70"/>
      <c r="JZK1" s="70"/>
      <c r="JZL1" s="70"/>
      <c r="JZM1" s="70"/>
      <c r="JZN1" s="70"/>
      <c r="JZO1" s="70"/>
      <c r="JZP1" s="70"/>
      <c r="JZQ1" s="70"/>
      <c r="JZR1" s="70"/>
      <c r="JZS1" s="70"/>
      <c r="JZT1" s="70"/>
      <c r="JZU1" s="70"/>
      <c r="JZV1" s="70"/>
      <c r="JZW1" s="70"/>
      <c r="JZX1" s="70"/>
      <c r="JZY1" s="70"/>
      <c r="JZZ1" s="70"/>
      <c r="KAA1" s="70"/>
      <c r="KAB1" s="70"/>
      <c r="KAC1" s="70"/>
      <c r="KAD1" s="70"/>
      <c r="KAE1" s="70"/>
      <c r="KAF1" s="70"/>
      <c r="KAG1" s="70"/>
      <c r="KAH1" s="70"/>
      <c r="KAI1" s="70"/>
      <c r="KAJ1" s="70"/>
      <c r="KAK1" s="70"/>
      <c r="KAL1" s="70"/>
      <c r="KAM1" s="70"/>
      <c r="KAN1" s="70"/>
      <c r="KAO1" s="70"/>
      <c r="KAP1" s="70"/>
      <c r="KAQ1" s="70"/>
      <c r="KAR1" s="70"/>
      <c r="KAS1" s="70"/>
      <c r="KAT1" s="70"/>
      <c r="KAU1" s="70"/>
      <c r="KAV1" s="70"/>
      <c r="KAW1" s="70"/>
      <c r="KAX1" s="70"/>
      <c r="KAY1" s="70"/>
      <c r="KAZ1" s="70"/>
      <c r="KBA1" s="70"/>
      <c r="KBB1" s="70"/>
      <c r="KBC1" s="70"/>
      <c r="KBD1" s="70"/>
      <c r="KBE1" s="70"/>
      <c r="KBF1" s="70"/>
      <c r="KBG1" s="70"/>
      <c r="KBH1" s="70"/>
      <c r="KBI1" s="70"/>
      <c r="KBJ1" s="70"/>
      <c r="KBK1" s="70"/>
      <c r="KBL1" s="70"/>
      <c r="KBM1" s="70"/>
      <c r="KBN1" s="70"/>
      <c r="KBO1" s="70"/>
      <c r="KBP1" s="70"/>
      <c r="KBQ1" s="70"/>
      <c r="KBR1" s="70"/>
      <c r="KBS1" s="70"/>
      <c r="KBT1" s="70"/>
      <c r="KBU1" s="70"/>
      <c r="KBV1" s="70"/>
      <c r="KBW1" s="70"/>
      <c r="KBX1" s="70"/>
      <c r="KBY1" s="70"/>
      <c r="KBZ1" s="70"/>
      <c r="KCA1" s="70"/>
      <c r="KCB1" s="70"/>
      <c r="KCC1" s="70"/>
      <c r="KCD1" s="70"/>
      <c r="KCE1" s="70"/>
      <c r="KCF1" s="70"/>
      <c r="KCG1" s="70"/>
      <c r="KCH1" s="70"/>
      <c r="KCI1" s="70"/>
      <c r="KCJ1" s="70"/>
      <c r="KCK1" s="70"/>
      <c r="KCL1" s="70"/>
      <c r="KCM1" s="70"/>
      <c r="KCN1" s="70"/>
      <c r="KCO1" s="70"/>
      <c r="KCP1" s="70"/>
      <c r="KCQ1" s="70"/>
      <c r="KCR1" s="70"/>
      <c r="KCS1" s="70"/>
      <c r="KCT1" s="70"/>
      <c r="KCU1" s="70"/>
      <c r="KCV1" s="70"/>
      <c r="KCW1" s="70"/>
      <c r="KCX1" s="70"/>
      <c r="KCY1" s="70"/>
      <c r="KCZ1" s="70"/>
      <c r="KDA1" s="70"/>
      <c r="KDB1" s="70"/>
      <c r="KDC1" s="70"/>
      <c r="KDD1" s="70"/>
      <c r="KDE1" s="70"/>
      <c r="KDF1" s="70"/>
      <c r="KDG1" s="70"/>
      <c r="KDH1" s="70"/>
      <c r="KDI1" s="70"/>
      <c r="KDJ1" s="70"/>
      <c r="KDK1" s="70"/>
      <c r="KDL1" s="70"/>
      <c r="KDM1" s="70"/>
      <c r="KDN1" s="70"/>
      <c r="KDO1" s="70"/>
      <c r="KDP1" s="70"/>
      <c r="KDQ1" s="70"/>
      <c r="KDR1" s="70"/>
      <c r="KDS1" s="70"/>
      <c r="KDT1" s="70"/>
      <c r="KDU1" s="70"/>
      <c r="KDV1" s="70"/>
      <c r="KDW1" s="70"/>
      <c r="KDX1" s="70"/>
      <c r="KDY1" s="70"/>
      <c r="KDZ1" s="70"/>
      <c r="KEA1" s="70"/>
      <c r="KEB1" s="70"/>
      <c r="KEC1" s="70"/>
      <c r="KED1" s="70"/>
      <c r="KEE1" s="70"/>
      <c r="KEF1" s="70"/>
      <c r="KEG1" s="70"/>
      <c r="KEH1" s="70"/>
      <c r="KEI1" s="70"/>
      <c r="KEJ1" s="70"/>
      <c r="KEK1" s="70"/>
      <c r="KEL1" s="70"/>
      <c r="KEM1" s="70"/>
      <c r="KEN1" s="70"/>
      <c r="KEO1" s="70"/>
      <c r="KEP1" s="70"/>
      <c r="KEQ1" s="70"/>
      <c r="KER1" s="70"/>
      <c r="KES1" s="70"/>
      <c r="KET1" s="70"/>
      <c r="KEU1" s="70"/>
      <c r="KEV1" s="70"/>
      <c r="KEW1" s="70"/>
      <c r="KEX1" s="70"/>
      <c r="KEY1" s="70"/>
      <c r="KEZ1" s="70"/>
      <c r="KFA1" s="70"/>
      <c r="KFB1" s="70"/>
      <c r="KFC1" s="70"/>
      <c r="KFD1" s="70"/>
      <c r="KFE1" s="70"/>
      <c r="KFF1" s="70"/>
      <c r="KFG1" s="70"/>
      <c r="KFH1" s="70"/>
      <c r="KFI1" s="70"/>
      <c r="KFJ1" s="70"/>
      <c r="KFK1" s="70"/>
      <c r="KFL1" s="70"/>
      <c r="KFM1" s="70"/>
      <c r="KFN1" s="70"/>
      <c r="KFO1" s="70"/>
      <c r="KFP1" s="70"/>
      <c r="KFQ1" s="70"/>
      <c r="KFR1" s="70"/>
      <c r="KFS1" s="70"/>
      <c r="KFT1" s="70"/>
      <c r="KFU1" s="70"/>
      <c r="KFV1" s="70"/>
      <c r="KFW1" s="70"/>
      <c r="KFX1" s="70"/>
      <c r="KFY1" s="70"/>
      <c r="KFZ1" s="70"/>
      <c r="KGA1" s="70"/>
      <c r="KGB1" s="70"/>
      <c r="KGC1" s="70"/>
      <c r="KGD1" s="70"/>
      <c r="KGE1" s="70"/>
      <c r="KGF1" s="70"/>
      <c r="KGG1" s="70"/>
      <c r="KGH1" s="70"/>
      <c r="KGI1" s="70"/>
      <c r="KGJ1" s="70"/>
      <c r="KGK1" s="70"/>
      <c r="KGL1" s="70"/>
      <c r="KGM1" s="70"/>
      <c r="KGN1" s="70"/>
      <c r="KGO1" s="70"/>
      <c r="KGP1" s="70"/>
      <c r="KGQ1" s="70"/>
      <c r="KGR1" s="70"/>
      <c r="KGS1" s="70"/>
      <c r="KGT1" s="70"/>
      <c r="KGU1" s="70"/>
      <c r="KGV1" s="70"/>
      <c r="KGW1" s="70"/>
      <c r="KGX1" s="70"/>
      <c r="KGY1" s="70"/>
      <c r="KGZ1" s="70"/>
      <c r="KHA1" s="70"/>
      <c r="KHB1" s="70"/>
      <c r="KHC1" s="70"/>
      <c r="KHD1" s="70"/>
      <c r="KHE1" s="70"/>
      <c r="KHF1" s="70"/>
      <c r="KHG1" s="70"/>
      <c r="KHH1" s="70"/>
      <c r="KHI1" s="70"/>
      <c r="KHJ1" s="70"/>
      <c r="KHK1" s="70"/>
      <c r="KHL1" s="70"/>
      <c r="KHM1" s="70"/>
      <c r="KHN1" s="70"/>
      <c r="KHO1" s="70"/>
      <c r="KHP1" s="70"/>
      <c r="KHQ1" s="70"/>
      <c r="KHR1" s="70"/>
      <c r="KHS1" s="70"/>
      <c r="KHT1" s="70"/>
      <c r="KHU1" s="70"/>
      <c r="KHV1" s="70"/>
      <c r="KHW1" s="70"/>
      <c r="KHX1" s="70"/>
      <c r="KHY1" s="70"/>
      <c r="KHZ1" s="70"/>
      <c r="KIA1" s="70"/>
      <c r="KIB1" s="70"/>
      <c r="KIC1" s="70"/>
      <c r="KID1" s="70"/>
      <c r="KIE1" s="70"/>
      <c r="KIF1" s="70"/>
      <c r="KIG1" s="70"/>
      <c r="KIH1" s="70"/>
      <c r="KII1" s="70"/>
      <c r="KIJ1" s="70"/>
      <c r="KIK1" s="70"/>
      <c r="KIL1" s="70"/>
      <c r="KIM1" s="70"/>
      <c r="KIN1" s="70"/>
      <c r="KIO1" s="70"/>
      <c r="KIP1" s="70"/>
      <c r="KIQ1" s="70"/>
      <c r="KIR1" s="70"/>
      <c r="KIS1" s="70"/>
      <c r="KIT1" s="70"/>
      <c r="KIU1" s="70"/>
      <c r="KIV1" s="70"/>
      <c r="KIW1" s="70"/>
      <c r="KIX1" s="70"/>
      <c r="KIY1" s="70"/>
      <c r="KIZ1" s="70"/>
      <c r="KJA1" s="70"/>
      <c r="KJB1" s="70"/>
      <c r="KJC1" s="70"/>
      <c r="KJD1" s="70"/>
      <c r="KJE1" s="70"/>
      <c r="KJF1" s="70"/>
      <c r="KJG1" s="70"/>
      <c r="KJH1" s="70"/>
      <c r="KJI1" s="70"/>
      <c r="KJJ1" s="70"/>
      <c r="KJK1" s="70"/>
      <c r="KJL1" s="70"/>
      <c r="KJM1" s="70"/>
      <c r="KJN1" s="70"/>
      <c r="KJO1" s="70"/>
      <c r="KJP1" s="70"/>
      <c r="KJQ1" s="70"/>
      <c r="KJR1" s="70"/>
      <c r="KJS1" s="70"/>
      <c r="KJT1" s="70"/>
      <c r="KJU1" s="70"/>
      <c r="KJV1" s="70"/>
      <c r="KJW1" s="70"/>
      <c r="KJX1" s="70"/>
      <c r="KJY1" s="70"/>
      <c r="KJZ1" s="70"/>
      <c r="KKA1" s="70"/>
      <c r="KKB1" s="70"/>
      <c r="KKC1" s="70"/>
      <c r="KKD1" s="70"/>
      <c r="KKE1" s="70"/>
      <c r="KKF1" s="70"/>
      <c r="KKG1" s="70"/>
      <c r="KKH1" s="70"/>
      <c r="KKI1" s="70"/>
      <c r="KKJ1" s="70"/>
      <c r="KKK1" s="70"/>
      <c r="KKL1" s="70"/>
      <c r="KKM1" s="70"/>
      <c r="KKN1" s="70"/>
      <c r="KKO1" s="70"/>
      <c r="KKP1" s="70"/>
      <c r="KKQ1" s="70"/>
      <c r="KKR1" s="70"/>
      <c r="KKS1" s="70"/>
      <c r="KKT1" s="70"/>
      <c r="KKU1" s="70"/>
      <c r="KKV1" s="70"/>
      <c r="KKW1" s="70"/>
      <c r="KKX1" s="70"/>
      <c r="KKY1" s="70"/>
      <c r="KKZ1" s="70"/>
      <c r="KLA1" s="70"/>
      <c r="KLB1" s="70"/>
      <c r="KLC1" s="70"/>
      <c r="KLD1" s="70"/>
      <c r="KLE1" s="70"/>
      <c r="KLF1" s="70"/>
      <c r="KLG1" s="70"/>
      <c r="KLH1" s="70"/>
      <c r="KLI1" s="70"/>
      <c r="KLJ1" s="70"/>
      <c r="KLK1" s="70"/>
      <c r="KLL1" s="70"/>
      <c r="KLM1" s="70"/>
      <c r="KLN1" s="70"/>
      <c r="KLO1" s="70"/>
      <c r="KLP1" s="70"/>
      <c r="KLQ1" s="70"/>
      <c r="KLR1" s="70"/>
      <c r="KLS1" s="70"/>
      <c r="KLT1" s="70"/>
      <c r="KLU1" s="70"/>
      <c r="KLV1" s="70"/>
      <c r="KLW1" s="70"/>
      <c r="KLX1" s="70"/>
      <c r="KLY1" s="70"/>
      <c r="KLZ1" s="70"/>
      <c r="KMA1" s="70"/>
      <c r="KMB1" s="70"/>
      <c r="KMC1" s="70"/>
      <c r="KMD1" s="70"/>
      <c r="KME1" s="70"/>
      <c r="KMF1" s="70"/>
      <c r="KMG1" s="70"/>
      <c r="KMH1" s="70"/>
      <c r="KMI1" s="70"/>
      <c r="KMJ1" s="70"/>
      <c r="KMK1" s="70"/>
      <c r="KML1" s="70"/>
      <c r="KMM1" s="70"/>
      <c r="KMN1" s="70"/>
      <c r="KMO1" s="70"/>
      <c r="KMP1" s="70"/>
      <c r="KMQ1" s="70"/>
      <c r="KMR1" s="70"/>
      <c r="KMS1" s="70"/>
      <c r="KMT1" s="70"/>
      <c r="KMU1" s="70"/>
      <c r="KMV1" s="70"/>
      <c r="KMW1" s="70"/>
      <c r="KMX1" s="70"/>
      <c r="KMY1" s="70"/>
      <c r="KMZ1" s="70"/>
      <c r="KNA1" s="70"/>
      <c r="KNB1" s="70"/>
      <c r="KNC1" s="70"/>
      <c r="KND1" s="70"/>
      <c r="KNE1" s="70"/>
      <c r="KNF1" s="70"/>
      <c r="KNG1" s="70"/>
      <c r="KNH1" s="70"/>
      <c r="KNI1" s="70"/>
      <c r="KNJ1" s="70"/>
      <c r="KNK1" s="70"/>
      <c r="KNL1" s="70"/>
      <c r="KNM1" s="70"/>
      <c r="KNN1" s="70"/>
      <c r="KNO1" s="70"/>
      <c r="KNP1" s="70"/>
      <c r="KNQ1" s="70"/>
      <c r="KNR1" s="70"/>
      <c r="KNS1" s="70"/>
      <c r="KNT1" s="70"/>
      <c r="KNU1" s="70"/>
      <c r="KNV1" s="70"/>
      <c r="KNW1" s="70"/>
      <c r="KNX1" s="70"/>
      <c r="KNY1" s="70"/>
      <c r="KNZ1" s="70"/>
      <c r="KOA1" s="70"/>
      <c r="KOB1" s="70"/>
      <c r="KOC1" s="70"/>
      <c r="KOD1" s="70"/>
      <c r="KOE1" s="70"/>
      <c r="KOF1" s="70"/>
      <c r="KOG1" s="70"/>
      <c r="KOH1" s="70"/>
      <c r="KOI1" s="70"/>
      <c r="KOJ1" s="70"/>
      <c r="KOK1" s="70"/>
      <c r="KOL1" s="70"/>
      <c r="KOM1" s="70"/>
      <c r="KON1" s="70"/>
      <c r="KOO1" s="70"/>
      <c r="KOP1" s="70"/>
      <c r="KOQ1" s="70"/>
      <c r="KOR1" s="70"/>
      <c r="KOS1" s="70"/>
      <c r="KOT1" s="70"/>
      <c r="KOU1" s="70"/>
      <c r="KOV1" s="70"/>
      <c r="KOW1" s="70"/>
      <c r="KOX1" s="70"/>
      <c r="KOY1" s="70"/>
      <c r="KOZ1" s="70"/>
      <c r="KPA1" s="70"/>
      <c r="KPB1" s="70"/>
      <c r="KPC1" s="70"/>
      <c r="KPD1" s="70"/>
      <c r="KPE1" s="70"/>
      <c r="KPF1" s="70"/>
      <c r="KPG1" s="70"/>
      <c r="KPH1" s="70"/>
      <c r="KPI1" s="70"/>
      <c r="KPJ1" s="70"/>
      <c r="KPK1" s="70"/>
      <c r="KPL1" s="70"/>
      <c r="KPM1" s="70"/>
      <c r="KPN1" s="70"/>
      <c r="KPO1" s="70"/>
      <c r="KPP1" s="70"/>
      <c r="KPQ1" s="70"/>
      <c r="KPR1" s="70"/>
      <c r="KPS1" s="70"/>
      <c r="KPT1" s="70"/>
      <c r="KPU1" s="70"/>
      <c r="KPV1" s="70"/>
      <c r="KPW1" s="70"/>
      <c r="KPX1" s="70"/>
      <c r="KPY1" s="70"/>
      <c r="KPZ1" s="70"/>
      <c r="KQA1" s="70"/>
      <c r="KQB1" s="70"/>
      <c r="KQC1" s="70"/>
      <c r="KQD1" s="70"/>
      <c r="KQE1" s="70"/>
      <c r="KQF1" s="70"/>
      <c r="KQG1" s="70"/>
      <c r="KQH1" s="70"/>
      <c r="KQI1" s="70"/>
      <c r="KQJ1" s="70"/>
      <c r="KQK1" s="70"/>
      <c r="KQL1" s="70"/>
      <c r="KQM1" s="70"/>
      <c r="KQN1" s="70"/>
      <c r="KQO1" s="70"/>
      <c r="KQP1" s="70"/>
      <c r="KQQ1" s="70"/>
      <c r="KQR1" s="70"/>
      <c r="KQS1" s="70"/>
      <c r="KQT1" s="70"/>
      <c r="KQU1" s="70"/>
      <c r="KQV1" s="70"/>
      <c r="KQW1" s="70"/>
      <c r="KQX1" s="70"/>
      <c r="KQY1" s="70"/>
      <c r="KQZ1" s="70"/>
      <c r="KRA1" s="70"/>
      <c r="KRB1" s="70"/>
      <c r="KRC1" s="70"/>
      <c r="KRD1" s="70"/>
      <c r="KRE1" s="70"/>
      <c r="KRF1" s="70"/>
      <c r="KRG1" s="70"/>
      <c r="KRH1" s="70"/>
      <c r="KRI1" s="70"/>
      <c r="KRJ1" s="70"/>
      <c r="KRK1" s="70"/>
      <c r="KRL1" s="70"/>
      <c r="KRM1" s="70"/>
      <c r="KRN1" s="70"/>
      <c r="KRO1" s="70"/>
      <c r="KRP1" s="70"/>
      <c r="KRQ1" s="70"/>
      <c r="KRR1" s="70"/>
      <c r="KRS1" s="70"/>
      <c r="KRT1" s="70"/>
      <c r="KRU1" s="70"/>
      <c r="KRV1" s="70"/>
      <c r="KRW1" s="70"/>
      <c r="KRX1" s="70"/>
      <c r="KRY1" s="70"/>
      <c r="KRZ1" s="70"/>
      <c r="KSA1" s="70"/>
      <c r="KSB1" s="70"/>
      <c r="KSC1" s="70"/>
      <c r="KSD1" s="70"/>
      <c r="KSE1" s="70"/>
      <c r="KSF1" s="70"/>
      <c r="KSG1" s="70"/>
      <c r="KSH1" s="70"/>
      <c r="KSI1" s="70"/>
      <c r="KSJ1" s="70"/>
      <c r="KSK1" s="70"/>
      <c r="KSL1" s="70"/>
      <c r="KSM1" s="70"/>
      <c r="KSN1" s="70"/>
      <c r="KSO1" s="70"/>
      <c r="KSP1" s="70"/>
      <c r="KSQ1" s="70"/>
      <c r="KSR1" s="70"/>
      <c r="KSS1" s="70"/>
      <c r="KST1" s="70"/>
      <c r="KSU1" s="70"/>
      <c r="KSV1" s="70"/>
      <c r="KSW1" s="70"/>
      <c r="KSX1" s="70"/>
      <c r="KSY1" s="70"/>
      <c r="KSZ1" s="70"/>
      <c r="KTA1" s="70"/>
      <c r="KTB1" s="70"/>
      <c r="KTC1" s="70"/>
      <c r="KTD1" s="70"/>
      <c r="KTE1" s="70"/>
      <c r="KTF1" s="70"/>
      <c r="KTG1" s="70"/>
      <c r="KTH1" s="70"/>
      <c r="KTI1" s="70"/>
      <c r="KTJ1" s="70"/>
      <c r="KTK1" s="70"/>
      <c r="KTL1" s="70"/>
      <c r="KTM1" s="70"/>
      <c r="KTN1" s="70"/>
      <c r="KTO1" s="70"/>
      <c r="KTP1" s="70"/>
      <c r="KTQ1" s="70"/>
      <c r="KTR1" s="70"/>
      <c r="KTS1" s="70"/>
      <c r="KTT1" s="70"/>
      <c r="KTU1" s="70"/>
      <c r="KTV1" s="70"/>
      <c r="KTW1" s="70"/>
      <c r="KTX1" s="70"/>
      <c r="KTY1" s="70"/>
      <c r="KTZ1" s="70"/>
      <c r="KUA1" s="70"/>
      <c r="KUB1" s="70"/>
      <c r="KUC1" s="70"/>
      <c r="KUD1" s="70"/>
      <c r="KUE1" s="70"/>
      <c r="KUF1" s="70"/>
      <c r="KUG1" s="70"/>
      <c r="KUH1" s="70"/>
      <c r="KUI1" s="70"/>
      <c r="KUJ1" s="70"/>
      <c r="KUK1" s="70"/>
      <c r="KUL1" s="70"/>
      <c r="KUM1" s="70"/>
      <c r="KUN1" s="70"/>
      <c r="KUO1" s="70"/>
      <c r="KUP1" s="70"/>
      <c r="KUQ1" s="70"/>
      <c r="KUR1" s="70"/>
      <c r="KUS1" s="70"/>
      <c r="KUT1" s="70"/>
      <c r="KUU1" s="70"/>
      <c r="KUV1" s="70"/>
      <c r="KUW1" s="70"/>
      <c r="KUX1" s="70"/>
      <c r="KUY1" s="70"/>
      <c r="KUZ1" s="70"/>
      <c r="KVA1" s="70"/>
      <c r="KVB1" s="70"/>
      <c r="KVC1" s="70"/>
      <c r="KVD1" s="70"/>
      <c r="KVE1" s="70"/>
      <c r="KVF1" s="70"/>
      <c r="KVG1" s="70"/>
      <c r="KVH1" s="70"/>
      <c r="KVI1" s="70"/>
      <c r="KVJ1" s="70"/>
      <c r="KVK1" s="70"/>
      <c r="KVL1" s="70"/>
      <c r="KVM1" s="70"/>
      <c r="KVN1" s="70"/>
      <c r="KVO1" s="70"/>
      <c r="KVP1" s="70"/>
      <c r="KVQ1" s="70"/>
      <c r="KVR1" s="70"/>
      <c r="KVS1" s="70"/>
      <c r="KVT1" s="70"/>
      <c r="KVU1" s="70"/>
      <c r="KVV1" s="70"/>
      <c r="KVW1" s="70"/>
      <c r="KVX1" s="70"/>
      <c r="KVY1" s="70"/>
      <c r="KVZ1" s="70"/>
      <c r="KWA1" s="70"/>
      <c r="KWB1" s="70"/>
      <c r="KWC1" s="70"/>
      <c r="KWD1" s="70"/>
      <c r="KWE1" s="70"/>
      <c r="KWF1" s="70"/>
      <c r="KWG1" s="70"/>
      <c r="KWH1" s="70"/>
      <c r="KWI1" s="70"/>
      <c r="KWJ1" s="70"/>
      <c r="KWK1" s="70"/>
      <c r="KWL1" s="70"/>
      <c r="KWM1" s="70"/>
      <c r="KWN1" s="70"/>
      <c r="KWO1" s="70"/>
      <c r="KWP1" s="70"/>
      <c r="KWQ1" s="70"/>
      <c r="KWR1" s="70"/>
      <c r="KWS1" s="70"/>
      <c r="KWT1" s="70"/>
      <c r="KWU1" s="70"/>
      <c r="KWV1" s="70"/>
      <c r="KWW1" s="70"/>
      <c r="KWX1" s="70"/>
      <c r="KWY1" s="70"/>
      <c r="KWZ1" s="70"/>
      <c r="KXA1" s="70"/>
      <c r="KXB1" s="70"/>
      <c r="KXC1" s="70"/>
      <c r="KXD1" s="70"/>
      <c r="KXE1" s="70"/>
      <c r="KXF1" s="70"/>
      <c r="KXG1" s="70"/>
      <c r="KXH1" s="70"/>
      <c r="KXI1" s="70"/>
      <c r="KXJ1" s="70"/>
      <c r="KXK1" s="70"/>
      <c r="KXL1" s="70"/>
      <c r="KXM1" s="70"/>
      <c r="KXN1" s="70"/>
      <c r="KXO1" s="70"/>
      <c r="KXP1" s="70"/>
      <c r="KXQ1" s="70"/>
      <c r="KXR1" s="70"/>
      <c r="KXS1" s="70"/>
      <c r="KXT1" s="70"/>
      <c r="KXU1" s="70"/>
      <c r="KXV1" s="70"/>
      <c r="KXW1" s="70"/>
      <c r="KXX1" s="70"/>
      <c r="KXY1" s="70"/>
      <c r="KXZ1" s="70"/>
      <c r="KYA1" s="70"/>
      <c r="KYB1" s="70"/>
      <c r="KYC1" s="70"/>
      <c r="KYD1" s="70"/>
      <c r="KYE1" s="70"/>
      <c r="KYF1" s="70"/>
      <c r="KYG1" s="70"/>
      <c r="KYH1" s="70"/>
      <c r="KYI1" s="70"/>
      <c r="KYJ1" s="70"/>
      <c r="KYK1" s="70"/>
      <c r="KYL1" s="70"/>
      <c r="KYM1" s="70"/>
      <c r="KYN1" s="70"/>
      <c r="KYO1" s="70"/>
      <c r="KYP1" s="70"/>
      <c r="KYQ1" s="70"/>
      <c r="KYR1" s="70"/>
      <c r="KYS1" s="70"/>
      <c r="KYT1" s="70"/>
      <c r="KYU1" s="70"/>
      <c r="KYV1" s="70"/>
      <c r="KYW1" s="70"/>
      <c r="KYX1" s="70"/>
      <c r="KYY1" s="70"/>
      <c r="KYZ1" s="70"/>
      <c r="KZA1" s="70"/>
      <c r="KZB1" s="70"/>
      <c r="KZC1" s="70"/>
      <c r="KZD1" s="70"/>
      <c r="KZE1" s="70"/>
      <c r="KZF1" s="70"/>
      <c r="KZG1" s="70"/>
      <c r="KZH1" s="70"/>
      <c r="KZI1" s="70"/>
      <c r="KZJ1" s="70"/>
      <c r="KZK1" s="70"/>
      <c r="KZL1" s="70"/>
      <c r="KZM1" s="70"/>
      <c r="KZN1" s="70"/>
      <c r="KZO1" s="70"/>
      <c r="KZP1" s="70"/>
      <c r="KZQ1" s="70"/>
      <c r="KZR1" s="70"/>
      <c r="KZS1" s="70"/>
      <c r="KZT1" s="70"/>
      <c r="KZU1" s="70"/>
      <c r="KZV1" s="70"/>
      <c r="KZW1" s="70"/>
      <c r="KZX1" s="70"/>
      <c r="KZY1" s="70"/>
      <c r="KZZ1" s="70"/>
      <c r="LAA1" s="70"/>
      <c r="LAB1" s="70"/>
      <c r="LAC1" s="70"/>
      <c r="LAD1" s="70"/>
      <c r="LAE1" s="70"/>
      <c r="LAF1" s="70"/>
      <c r="LAG1" s="70"/>
      <c r="LAH1" s="70"/>
      <c r="LAI1" s="70"/>
      <c r="LAJ1" s="70"/>
      <c r="LAK1" s="70"/>
      <c r="LAL1" s="70"/>
      <c r="LAM1" s="70"/>
      <c r="LAN1" s="70"/>
      <c r="LAO1" s="70"/>
      <c r="LAP1" s="70"/>
      <c r="LAQ1" s="70"/>
      <c r="LAR1" s="70"/>
      <c r="LAS1" s="70"/>
      <c r="LAT1" s="70"/>
      <c r="LAU1" s="70"/>
      <c r="LAV1" s="70"/>
      <c r="LAW1" s="70"/>
      <c r="LAX1" s="70"/>
      <c r="LAY1" s="70"/>
      <c r="LAZ1" s="70"/>
      <c r="LBA1" s="70"/>
      <c r="LBB1" s="70"/>
      <c r="LBC1" s="70"/>
      <c r="LBD1" s="70"/>
      <c r="LBE1" s="70"/>
      <c r="LBF1" s="70"/>
      <c r="LBG1" s="70"/>
      <c r="LBH1" s="70"/>
      <c r="LBI1" s="70"/>
      <c r="LBJ1" s="70"/>
      <c r="LBK1" s="70"/>
      <c r="LBL1" s="70"/>
      <c r="LBM1" s="70"/>
      <c r="LBN1" s="70"/>
      <c r="LBO1" s="70"/>
      <c r="LBP1" s="70"/>
      <c r="LBQ1" s="70"/>
      <c r="LBR1" s="70"/>
      <c r="LBS1" s="70"/>
      <c r="LBT1" s="70"/>
      <c r="LBU1" s="70"/>
      <c r="LBV1" s="70"/>
      <c r="LBW1" s="70"/>
      <c r="LBX1" s="70"/>
      <c r="LBY1" s="70"/>
      <c r="LBZ1" s="70"/>
      <c r="LCA1" s="70"/>
      <c r="LCB1" s="70"/>
      <c r="LCC1" s="70"/>
      <c r="LCD1" s="70"/>
      <c r="LCE1" s="70"/>
      <c r="LCF1" s="70"/>
      <c r="LCG1" s="70"/>
      <c r="LCH1" s="70"/>
      <c r="LCI1" s="70"/>
      <c r="LCJ1" s="70"/>
      <c r="LCK1" s="70"/>
      <c r="LCL1" s="70"/>
      <c r="LCM1" s="70"/>
      <c r="LCN1" s="70"/>
      <c r="LCO1" s="70"/>
      <c r="LCP1" s="70"/>
      <c r="LCQ1" s="70"/>
      <c r="LCR1" s="70"/>
      <c r="LCS1" s="70"/>
      <c r="LCT1" s="70"/>
      <c r="LCU1" s="70"/>
      <c r="LCV1" s="70"/>
      <c r="LCW1" s="70"/>
      <c r="LCX1" s="70"/>
      <c r="LCY1" s="70"/>
      <c r="LCZ1" s="70"/>
      <c r="LDA1" s="70"/>
      <c r="LDB1" s="70"/>
      <c r="LDC1" s="70"/>
      <c r="LDD1" s="70"/>
      <c r="LDE1" s="70"/>
      <c r="LDF1" s="70"/>
      <c r="LDG1" s="70"/>
      <c r="LDH1" s="70"/>
      <c r="LDI1" s="70"/>
      <c r="LDJ1" s="70"/>
      <c r="LDK1" s="70"/>
      <c r="LDL1" s="70"/>
      <c r="LDM1" s="70"/>
      <c r="LDN1" s="70"/>
      <c r="LDO1" s="70"/>
      <c r="LDP1" s="70"/>
      <c r="LDQ1" s="70"/>
      <c r="LDR1" s="70"/>
      <c r="LDS1" s="70"/>
      <c r="LDT1" s="70"/>
      <c r="LDU1" s="70"/>
      <c r="LDV1" s="70"/>
      <c r="LDW1" s="70"/>
      <c r="LDX1" s="70"/>
      <c r="LDY1" s="70"/>
      <c r="LDZ1" s="70"/>
      <c r="LEA1" s="70"/>
      <c r="LEB1" s="70"/>
      <c r="LEC1" s="70"/>
      <c r="LED1" s="70"/>
      <c r="LEE1" s="70"/>
      <c r="LEF1" s="70"/>
      <c r="LEG1" s="70"/>
      <c r="LEH1" s="70"/>
      <c r="LEI1" s="70"/>
      <c r="LEJ1" s="70"/>
      <c r="LEK1" s="70"/>
      <c r="LEL1" s="70"/>
      <c r="LEM1" s="70"/>
      <c r="LEN1" s="70"/>
      <c r="LEO1" s="70"/>
      <c r="LEP1" s="70"/>
      <c r="LEQ1" s="70"/>
      <c r="LER1" s="70"/>
      <c r="LES1" s="70"/>
      <c r="LET1" s="70"/>
      <c r="LEU1" s="70"/>
      <c r="LEV1" s="70"/>
      <c r="LEW1" s="70"/>
      <c r="LEX1" s="70"/>
      <c r="LEY1" s="70"/>
      <c r="LEZ1" s="70"/>
      <c r="LFA1" s="70"/>
      <c r="LFB1" s="70"/>
      <c r="LFC1" s="70"/>
      <c r="LFD1" s="70"/>
      <c r="LFE1" s="70"/>
      <c r="LFF1" s="70"/>
      <c r="LFG1" s="70"/>
      <c r="LFH1" s="70"/>
      <c r="LFI1" s="70"/>
      <c r="LFJ1" s="70"/>
      <c r="LFK1" s="70"/>
      <c r="LFL1" s="70"/>
      <c r="LFM1" s="70"/>
      <c r="LFN1" s="70"/>
      <c r="LFO1" s="70"/>
      <c r="LFP1" s="70"/>
      <c r="LFQ1" s="70"/>
      <c r="LFR1" s="70"/>
      <c r="LFS1" s="70"/>
      <c r="LFT1" s="70"/>
      <c r="LFU1" s="70"/>
      <c r="LFV1" s="70"/>
      <c r="LFW1" s="70"/>
      <c r="LFX1" s="70"/>
      <c r="LFY1" s="70"/>
      <c r="LFZ1" s="70"/>
      <c r="LGA1" s="70"/>
      <c r="LGB1" s="70"/>
      <c r="LGC1" s="70"/>
      <c r="LGD1" s="70"/>
      <c r="LGE1" s="70"/>
      <c r="LGF1" s="70"/>
      <c r="LGG1" s="70"/>
      <c r="LGH1" s="70"/>
      <c r="LGI1" s="70"/>
      <c r="LGJ1" s="70"/>
      <c r="LGK1" s="70"/>
      <c r="LGL1" s="70"/>
      <c r="LGM1" s="70"/>
      <c r="LGN1" s="70"/>
      <c r="LGO1" s="70"/>
      <c r="LGP1" s="70"/>
      <c r="LGQ1" s="70"/>
      <c r="LGR1" s="70"/>
      <c r="LGS1" s="70"/>
      <c r="LGT1" s="70"/>
      <c r="LGU1" s="70"/>
      <c r="LGV1" s="70"/>
      <c r="LGW1" s="70"/>
      <c r="LGX1" s="70"/>
      <c r="LGY1" s="70"/>
      <c r="LGZ1" s="70"/>
      <c r="LHA1" s="70"/>
      <c r="LHB1" s="70"/>
      <c r="LHC1" s="70"/>
      <c r="LHD1" s="70"/>
      <c r="LHE1" s="70"/>
      <c r="LHF1" s="70"/>
      <c r="LHG1" s="70"/>
      <c r="LHH1" s="70"/>
      <c r="LHI1" s="70"/>
      <c r="LHJ1" s="70"/>
      <c r="LHK1" s="70"/>
      <c r="LHL1" s="70"/>
      <c r="LHM1" s="70"/>
      <c r="LHN1" s="70"/>
      <c r="LHO1" s="70"/>
      <c r="LHP1" s="70"/>
      <c r="LHQ1" s="70"/>
      <c r="LHR1" s="70"/>
      <c r="LHS1" s="70"/>
      <c r="LHT1" s="70"/>
      <c r="LHU1" s="70"/>
      <c r="LHV1" s="70"/>
      <c r="LHW1" s="70"/>
      <c r="LHX1" s="70"/>
      <c r="LHY1" s="70"/>
      <c r="LHZ1" s="70"/>
      <c r="LIA1" s="70"/>
      <c r="LIB1" s="70"/>
      <c r="LIC1" s="70"/>
      <c r="LID1" s="70"/>
      <c r="LIE1" s="70"/>
      <c r="LIF1" s="70"/>
      <c r="LIG1" s="70"/>
      <c r="LIH1" s="70"/>
      <c r="LII1" s="70"/>
      <c r="LIJ1" s="70"/>
      <c r="LIK1" s="70"/>
      <c r="LIL1" s="70"/>
      <c r="LIM1" s="70"/>
      <c r="LIN1" s="70"/>
      <c r="LIO1" s="70"/>
      <c r="LIP1" s="70"/>
      <c r="LIQ1" s="70"/>
      <c r="LIR1" s="70"/>
      <c r="LIS1" s="70"/>
      <c r="LIT1" s="70"/>
      <c r="LIU1" s="70"/>
      <c r="LIV1" s="70"/>
      <c r="LIW1" s="70"/>
      <c r="LIX1" s="70"/>
      <c r="LIY1" s="70"/>
      <c r="LIZ1" s="70"/>
      <c r="LJA1" s="70"/>
      <c r="LJB1" s="70"/>
      <c r="LJC1" s="70"/>
      <c r="LJD1" s="70"/>
      <c r="LJE1" s="70"/>
      <c r="LJF1" s="70"/>
      <c r="LJG1" s="70"/>
      <c r="LJH1" s="70"/>
      <c r="LJI1" s="70"/>
      <c r="LJJ1" s="70"/>
      <c r="LJK1" s="70"/>
      <c r="LJL1" s="70"/>
      <c r="LJM1" s="70"/>
      <c r="LJN1" s="70"/>
      <c r="LJO1" s="70"/>
      <c r="LJP1" s="70"/>
      <c r="LJQ1" s="70"/>
      <c r="LJR1" s="70"/>
      <c r="LJS1" s="70"/>
      <c r="LJT1" s="70"/>
      <c r="LJU1" s="70"/>
      <c r="LJV1" s="70"/>
      <c r="LJW1" s="70"/>
      <c r="LJX1" s="70"/>
      <c r="LJY1" s="70"/>
      <c r="LJZ1" s="70"/>
      <c r="LKA1" s="70"/>
      <c r="LKB1" s="70"/>
      <c r="LKC1" s="70"/>
      <c r="LKD1" s="70"/>
      <c r="LKE1" s="70"/>
      <c r="LKF1" s="70"/>
      <c r="LKG1" s="70"/>
      <c r="LKH1" s="70"/>
      <c r="LKI1" s="70"/>
      <c r="LKJ1" s="70"/>
      <c r="LKK1" s="70"/>
      <c r="LKL1" s="70"/>
      <c r="LKM1" s="70"/>
      <c r="LKN1" s="70"/>
      <c r="LKO1" s="70"/>
      <c r="LKP1" s="70"/>
      <c r="LKQ1" s="70"/>
      <c r="LKR1" s="70"/>
      <c r="LKS1" s="70"/>
      <c r="LKT1" s="70"/>
      <c r="LKU1" s="70"/>
      <c r="LKV1" s="70"/>
      <c r="LKW1" s="70"/>
      <c r="LKX1" s="70"/>
      <c r="LKY1" s="70"/>
      <c r="LKZ1" s="70"/>
      <c r="LLA1" s="70"/>
      <c r="LLB1" s="70"/>
      <c r="LLC1" s="70"/>
      <c r="LLD1" s="70"/>
      <c r="LLE1" s="70"/>
      <c r="LLF1" s="70"/>
      <c r="LLG1" s="70"/>
      <c r="LLH1" s="70"/>
      <c r="LLI1" s="70"/>
      <c r="LLJ1" s="70"/>
      <c r="LLK1" s="70"/>
      <c r="LLL1" s="70"/>
      <c r="LLM1" s="70"/>
      <c r="LLN1" s="70"/>
      <c r="LLO1" s="70"/>
      <c r="LLP1" s="70"/>
      <c r="LLQ1" s="70"/>
      <c r="LLR1" s="70"/>
      <c r="LLS1" s="70"/>
      <c r="LLT1" s="70"/>
      <c r="LLU1" s="70"/>
      <c r="LLV1" s="70"/>
      <c r="LLW1" s="70"/>
      <c r="LLX1" s="70"/>
      <c r="LLY1" s="70"/>
      <c r="LLZ1" s="70"/>
      <c r="LMA1" s="70"/>
      <c r="LMB1" s="70"/>
      <c r="LMC1" s="70"/>
      <c r="LMD1" s="70"/>
      <c r="LME1" s="70"/>
      <c r="LMF1" s="70"/>
      <c r="LMG1" s="70"/>
      <c r="LMH1" s="70"/>
      <c r="LMI1" s="70"/>
      <c r="LMJ1" s="70"/>
      <c r="LMK1" s="70"/>
      <c r="LML1" s="70"/>
      <c r="LMM1" s="70"/>
      <c r="LMN1" s="70"/>
      <c r="LMO1" s="70"/>
      <c r="LMP1" s="70"/>
      <c r="LMQ1" s="70"/>
      <c r="LMR1" s="70"/>
      <c r="LMS1" s="70"/>
      <c r="LMT1" s="70"/>
      <c r="LMU1" s="70"/>
      <c r="LMV1" s="70"/>
      <c r="LMW1" s="70"/>
      <c r="LMX1" s="70"/>
      <c r="LMY1" s="70"/>
      <c r="LMZ1" s="70"/>
      <c r="LNA1" s="70"/>
      <c r="LNB1" s="70"/>
      <c r="LNC1" s="70"/>
      <c r="LND1" s="70"/>
      <c r="LNE1" s="70"/>
      <c r="LNF1" s="70"/>
      <c r="LNG1" s="70"/>
      <c r="LNH1" s="70"/>
      <c r="LNI1" s="70"/>
      <c r="LNJ1" s="70"/>
      <c r="LNK1" s="70"/>
      <c r="LNL1" s="70"/>
      <c r="LNM1" s="70"/>
      <c r="LNN1" s="70"/>
      <c r="LNO1" s="70"/>
      <c r="LNP1" s="70"/>
      <c r="LNQ1" s="70"/>
      <c r="LNR1" s="70"/>
      <c r="LNS1" s="70"/>
      <c r="LNT1" s="70"/>
      <c r="LNU1" s="70"/>
      <c r="LNV1" s="70"/>
      <c r="LNW1" s="70"/>
      <c r="LNX1" s="70"/>
      <c r="LNY1" s="70"/>
      <c r="LNZ1" s="70"/>
      <c r="LOA1" s="70"/>
      <c r="LOB1" s="70"/>
      <c r="LOC1" s="70"/>
      <c r="LOD1" s="70"/>
      <c r="LOE1" s="70"/>
      <c r="LOF1" s="70"/>
      <c r="LOG1" s="70"/>
      <c r="LOH1" s="70"/>
      <c r="LOI1" s="70"/>
      <c r="LOJ1" s="70"/>
      <c r="LOK1" s="70"/>
      <c r="LOL1" s="70"/>
      <c r="LOM1" s="70"/>
      <c r="LON1" s="70"/>
      <c r="LOO1" s="70"/>
      <c r="LOP1" s="70"/>
      <c r="LOQ1" s="70"/>
      <c r="LOR1" s="70"/>
      <c r="LOS1" s="70"/>
      <c r="LOT1" s="70"/>
      <c r="LOU1" s="70"/>
      <c r="LOV1" s="70"/>
      <c r="LOW1" s="70"/>
      <c r="LOX1" s="70"/>
      <c r="LOY1" s="70"/>
      <c r="LOZ1" s="70"/>
      <c r="LPA1" s="70"/>
      <c r="LPB1" s="70"/>
      <c r="LPC1" s="70"/>
      <c r="LPD1" s="70"/>
      <c r="LPE1" s="70"/>
      <c r="LPF1" s="70"/>
      <c r="LPG1" s="70"/>
      <c r="LPH1" s="70"/>
      <c r="LPI1" s="70"/>
      <c r="LPJ1" s="70"/>
      <c r="LPK1" s="70"/>
      <c r="LPL1" s="70"/>
      <c r="LPM1" s="70"/>
      <c r="LPN1" s="70"/>
      <c r="LPO1" s="70"/>
      <c r="LPP1" s="70"/>
      <c r="LPQ1" s="70"/>
      <c r="LPR1" s="70"/>
      <c r="LPS1" s="70"/>
      <c r="LPT1" s="70"/>
      <c r="LPU1" s="70"/>
      <c r="LPV1" s="70"/>
      <c r="LPW1" s="70"/>
      <c r="LPX1" s="70"/>
      <c r="LPY1" s="70"/>
      <c r="LPZ1" s="70"/>
      <c r="LQA1" s="70"/>
      <c r="LQB1" s="70"/>
      <c r="LQC1" s="70"/>
      <c r="LQD1" s="70"/>
      <c r="LQE1" s="70"/>
      <c r="LQF1" s="70"/>
      <c r="LQG1" s="70"/>
      <c r="LQH1" s="70"/>
      <c r="LQI1" s="70"/>
      <c r="LQJ1" s="70"/>
      <c r="LQK1" s="70"/>
      <c r="LQL1" s="70"/>
      <c r="LQM1" s="70"/>
      <c r="LQN1" s="70"/>
      <c r="LQO1" s="70"/>
      <c r="LQP1" s="70"/>
      <c r="LQQ1" s="70"/>
      <c r="LQR1" s="70"/>
      <c r="LQS1" s="70"/>
      <c r="LQT1" s="70"/>
      <c r="LQU1" s="70"/>
      <c r="LQV1" s="70"/>
      <c r="LQW1" s="70"/>
      <c r="LQX1" s="70"/>
      <c r="LQY1" s="70"/>
      <c r="LQZ1" s="70"/>
      <c r="LRA1" s="70"/>
      <c r="LRB1" s="70"/>
      <c r="LRC1" s="70"/>
      <c r="LRD1" s="70"/>
      <c r="LRE1" s="70"/>
      <c r="LRF1" s="70"/>
      <c r="LRG1" s="70"/>
      <c r="LRH1" s="70"/>
      <c r="LRI1" s="70"/>
      <c r="LRJ1" s="70"/>
      <c r="LRK1" s="70"/>
      <c r="LRL1" s="70"/>
      <c r="LRM1" s="70"/>
      <c r="LRN1" s="70"/>
      <c r="LRO1" s="70"/>
      <c r="LRP1" s="70"/>
      <c r="LRQ1" s="70"/>
      <c r="LRR1" s="70"/>
      <c r="LRS1" s="70"/>
      <c r="LRT1" s="70"/>
      <c r="LRU1" s="70"/>
      <c r="LRV1" s="70"/>
      <c r="LRW1" s="70"/>
      <c r="LRX1" s="70"/>
      <c r="LRY1" s="70"/>
      <c r="LRZ1" s="70"/>
      <c r="LSA1" s="70"/>
      <c r="LSB1" s="70"/>
      <c r="LSC1" s="70"/>
      <c r="LSD1" s="70"/>
      <c r="LSE1" s="70"/>
      <c r="LSF1" s="70"/>
      <c r="LSG1" s="70"/>
      <c r="LSH1" s="70"/>
      <c r="LSI1" s="70"/>
      <c r="LSJ1" s="70"/>
      <c r="LSK1" s="70"/>
      <c r="LSL1" s="70"/>
      <c r="LSM1" s="70"/>
      <c r="LSN1" s="70"/>
      <c r="LSO1" s="70"/>
      <c r="LSP1" s="70"/>
      <c r="LSQ1" s="70"/>
      <c r="LSR1" s="70"/>
      <c r="LSS1" s="70"/>
      <c r="LST1" s="70"/>
      <c r="LSU1" s="70"/>
      <c r="LSV1" s="70"/>
      <c r="LSW1" s="70"/>
      <c r="LSX1" s="70"/>
      <c r="LSY1" s="70"/>
      <c r="LSZ1" s="70"/>
      <c r="LTA1" s="70"/>
      <c r="LTB1" s="70"/>
      <c r="LTC1" s="70"/>
      <c r="LTD1" s="70"/>
      <c r="LTE1" s="70"/>
      <c r="LTF1" s="70"/>
      <c r="LTG1" s="70"/>
      <c r="LTH1" s="70"/>
      <c r="LTI1" s="70"/>
      <c r="LTJ1" s="70"/>
      <c r="LTK1" s="70"/>
      <c r="LTL1" s="70"/>
      <c r="LTM1" s="70"/>
      <c r="LTN1" s="70"/>
      <c r="LTO1" s="70"/>
      <c r="LTP1" s="70"/>
      <c r="LTQ1" s="70"/>
      <c r="LTR1" s="70"/>
      <c r="LTS1" s="70"/>
      <c r="LTT1" s="70"/>
      <c r="LTU1" s="70"/>
      <c r="LTV1" s="70"/>
      <c r="LTW1" s="70"/>
      <c r="LTX1" s="70"/>
      <c r="LTY1" s="70"/>
      <c r="LTZ1" s="70"/>
      <c r="LUA1" s="70"/>
      <c r="LUB1" s="70"/>
      <c r="LUC1" s="70"/>
      <c r="LUD1" s="70"/>
      <c r="LUE1" s="70"/>
      <c r="LUF1" s="70"/>
      <c r="LUG1" s="70"/>
      <c r="LUH1" s="70"/>
      <c r="LUI1" s="70"/>
      <c r="LUJ1" s="70"/>
      <c r="LUK1" s="70"/>
      <c r="LUL1" s="70"/>
      <c r="LUM1" s="70"/>
      <c r="LUN1" s="70"/>
      <c r="LUO1" s="70"/>
      <c r="LUP1" s="70"/>
      <c r="LUQ1" s="70"/>
      <c r="LUR1" s="70"/>
      <c r="LUS1" s="70"/>
      <c r="LUT1" s="70"/>
      <c r="LUU1" s="70"/>
      <c r="LUV1" s="70"/>
      <c r="LUW1" s="70"/>
      <c r="LUX1" s="70"/>
      <c r="LUY1" s="70"/>
      <c r="LUZ1" s="70"/>
      <c r="LVA1" s="70"/>
      <c r="LVB1" s="70"/>
      <c r="LVC1" s="70"/>
      <c r="LVD1" s="70"/>
      <c r="LVE1" s="70"/>
      <c r="LVF1" s="70"/>
      <c r="LVG1" s="70"/>
      <c r="LVH1" s="70"/>
      <c r="LVI1" s="70"/>
      <c r="LVJ1" s="70"/>
      <c r="LVK1" s="70"/>
      <c r="LVL1" s="70"/>
      <c r="LVM1" s="70"/>
      <c r="LVN1" s="70"/>
      <c r="LVO1" s="70"/>
      <c r="LVP1" s="70"/>
      <c r="LVQ1" s="70"/>
      <c r="LVR1" s="70"/>
      <c r="LVS1" s="70"/>
      <c r="LVT1" s="70"/>
      <c r="LVU1" s="70"/>
      <c r="LVV1" s="70"/>
      <c r="LVW1" s="70"/>
      <c r="LVX1" s="70"/>
      <c r="LVY1" s="70"/>
      <c r="LVZ1" s="70"/>
      <c r="LWA1" s="70"/>
      <c r="LWB1" s="70"/>
      <c r="LWC1" s="70"/>
      <c r="LWD1" s="70"/>
      <c r="LWE1" s="70"/>
      <c r="LWF1" s="70"/>
      <c r="LWG1" s="70"/>
      <c r="LWH1" s="70"/>
      <c r="LWI1" s="70"/>
      <c r="LWJ1" s="70"/>
      <c r="LWK1" s="70"/>
      <c r="LWL1" s="70"/>
      <c r="LWM1" s="70"/>
      <c r="LWN1" s="70"/>
      <c r="LWO1" s="70"/>
      <c r="LWP1" s="70"/>
      <c r="LWQ1" s="70"/>
      <c r="LWR1" s="70"/>
      <c r="LWS1" s="70"/>
      <c r="LWT1" s="70"/>
      <c r="LWU1" s="70"/>
      <c r="LWV1" s="70"/>
      <c r="LWW1" s="70"/>
      <c r="LWX1" s="70"/>
      <c r="LWY1" s="70"/>
      <c r="LWZ1" s="70"/>
      <c r="LXA1" s="70"/>
      <c r="LXB1" s="70"/>
      <c r="LXC1" s="70"/>
      <c r="LXD1" s="70"/>
      <c r="LXE1" s="70"/>
      <c r="LXF1" s="70"/>
      <c r="LXG1" s="70"/>
      <c r="LXH1" s="70"/>
      <c r="LXI1" s="70"/>
      <c r="LXJ1" s="70"/>
      <c r="LXK1" s="70"/>
      <c r="LXL1" s="70"/>
      <c r="LXM1" s="70"/>
      <c r="LXN1" s="70"/>
      <c r="LXO1" s="70"/>
      <c r="LXP1" s="70"/>
      <c r="LXQ1" s="70"/>
      <c r="LXR1" s="70"/>
      <c r="LXS1" s="70"/>
      <c r="LXT1" s="70"/>
      <c r="LXU1" s="70"/>
      <c r="LXV1" s="70"/>
      <c r="LXW1" s="70"/>
      <c r="LXX1" s="70"/>
      <c r="LXY1" s="70"/>
      <c r="LXZ1" s="70"/>
      <c r="LYA1" s="70"/>
      <c r="LYB1" s="70"/>
      <c r="LYC1" s="70"/>
      <c r="LYD1" s="70"/>
      <c r="LYE1" s="70"/>
      <c r="LYF1" s="70"/>
      <c r="LYG1" s="70"/>
      <c r="LYH1" s="70"/>
      <c r="LYI1" s="70"/>
      <c r="LYJ1" s="70"/>
      <c r="LYK1" s="70"/>
      <c r="LYL1" s="70"/>
      <c r="LYM1" s="70"/>
      <c r="LYN1" s="70"/>
      <c r="LYO1" s="70"/>
      <c r="LYP1" s="70"/>
      <c r="LYQ1" s="70"/>
      <c r="LYR1" s="70"/>
      <c r="LYS1" s="70"/>
      <c r="LYT1" s="70"/>
      <c r="LYU1" s="70"/>
      <c r="LYV1" s="70"/>
      <c r="LYW1" s="70"/>
      <c r="LYX1" s="70"/>
      <c r="LYY1" s="70"/>
      <c r="LYZ1" s="70"/>
      <c r="LZA1" s="70"/>
      <c r="LZB1" s="70"/>
      <c r="LZC1" s="70"/>
      <c r="LZD1" s="70"/>
      <c r="LZE1" s="70"/>
      <c r="LZF1" s="70"/>
      <c r="LZG1" s="70"/>
      <c r="LZH1" s="70"/>
      <c r="LZI1" s="70"/>
      <c r="LZJ1" s="70"/>
      <c r="LZK1" s="70"/>
      <c r="LZL1" s="70"/>
      <c r="LZM1" s="70"/>
      <c r="LZN1" s="70"/>
      <c r="LZO1" s="70"/>
      <c r="LZP1" s="70"/>
      <c r="LZQ1" s="70"/>
      <c r="LZR1" s="70"/>
      <c r="LZS1" s="70"/>
      <c r="LZT1" s="70"/>
      <c r="LZU1" s="70"/>
      <c r="LZV1" s="70"/>
      <c r="LZW1" s="70"/>
      <c r="LZX1" s="70"/>
      <c r="LZY1" s="70"/>
      <c r="LZZ1" s="70"/>
      <c r="MAA1" s="70"/>
      <c r="MAB1" s="70"/>
      <c r="MAC1" s="70"/>
      <c r="MAD1" s="70"/>
      <c r="MAE1" s="70"/>
      <c r="MAF1" s="70"/>
      <c r="MAG1" s="70"/>
      <c r="MAH1" s="70"/>
      <c r="MAI1" s="70"/>
      <c r="MAJ1" s="70"/>
      <c r="MAK1" s="70"/>
      <c r="MAL1" s="70"/>
      <c r="MAM1" s="70"/>
      <c r="MAN1" s="70"/>
      <c r="MAO1" s="70"/>
      <c r="MAP1" s="70"/>
      <c r="MAQ1" s="70"/>
      <c r="MAR1" s="70"/>
      <c r="MAS1" s="70"/>
      <c r="MAT1" s="70"/>
      <c r="MAU1" s="70"/>
      <c r="MAV1" s="70"/>
      <c r="MAW1" s="70"/>
      <c r="MAX1" s="70"/>
      <c r="MAY1" s="70"/>
      <c r="MAZ1" s="70"/>
      <c r="MBA1" s="70"/>
      <c r="MBB1" s="70"/>
      <c r="MBC1" s="70"/>
      <c r="MBD1" s="70"/>
      <c r="MBE1" s="70"/>
      <c r="MBF1" s="70"/>
      <c r="MBG1" s="70"/>
      <c r="MBH1" s="70"/>
      <c r="MBI1" s="70"/>
      <c r="MBJ1" s="70"/>
      <c r="MBK1" s="70"/>
      <c r="MBL1" s="70"/>
      <c r="MBM1" s="70"/>
      <c r="MBN1" s="70"/>
      <c r="MBO1" s="70"/>
      <c r="MBP1" s="70"/>
      <c r="MBQ1" s="70"/>
      <c r="MBR1" s="70"/>
      <c r="MBS1" s="70"/>
      <c r="MBT1" s="70"/>
      <c r="MBU1" s="70"/>
      <c r="MBV1" s="70"/>
      <c r="MBW1" s="70"/>
      <c r="MBX1" s="70"/>
      <c r="MBY1" s="70"/>
      <c r="MBZ1" s="70"/>
      <c r="MCA1" s="70"/>
      <c r="MCB1" s="70"/>
      <c r="MCC1" s="70"/>
      <c r="MCD1" s="70"/>
      <c r="MCE1" s="70"/>
      <c r="MCF1" s="70"/>
      <c r="MCG1" s="70"/>
      <c r="MCH1" s="70"/>
      <c r="MCI1" s="70"/>
      <c r="MCJ1" s="70"/>
      <c r="MCK1" s="70"/>
      <c r="MCL1" s="70"/>
      <c r="MCM1" s="70"/>
      <c r="MCN1" s="70"/>
      <c r="MCO1" s="70"/>
      <c r="MCP1" s="70"/>
      <c r="MCQ1" s="70"/>
      <c r="MCR1" s="70"/>
      <c r="MCS1" s="70"/>
      <c r="MCT1" s="70"/>
      <c r="MCU1" s="70"/>
      <c r="MCV1" s="70"/>
      <c r="MCW1" s="70"/>
      <c r="MCX1" s="70"/>
      <c r="MCY1" s="70"/>
      <c r="MCZ1" s="70"/>
      <c r="MDA1" s="70"/>
      <c r="MDB1" s="70"/>
      <c r="MDC1" s="70"/>
      <c r="MDD1" s="70"/>
      <c r="MDE1" s="70"/>
      <c r="MDF1" s="70"/>
      <c r="MDG1" s="70"/>
      <c r="MDH1" s="70"/>
      <c r="MDI1" s="70"/>
      <c r="MDJ1" s="70"/>
      <c r="MDK1" s="70"/>
      <c r="MDL1" s="70"/>
      <c r="MDM1" s="70"/>
      <c r="MDN1" s="70"/>
      <c r="MDO1" s="70"/>
      <c r="MDP1" s="70"/>
      <c r="MDQ1" s="70"/>
      <c r="MDR1" s="70"/>
      <c r="MDS1" s="70"/>
      <c r="MDT1" s="70"/>
      <c r="MDU1" s="70"/>
      <c r="MDV1" s="70"/>
      <c r="MDW1" s="70"/>
      <c r="MDX1" s="70"/>
      <c r="MDY1" s="70"/>
      <c r="MDZ1" s="70"/>
      <c r="MEA1" s="70"/>
      <c r="MEB1" s="70"/>
      <c r="MEC1" s="70"/>
      <c r="MED1" s="70"/>
      <c r="MEE1" s="70"/>
      <c r="MEF1" s="70"/>
      <c r="MEG1" s="70"/>
      <c r="MEH1" s="70"/>
      <c r="MEI1" s="70"/>
      <c r="MEJ1" s="70"/>
      <c r="MEK1" s="70"/>
      <c r="MEL1" s="70"/>
      <c r="MEM1" s="70"/>
      <c r="MEN1" s="70"/>
      <c r="MEO1" s="70"/>
      <c r="MEP1" s="70"/>
      <c r="MEQ1" s="70"/>
      <c r="MER1" s="70"/>
      <c r="MES1" s="70"/>
      <c r="MET1" s="70"/>
      <c r="MEU1" s="70"/>
      <c r="MEV1" s="70"/>
      <c r="MEW1" s="70"/>
      <c r="MEX1" s="70"/>
      <c r="MEY1" s="70"/>
      <c r="MEZ1" s="70"/>
      <c r="MFA1" s="70"/>
      <c r="MFB1" s="70"/>
      <c r="MFC1" s="70"/>
      <c r="MFD1" s="70"/>
      <c r="MFE1" s="70"/>
      <c r="MFF1" s="70"/>
      <c r="MFG1" s="70"/>
      <c r="MFH1" s="70"/>
      <c r="MFI1" s="70"/>
      <c r="MFJ1" s="70"/>
      <c r="MFK1" s="70"/>
      <c r="MFL1" s="70"/>
      <c r="MFM1" s="70"/>
      <c r="MFN1" s="70"/>
      <c r="MFO1" s="70"/>
      <c r="MFP1" s="70"/>
      <c r="MFQ1" s="70"/>
      <c r="MFR1" s="70"/>
      <c r="MFS1" s="70"/>
      <c r="MFT1" s="70"/>
      <c r="MFU1" s="70"/>
      <c r="MFV1" s="70"/>
      <c r="MFW1" s="70"/>
      <c r="MFX1" s="70"/>
      <c r="MFY1" s="70"/>
      <c r="MFZ1" s="70"/>
      <c r="MGA1" s="70"/>
      <c r="MGB1" s="70"/>
      <c r="MGC1" s="70"/>
      <c r="MGD1" s="70"/>
      <c r="MGE1" s="70"/>
      <c r="MGF1" s="70"/>
      <c r="MGG1" s="70"/>
      <c r="MGH1" s="70"/>
      <c r="MGI1" s="70"/>
      <c r="MGJ1" s="70"/>
      <c r="MGK1" s="70"/>
      <c r="MGL1" s="70"/>
      <c r="MGM1" s="70"/>
      <c r="MGN1" s="70"/>
      <c r="MGO1" s="70"/>
      <c r="MGP1" s="70"/>
      <c r="MGQ1" s="70"/>
      <c r="MGR1" s="70"/>
      <c r="MGS1" s="70"/>
      <c r="MGT1" s="70"/>
      <c r="MGU1" s="70"/>
      <c r="MGV1" s="70"/>
      <c r="MGW1" s="70"/>
      <c r="MGX1" s="70"/>
      <c r="MGY1" s="70"/>
      <c r="MGZ1" s="70"/>
      <c r="MHA1" s="70"/>
      <c r="MHB1" s="70"/>
      <c r="MHC1" s="70"/>
      <c r="MHD1" s="70"/>
      <c r="MHE1" s="70"/>
      <c r="MHF1" s="70"/>
      <c r="MHG1" s="70"/>
      <c r="MHH1" s="70"/>
      <c r="MHI1" s="70"/>
      <c r="MHJ1" s="70"/>
      <c r="MHK1" s="70"/>
      <c r="MHL1" s="70"/>
      <c r="MHM1" s="70"/>
      <c r="MHN1" s="70"/>
      <c r="MHO1" s="70"/>
      <c r="MHP1" s="70"/>
      <c r="MHQ1" s="70"/>
      <c r="MHR1" s="70"/>
      <c r="MHS1" s="70"/>
      <c r="MHT1" s="70"/>
      <c r="MHU1" s="70"/>
      <c r="MHV1" s="70"/>
      <c r="MHW1" s="70"/>
      <c r="MHX1" s="70"/>
      <c r="MHY1" s="70"/>
      <c r="MHZ1" s="70"/>
      <c r="MIA1" s="70"/>
      <c r="MIB1" s="70"/>
      <c r="MIC1" s="70"/>
      <c r="MID1" s="70"/>
      <c r="MIE1" s="70"/>
      <c r="MIF1" s="70"/>
      <c r="MIG1" s="70"/>
      <c r="MIH1" s="70"/>
      <c r="MII1" s="70"/>
      <c r="MIJ1" s="70"/>
      <c r="MIK1" s="70"/>
      <c r="MIL1" s="70"/>
      <c r="MIM1" s="70"/>
      <c r="MIN1" s="70"/>
      <c r="MIO1" s="70"/>
      <c r="MIP1" s="70"/>
      <c r="MIQ1" s="70"/>
      <c r="MIR1" s="70"/>
      <c r="MIS1" s="70"/>
      <c r="MIT1" s="70"/>
      <c r="MIU1" s="70"/>
      <c r="MIV1" s="70"/>
      <c r="MIW1" s="70"/>
      <c r="MIX1" s="70"/>
      <c r="MIY1" s="70"/>
      <c r="MIZ1" s="70"/>
      <c r="MJA1" s="70"/>
      <c r="MJB1" s="70"/>
      <c r="MJC1" s="70"/>
      <c r="MJD1" s="70"/>
      <c r="MJE1" s="70"/>
      <c r="MJF1" s="70"/>
      <c r="MJG1" s="70"/>
      <c r="MJH1" s="70"/>
      <c r="MJI1" s="70"/>
      <c r="MJJ1" s="70"/>
      <c r="MJK1" s="70"/>
      <c r="MJL1" s="70"/>
      <c r="MJM1" s="70"/>
      <c r="MJN1" s="70"/>
      <c r="MJO1" s="70"/>
      <c r="MJP1" s="70"/>
      <c r="MJQ1" s="70"/>
      <c r="MJR1" s="70"/>
      <c r="MJS1" s="70"/>
      <c r="MJT1" s="70"/>
      <c r="MJU1" s="70"/>
      <c r="MJV1" s="70"/>
      <c r="MJW1" s="70"/>
      <c r="MJX1" s="70"/>
      <c r="MJY1" s="70"/>
      <c r="MJZ1" s="70"/>
      <c r="MKA1" s="70"/>
      <c r="MKB1" s="70"/>
      <c r="MKC1" s="70"/>
      <c r="MKD1" s="70"/>
      <c r="MKE1" s="70"/>
      <c r="MKF1" s="70"/>
      <c r="MKG1" s="70"/>
      <c r="MKH1" s="70"/>
      <c r="MKI1" s="70"/>
      <c r="MKJ1" s="70"/>
      <c r="MKK1" s="70"/>
      <c r="MKL1" s="70"/>
      <c r="MKM1" s="70"/>
      <c r="MKN1" s="70"/>
      <c r="MKO1" s="70"/>
      <c r="MKP1" s="70"/>
      <c r="MKQ1" s="70"/>
      <c r="MKR1" s="70"/>
      <c r="MKS1" s="70"/>
      <c r="MKT1" s="70"/>
      <c r="MKU1" s="70"/>
      <c r="MKV1" s="70"/>
      <c r="MKW1" s="70"/>
      <c r="MKX1" s="70"/>
      <c r="MKY1" s="70"/>
      <c r="MKZ1" s="70"/>
      <c r="MLA1" s="70"/>
      <c r="MLB1" s="70"/>
      <c r="MLC1" s="70"/>
      <c r="MLD1" s="70"/>
      <c r="MLE1" s="70"/>
      <c r="MLF1" s="70"/>
      <c r="MLG1" s="70"/>
      <c r="MLH1" s="70"/>
      <c r="MLI1" s="70"/>
      <c r="MLJ1" s="70"/>
      <c r="MLK1" s="70"/>
      <c r="MLL1" s="70"/>
      <c r="MLM1" s="70"/>
      <c r="MLN1" s="70"/>
      <c r="MLO1" s="70"/>
      <c r="MLP1" s="70"/>
      <c r="MLQ1" s="70"/>
      <c r="MLR1" s="70"/>
      <c r="MLS1" s="70"/>
      <c r="MLT1" s="70"/>
      <c r="MLU1" s="70"/>
      <c r="MLV1" s="70"/>
      <c r="MLW1" s="70"/>
      <c r="MLX1" s="70"/>
      <c r="MLY1" s="70"/>
      <c r="MLZ1" s="70"/>
      <c r="MMA1" s="70"/>
      <c r="MMB1" s="70"/>
      <c r="MMC1" s="70"/>
      <c r="MMD1" s="70"/>
      <c r="MME1" s="70"/>
      <c r="MMF1" s="70"/>
      <c r="MMG1" s="70"/>
      <c r="MMH1" s="70"/>
      <c r="MMI1" s="70"/>
      <c r="MMJ1" s="70"/>
      <c r="MMK1" s="70"/>
      <c r="MML1" s="70"/>
      <c r="MMM1" s="70"/>
      <c r="MMN1" s="70"/>
      <c r="MMO1" s="70"/>
      <c r="MMP1" s="70"/>
      <c r="MMQ1" s="70"/>
      <c r="MMR1" s="70"/>
      <c r="MMS1" s="70"/>
      <c r="MMT1" s="70"/>
      <c r="MMU1" s="70"/>
      <c r="MMV1" s="70"/>
      <c r="MMW1" s="70"/>
      <c r="MMX1" s="70"/>
      <c r="MMY1" s="70"/>
      <c r="MMZ1" s="70"/>
      <c r="MNA1" s="70"/>
      <c r="MNB1" s="70"/>
      <c r="MNC1" s="70"/>
      <c r="MND1" s="70"/>
      <c r="MNE1" s="70"/>
      <c r="MNF1" s="70"/>
      <c r="MNG1" s="70"/>
      <c r="MNH1" s="70"/>
      <c r="MNI1" s="70"/>
      <c r="MNJ1" s="70"/>
      <c r="MNK1" s="70"/>
      <c r="MNL1" s="70"/>
      <c r="MNM1" s="70"/>
      <c r="MNN1" s="70"/>
      <c r="MNO1" s="70"/>
      <c r="MNP1" s="70"/>
      <c r="MNQ1" s="70"/>
      <c r="MNR1" s="70"/>
      <c r="MNS1" s="70"/>
      <c r="MNT1" s="70"/>
      <c r="MNU1" s="70"/>
      <c r="MNV1" s="70"/>
      <c r="MNW1" s="70"/>
      <c r="MNX1" s="70"/>
      <c r="MNY1" s="70"/>
      <c r="MNZ1" s="70"/>
      <c r="MOA1" s="70"/>
      <c r="MOB1" s="70"/>
      <c r="MOC1" s="70"/>
      <c r="MOD1" s="70"/>
      <c r="MOE1" s="70"/>
      <c r="MOF1" s="70"/>
      <c r="MOG1" s="70"/>
      <c r="MOH1" s="70"/>
      <c r="MOI1" s="70"/>
      <c r="MOJ1" s="70"/>
      <c r="MOK1" s="70"/>
      <c r="MOL1" s="70"/>
      <c r="MOM1" s="70"/>
      <c r="MON1" s="70"/>
      <c r="MOO1" s="70"/>
      <c r="MOP1" s="70"/>
      <c r="MOQ1" s="70"/>
      <c r="MOR1" s="70"/>
      <c r="MOS1" s="70"/>
      <c r="MOT1" s="70"/>
      <c r="MOU1" s="70"/>
      <c r="MOV1" s="70"/>
      <c r="MOW1" s="70"/>
      <c r="MOX1" s="70"/>
      <c r="MOY1" s="70"/>
      <c r="MOZ1" s="70"/>
      <c r="MPA1" s="70"/>
      <c r="MPB1" s="70"/>
      <c r="MPC1" s="70"/>
      <c r="MPD1" s="70"/>
      <c r="MPE1" s="70"/>
      <c r="MPF1" s="70"/>
      <c r="MPG1" s="70"/>
      <c r="MPH1" s="70"/>
      <c r="MPI1" s="70"/>
      <c r="MPJ1" s="70"/>
      <c r="MPK1" s="70"/>
      <c r="MPL1" s="70"/>
      <c r="MPM1" s="70"/>
      <c r="MPN1" s="70"/>
      <c r="MPO1" s="70"/>
      <c r="MPP1" s="70"/>
      <c r="MPQ1" s="70"/>
      <c r="MPR1" s="70"/>
      <c r="MPS1" s="70"/>
      <c r="MPT1" s="70"/>
      <c r="MPU1" s="70"/>
      <c r="MPV1" s="70"/>
      <c r="MPW1" s="70"/>
      <c r="MPX1" s="70"/>
      <c r="MPY1" s="70"/>
      <c r="MPZ1" s="70"/>
      <c r="MQA1" s="70"/>
      <c r="MQB1" s="70"/>
      <c r="MQC1" s="70"/>
      <c r="MQD1" s="70"/>
      <c r="MQE1" s="70"/>
      <c r="MQF1" s="70"/>
      <c r="MQG1" s="70"/>
      <c r="MQH1" s="70"/>
      <c r="MQI1" s="70"/>
      <c r="MQJ1" s="70"/>
      <c r="MQK1" s="70"/>
      <c r="MQL1" s="70"/>
      <c r="MQM1" s="70"/>
      <c r="MQN1" s="70"/>
      <c r="MQO1" s="70"/>
      <c r="MQP1" s="70"/>
      <c r="MQQ1" s="70"/>
      <c r="MQR1" s="70"/>
      <c r="MQS1" s="70"/>
      <c r="MQT1" s="70"/>
      <c r="MQU1" s="70"/>
      <c r="MQV1" s="70"/>
      <c r="MQW1" s="70"/>
      <c r="MQX1" s="70"/>
      <c r="MQY1" s="70"/>
      <c r="MQZ1" s="70"/>
      <c r="MRA1" s="70"/>
      <c r="MRB1" s="70"/>
      <c r="MRC1" s="70"/>
      <c r="MRD1" s="70"/>
      <c r="MRE1" s="70"/>
      <c r="MRF1" s="70"/>
      <c r="MRG1" s="70"/>
      <c r="MRH1" s="70"/>
      <c r="MRI1" s="70"/>
      <c r="MRJ1" s="70"/>
      <c r="MRK1" s="70"/>
      <c r="MRL1" s="70"/>
      <c r="MRM1" s="70"/>
      <c r="MRN1" s="70"/>
      <c r="MRO1" s="70"/>
      <c r="MRP1" s="70"/>
      <c r="MRQ1" s="70"/>
      <c r="MRR1" s="70"/>
      <c r="MRS1" s="70"/>
      <c r="MRT1" s="70"/>
      <c r="MRU1" s="70"/>
      <c r="MRV1" s="70"/>
      <c r="MRW1" s="70"/>
      <c r="MRX1" s="70"/>
      <c r="MRY1" s="70"/>
      <c r="MRZ1" s="70"/>
      <c r="MSA1" s="70"/>
      <c r="MSB1" s="70"/>
      <c r="MSC1" s="70"/>
      <c r="MSD1" s="70"/>
      <c r="MSE1" s="70"/>
      <c r="MSF1" s="70"/>
      <c r="MSG1" s="70"/>
      <c r="MSH1" s="70"/>
      <c r="MSI1" s="70"/>
      <c r="MSJ1" s="70"/>
      <c r="MSK1" s="70"/>
      <c r="MSL1" s="70"/>
      <c r="MSM1" s="70"/>
      <c r="MSN1" s="70"/>
      <c r="MSO1" s="70"/>
      <c r="MSP1" s="70"/>
      <c r="MSQ1" s="70"/>
      <c r="MSR1" s="70"/>
      <c r="MSS1" s="70"/>
      <c r="MST1" s="70"/>
      <c r="MSU1" s="70"/>
      <c r="MSV1" s="70"/>
      <c r="MSW1" s="70"/>
      <c r="MSX1" s="70"/>
      <c r="MSY1" s="70"/>
      <c r="MSZ1" s="70"/>
      <c r="MTA1" s="70"/>
      <c r="MTB1" s="70"/>
      <c r="MTC1" s="70"/>
      <c r="MTD1" s="70"/>
      <c r="MTE1" s="70"/>
      <c r="MTF1" s="70"/>
      <c r="MTG1" s="70"/>
      <c r="MTH1" s="70"/>
      <c r="MTI1" s="70"/>
      <c r="MTJ1" s="70"/>
      <c r="MTK1" s="70"/>
      <c r="MTL1" s="70"/>
      <c r="MTM1" s="70"/>
      <c r="MTN1" s="70"/>
      <c r="MTO1" s="70"/>
      <c r="MTP1" s="70"/>
      <c r="MTQ1" s="70"/>
      <c r="MTR1" s="70"/>
      <c r="MTS1" s="70"/>
      <c r="MTT1" s="70"/>
      <c r="MTU1" s="70"/>
      <c r="MTV1" s="70"/>
      <c r="MTW1" s="70"/>
      <c r="MTX1" s="70"/>
      <c r="MTY1" s="70"/>
      <c r="MTZ1" s="70"/>
      <c r="MUA1" s="70"/>
      <c r="MUB1" s="70"/>
      <c r="MUC1" s="70"/>
      <c r="MUD1" s="70"/>
      <c r="MUE1" s="70"/>
      <c r="MUF1" s="70"/>
      <c r="MUG1" s="70"/>
      <c r="MUH1" s="70"/>
      <c r="MUI1" s="70"/>
      <c r="MUJ1" s="70"/>
      <c r="MUK1" s="70"/>
      <c r="MUL1" s="70"/>
      <c r="MUM1" s="70"/>
      <c r="MUN1" s="70"/>
      <c r="MUO1" s="70"/>
      <c r="MUP1" s="70"/>
      <c r="MUQ1" s="70"/>
      <c r="MUR1" s="70"/>
      <c r="MUS1" s="70"/>
      <c r="MUT1" s="70"/>
      <c r="MUU1" s="70"/>
      <c r="MUV1" s="70"/>
      <c r="MUW1" s="70"/>
      <c r="MUX1" s="70"/>
      <c r="MUY1" s="70"/>
      <c r="MUZ1" s="70"/>
      <c r="MVA1" s="70"/>
      <c r="MVB1" s="70"/>
      <c r="MVC1" s="70"/>
      <c r="MVD1" s="70"/>
      <c r="MVE1" s="70"/>
      <c r="MVF1" s="70"/>
      <c r="MVG1" s="70"/>
      <c r="MVH1" s="70"/>
      <c r="MVI1" s="70"/>
      <c r="MVJ1" s="70"/>
      <c r="MVK1" s="70"/>
      <c r="MVL1" s="70"/>
      <c r="MVM1" s="70"/>
      <c r="MVN1" s="70"/>
      <c r="MVO1" s="70"/>
      <c r="MVP1" s="70"/>
      <c r="MVQ1" s="70"/>
      <c r="MVR1" s="70"/>
      <c r="MVS1" s="70"/>
      <c r="MVT1" s="70"/>
      <c r="MVU1" s="70"/>
      <c r="MVV1" s="70"/>
      <c r="MVW1" s="70"/>
      <c r="MVX1" s="70"/>
      <c r="MVY1" s="70"/>
      <c r="MVZ1" s="70"/>
      <c r="MWA1" s="70"/>
      <c r="MWB1" s="70"/>
      <c r="MWC1" s="70"/>
      <c r="MWD1" s="70"/>
      <c r="MWE1" s="70"/>
      <c r="MWF1" s="70"/>
      <c r="MWG1" s="70"/>
      <c r="MWH1" s="70"/>
      <c r="MWI1" s="70"/>
      <c r="MWJ1" s="70"/>
      <c r="MWK1" s="70"/>
      <c r="MWL1" s="70"/>
      <c r="MWM1" s="70"/>
      <c r="MWN1" s="70"/>
      <c r="MWO1" s="70"/>
      <c r="MWP1" s="70"/>
      <c r="MWQ1" s="70"/>
      <c r="MWR1" s="70"/>
      <c r="MWS1" s="70"/>
      <c r="MWT1" s="70"/>
      <c r="MWU1" s="70"/>
      <c r="MWV1" s="70"/>
      <c r="MWW1" s="70"/>
      <c r="MWX1" s="70"/>
      <c r="MWY1" s="70"/>
      <c r="MWZ1" s="70"/>
      <c r="MXA1" s="70"/>
      <c r="MXB1" s="70"/>
      <c r="MXC1" s="70"/>
      <c r="MXD1" s="70"/>
      <c r="MXE1" s="70"/>
      <c r="MXF1" s="70"/>
      <c r="MXG1" s="70"/>
      <c r="MXH1" s="70"/>
      <c r="MXI1" s="70"/>
      <c r="MXJ1" s="70"/>
      <c r="MXK1" s="70"/>
      <c r="MXL1" s="70"/>
      <c r="MXM1" s="70"/>
      <c r="MXN1" s="70"/>
      <c r="MXO1" s="70"/>
      <c r="MXP1" s="70"/>
      <c r="MXQ1" s="70"/>
      <c r="MXR1" s="70"/>
      <c r="MXS1" s="70"/>
      <c r="MXT1" s="70"/>
      <c r="MXU1" s="70"/>
      <c r="MXV1" s="70"/>
      <c r="MXW1" s="70"/>
      <c r="MXX1" s="70"/>
      <c r="MXY1" s="70"/>
      <c r="MXZ1" s="70"/>
      <c r="MYA1" s="70"/>
      <c r="MYB1" s="70"/>
      <c r="MYC1" s="70"/>
      <c r="MYD1" s="70"/>
      <c r="MYE1" s="70"/>
      <c r="MYF1" s="70"/>
      <c r="MYG1" s="70"/>
      <c r="MYH1" s="70"/>
      <c r="MYI1" s="70"/>
      <c r="MYJ1" s="70"/>
      <c r="MYK1" s="70"/>
      <c r="MYL1" s="70"/>
      <c r="MYM1" s="70"/>
      <c r="MYN1" s="70"/>
      <c r="MYO1" s="70"/>
      <c r="MYP1" s="70"/>
      <c r="MYQ1" s="70"/>
      <c r="MYR1" s="70"/>
      <c r="MYS1" s="70"/>
      <c r="MYT1" s="70"/>
      <c r="MYU1" s="70"/>
      <c r="MYV1" s="70"/>
      <c r="MYW1" s="70"/>
      <c r="MYX1" s="70"/>
      <c r="MYY1" s="70"/>
      <c r="MYZ1" s="70"/>
      <c r="MZA1" s="70"/>
      <c r="MZB1" s="70"/>
      <c r="MZC1" s="70"/>
      <c r="MZD1" s="70"/>
      <c r="MZE1" s="70"/>
      <c r="MZF1" s="70"/>
      <c r="MZG1" s="70"/>
      <c r="MZH1" s="70"/>
      <c r="MZI1" s="70"/>
      <c r="MZJ1" s="70"/>
      <c r="MZK1" s="70"/>
      <c r="MZL1" s="70"/>
      <c r="MZM1" s="70"/>
      <c r="MZN1" s="70"/>
      <c r="MZO1" s="70"/>
      <c r="MZP1" s="70"/>
      <c r="MZQ1" s="70"/>
      <c r="MZR1" s="70"/>
      <c r="MZS1" s="70"/>
      <c r="MZT1" s="70"/>
      <c r="MZU1" s="70"/>
      <c r="MZV1" s="70"/>
      <c r="MZW1" s="70"/>
      <c r="MZX1" s="70"/>
      <c r="MZY1" s="70"/>
      <c r="MZZ1" s="70"/>
      <c r="NAA1" s="70"/>
      <c r="NAB1" s="70"/>
      <c r="NAC1" s="70"/>
      <c r="NAD1" s="70"/>
      <c r="NAE1" s="70"/>
      <c r="NAF1" s="70"/>
      <c r="NAG1" s="70"/>
      <c r="NAH1" s="70"/>
      <c r="NAI1" s="70"/>
      <c r="NAJ1" s="70"/>
      <c r="NAK1" s="70"/>
      <c r="NAL1" s="70"/>
      <c r="NAM1" s="70"/>
      <c r="NAN1" s="70"/>
      <c r="NAO1" s="70"/>
      <c r="NAP1" s="70"/>
      <c r="NAQ1" s="70"/>
      <c r="NAR1" s="70"/>
      <c r="NAS1" s="70"/>
      <c r="NAT1" s="70"/>
      <c r="NAU1" s="70"/>
      <c r="NAV1" s="70"/>
      <c r="NAW1" s="70"/>
      <c r="NAX1" s="70"/>
      <c r="NAY1" s="70"/>
      <c r="NAZ1" s="70"/>
      <c r="NBA1" s="70"/>
      <c r="NBB1" s="70"/>
      <c r="NBC1" s="70"/>
      <c r="NBD1" s="70"/>
      <c r="NBE1" s="70"/>
      <c r="NBF1" s="70"/>
      <c r="NBG1" s="70"/>
      <c r="NBH1" s="70"/>
      <c r="NBI1" s="70"/>
      <c r="NBJ1" s="70"/>
      <c r="NBK1" s="70"/>
      <c r="NBL1" s="70"/>
      <c r="NBM1" s="70"/>
      <c r="NBN1" s="70"/>
      <c r="NBO1" s="70"/>
      <c r="NBP1" s="70"/>
      <c r="NBQ1" s="70"/>
      <c r="NBR1" s="70"/>
      <c r="NBS1" s="70"/>
      <c r="NBT1" s="70"/>
      <c r="NBU1" s="70"/>
      <c r="NBV1" s="70"/>
      <c r="NBW1" s="70"/>
      <c r="NBX1" s="70"/>
      <c r="NBY1" s="70"/>
      <c r="NBZ1" s="70"/>
      <c r="NCA1" s="70"/>
      <c r="NCB1" s="70"/>
      <c r="NCC1" s="70"/>
      <c r="NCD1" s="70"/>
      <c r="NCE1" s="70"/>
      <c r="NCF1" s="70"/>
      <c r="NCG1" s="70"/>
      <c r="NCH1" s="70"/>
      <c r="NCI1" s="70"/>
      <c r="NCJ1" s="70"/>
      <c r="NCK1" s="70"/>
      <c r="NCL1" s="70"/>
      <c r="NCM1" s="70"/>
      <c r="NCN1" s="70"/>
      <c r="NCO1" s="70"/>
      <c r="NCP1" s="70"/>
      <c r="NCQ1" s="70"/>
      <c r="NCR1" s="70"/>
      <c r="NCS1" s="70"/>
      <c r="NCT1" s="70"/>
      <c r="NCU1" s="70"/>
      <c r="NCV1" s="70"/>
      <c r="NCW1" s="70"/>
      <c r="NCX1" s="70"/>
      <c r="NCY1" s="70"/>
      <c r="NCZ1" s="70"/>
      <c r="NDA1" s="70"/>
      <c r="NDB1" s="70"/>
      <c r="NDC1" s="70"/>
      <c r="NDD1" s="70"/>
      <c r="NDE1" s="70"/>
      <c r="NDF1" s="70"/>
      <c r="NDG1" s="70"/>
      <c r="NDH1" s="70"/>
      <c r="NDI1" s="70"/>
      <c r="NDJ1" s="70"/>
      <c r="NDK1" s="70"/>
      <c r="NDL1" s="70"/>
      <c r="NDM1" s="70"/>
      <c r="NDN1" s="70"/>
      <c r="NDO1" s="70"/>
      <c r="NDP1" s="70"/>
      <c r="NDQ1" s="70"/>
      <c r="NDR1" s="70"/>
      <c r="NDS1" s="70"/>
      <c r="NDT1" s="70"/>
      <c r="NDU1" s="70"/>
      <c r="NDV1" s="70"/>
      <c r="NDW1" s="70"/>
      <c r="NDX1" s="70"/>
      <c r="NDY1" s="70"/>
      <c r="NDZ1" s="70"/>
      <c r="NEA1" s="70"/>
      <c r="NEB1" s="70"/>
      <c r="NEC1" s="70"/>
      <c r="NED1" s="70"/>
      <c r="NEE1" s="70"/>
      <c r="NEF1" s="70"/>
      <c r="NEG1" s="70"/>
      <c r="NEH1" s="70"/>
      <c r="NEI1" s="70"/>
      <c r="NEJ1" s="70"/>
      <c r="NEK1" s="70"/>
      <c r="NEL1" s="70"/>
      <c r="NEM1" s="70"/>
      <c r="NEN1" s="70"/>
      <c r="NEO1" s="70"/>
      <c r="NEP1" s="70"/>
      <c r="NEQ1" s="70"/>
      <c r="NER1" s="70"/>
      <c r="NES1" s="70"/>
      <c r="NET1" s="70"/>
      <c r="NEU1" s="70"/>
      <c r="NEV1" s="70"/>
      <c r="NEW1" s="70"/>
      <c r="NEX1" s="70"/>
      <c r="NEY1" s="70"/>
      <c r="NEZ1" s="70"/>
      <c r="NFA1" s="70"/>
      <c r="NFB1" s="70"/>
      <c r="NFC1" s="70"/>
      <c r="NFD1" s="70"/>
      <c r="NFE1" s="70"/>
      <c r="NFF1" s="70"/>
      <c r="NFG1" s="70"/>
      <c r="NFH1" s="70"/>
      <c r="NFI1" s="70"/>
      <c r="NFJ1" s="70"/>
      <c r="NFK1" s="70"/>
      <c r="NFL1" s="70"/>
      <c r="NFM1" s="70"/>
      <c r="NFN1" s="70"/>
      <c r="NFO1" s="70"/>
      <c r="NFP1" s="70"/>
      <c r="NFQ1" s="70"/>
      <c r="NFR1" s="70"/>
      <c r="NFS1" s="70"/>
      <c r="NFT1" s="70"/>
      <c r="NFU1" s="70"/>
      <c r="NFV1" s="70"/>
      <c r="NFW1" s="70"/>
      <c r="NFX1" s="70"/>
      <c r="NFY1" s="70"/>
      <c r="NFZ1" s="70"/>
      <c r="NGA1" s="70"/>
      <c r="NGB1" s="70"/>
      <c r="NGC1" s="70"/>
      <c r="NGD1" s="70"/>
      <c r="NGE1" s="70"/>
      <c r="NGF1" s="70"/>
      <c r="NGG1" s="70"/>
      <c r="NGH1" s="70"/>
      <c r="NGI1" s="70"/>
      <c r="NGJ1" s="70"/>
      <c r="NGK1" s="70"/>
      <c r="NGL1" s="70"/>
      <c r="NGM1" s="70"/>
      <c r="NGN1" s="70"/>
      <c r="NGO1" s="70"/>
      <c r="NGP1" s="70"/>
      <c r="NGQ1" s="70"/>
      <c r="NGR1" s="70"/>
      <c r="NGS1" s="70"/>
      <c r="NGT1" s="70"/>
      <c r="NGU1" s="70"/>
      <c r="NGV1" s="70"/>
      <c r="NGW1" s="70"/>
      <c r="NGX1" s="70"/>
      <c r="NGY1" s="70"/>
      <c r="NGZ1" s="70"/>
      <c r="NHA1" s="70"/>
      <c r="NHB1" s="70"/>
      <c r="NHC1" s="70"/>
      <c r="NHD1" s="70"/>
      <c r="NHE1" s="70"/>
      <c r="NHF1" s="70"/>
      <c r="NHG1" s="70"/>
      <c r="NHH1" s="70"/>
      <c r="NHI1" s="70"/>
      <c r="NHJ1" s="70"/>
      <c r="NHK1" s="70"/>
      <c r="NHL1" s="70"/>
      <c r="NHM1" s="70"/>
      <c r="NHN1" s="70"/>
      <c r="NHO1" s="70"/>
      <c r="NHP1" s="70"/>
      <c r="NHQ1" s="70"/>
      <c r="NHR1" s="70"/>
      <c r="NHS1" s="70"/>
      <c r="NHT1" s="70"/>
      <c r="NHU1" s="70"/>
      <c r="NHV1" s="70"/>
      <c r="NHW1" s="70"/>
      <c r="NHX1" s="70"/>
      <c r="NHY1" s="70"/>
      <c r="NHZ1" s="70"/>
      <c r="NIA1" s="70"/>
      <c r="NIB1" s="70"/>
      <c r="NIC1" s="70"/>
      <c r="NID1" s="70"/>
      <c r="NIE1" s="70"/>
      <c r="NIF1" s="70"/>
      <c r="NIG1" s="70"/>
      <c r="NIH1" s="70"/>
      <c r="NII1" s="70"/>
      <c r="NIJ1" s="70"/>
      <c r="NIK1" s="70"/>
      <c r="NIL1" s="70"/>
      <c r="NIM1" s="70"/>
      <c r="NIN1" s="70"/>
      <c r="NIO1" s="70"/>
      <c r="NIP1" s="70"/>
      <c r="NIQ1" s="70"/>
      <c r="NIR1" s="70"/>
      <c r="NIS1" s="70"/>
      <c r="NIT1" s="70"/>
      <c r="NIU1" s="70"/>
      <c r="NIV1" s="70"/>
      <c r="NIW1" s="70"/>
      <c r="NIX1" s="70"/>
      <c r="NIY1" s="70"/>
      <c r="NIZ1" s="70"/>
      <c r="NJA1" s="70"/>
      <c r="NJB1" s="70"/>
      <c r="NJC1" s="70"/>
      <c r="NJD1" s="70"/>
      <c r="NJE1" s="70"/>
      <c r="NJF1" s="70"/>
      <c r="NJG1" s="70"/>
      <c r="NJH1" s="70"/>
      <c r="NJI1" s="70"/>
      <c r="NJJ1" s="70"/>
      <c r="NJK1" s="70"/>
      <c r="NJL1" s="70"/>
      <c r="NJM1" s="70"/>
      <c r="NJN1" s="70"/>
      <c r="NJO1" s="70"/>
      <c r="NJP1" s="70"/>
      <c r="NJQ1" s="70"/>
      <c r="NJR1" s="70"/>
      <c r="NJS1" s="70"/>
      <c r="NJT1" s="70"/>
      <c r="NJU1" s="70"/>
      <c r="NJV1" s="70"/>
      <c r="NJW1" s="70"/>
      <c r="NJX1" s="70"/>
      <c r="NJY1" s="70"/>
      <c r="NJZ1" s="70"/>
      <c r="NKA1" s="70"/>
      <c r="NKB1" s="70"/>
      <c r="NKC1" s="70"/>
      <c r="NKD1" s="70"/>
      <c r="NKE1" s="70"/>
      <c r="NKF1" s="70"/>
      <c r="NKG1" s="70"/>
      <c r="NKH1" s="70"/>
      <c r="NKI1" s="70"/>
      <c r="NKJ1" s="70"/>
      <c r="NKK1" s="70"/>
      <c r="NKL1" s="70"/>
      <c r="NKM1" s="70"/>
      <c r="NKN1" s="70"/>
      <c r="NKO1" s="70"/>
      <c r="NKP1" s="70"/>
      <c r="NKQ1" s="70"/>
      <c r="NKR1" s="70"/>
      <c r="NKS1" s="70"/>
      <c r="NKT1" s="70"/>
      <c r="NKU1" s="70"/>
      <c r="NKV1" s="70"/>
      <c r="NKW1" s="70"/>
      <c r="NKX1" s="70"/>
      <c r="NKY1" s="70"/>
      <c r="NKZ1" s="70"/>
      <c r="NLA1" s="70"/>
      <c r="NLB1" s="70"/>
      <c r="NLC1" s="70"/>
      <c r="NLD1" s="70"/>
      <c r="NLE1" s="70"/>
      <c r="NLF1" s="70"/>
      <c r="NLG1" s="70"/>
      <c r="NLH1" s="70"/>
      <c r="NLI1" s="70"/>
      <c r="NLJ1" s="70"/>
      <c r="NLK1" s="70"/>
      <c r="NLL1" s="70"/>
      <c r="NLM1" s="70"/>
      <c r="NLN1" s="70"/>
      <c r="NLO1" s="70"/>
      <c r="NLP1" s="70"/>
      <c r="NLQ1" s="70"/>
      <c r="NLR1" s="70"/>
      <c r="NLS1" s="70"/>
      <c r="NLT1" s="70"/>
      <c r="NLU1" s="70"/>
      <c r="NLV1" s="70"/>
      <c r="NLW1" s="70"/>
      <c r="NLX1" s="70"/>
      <c r="NLY1" s="70"/>
      <c r="NLZ1" s="70"/>
      <c r="NMA1" s="70"/>
      <c r="NMB1" s="70"/>
      <c r="NMC1" s="70"/>
      <c r="NMD1" s="70"/>
      <c r="NME1" s="70"/>
      <c r="NMF1" s="70"/>
      <c r="NMG1" s="70"/>
      <c r="NMH1" s="70"/>
      <c r="NMI1" s="70"/>
      <c r="NMJ1" s="70"/>
      <c r="NMK1" s="70"/>
      <c r="NML1" s="70"/>
      <c r="NMM1" s="70"/>
      <c r="NMN1" s="70"/>
      <c r="NMO1" s="70"/>
      <c r="NMP1" s="70"/>
      <c r="NMQ1" s="70"/>
      <c r="NMR1" s="70"/>
      <c r="NMS1" s="70"/>
      <c r="NMT1" s="70"/>
      <c r="NMU1" s="70"/>
      <c r="NMV1" s="70"/>
      <c r="NMW1" s="70"/>
      <c r="NMX1" s="70"/>
      <c r="NMY1" s="70"/>
      <c r="NMZ1" s="70"/>
      <c r="NNA1" s="70"/>
      <c r="NNB1" s="70"/>
      <c r="NNC1" s="70"/>
      <c r="NND1" s="70"/>
      <c r="NNE1" s="70"/>
      <c r="NNF1" s="70"/>
      <c r="NNG1" s="70"/>
      <c r="NNH1" s="70"/>
      <c r="NNI1" s="70"/>
      <c r="NNJ1" s="70"/>
      <c r="NNK1" s="70"/>
      <c r="NNL1" s="70"/>
      <c r="NNM1" s="70"/>
      <c r="NNN1" s="70"/>
      <c r="NNO1" s="70"/>
      <c r="NNP1" s="70"/>
      <c r="NNQ1" s="70"/>
      <c r="NNR1" s="70"/>
      <c r="NNS1" s="70"/>
      <c r="NNT1" s="70"/>
      <c r="NNU1" s="70"/>
      <c r="NNV1" s="70"/>
      <c r="NNW1" s="70"/>
      <c r="NNX1" s="70"/>
      <c r="NNY1" s="70"/>
      <c r="NNZ1" s="70"/>
      <c r="NOA1" s="70"/>
      <c r="NOB1" s="70"/>
      <c r="NOC1" s="70"/>
      <c r="NOD1" s="70"/>
      <c r="NOE1" s="70"/>
      <c r="NOF1" s="70"/>
      <c r="NOG1" s="70"/>
      <c r="NOH1" s="70"/>
      <c r="NOI1" s="70"/>
      <c r="NOJ1" s="70"/>
      <c r="NOK1" s="70"/>
      <c r="NOL1" s="70"/>
      <c r="NOM1" s="70"/>
      <c r="NON1" s="70"/>
      <c r="NOO1" s="70"/>
      <c r="NOP1" s="70"/>
      <c r="NOQ1" s="70"/>
      <c r="NOR1" s="70"/>
      <c r="NOS1" s="70"/>
      <c r="NOT1" s="70"/>
      <c r="NOU1" s="70"/>
      <c r="NOV1" s="70"/>
      <c r="NOW1" s="70"/>
      <c r="NOX1" s="70"/>
      <c r="NOY1" s="70"/>
      <c r="NOZ1" s="70"/>
      <c r="NPA1" s="70"/>
      <c r="NPB1" s="70"/>
      <c r="NPC1" s="70"/>
      <c r="NPD1" s="70"/>
      <c r="NPE1" s="70"/>
      <c r="NPF1" s="70"/>
      <c r="NPG1" s="70"/>
      <c r="NPH1" s="70"/>
      <c r="NPI1" s="70"/>
      <c r="NPJ1" s="70"/>
      <c r="NPK1" s="70"/>
      <c r="NPL1" s="70"/>
      <c r="NPM1" s="70"/>
      <c r="NPN1" s="70"/>
      <c r="NPO1" s="70"/>
      <c r="NPP1" s="70"/>
      <c r="NPQ1" s="70"/>
      <c r="NPR1" s="70"/>
      <c r="NPS1" s="70"/>
      <c r="NPT1" s="70"/>
      <c r="NPU1" s="70"/>
      <c r="NPV1" s="70"/>
      <c r="NPW1" s="70"/>
      <c r="NPX1" s="70"/>
      <c r="NPY1" s="70"/>
      <c r="NPZ1" s="70"/>
      <c r="NQA1" s="70"/>
      <c r="NQB1" s="70"/>
      <c r="NQC1" s="70"/>
      <c r="NQD1" s="70"/>
      <c r="NQE1" s="70"/>
      <c r="NQF1" s="70"/>
      <c r="NQG1" s="70"/>
      <c r="NQH1" s="70"/>
      <c r="NQI1" s="70"/>
      <c r="NQJ1" s="70"/>
      <c r="NQK1" s="70"/>
      <c r="NQL1" s="70"/>
      <c r="NQM1" s="70"/>
      <c r="NQN1" s="70"/>
      <c r="NQO1" s="70"/>
      <c r="NQP1" s="70"/>
      <c r="NQQ1" s="70"/>
      <c r="NQR1" s="70"/>
      <c r="NQS1" s="70"/>
      <c r="NQT1" s="70"/>
      <c r="NQU1" s="70"/>
      <c r="NQV1" s="70"/>
      <c r="NQW1" s="70"/>
      <c r="NQX1" s="70"/>
      <c r="NQY1" s="70"/>
      <c r="NQZ1" s="70"/>
      <c r="NRA1" s="70"/>
      <c r="NRB1" s="70"/>
      <c r="NRC1" s="70"/>
      <c r="NRD1" s="70"/>
      <c r="NRE1" s="70"/>
      <c r="NRF1" s="70"/>
      <c r="NRG1" s="70"/>
      <c r="NRH1" s="70"/>
      <c r="NRI1" s="70"/>
      <c r="NRJ1" s="70"/>
      <c r="NRK1" s="70"/>
      <c r="NRL1" s="70"/>
      <c r="NRM1" s="70"/>
      <c r="NRN1" s="70"/>
      <c r="NRO1" s="70"/>
      <c r="NRP1" s="70"/>
      <c r="NRQ1" s="70"/>
      <c r="NRR1" s="70"/>
      <c r="NRS1" s="70"/>
      <c r="NRT1" s="70"/>
      <c r="NRU1" s="70"/>
      <c r="NRV1" s="70"/>
      <c r="NRW1" s="70"/>
      <c r="NRX1" s="70"/>
      <c r="NRY1" s="70"/>
      <c r="NRZ1" s="70"/>
      <c r="NSA1" s="70"/>
      <c r="NSB1" s="70"/>
      <c r="NSC1" s="70"/>
      <c r="NSD1" s="70"/>
      <c r="NSE1" s="70"/>
      <c r="NSF1" s="70"/>
      <c r="NSG1" s="70"/>
      <c r="NSH1" s="70"/>
      <c r="NSI1" s="70"/>
      <c r="NSJ1" s="70"/>
      <c r="NSK1" s="70"/>
      <c r="NSL1" s="70"/>
      <c r="NSM1" s="70"/>
      <c r="NSN1" s="70"/>
      <c r="NSO1" s="70"/>
      <c r="NSP1" s="70"/>
      <c r="NSQ1" s="70"/>
      <c r="NSR1" s="70"/>
      <c r="NSS1" s="70"/>
      <c r="NST1" s="70"/>
      <c r="NSU1" s="70"/>
      <c r="NSV1" s="70"/>
      <c r="NSW1" s="70"/>
      <c r="NSX1" s="70"/>
      <c r="NSY1" s="70"/>
      <c r="NSZ1" s="70"/>
      <c r="NTA1" s="70"/>
      <c r="NTB1" s="70"/>
      <c r="NTC1" s="70"/>
      <c r="NTD1" s="70"/>
      <c r="NTE1" s="70"/>
      <c r="NTF1" s="70"/>
      <c r="NTG1" s="70"/>
      <c r="NTH1" s="70"/>
      <c r="NTI1" s="70"/>
      <c r="NTJ1" s="70"/>
      <c r="NTK1" s="70"/>
      <c r="NTL1" s="70"/>
      <c r="NTM1" s="70"/>
      <c r="NTN1" s="70"/>
      <c r="NTO1" s="70"/>
      <c r="NTP1" s="70"/>
      <c r="NTQ1" s="70"/>
      <c r="NTR1" s="70"/>
      <c r="NTS1" s="70"/>
      <c r="NTT1" s="70"/>
      <c r="NTU1" s="70"/>
      <c r="NTV1" s="70"/>
      <c r="NTW1" s="70"/>
      <c r="NTX1" s="70"/>
      <c r="NTY1" s="70"/>
      <c r="NTZ1" s="70"/>
      <c r="NUA1" s="70"/>
      <c r="NUB1" s="70"/>
      <c r="NUC1" s="70"/>
      <c r="NUD1" s="70"/>
      <c r="NUE1" s="70"/>
      <c r="NUF1" s="70"/>
      <c r="NUG1" s="70"/>
      <c r="NUH1" s="70"/>
      <c r="NUI1" s="70"/>
      <c r="NUJ1" s="70"/>
      <c r="NUK1" s="70"/>
      <c r="NUL1" s="70"/>
      <c r="NUM1" s="70"/>
      <c r="NUN1" s="70"/>
      <c r="NUO1" s="70"/>
      <c r="NUP1" s="70"/>
      <c r="NUQ1" s="70"/>
      <c r="NUR1" s="70"/>
      <c r="NUS1" s="70"/>
      <c r="NUT1" s="70"/>
      <c r="NUU1" s="70"/>
      <c r="NUV1" s="70"/>
      <c r="NUW1" s="70"/>
      <c r="NUX1" s="70"/>
      <c r="NUY1" s="70"/>
      <c r="NUZ1" s="70"/>
      <c r="NVA1" s="70"/>
      <c r="NVB1" s="70"/>
      <c r="NVC1" s="70"/>
      <c r="NVD1" s="70"/>
      <c r="NVE1" s="70"/>
      <c r="NVF1" s="70"/>
      <c r="NVG1" s="70"/>
      <c r="NVH1" s="70"/>
      <c r="NVI1" s="70"/>
      <c r="NVJ1" s="70"/>
      <c r="NVK1" s="70"/>
      <c r="NVL1" s="70"/>
      <c r="NVM1" s="70"/>
      <c r="NVN1" s="70"/>
      <c r="NVO1" s="70"/>
      <c r="NVP1" s="70"/>
      <c r="NVQ1" s="70"/>
      <c r="NVR1" s="70"/>
      <c r="NVS1" s="70"/>
      <c r="NVT1" s="70"/>
      <c r="NVU1" s="70"/>
      <c r="NVV1" s="70"/>
      <c r="NVW1" s="70"/>
      <c r="NVX1" s="70"/>
      <c r="NVY1" s="70"/>
      <c r="NVZ1" s="70"/>
      <c r="NWA1" s="70"/>
      <c r="NWB1" s="70"/>
      <c r="NWC1" s="70"/>
      <c r="NWD1" s="70"/>
      <c r="NWE1" s="70"/>
      <c r="NWF1" s="70"/>
      <c r="NWG1" s="70"/>
      <c r="NWH1" s="70"/>
      <c r="NWI1" s="70"/>
      <c r="NWJ1" s="70"/>
      <c r="NWK1" s="70"/>
      <c r="NWL1" s="70"/>
      <c r="NWM1" s="70"/>
      <c r="NWN1" s="70"/>
      <c r="NWO1" s="70"/>
      <c r="NWP1" s="70"/>
      <c r="NWQ1" s="70"/>
      <c r="NWR1" s="70"/>
      <c r="NWS1" s="70"/>
      <c r="NWT1" s="70"/>
      <c r="NWU1" s="70"/>
      <c r="NWV1" s="70"/>
      <c r="NWW1" s="70"/>
      <c r="NWX1" s="70"/>
      <c r="NWY1" s="70"/>
      <c r="NWZ1" s="70"/>
      <c r="NXA1" s="70"/>
      <c r="NXB1" s="70"/>
      <c r="NXC1" s="70"/>
      <c r="NXD1" s="70"/>
      <c r="NXE1" s="70"/>
      <c r="NXF1" s="70"/>
      <c r="NXG1" s="70"/>
      <c r="NXH1" s="70"/>
      <c r="NXI1" s="70"/>
      <c r="NXJ1" s="70"/>
      <c r="NXK1" s="70"/>
      <c r="NXL1" s="70"/>
      <c r="NXM1" s="70"/>
      <c r="NXN1" s="70"/>
      <c r="NXO1" s="70"/>
      <c r="NXP1" s="70"/>
      <c r="NXQ1" s="70"/>
      <c r="NXR1" s="70"/>
      <c r="NXS1" s="70"/>
      <c r="NXT1" s="70"/>
      <c r="NXU1" s="70"/>
      <c r="NXV1" s="70"/>
      <c r="NXW1" s="70"/>
      <c r="NXX1" s="70"/>
      <c r="NXY1" s="70"/>
      <c r="NXZ1" s="70"/>
      <c r="NYA1" s="70"/>
      <c r="NYB1" s="70"/>
      <c r="NYC1" s="70"/>
      <c r="NYD1" s="70"/>
      <c r="NYE1" s="70"/>
      <c r="NYF1" s="70"/>
      <c r="NYG1" s="70"/>
      <c r="NYH1" s="70"/>
      <c r="NYI1" s="70"/>
      <c r="NYJ1" s="70"/>
      <c r="NYK1" s="70"/>
      <c r="NYL1" s="70"/>
      <c r="NYM1" s="70"/>
      <c r="NYN1" s="70"/>
      <c r="NYO1" s="70"/>
      <c r="NYP1" s="70"/>
      <c r="NYQ1" s="70"/>
      <c r="NYR1" s="70"/>
      <c r="NYS1" s="70"/>
      <c r="NYT1" s="70"/>
      <c r="NYU1" s="70"/>
      <c r="NYV1" s="70"/>
      <c r="NYW1" s="70"/>
      <c r="NYX1" s="70"/>
      <c r="NYY1" s="70"/>
      <c r="NYZ1" s="70"/>
      <c r="NZA1" s="70"/>
      <c r="NZB1" s="70"/>
      <c r="NZC1" s="70"/>
      <c r="NZD1" s="70"/>
      <c r="NZE1" s="70"/>
      <c r="NZF1" s="70"/>
      <c r="NZG1" s="70"/>
      <c r="NZH1" s="70"/>
      <c r="NZI1" s="70"/>
      <c r="NZJ1" s="70"/>
      <c r="NZK1" s="70"/>
      <c r="NZL1" s="70"/>
      <c r="NZM1" s="70"/>
      <c r="NZN1" s="70"/>
      <c r="NZO1" s="70"/>
      <c r="NZP1" s="70"/>
      <c r="NZQ1" s="70"/>
      <c r="NZR1" s="70"/>
      <c r="NZS1" s="70"/>
      <c r="NZT1" s="70"/>
      <c r="NZU1" s="70"/>
      <c r="NZV1" s="70"/>
      <c r="NZW1" s="70"/>
      <c r="NZX1" s="70"/>
      <c r="NZY1" s="70"/>
      <c r="NZZ1" s="70"/>
      <c r="OAA1" s="70"/>
      <c r="OAB1" s="70"/>
      <c r="OAC1" s="70"/>
      <c r="OAD1" s="70"/>
      <c r="OAE1" s="70"/>
      <c r="OAF1" s="70"/>
      <c r="OAG1" s="70"/>
      <c r="OAH1" s="70"/>
      <c r="OAI1" s="70"/>
      <c r="OAJ1" s="70"/>
      <c r="OAK1" s="70"/>
      <c r="OAL1" s="70"/>
      <c r="OAM1" s="70"/>
      <c r="OAN1" s="70"/>
      <c r="OAO1" s="70"/>
      <c r="OAP1" s="70"/>
      <c r="OAQ1" s="70"/>
      <c r="OAR1" s="70"/>
      <c r="OAS1" s="70"/>
      <c r="OAT1" s="70"/>
      <c r="OAU1" s="70"/>
      <c r="OAV1" s="70"/>
      <c r="OAW1" s="70"/>
      <c r="OAX1" s="70"/>
      <c r="OAY1" s="70"/>
      <c r="OAZ1" s="70"/>
      <c r="OBA1" s="70"/>
      <c r="OBB1" s="70"/>
      <c r="OBC1" s="70"/>
      <c r="OBD1" s="70"/>
      <c r="OBE1" s="70"/>
      <c r="OBF1" s="70"/>
      <c r="OBG1" s="70"/>
      <c r="OBH1" s="70"/>
      <c r="OBI1" s="70"/>
      <c r="OBJ1" s="70"/>
      <c r="OBK1" s="70"/>
      <c r="OBL1" s="70"/>
      <c r="OBM1" s="70"/>
      <c r="OBN1" s="70"/>
      <c r="OBO1" s="70"/>
      <c r="OBP1" s="70"/>
      <c r="OBQ1" s="70"/>
      <c r="OBR1" s="70"/>
      <c r="OBS1" s="70"/>
      <c r="OBT1" s="70"/>
      <c r="OBU1" s="70"/>
      <c r="OBV1" s="70"/>
      <c r="OBW1" s="70"/>
      <c r="OBX1" s="70"/>
      <c r="OBY1" s="70"/>
      <c r="OBZ1" s="70"/>
      <c r="OCA1" s="70"/>
      <c r="OCB1" s="70"/>
      <c r="OCC1" s="70"/>
      <c r="OCD1" s="70"/>
      <c r="OCE1" s="70"/>
      <c r="OCF1" s="70"/>
      <c r="OCG1" s="70"/>
      <c r="OCH1" s="70"/>
      <c r="OCI1" s="70"/>
      <c r="OCJ1" s="70"/>
      <c r="OCK1" s="70"/>
      <c r="OCL1" s="70"/>
      <c r="OCM1" s="70"/>
      <c r="OCN1" s="70"/>
      <c r="OCO1" s="70"/>
      <c r="OCP1" s="70"/>
      <c r="OCQ1" s="70"/>
      <c r="OCR1" s="70"/>
      <c r="OCS1" s="70"/>
      <c r="OCT1" s="70"/>
      <c r="OCU1" s="70"/>
      <c r="OCV1" s="70"/>
      <c r="OCW1" s="70"/>
      <c r="OCX1" s="70"/>
      <c r="OCY1" s="70"/>
      <c r="OCZ1" s="70"/>
      <c r="ODA1" s="70"/>
      <c r="ODB1" s="70"/>
      <c r="ODC1" s="70"/>
      <c r="ODD1" s="70"/>
      <c r="ODE1" s="70"/>
      <c r="ODF1" s="70"/>
      <c r="ODG1" s="70"/>
      <c r="ODH1" s="70"/>
      <c r="ODI1" s="70"/>
      <c r="ODJ1" s="70"/>
      <c r="ODK1" s="70"/>
      <c r="ODL1" s="70"/>
      <c r="ODM1" s="70"/>
      <c r="ODN1" s="70"/>
      <c r="ODO1" s="70"/>
      <c r="ODP1" s="70"/>
      <c r="ODQ1" s="70"/>
      <c r="ODR1" s="70"/>
      <c r="ODS1" s="70"/>
      <c r="ODT1" s="70"/>
      <c r="ODU1" s="70"/>
      <c r="ODV1" s="70"/>
      <c r="ODW1" s="70"/>
      <c r="ODX1" s="70"/>
      <c r="ODY1" s="70"/>
      <c r="ODZ1" s="70"/>
      <c r="OEA1" s="70"/>
      <c r="OEB1" s="70"/>
      <c r="OEC1" s="70"/>
      <c r="OED1" s="70"/>
      <c r="OEE1" s="70"/>
      <c r="OEF1" s="70"/>
      <c r="OEG1" s="70"/>
      <c r="OEH1" s="70"/>
      <c r="OEI1" s="70"/>
      <c r="OEJ1" s="70"/>
      <c r="OEK1" s="70"/>
      <c r="OEL1" s="70"/>
      <c r="OEM1" s="70"/>
      <c r="OEN1" s="70"/>
      <c r="OEO1" s="70"/>
      <c r="OEP1" s="70"/>
      <c r="OEQ1" s="70"/>
      <c r="OER1" s="70"/>
      <c r="OES1" s="70"/>
      <c r="OET1" s="70"/>
      <c r="OEU1" s="70"/>
      <c r="OEV1" s="70"/>
      <c r="OEW1" s="70"/>
      <c r="OEX1" s="70"/>
      <c r="OEY1" s="70"/>
      <c r="OEZ1" s="70"/>
      <c r="OFA1" s="70"/>
      <c r="OFB1" s="70"/>
      <c r="OFC1" s="70"/>
      <c r="OFD1" s="70"/>
      <c r="OFE1" s="70"/>
      <c r="OFF1" s="70"/>
      <c r="OFG1" s="70"/>
      <c r="OFH1" s="70"/>
      <c r="OFI1" s="70"/>
      <c r="OFJ1" s="70"/>
      <c r="OFK1" s="70"/>
      <c r="OFL1" s="70"/>
      <c r="OFM1" s="70"/>
      <c r="OFN1" s="70"/>
      <c r="OFO1" s="70"/>
      <c r="OFP1" s="70"/>
      <c r="OFQ1" s="70"/>
      <c r="OFR1" s="70"/>
      <c r="OFS1" s="70"/>
      <c r="OFT1" s="70"/>
      <c r="OFU1" s="70"/>
      <c r="OFV1" s="70"/>
      <c r="OFW1" s="70"/>
      <c r="OFX1" s="70"/>
      <c r="OFY1" s="70"/>
      <c r="OFZ1" s="70"/>
      <c r="OGA1" s="70"/>
      <c r="OGB1" s="70"/>
      <c r="OGC1" s="70"/>
      <c r="OGD1" s="70"/>
      <c r="OGE1" s="70"/>
      <c r="OGF1" s="70"/>
      <c r="OGG1" s="70"/>
      <c r="OGH1" s="70"/>
      <c r="OGI1" s="70"/>
      <c r="OGJ1" s="70"/>
      <c r="OGK1" s="70"/>
      <c r="OGL1" s="70"/>
      <c r="OGM1" s="70"/>
      <c r="OGN1" s="70"/>
      <c r="OGO1" s="70"/>
      <c r="OGP1" s="70"/>
      <c r="OGQ1" s="70"/>
      <c r="OGR1" s="70"/>
      <c r="OGS1" s="70"/>
      <c r="OGT1" s="70"/>
      <c r="OGU1" s="70"/>
      <c r="OGV1" s="70"/>
      <c r="OGW1" s="70"/>
      <c r="OGX1" s="70"/>
      <c r="OGY1" s="70"/>
      <c r="OGZ1" s="70"/>
      <c r="OHA1" s="70"/>
      <c r="OHB1" s="70"/>
      <c r="OHC1" s="70"/>
      <c r="OHD1" s="70"/>
      <c r="OHE1" s="70"/>
      <c r="OHF1" s="70"/>
      <c r="OHG1" s="70"/>
      <c r="OHH1" s="70"/>
      <c r="OHI1" s="70"/>
      <c r="OHJ1" s="70"/>
      <c r="OHK1" s="70"/>
      <c r="OHL1" s="70"/>
      <c r="OHM1" s="70"/>
      <c r="OHN1" s="70"/>
      <c r="OHO1" s="70"/>
      <c r="OHP1" s="70"/>
      <c r="OHQ1" s="70"/>
      <c r="OHR1" s="70"/>
      <c r="OHS1" s="70"/>
      <c r="OHT1" s="70"/>
      <c r="OHU1" s="70"/>
      <c r="OHV1" s="70"/>
      <c r="OHW1" s="70"/>
      <c r="OHX1" s="70"/>
      <c r="OHY1" s="70"/>
      <c r="OHZ1" s="70"/>
      <c r="OIA1" s="70"/>
      <c r="OIB1" s="70"/>
      <c r="OIC1" s="70"/>
      <c r="OID1" s="70"/>
      <c r="OIE1" s="70"/>
      <c r="OIF1" s="70"/>
      <c r="OIG1" s="70"/>
      <c r="OIH1" s="70"/>
      <c r="OII1" s="70"/>
      <c r="OIJ1" s="70"/>
      <c r="OIK1" s="70"/>
      <c r="OIL1" s="70"/>
      <c r="OIM1" s="70"/>
      <c r="OIN1" s="70"/>
      <c r="OIO1" s="70"/>
      <c r="OIP1" s="70"/>
      <c r="OIQ1" s="70"/>
      <c r="OIR1" s="70"/>
      <c r="OIS1" s="70"/>
      <c r="OIT1" s="70"/>
      <c r="OIU1" s="70"/>
      <c r="OIV1" s="70"/>
      <c r="OIW1" s="70"/>
      <c r="OIX1" s="70"/>
      <c r="OIY1" s="70"/>
      <c r="OIZ1" s="70"/>
      <c r="OJA1" s="70"/>
      <c r="OJB1" s="70"/>
      <c r="OJC1" s="70"/>
      <c r="OJD1" s="70"/>
      <c r="OJE1" s="70"/>
      <c r="OJF1" s="70"/>
      <c r="OJG1" s="70"/>
      <c r="OJH1" s="70"/>
      <c r="OJI1" s="70"/>
      <c r="OJJ1" s="70"/>
      <c r="OJK1" s="70"/>
      <c r="OJL1" s="70"/>
      <c r="OJM1" s="70"/>
      <c r="OJN1" s="70"/>
      <c r="OJO1" s="70"/>
      <c r="OJP1" s="70"/>
      <c r="OJQ1" s="70"/>
      <c r="OJR1" s="70"/>
      <c r="OJS1" s="70"/>
      <c r="OJT1" s="70"/>
      <c r="OJU1" s="70"/>
      <c r="OJV1" s="70"/>
      <c r="OJW1" s="70"/>
      <c r="OJX1" s="70"/>
      <c r="OJY1" s="70"/>
      <c r="OJZ1" s="70"/>
      <c r="OKA1" s="70"/>
      <c r="OKB1" s="70"/>
      <c r="OKC1" s="70"/>
      <c r="OKD1" s="70"/>
      <c r="OKE1" s="70"/>
      <c r="OKF1" s="70"/>
      <c r="OKG1" s="70"/>
      <c r="OKH1" s="70"/>
      <c r="OKI1" s="70"/>
      <c r="OKJ1" s="70"/>
      <c r="OKK1" s="70"/>
      <c r="OKL1" s="70"/>
      <c r="OKM1" s="70"/>
      <c r="OKN1" s="70"/>
      <c r="OKO1" s="70"/>
      <c r="OKP1" s="70"/>
      <c r="OKQ1" s="70"/>
      <c r="OKR1" s="70"/>
      <c r="OKS1" s="70"/>
      <c r="OKT1" s="70"/>
      <c r="OKU1" s="70"/>
      <c r="OKV1" s="70"/>
      <c r="OKW1" s="70"/>
      <c r="OKX1" s="70"/>
      <c r="OKY1" s="70"/>
      <c r="OKZ1" s="70"/>
      <c r="OLA1" s="70"/>
      <c r="OLB1" s="70"/>
      <c r="OLC1" s="70"/>
      <c r="OLD1" s="70"/>
      <c r="OLE1" s="70"/>
      <c r="OLF1" s="70"/>
      <c r="OLG1" s="70"/>
      <c r="OLH1" s="70"/>
      <c r="OLI1" s="70"/>
      <c r="OLJ1" s="70"/>
      <c r="OLK1" s="70"/>
      <c r="OLL1" s="70"/>
      <c r="OLM1" s="70"/>
      <c r="OLN1" s="70"/>
      <c r="OLO1" s="70"/>
      <c r="OLP1" s="70"/>
      <c r="OLQ1" s="70"/>
      <c r="OLR1" s="70"/>
      <c r="OLS1" s="70"/>
      <c r="OLT1" s="70"/>
      <c r="OLU1" s="70"/>
      <c r="OLV1" s="70"/>
      <c r="OLW1" s="70"/>
      <c r="OLX1" s="70"/>
      <c r="OLY1" s="70"/>
      <c r="OLZ1" s="70"/>
      <c r="OMA1" s="70"/>
      <c r="OMB1" s="70"/>
      <c r="OMC1" s="70"/>
      <c r="OMD1" s="70"/>
      <c r="OME1" s="70"/>
      <c r="OMF1" s="70"/>
      <c r="OMG1" s="70"/>
      <c r="OMH1" s="70"/>
      <c r="OMI1" s="70"/>
      <c r="OMJ1" s="70"/>
      <c r="OMK1" s="70"/>
      <c r="OML1" s="70"/>
      <c r="OMM1" s="70"/>
      <c r="OMN1" s="70"/>
      <c r="OMO1" s="70"/>
      <c r="OMP1" s="70"/>
      <c r="OMQ1" s="70"/>
      <c r="OMR1" s="70"/>
      <c r="OMS1" s="70"/>
      <c r="OMT1" s="70"/>
      <c r="OMU1" s="70"/>
      <c r="OMV1" s="70"/>
      <c r="OMW1" s="70"/>
      <c r="OMX1" s="70"/>
      <c r="OMY1" s="70"/>
      <c r="OMZ1" s="70"/>
      <c r="ONA1" s="70"/>
      <c r="ONB1" s="70"/>
      <c r="ONC1" s="70"/>
      <c r="OND1" s="70"/>
      <c r="ONE1" s="70"/>
      <c r="ONF1" s="70"/>
      <c r="ONG1" s="70"/>
      <c r="ONH1" s="70"/>
      <c r="ONI1" s="70"/>
      <c r="ONJ1" s="70"/>
      <c r="ONK1" s="70"/>
      <c r="ONL1" s="70"/>
      <c r="ONM1" s="70"/>
      <c r="ONN1" s="70"/>
      <c r="ONO1" s="70"/>
      <c r="ONP1" s="70"/>
      <c r="ONQ1" s="70"/>
      <c r="ONR1" s="70"/>
      <c r="ONS1" s="70"/>
      <c r="ONT1" s="70"/>
      <c r="ONU1" s="70"/>
      <c r="ONV1" s="70"/>
      <c r="ONW1" s="70"/>
      <c r="ONX1" s="70"/>
      <c r="ONY1" s="70"/>
      <c r="ONZ1" s="70"/>
      <c r="OOA1" s="70"/>
      <c r="OOB1" s="70"/>
      <c r="OOC1" s="70"/>
      <c r="OOD1" s="70"/>
      <c r="OOE1" s="70"/>
      <c r="OOF1" s="70"/>
      <c r="OOG1" s="70"/>
      <c r="OOH1" s="70"/>
      <c r="OOI1" s="70"/>
      <c r="OOJ1" s="70"/>
      <c r="OOK1" s="70"/>
      <c r="OOL1" s="70"/>
      <c r="OOM1" s="70"/>
      <c r="OON1" s="70"/>
      <c r="OOO1" s="70"/>
      <c r="OOP1" s="70"/>
      <c r="OOQ1" s="70"/>
      <c r="OOR1" s="70"/>
      <c r="OOS1" s="70"/>
      <c r="OOT1" s="70"/>
      <c r="OOU1" s="70"/>
      <c r="OOV1" s="70"/>
      <c r="OOW1" s="70"/>
      <c r="OOX1" s="70"/>
      <c r="OOY1" s="70"/>
      <c r="OOZ1" s="70"/>
      <c r="OPA1" s="70"/>
      <c r="OPB1" s="70"/>
      <c r="OPC1" s="70"/>
      <c r="OPD1" s="70"/>
      <c r="OPE1" s="70"/>
      <c r="OPF1" s="70"/>
      <c r="OPG1" s="70"/>
      <c r="OPH1" s="70"/>
      <c r="OPI1" s="70"/>
      <c r="OPJ1" s="70"/>
      <c r="OPK1" s="70"/>
      <c r="OPL1" s="70"/>
      <c r="OPM1" s="70"/>
      <c r="OPN1" s="70"/>
      <c r="OPO1" s="70"/>
      <c r="OPP1" s="70"/>
      <c r="OPQ1" s="70"/>
      <c r="OPR1" s="70"/>
      <c r="OPS1" s="70"/>
      <c r="OPT1" s="70"/>
      <c r="OPU1" s="70"/>
      <c r="OPV1" s="70"/>
      <c r="OPW1" s="70"/>
      <c r="OPX1" s="70"/>
      <c r="OPY1" s="70"/>
      <c r="OPZ1" s="70"/>
      <c r="OQA1" s="70"/>
      <c r="OQB1" s="70"/>
      <c r="OQC1" s="70"/>
      <c r="OQD1" s="70"/>
      <c r="OQE1" s="70"/>
      <c r="OQF1" s="70"/>
      <c r="OQG1" s="70"/>
      <c r="OQH1" s="70"/>
      <c r="OQI1" s="70"/>
      <c r="OQJ1" s="70"/>
      <c r="OQK1" s="70"/>
      <c r="OQL1" s="70"/>
      <c r="OQM1" s="70"/>
      <c r="OQN1" s="70"/>
      <c r="OQO1" s="70"/>
      <c r="OQP1" s="70"/>
      <c r="OQQ1" s="70"/>
      <c r="OQR1" s="70"/>
      <c r="OQS1" s="70"/>
      <c r="OQT1" s="70"/>
      <c r="OQU1" s="70"/>
      <c r="OQV1" s="70"/>
      <c r="OQW1" s="70"/>
      <c r="OQX1" s="70"/>
      <c r="OQY1" s="70"/>
      <c r="OQZ1" s="70"/>
      <c r="ORA1" s="70"/>
      <c r="ORB1" s="70"/>
      <c r="ORC1" s="70"/>
      <c r="ORD1" s="70"/>
      <c r="ORE1" s="70"/>
      <c r="ORF1" s="70"/>
      <c r="ORG1" s="70"/>
      <c r="ORH1" s="70"/>
      <c r="ORI1" s="70"/>
      <c r="ORJ1" s="70"/>
      <c r="ORK1" s="70"/>
      <c r="ORL1" s="70"/>
      <c r="ORM1" s="70"/>
      <c r="ORN1" s="70"/>
      <c r="ORO1" s="70"/>
      <c r="ORP1" s="70"/>
      <c r="ORQ1" s="70"/>
      <c r="ORR1" s="70"/>
      <c r="ORS1" s="70"/>
      <c r="ORT1" s="70"/>
      <c r="ORU1" s="70"/>
      <c r="ORV1" s="70"/>
      <c r="ORW1" s="70"/>
      <c r="ORX1" s="70"/>
      <c r="ORY1" s="70"/>
      <c r="ORZ1" s="70"/>
      <c r="OSA1" s="70"/>
      <c r="OSB1" s="70"/>
      <c r="OSC1" s="70"/>
      <c r="OSD1" s="70"/>
      <c r="OSE1" s="70"/>
      <c r="OSF1" s="70"/>
      <c r="OSG1" s="70"/>
      <c r="OSH1" s="70"/>
      <c r="OSI1" s="70"/>
      <c r="OSJ1" s="70"/>
      <c r="OSK1" s="70"/>
      <c r="OSL1" s="70"/>
      <c r="OSM1" s="70"/>
      <c r="OSN1" s="70"/>
      <c r="OSO1" s="70"/>
      <c r="OSP1" s="70"/>
      <c r="OSQ1" s="70"/>
      <c r="OSR1" s="70"/>
      <c r="OSS1" s="70"/>
      <c r="OST1" s="70"/>
      <c r="OSU1" s="70"/>
      <c r="OSV1" s="70"/>
      <c r="OSW1" s="70"/>
      <c r="OSX1" s="70"/>
      <c r="OSY1" s="70"/>
      <c r="OSZ1" s="70"/>
      <c r="OTA1" s="70"/>
      <c r="OTB1" s="70"/>
      <c r="OTC1" s="70"/>
      <c r="OTD1" s="70"/>
      <c r="OTE1" s="70"/>
      <c r="OTF1" s="70"/>
      <c r="OTG1" s="70"/>
      <c r="OTH1" s="70"/>
      <c r="OTI1" s="70"/>
      <c r="OTJ1" s="70"/>
      <c r="OTK1" s="70"/>
      <c r="OTL1" s="70"/>
      <c r="OTM1" s="70"/>
      <c r="OTN1" s="70"/>
      <c r="OTO1" s="70"/>
      <c r="OTP1" s="70"/>
      <c r="OTQ1" s="70"/>
      <c r="OTR1" s="70"/>
      <c r="OTS1" s="70"/>
      <c r="OTT1" s="70"/>
      <c r="OTU1" s="70"/>
      <c r="OTV1" s="70"/>
      <c r="OTW1" s="70"/>
      <c r="OTX1" s="70"/>
      <c r="OTY1" s="70"/>
      <c r="OTZ1" s="70"/>
      <c r="OUA1" s="70"/>
      <c r="OUB1" s="70"/>
      <c r="OUC1" s="70"/>
      <c r="OUD1" s="70"/>
      <c r="OUE1" s="70"/>
      <c r="OUF1" s="70"/>
      <c r="OUG1" s="70"/>
      <c r="OUH1" s="70"/>
      <c r="OUI1" s="70"/>
      <c r="OUJ1" s="70"/>
      <c r="OUK1" s="70"/>
      <c r="OUL1" s="70"/>
      <c r="OUM1" s="70"/>
      <c r="OUN1" s="70"/>
      <c r="OUO1" s="70"/>
      <c r="OUP1" s="70"/>
      <c r="OUQ1" s="70"/>
      <c r="OUR1" s="70"/>
      <c r="OUS1" s="70"/>
      <c r="OUT1" s="70"/>
      <c r="OUU1" s="70"/>
      <c r="OUV1" s="70"/>
      <c r="OUW1" s="70"/>
      <c r="OUX1" s="70"/>
      <c r="OUY1" s="70"/>
      <c r="OUZ1" s="70"/>
      <c r="OVA1" s="70"/>
      <c r="OVB1" s="70"/>
      <c r="OVC1" s="70"/>
      <c r="OVD1" s="70"/>
      <c r="OVE1" s="70"/>
      <c r="OVF1" s="70"/>
      <c r="OVG1" s="70"/>
      <c r="OVH1" s="70"/>
      <c r="OVI1" s="70"/>
      <c r="OVJ1" s="70"/>
      <c r="OVK1" s="70"/>
      <c r="OVL1" s="70"/>
      <c r="OVM1" s="70"/>
      <c r="OVN1" s="70"/>
      <c r="OVO1" s="70"/>
      <c r="OVP1" s="70"/>
      <c r="OVQ1" s="70"/>
      <c r="OVR1" s="70"/>
      <c r="OVS1" s="70"/>
      <c r="OVT1" s="70"/>
      <c r="OVU1" s="70"/>
      <c r="OVV1" s="70"/>
      <c r="OVW1" s="70"/>
      <c r="OVX1" s="70"/>
      <c r="OVY1" s="70"/>
      <c r="OVZ1" s="70"/>
      <c r="OWA1" s="70"/>
      <c r="OWB1" s="70"/>
      <c r="OWC1" s="70"/>
      <c r="OWD1" s="70"/>
      <c r="OWE1" s="70"/>
      <c r="OWF1" s="70"/>
      <c r="OWG1" s="70"/>
      <c r="OWH1" s="70"/>
      <c r="OWI1" s="70"/>
      <c r="OWJ1" s="70"/>
      <c r="OWK1" s="70"/>
      <c r="OWL1" s="70"/>
      <c r="OWM1" s="70"/>
      <c r="OWN1" s="70"/>
      <c r="OWO1" s="70"/>
      <c r="OWP1" s="70"/>
      <c r="OWQ1" s="70"/>
      <c r="OWR1" s="70"/>
      <c r="OWS1" s="70"/>
      <c r="OWT1" s="70"/>
      <c r="OWU1" s="70"/>
      <c r="OWV1" s="70"/>
      <c r="OWW1" s="70"/>
      <c r="OWX1" s="70"/>
      <c r="OWY1" s="70"/>
      <c r="OWZ1" s="70"/>
      <c r="OXA1" s="70"/>
      <c r="OXB1" s="70"/>
      <c r="OXC1" s="70"/>
      <c r="OXD1" s="70"/>
      <c r="OXE1" s="70"/>
      <c r="OXF1" s="70"/>
      <c r="OXG1" s="70"/>
      <c r="OXH1" s="70"/>
      <c r="OXI1" s="70"/>
      <c r="OXJ1" s="70"/>
      <c r="OXK1" s="70"/>
      <c r="OXL1" s="70"/>
      <c r="OXM1" s="70"/>
      <c r="OXN1" s="70"/>
      <c r="OXO1" s="70"/>
      <c r="OXP1" s="70"/>
      <c r="OXQ1" s="70"/>
      <c r="OXR1" s="70"/>
      <c r="OXS1" s="70"/>
      <c r="OXT1" s="70"/>
      <c r="OXU1" s="70"/>
      <c r="OXV1" s="70"/>
      <c r="OXW1" s="70"/>
      <c r="OXX1" s="70"/>
      <c r="OXY1" s="70"/>
      <c r="OXZ1" s="70"/>
      <c r="OYA1" s="70"/>
      <c r="OYB1" s="70"/>
      <c r="OYC1" s="70"/>
      <c r="OYD1" s="70"/>
      <c r="OYE1" s="70"/>
      <c r="OYF1" s="70"/>
      <c r="OYG1" s="70"/>
      <c r="OYH1" s="70"/>
      <c r="OYI1" s="70"/>
      <c r="OYJ1" s="70"/>
      <c r="OYK1" s="70"/>
      <c r="OYL1" s="70"/>
      <c r="OYM1" s="70"/>
      <c r="OYN1" s="70"/>
      <c r="OYO1" s="70"/>
      <c r="OYP1" s="70"/>
      <c r="OYQ1" s="70"/>
      <c r="OYR1" s="70"/>
      <c r="OYS1" s="70"/>
      <c r="OYT1" s="70"/>
      <c r="OYU1" s="70"/>
      <c r="OYV1" s="70"/>
      <c r="OYW1" s="70"/>
      <c r="OYX1" s="70"/>
      <c r="OYY1" s="70"/>
      <c r="OYZ1" s="70"/>
      <c r="OZA1" s="70"/>
      <c r="OZB1" s="70"/>
      <c r="OZC1" s="70"/>
      <c r="OZD1" s="70"/>
      <c r="OZE1" s="70"/>
      <c r="OZF1" s="70"/>
      <c r="OZG1" s="70"/>
      <c r="OZH1" s="70"/>
      <c r="OZI1" s="70"/>
      <c r="OZJ1" s="70"/>
      <c r="OZK1" s="70"/>
      <c r="OZL1" s="70"/>
      <c r="OZM1" s="70"/>
      <c r="OZN1" s="70"/>
      <c r="OZO1" s="70"/>
      <c r="OZP1" s="70"/>
      <c r="OZQ1" s="70"/>
      <c r="OZR1" s="70"/>
      <c r="OZS1" s="70"/>
      <c r="OZT1" s="70"/>
      <c r="OZU1" s="70"/>
      <c r="OZV1" s="70"/>
      <c r="OZW1" s="70"/>
      <c r="OZX1" s="70"/>
      <c r="OZY1" s="70"/>
      <c r="OZZ1" s="70"/>
      <c r="PAA1" s="70"/>
      <c r="PAB1" s="70"/>
      <c r="PAC1" s="70"/>
      <c r="PAD1" s="70"/>
      <c r="PAE1" s="70"/>
      <c r="PAF1" s="70"/>
      <c r="PAG1" s="70"/>
      <c r="PAH1" s="70"/>
      <c r="PAI1" s="70"/>
      <c r="PAJ1" s="70"/>
      <c r="PAK1" s="70"/>
      <c r="PAL1" s="70"/>
      <c r="PAM1" s="70"/>
      <c r="PAN1" s="70"/>
      <c r="PAO1" s="70"/>
      <c r="PAP1" s="70"/>
      <c r="PAQ1" s="70"/>
      <c r="PAR1" s="70"/>
      <c r="PAS1" s="70"/>
      <c r="PAT1" s="70"/>
      <c r="PAU1" s="70"/>
      <c r="PAV1" s="70"/>
      <c r="PAW1" s="70"/>
      <c r="PAX1" s="70"/>
      <c r="PAY1" s="70"/>
      <c r="PAZ1" s="70"/>
      <c r="PBA1" s="70"/>
      <c r="PBB1" s="70"/>
      <c r="PBC1" s="70"/>
      <c r="PBD1" s="70"/>
      <c r="PBE1" s="70"/>
      <c r="PBF1" s="70"/>
      <c r="PBG1" s="70"/>
      <c r="PBH1" s="70"/>
      <c r="PBI1" s="70"/>
      <c r="PBJ1" s="70"/>
      <c r="PBK1" s="70"/>
      <c r="PBL1" s="70"/>
      <c r="PBM1" s="70"/>
      <c r="PBN1" s="70"/>
      <c r="PBO1" s="70"/>
      <c r="PBP1" s="70"/>
      <c r="PBQ1" s="70"/>
      <c r="PBR1" s="70"/>
      <c r="PBS1" s="70"/>
      <c r="PBT1" s="70"/>
      <c r="PBU1" s="70"/>
      <c r="PBV1" s="70"/>
      <c r="PBW1" s="70"/>
      <c r="PBX1" s="70"/>
      <c r="PBY1" s="70"/>
      <c r="PBZ1" s="70"/>
      <c r="PCA1" s="70"/>
      <c r="PCB1" s="70"/>
      <c r="PCC1" s="70"/>
      <c r="PCD1" s="70"/>
      <c r="PCE1" s="70"/>
      <c r="PCF1" s="70"/>
      <c r="PCG1" s="70"/>
      <c r="PCH1" s="70"/>
      <c r="PCI1" s="70"/>
      <c r="PCJ1" s="70"/>
      <c r="PCK1" s="70"/>
      <c r="PCL1" s="70"/>
      <c r="PCM1" s="70"/>
      <c r="PCN1" s="70"/>
      <c r="PCO1" s="70"/>
      <c r="PCP1" s="70"/>
      <c r="PCQ1" s="70"/>
      <c r="PCR1" s="70"/>
      <c r="PCS1" s="70"/>
      <c r="PCT1" s="70"/>
      <c r="PCU1" s="70"/>
      <c r="PCV1" s="70"/>
      <c r="PCW1" s="70"/>
      <c r="PCX1" s="70"/>
      <c r="PCY1" s="70"/>
      <c r="PCZ1" s="70"/>
      <c r="PDA1" s="70"/>
      <c r="PDB1" s="70"/>
      <c r="PDC1" s="70"/>
      <c r="PDD1" s="70"/>
      <c r="PDE1" s="70"/>
      <c r="PDF1" s="70"/>
      <c r="PDG1" s="70"/>
      <c r="PDH1" s="70"/>
      <c r="PDI1" s="70"/>
      <c r="PDJ1" s="70"/>
      <c r="PDK1" s="70"/>
      <c r="PDL1" s="70"/>
      <c r="PDM1" s="70"/>
      <c r="PDN1" s="70"/>
      <c r="PDO1" s="70"/>
      <c r="PDP1" s="70"/>
      <c r="PDQ1" s="70"/>
      <c r="PDR1" s="70"/>
      <c r="PDS1" s="70"/>
      <c r="PDT1" s="70"/>
      <c r="PDU1" s="70"/>
      <c r="PDV1" s="70"/>
      <c r="PDW1" s="70"/>
      <c r="PDX1" s="70"/>
      <c r="PDY1" s="70"/>
      <c r="PDZ1" s="70"/>
      <c r="PEA1" s="70"/>
      <c r="PEB1" s="70"/>
      <c r="PEC1" s="70"/>
      <c r="PED1" s="70"/>
      <c r="PEE1" s="70"/>
      <c r="PEF1" s="70"/>
      <c r="PEG1" s="70"/>
      <c r="PEH1" s="70"/>
      <c r="PEI1" s="70"/>
      <c r="PEJ1" s="70"/>
      <c r="PEK1" s="70"/>
      <c r="PEL1" s="70"/>
      <c r="PEM1" s="70"/>
      <c r="PEN1" s="70"/>
      <c r="PEO1" s="70"/>
      <c r="PEP1" s="70"/>
      <c r="PEQ1" s="70"/>
      <c r="PER1" s="70"/>
      <c r="PES1" s="70"/>
      <c r="PET1" s="70"/>
      <c r="PEU1" s="70"/>
      <c r="PEV1" s="70"/>
      <c r="PEW1" s="70"/>
      <c r="PEX1" s="70"/>
      <c r="PEY1" s="70"/>
      <c r="PEZ1" s="70"/>
      <c r="PFA1" s="70"/>
      <c r="PFB1" s="70"/>
      <c r="PFC1" s="70"/>
      <c r="PFD1" s="70"/>
      <c r="PFE1" s="70"/>
      <c r="PFF1" s="70"/>
      <c r="PFG1" s="70"/>
      <c r="PFH1" s="70"/>
      <c r="PFI1" s="70"/>
      <c r="PFJ1" s="70"/>
      <c r="PFK1" s="70"/>
      <c r="PFL1" s="70"/>
      <c r="PFM1" s="70"/>
      <c r="PFN1" s="70"/>
      <c r="PFO1" s="70"/>
      <c r="PFP1" s="70"/>
      <c r="PFQ1" s="70"/>
      <c r="PFR1" s="70"/>
      <c r="PFS1" s="70"/>
      <c r="PFT1" s="70"/>
      <c r="PFU1" s="70"/>
      <c r="PFV1" s="70"/>
      <c r="PFW1" s="70"/>
      <c r="PFX1" s="70"/>
      <c r="PFY1" s="70"/>
      <c r="PFZ1" s="70"/>
      <c r="PGA1" s="70"/>
      <c r="PGB1" s="70"/>
      <c r="PGC1" s="70"/>
      <c r="PGD1" s="70"/>
      <c r="PGE1" s="70"/>
      <c r="PGF1" s="70"/>
      <c r="PGG1" s="70"/>
      <c r="PGH1" s="70"/>
      <c r="PGI1" s="70"/>
      <c r="PGJ1" s="70"/>
      <c r="PGK1" s="70"/>
      <c r="PGL1" s="70"/>
      <c r="PGM1" s="70"/>
      <c r="PGN1" s="70"/>
      <c r="PGO1" s="70"/>
      <c r="PGP1" s="70"/>
      <c r="PGQ1" s="70"/>
      <c r="PGR1" s="70"/>
      <c r="PGS1" s="70"/>
      <c r="PGT1" s="70"/>
      <c r="PGU1" s="70"/>
      <c r="PGV1" s="70"/>
      <c r="PGW1" s="70"/>
      <c r="PGX1" s="70"/>
      <c r="PGY1" s="70"/>
      <c r="PGZ1" s="70"/>
      <c r="PHA1" s="70"/>
      <c r="PHB1" s="70"/>
      <c r="PHC1" s="70"/>
      <c r="PHD1" s="70"/>
      <c r="PHE1" s="70"/>
      <c r="PHF1" s="70"/>
      <c r="PHG1" s="70"/>
      <c r="PHH1" s="70"/>
      <c r="PHI1" s="70"/>
      <c r="PHJ1" s="70"/>
      <c r="PHK1" s="70"/>
      <c r="PHL1" s="70"/>
      <c r="PHM1" s="70"/>
      <c r="PHN1" s="70"/>
      <c r="PHO1" s="70"/>
      <c r="PHP1" s="70"/>
      <c r="PHQ1" s="70"/>
      <c r="PHR1" s="70"/>
      <c r="PHS1" s="70"/>
      <c r="PHT1" s="70"/>
      <c r="PHU1" s="70"/>
      <c r="PHV1" s="70"/>
      <c r="PHW1" s="70"/>
      <c r="PHX1" s="70"/>
      <c r="PHY1" s="70"/>
      <c r="PHZ1" s="70"/>
      <c r="PIA1" s="70"/>
      <c r="PIB1" s="70"/>
      <c r="PIC1" s="70"/>
      <c r="PID1" s="70"/>
      <c r="PIE1" s="70"/>
      <c r="PIF1" s="70"/>
      <c r="PIG1" s="70"/>
      <c r="PIH1" s="70"/>
      <c r="PII1" s="70"/>
      <c r="PIJ1" s="70"/>
      <c r="PIK1" s="70"/>
      <c r="PIL1" s="70"/>
      <c r="PIM1" s="70"/>
      <c r="PIN1" s="70"/>
      <c r="PIO1" s="70"/>
      <c r="PIP1" s="70"/>
      <c r="PIQ1" s="70"/>
      <c r="PIR1" s="70"/>
      <c r="PIS1" s="70"/>
      <c r="PIT1" s="70"/>
      <c r="PIU1" s="70"/>
      <c r="PIV1" s="70"/>
      <c r="PIW1" s="70"/>
      <c r="PIX1" s="70"/>
      <c r="PIY1" s="70"/>
      <c r="PIZ1" s="70"/>
      <c r="PJA1" s="70"/>
      <c r="PJB1" s="70"/>
      <c r="PJC1" s="70"/>
      <c r="PJD1" s="70"/>
      <c r="PJE1" s="70"/>
      <c r="PJF1" s="70"/>
      <c r="PJG1" s="70"/>
      <c r="PJH1" s="70"/>
      <c r="PJI1" s="70"/>
      <c r="PJJ1" s="70"/>
      <c r="PJK1" s="70"/>
      <c r="PJL1" s="70"/>
      <c r="PJM1" s="70"/>
      <c r="PJN1" s="70"/>
      <c r="PJO1" s="70"/>
      <c r="PJP1" s="70"/>
      <c r="PJQ1" s="70"/>
      <c r="PJR1" s="70"/>
      <c r="PJS1" s="70"/>
      <c r="PJT1" s="70"/>
      <c r="PJU1" s="70"/>
      <c r="PJV1" s="70"/>
      <c r="PJW1" s="70"/>
      <c r="PJX1" s="70"/>
      <c r="PJY1" s="70"/>
      <c r="PJZ1" s="70"/>
      <c r="PKA1" s="70"/>
      <c r="PKB1" s="70"/>
      <c r="PKC1" s="70"/>
      <c r="PKD1" s="70"/>
      <c r="PKE1" s="70"/>
      <c r="PKF1" s="70"/>
      <c r="PKG1" s="70"/>
      <c r="PKH1" s="70"/>
      <c r="PKI1" s="70"/>
      <c r="PKJ1" s="70"/>
      <c r="PKK1" s="70"/>
      <c r="PKL1" s="70"/>
      <c r="PKM1" s="70"/>
      <c r="PKN1" s="70"/>
      <c r="PKO1" s="70"/>
      <c r="PKP1" s="70"/>
      <c r="PKQ1" s="70"/>
      <c r="PKR1" s="70"/>
      <c r="PKS1" s="70"/>
      <c r="PKT1" s="70"/>
      <c r="PKU1" s="70"/>
      <c r="PKV1" s="70"/>
      <c r="PKW1" s="70"/>
      <c r="PKX1" s="70"/>
      <c r="PKY1" s="70"/>
      <c r="PKZ1" s="70"/>
      <c r="PLA1" s="70"/>
      <c r="PLB1" s="70"/>
      <c r="PLC1" s="70"/>
      <c r="PLD1" s="70"/>
      <c r="PLE1" s="70"/>
      <c r="PLF1" s="70"/>
      <c r="PLG1" s="70"/>
      <c r="PLH1" s="70"/>
      <c r="PLI1" s="70"/>
      <c r="PLJ1" s="70"/>
      <c r="PLK1" s="70"/>
      <c r="PLL1" s="70"/>
      <c r="PLM1" s="70"/>
      <c r="PLN1" s="70"/>
      <c r="PLO1" s="70"/>
      <c r="PLP1" s="70"/>
      <c r="PLQ1" s="70"/>
      <c r="PLR1" s="70"/>
      <c r="PLS1" s="70"/>
      <c r="PLT1" s="70"/>
      <c r="PLU1" s="70"/>
      <c r="PLV1" s="70"/>
      <c r="PLW1" s="70"/>
      <c r="PLX1" s="70"/>
      <c r="PLY1" s="70"/>
      <c r="PLZ1" s="70"/>
      <c r="PMA1" s="70"/>
      <c r="PMB1" s="70"/>
      <c r="PMC1" s="70"/>
      <c r="PMD1" s="70"/>
      <c r="PME1" s="70"/>
      <c r="PMF1" s="70"/>
      <c r="PMG1" s="70"/>
      <c r="PMH1" s="70"/>
      <c r="PMI1" s="70"/>
      <c r="PMJ1" s="70"/>
      <c r="PMK1" s="70"/>
      <c r="PML1" s="70"/>
      <c r="PMM1" s="70"/>
      <c r="PMN1" s="70"/>
      <c r="PMO1" s="70"/>
      <c r="PMP1" s="70"/>
      <c r="PMQ1" s="70"/>
      <c r="PMR1" s="70"/>
      <c r="PMS1" s="70"/>
      <c r="PMT1" s="70"/>
      <c r="PMU1" s="70"/>
      <c r="PMV1" s="70"/>
      <c r="PMW1" s="70"/>
      <c r="PMX1" s="70"/>
      <c r="PMY1" s="70"/>
      <c r="PMZ1" s="70"/>
      <c r="PNA1" s="70"/>
      <c r="PNB1" s="70"/>
      <c r="PNC1" s="70"/>
      <c r="PND1" s="70"/>
      <c r="PNE1" s="70"/>
      <c r="PNF1" s="70"/>
      <c r="PNG1" s="70"/>
      <c r="PNH1" s="70"/>
      <c r="PNI1" s="70"/>
      <c r="PNJ1" s="70"/>
      <c r="PNK1" s="70"/>
      <c r="PNL1" s="70"/>
      <c r="PNM1" s="70"/>
      <c r="PNN1" s="70"/>
      <c r="PNO1" s="70"/>
      <c r="PNP1" s="70"/>
      <c r="PNQ1" s="70"/>
      <c r="PNR1" s="70"/>
      <c r="PNS1" s="70"/>
      <c r="PNT1" s="70"/>
      <c r="PNU1" s="70"/>
      <c r="PNV1" s="70"/>
      <c r="PNW1" s="70"/>
      <c r="PNX1" s="70"/>
      <c r="PNY1" s="70"/>
      <c r="PNZ1" s="70"/>
      <c r="POA1" s="70"/>
      <c r="POB1" s="70"/>
      <c r="POC1" s="70"/>
      <c r="POD1" s="70"/>
      <c r="POE1" s="70"/>
      <c r="POF1" s="70"/>
      <c r="POG1" s="70"/>
      <c r="POH1" s="70"/>
      <c r="POI1" s="70"/>
      <c r="POJ1" s="70"/>
      <c r="POK1" s="70"/>
      <c r="POL1" s="70"/>
      <c r="POM1" s="70"/>
      <c r="PON1" s="70"/>
      <c r="POO1" s="70"/>
      <c r="POP1" s="70"/>
      <c r="POQ1" s="70"/>
      <c r="POR1" s="70"/>
      <c r="POS1" s="70"/>
      <c r="POT1" s="70"/>
      <c r="POU1" s="70"/>
      <c r="POV1" s="70"/>
      <c r="POW1" s="70"/>
      <c r="POX1" s="70"/>
      <c r="POY1" s="70"/>
      <c r="POZ1" s="70"/>
      <c r="PPA1" s="70"/>
      <c r="PPB1" s="70"/>
      <c r="PPC1" s="70"/>
      <c r="PPD1" s="70"/>
      <c r="PPE1" s="70"/>
      <c r="PPF1" s="70"/>
      <c r="PPG1" s="70"/>
      <c r="PPH1" s="70"/>
      <c r="PPI1" s="70"/>
      <c r="PPJ1" s="70"/>
      <c r="PPK1" s="70"/>
      <c r="PPL1" s="70"/>
      <c r="PPM1" s="70"/>
      <c r="PPN1" s="70"/>
      <c r="PPO1" s="70"/>
      <c r="PPP1" s="70"/>
      <c r="PPQ1" s="70"/>
      <c r="PPR1" s="70"/>
      <c r="PPS1" s="70"/>
      <c r="PPT1" s="70"/>
      <c r="PPU1" s="70"/>
      <c r="PPV1" s="70"/>
      <c r="PPW1" s="70"/>
      <c r="PPX1" s="70"/>
      <c r="PPY1" s="70"/>
      <c r="PPZ1" s="70"/>
      <c r="PQA1" s="70"/>
      <c r="PQB1" s="70"/>
      <c r="PQC1" s="70"/>
      <c r="PQD1" s="70"/>
      <c r="PQE1" s="70"/>
      <c r="PQF1" s="70"/>
      <c r="PQG1" s="70"/>
      <c r="PQH1" s="70"/>
      <c r="PQI1" s="70"/>
      <c r="PQJ1" s="70"/>
      <c r="PQK1" s="70"/>
      <c r="PQL1" s="70"/>
      <c r="PQM1" s="70"/>
      <c r="PQN1" s="70"/>
      <c r="PQO1" s="70"/>
      <c r="PQP1" s="70"/>
      <c r="PQQ1" s="70"/>
      <c r="PQR1" s="70"/>
      <c r="PQS1" s="70"/>
      <c r="PQT1" s="70"/>
      <c r="PQU1" s="70"/>
      <c r="PQV1" s="70"/>
      <c r="PQW1" s="70"/>
      <c r="PQX1" s="70"/>
      <c r="PQY1" s="70"/>
      <c r="PQZ1" s="70"/>
      <c r="PRA1" s="70"/>
      <c r="PRB1" s="70"/>
      <c r="PRC1" s="70"/>
      <c r="PRD1" s="70"/>
      <c r="PRE1" s="70"/>
      <c r="PRF1" s="70"/>
      <c r="PRG1" s="70"/>
      <c r="PRH1" s="70"/>
      <c r="PRI1" s="70"/>
      <c r="PRJ1" s="70"/>
      <c r="PRK1" s="70"/>
      <c r="PRL1" s="70"/>
      <c r="PRM1" s="70"/>
      <c r="PRN1" s="70"/>
      <c r="PRO1" s="70"/>
      <c r="PRP1" s="70"/>
      <c r="PRQ1" s="70"/>
      <c r="PRR1" s="70"/>
      <c r="PRS1" s="70"/>
      <c r="PRT1" s="70"/>
      <c r="PRU1" s="70"/>
      <c r="PRV1" s="70"/>
      <c r="PRW1" s="70"/>
      <c r="PRX1" s="70"/>
      <c r="PRY1" s="70"/>
      <c r="PRZ1" s="70"/>
      <c r="PSA1" s="70"/>
      <c r="PSB1" s="70"/>
      <c r="PSC1" s="70"/>
      <c r="PSD1" s="70"/>
      <c r="PSE1" s="70"/>
      <c r="PSF1" s="70"/>
      <c r="PSG1" s="70"/>
      <c r="PSH1" s="70"/>
      <c r="PSI1" s="70"/>
      <c r="PSJ1" s="70"/>
      <c r="PSK1" s="70"/>
      <c r="PSL1" s="70"/>
      <c r="PSM1" s="70"/>
      <c r="PSN1" s="70"/>
      <c r="PSO1" s="70"/>
      <c r="PSP1" s="70"/>
      <c r="PSQ1" s="70"/>
      <c r="PSR1" s="70"/>
      <c r="PSS1" s="70"/>
      <c r="PST1" s="70"/>
      <c r="PSU1" s="70"/>
      <c r="PSV1" s="70"/>
      <c r="PSW1" s="70"/>
      <c r="PSX1" s="70"/>
      <c r="PSY1" s="70"/>
      <c r="PSZ1" s="70"/>
      <c r="PTA1" s="70"/>
      <c r="PTB1" s="70"/>
      <c r="PTC1" s="70"/>
      <c r="PTD1" s="70"/>
      <c r="PTE1" s="70"/>
      <c r="PTF1" s="70"/>
      <c r="PTG1" s="70"/>
      <c r="PTH1" s="70"/>
      <c r="PTI1" s="70"/>
      <c r="PTJ1" s="70"/>
      <c r="PTK1" s="70"/>
      <c r="PTL1" s="70"/>
      <c r="PTM1" s="70"/>
      <c r="PTN1" s="70"/>
      <c r="PTO1" s="70"/>
      <c r="PTP1" s="70"/>
      <c r="PTQ1" s="70"/>
      <c r="PTR1" s="70"/>
      <c r="PTS1" s="70"/>
      <c r="PTT1" s="70"/>
      <c r="PTU1" s="70"/>
      <c r="PTV1" s="70"/>
      <c r="PTW1" s="70"/>
      <c r="PTX1" s="70"/>
      <c r="PTY1" s="70"/>
      <c r="PTZ1" s="70"/>
      <c r="PUA1" s="70"/>
      <c r="PUB1" s="70"/>
      <c r="PUC1" s="70"/>
      <c r="PUD1" s="70"/>
      <c r="PUE1" s="70"/>
      <c r="PUF1" s="70"/>
      <c r="PUG1" s="70"/>
      <c r="PUH1" s="70"/>
      <c r="PUI1" s="70"/>
      <c r="PUJ1" s="70"/>
      <c r="PUK1" s="70"/>
      <c r="PUL1" s="70"/>
      <c r="PUM1" s="70"/>
      <c r="PUN1" s="70"/>
      <c r="PUO1" s="70"/>
      <c r="PUP1" s="70"/>
      <c r="PUQ1" s="70"/>
      <c r="PUR1" s="70"/>
      <c r="PUS1" s="70"/>
      <c r="PUT1" s="70"/>
      <c r="PUU1" s="70"/>
      <c r="PUV1" s="70"/>
      <c r="PUW1" s="70"/>
      <c r="PUX1" s="70"/>
      <c r="PUY1" s="70"/>
      <c r="PUZ1" s="70"/>
      <c r="PVA1" s="70"/>
      <c r="PVB1" s="70"/>
      <c r="PVC1" s="70"/>
      <c r="PVD1" s="70"/>
      <c r="PVE1" s="70"/>
      <c r="PVF1" s="70"/>
      <c r="PVG1" s="70"/>
      <c r="PVH1" s="70"/>
      <c r="PVI1" s="70"/>
      <c r="PVJ1" s="70"/>
      <c r="PVK1" s="70"/>
      <c r="PVL1" s="70"/>
      <c r="PVM1" s="70"/>
      <c r="PVN1" s="70"/>
      <c r="PVO1" s="70"/>
      <c r="PVP1" s="70"/>
      <c r="PVQ1" s="70"/>
      <c r="PVR1" s="70"/>
      <c r="PVS1" s="70"/>
      <c r="PVT1" s="70"/>
      <c r="PVU1" s="70"/>
      <c r="PVV1" s="70"/>
      <c r="PVW1" s="70"/>
      <c r="PVX1" s="70"/>
      <c r="PVY1" s="70"/>
      <c r="PVZ1" s="70"/>
      <c r="PWA1" s="70"/>
      <c r="PWB1" s="70"/>
      <c r="PWC1" s="70"/>
      <c r="PWD1" s="70"/>
      <c r="PWE1" s="70"/>
      <c r="PWF1" s="70"/>
      <c r="PWG1" s="70"/>
      <c r="PWH1" s="70"/>
      <c r="PWI1" s="70"/>
      <c r="PWJ1" s="70"/>
      <c r="PWK1" s="70"/>
      <c r="PWL1" s="70"/>
      <c r="PWM1" s="70"/>
      <c r="PWN1" s="70"/>
      <c r="PWO1" s="70"/>
      <c r="PWP1" s="70"/>
      <c r="PWQ1" s="70"/>
      <c r="PWR1" s="70"/>
      <c r="PWS1" s="70"/>
      <c r="PWT1" s="70"/>
      <c r="PWU1" s="70"/>
      <c r="PWV1" s="70"/>
      <c r="PWW1" s="70"/>
      <c r="PWX1" s="70"/>
      <c r="PWY1" s="70"/>
      <c r="PWZ1" s="70"/>
      <c r="PXA1" s="70"/>
      <c r="PXB1" s="70"/>
      <c r="PXC1" s="70"/>
      <c r="PXD1" s="70"/>
      <c r="PXE1" s="70"/>
      <c r="PXF1" s="70"/>
      <c r="PXG1" s="70"/>
      <c r="PXH1" s="70"/>
      <c r="PXI1" s="70"/>
      <c r="PXJ1" s="70"/>
      <c r="PXK1" s="70"/>
      <c r="PXL1" s="70"/>
      <c r="PXM1" s="70"/>
      <c r="PXN1" s="70"/>
      <c r="PXO1" s="70"/>
      <c r="PXP1" s="70"/>
      <c r="PXQ1" s="70"/>
      <c r="PXR1" s="70"/>
      <c r="PXS1" s="70"/>
      <c r="PXT1" s="70"/>
      <c r="PXU1" s="70"/>
      <c r="PXV1" s="70"/>
      <c r="PXW1" s="70"/>
      <c r="PXX1" s="70"/>
      <c r="PXY1" s="70"/>
      <c r="PXZ1" s="70"/>
      <c r="PYA1" s="70"/>
      <c r="PYB1" s="70"/>
      <c r="PYC1" s="70"/>
      <c r="PYD1" s="70"/>
      <c r="PYE1" s="70"/>
      <c r="PYF1" s="70"/>
      <c r="PYG1" s="70"/>
      <c r="PYH1" s="70"/>
      <c r="PYI1" s="70"/>
      <c r="PYJ1" s="70"/>
      <c r="PYK1" s="70"/>
      <c r="PYL1" s="70"/>
      <c r="PYM1" s="70"/>
      <c r="PYN1" s="70"/>
      <c r="PYO1" s="70"/>
      <c r="PYP1" s="70"/>
      <c r="PYQ1" s="70"/>
      <c r="PYR1" s="70"/>
      <c r="PYS1" s="70"/>
      <c r="PYT1" s="70"/>
      <c r="PYU1" s="70"/>
      <c r="PYV1" s="70"/>
      <c r="PYW1" s="70"/>
      <c r="PYX1" s="70"/>
      <c r="PYY1" s="70"/>
      <c r="PYZ1" s="70"/>
      <c r="PZA1" s="70"/>
      <c r="PZB1" s="70"/>
      <c r="PZC1" s="70"/>
      <c r="PZD1" s="70"/>
      <c r="PZE1" s="70"/>
      <c r="PZF1" s="70"/>
      <c r="PZG1" s="70"/>
      <c r="PZH1" s="70"/>
      <c r="PZI1" s="70"/>
      <c r="PZJ1" s="70"/>
      <c r="PZK1" s="70"/>
      <c r="PZL1" s="70"/>
      <c r="PZM1" s="70"/>
      <c r="PZN1" s="70"/>
      <c r="PZO1" s="70"/>
      <c r="PZP1" s="70"/>
      <c r="PZQ1" s="70"/>
      <c r="PZR1" s="70"/>
      <c r="PZS1" s="70"/>
      <c r="PZT1" s="70"/>
      <c r="PZU1" s="70"/>
      <c r="PZV1" s="70"/>
      <c r="PZW1" s="70"/>
      <c r="PZX1" s="70"/>
      <c r="PZY1" s="70"/>
      <c r="PZZ1" s="70"/>
      <c r="QAA1" s="70"/>
      <c r="QAB1" s="70"/>
      <c r="QAC1" s="70"/>
      <c r="QAD1" s="70"/>
      <c r="QAE1" s="70"/>
      <c r="QAF1" s="70"/>
      <c r="QAG1" s="70"/>
      <c r="QAH1" s="70"/>
      <c r="QAI1" s="70"/>
      <c r="QAJ1" s="70"/>
      <c r="QAK1" s="70"/>
      <c r="QAL1" s="70"/>
      <c r="QAM1" s="70"/>
      <c r="QAN1" s="70"/>
      <c r="QAO1" s="70"/>
      <c r="QAP1" s="70"/>
      <c r="QAQ1" s="70"/>
      <c r="QAR1" s="70"/>
      <c r="QAS1" s="70"/>
      <c r="QAT1" s="70"/>
      <c r="QAU1" s="70"/>
      <c r="QAV1" s="70"/>
      <c r="QAW1" s="70"/>
      <c r="QAX1" s="70"/>
      <c r="QAY1" s="70"/>
      <c r="QAZ1" s="70"/>
      <c r="QBA1" s="70"/>
      <c r="QBB1" s="70"/>
      <c r="QBC1" s="70"/>
      <c r="QBD1" s="70"/>
      <c r="QBE1" s="70"/>
      <c r="QBF1" s="70"/>
      <c r="QBG1" s="70"/>
      <c r="QBH1" s="70"/>
      <c r="QBI1" s="70"/>
      <c r="QBJ1" s="70"/>
      <c r="QBK1" s="70"/>
      <c r="QBL1" s="70"/>
      <c r="QBM1" s="70"/>
      <c r="QBN1" s="70"/>
      <c r="QBO1" s="70"/>
      <c r="QBP1" s="70"/>
      <c r="QBQ1" s="70"/>
      <c r="QBR1" s="70"/>
      <c r="QBS1" s="70"/>
      <c r="QBT1" s="70"/>
      <c r="QBU1" s="70"/>
      <c r="QBV1" s="70"/>
      <c r="QBW1" s="70"/>
      <c r="QBX1" s="70"/>
      <c r="QBY1" s="70"/>
      <c r="QBZ1" s="70"/>
      <c r="QCA1" s="70"/>
      <c r="QCB1" s="70"/>
      <c r="QCC1" s="70"/>
      <c r="QCD1" s="70"/>
      <c r="QCE1" s="70"/>
      <c r="QCF1" s="70"/>
      <c r="QCG1" s="70"/>
      <c r="QCH1" s="70"/>
      <c r="QCI1" s="70"/>
      <c r="QCJ1" s="70"/>
      <c r="QCK1" s="70"/>
      <c r="QCL1" s="70"/>
      <c r="QCM1" s="70"/>
      <c r="QCN1" s="70"/>
      <c r="QCO1" s="70"/>
      <c r="QCP1" s="70"/>
      <c r="QCQ1" s="70"/>
      <c r="QCR1" s="70"/>
      <c r="QCS1" s="70"/>
      <c r="QCT1" s="70"/>
      <c r="QCU1" s="70"/>
      <c r="QCV1" s="70"/>
      <c r="QCW1" s="70"/>
      <c r="QCX1" s="70"/>
      <c r="QCY1" s="70"/>
      <c r="QCZ1" s="70"/>
      <c r="QDA1" s="70"/>
      <c r="QDB1" s="70"/>
      <c r="QDC1" s="70"/>
      <c r="QDD1" s="70"/>
      <c r="QDE1" s="70"/>
      <c r="QDF1" s="70"/>
      <c r="QDG1" s="70"/>
      <c r="QDH1" s="70"/>
      <c r="QDI1" s="70"/>
      <c r="QDJ1" s="70"/>
      <c r="QDK1" s="70"/>
      <c r="QDL1" s="70"/>
      <c r="QDM1" s="70"/>
      <c r="QDN1" s="70"/>
      <c r="QDO1" s="70"/>
      <c r="QDP1" s="70"/>
      <c r="QDQ1" s="70"/>
      <c r="QDR1" s="70"/>
      <c r="QDS1" s="70"/>
      <c r="QDT1" s="70"/>
      <c r="QDU1" s="70"/>
      <c r="QDV1" s="70"/>
      <c r="QDW1" s="70"/>
      <c r="QDX1" s="70"/>
      <c r="QDY1" s="70"/>
      <c r="QDZ1" s="70"/>
      <c r="QEA1" s="70"/>
      <c r="QEB1" s="70"/>
      <c r="QEC1" s="70"/>
      <c r="QED1" s="70"/>
      <c r="QEE1" s="70"/>
      <c r="QEF1" s="70"/>
      <c r="QEG1" s="70"/>
      <c r="QEH1" s="70"/>
      <c r="QEI1" s="70"/>
      <c r="QEJ1" s="70"/>
      <c r="QEK1" s="70"/>
      <c r="QEL1" s="70"/>
      <c r="QEM1" s="70"/>
      <c r="QEN1" s="70"/>
      <c r="QEO1" s="70"/>
      <c r="QEP1" s="70"/>
      <c r="QEQ1" s="70"/>
      <c r="QER1" s="70"/>
      <c r="QES1" s="70"/>
      <c r="QET1" s="70"/>
      <c r="QEU1" s="70"/>
      <c r="QEV1" s="70"/>
      <c r="QEW1" s="70"/>
      <c r="QEX1" s="70"/>
      <c r="QEY1" s="70"/>
      <c r="QEZ1" s="70"/>
      <c r="QFA1" s="70"/>
      <c r="QFB1" s="70"/>
      <c r="QFC1" s="70"/>
      <c r="QFD1" s="70"/>
      <c r="QFE1" s="70"/>
      <c r="QFF1" s="70"/>
      <c r="QFG1" s="70"/>
      <c r="QFH1" s="70"/>
      <c r="QFI1" s="70"/>
      <c r="QFJ1" s="70"/>
      <c r="QFK1" s="70"/>
      <c r="QFL1" s="70"/>
      <c r="QFM1" s="70"/>
      <c r="QFN1" s="70"/>
      <c r="QFO1" s="70"/>
      <c r="QFP1" s="70"/>
      <c r="QFQ1" s="70"/>
      <c r="QFR1" s="70"/>
      <c r="QFS1" s="70"/>
      <c r="QFT1" s="70"/>
      <c r="QFU1" s="70"/>
      <c r="QFV1" s="70"/>
      <c r="QFW1" s="70"/>
      <c r="QFX1" s="70"/>
      <c r="QFY1" s="70"/>
      <c r="QFZ1" s="70"/>
      <c r="QGA1" s="70"/>
      <c r="QGB1" s="70"/>
      <c r="QGC1" s="70"/>
      <c r="QGD1" s="70"/>
      <c r="QGE1" s="70"/>
      <c r="QGF1" s="70"/>
      <c r="QGG1" s="70"/>
      <c r="QGH1" s="70"/>
      <c r="QGI1" s="70"/>
      <c r="QGJ1" s="70"/>
      <c r="QGK1" s="70"/>
      <c r="QGL1" s="70"/>
      <c r="QGM1" s="70"/>
      <c r="QGN1" s="70"/>
      <c r="QGO1" s="70"/>
      <c r="QGP1" s="70"/>
      <c r="QGQ1" s="70"/>
      <c r="QGR1" s="70"/>
      <c r="QGS1" s="70"/>
      <c r="QGT1" s="70"/>
      <c r="QGU1" s="70"/>
      <c r="QGV1" s="70"/>
      <c r="QGW1" s="70"/>
      <c r="QGX1" s="70"/>
      <c r="QGY1" s="70"/>
      <c r="QGZ1" s="70"/>
      <c r="QHA1" s="70"/>
      <c r="QHB1" s="70"/>
      <c r="QHC1" s="70"/>
      <c r="QHD1" s="70"/>
      <c r="QHE1" s="70"/>
      <c r="QHF1" s="70"/>
      <c r="QHG1" s="70"/>
      <c r="QHH1" s="70"/>
      <c r="QHI1" s="70"/>
      <c r="QHJ1" s="70"/>
      <c r="QHK1" s="70"/>
      <c r="QHL1" s="70"/>
      <c r="QHM1" s="70"/>
      <c r="QHN1" s="70"/>
      <c r="QHO1" s="70"/>
      <c r="QHP1" s="70"/>
      <c r="QHQ1" s="70"/>
      <c r="QHR1" s="70"/>
      <c r="QHS1" s="70"/>
      <c r="QHT1" s="70"/>
      <c r="QHU1" s="70"/>
      <c r="QHV1" s="70"/>
      <c r="QHW1" s="70"/>
      <c r="QHX1" s="70"/>
      <c r="QHY1" s="70"/>
      <c r="QHZ1" s="70"/>
      <c r="QIA1" s="70"/>
      <c r="QIB1" s="70"/>
      <c r="QIC1" s="70"/>
      <c r="QID1" s="70"/>
      <c r="QIE1" s="70"/>
      <c r="QIF1" s="70"/>
      <c r="QIG1" s="70"/>
      <c r="QIH1" s="70"/>
      <c r="QII1" s="70"/>
      <c r="QIJ1" s="70"/>
      <c r="QIK1" s="70"/>
      <c r="QIL1" s="70"/>
      <c r="QIM1" s="70"/>
      <c r="QIN1" s="70"/>
      <c r="QIO1" s="70"/>
      <c r="QIP1" s="70"/>
      <c r="QIQ1" s="70"/>
      <c r="QIR1" s="70"/>
      <c r="QIS1" s="70"/>
      <c r="QIT1" s="70"/>
      <c r="QIU1" s="70"/>
      <c r="QIV1" s="70"/>
      <c r="QIW1" s="70"/>
      <c r="QIX1" s="70"/>
      <c r="QIY1" s="70"/>
      <c r="QIZ1" s="70"/>
      <c r="QJA1" s="70"/>
      <c r="QJB1" s="70"/>
      <c r="QJC1" s="70"/>
      <c r="QJD1" s="70"/>
      <c r="QJE1" s="70"/>
      <c r="QJF1" s="70"/>
      <c r="QJG1" s="70"/>
      <c r="QJH1" s="70"/>
      <c r="QJI1" s="70"/>
      <c r="QJJ1" s="70"/>
      <c r="QJK1" s="70"/>
      <c r="QJL1" s="70"/>
      <c r="QJM1" s="70"/>
      <c r="QJN1" s="70"/>
      <c r="QJO1" s="70"/>
      <c r="QJP1" s="70"/>
      <c r="QJQ1" s="70"/>
      <c r="QJR1" s="70"/>
      <c r="QJS1" s="70"/>
      <c r="QJT1" s="70"/>
      <c r="QJU1" s="70"/>
      <c r="QJV1" s="70"/>
      <c r="QJW1" s="70"/>
      <c r="QJX1" s="70"/>
      <c r="QJY1" s="70"/>
      <c r="QJZ1" s="70"/>
      <c r="QKA1" s="70"/>
      <c r="QKB1" s="70"/>
      <c r="QKC1" s="70"/>
      <c r="QKD1" s="70"/>
      <c r="QKE1" s="70"/>
      <c r="QKF1" s="70"/>
      <c r="QKG1" s="70"/>
      <c r="QKH1" s="70"/>
      <c r="QKI1" s="70"/>
      <c r="QKJ1" s="70"/>
      <c r="QKK1" s="70"/>
      <c r="QKL1" s="70"/>
      <c r="QKM1" s="70"/>
      <c r="QKN1" s="70"/>
      <c r="QKO1" s="70"/>
      <c r="QKP1" s="70"/>
      <c r="QKQ1" s="70"/>
      <c r="QKR1" s="70"/>
      <c r="QKS1" s="70"/>
      <c r="QKT1" s="70"/>
      <c r="QKU1" s="70"/>
      <c r="QKV1" s="70"/>
      <c r="QKW1" s="70"/>
      <c r="QKX1" s="70"/>
      <c r="QKY1" s="70"/>
      <c r="QKZ1" s="70"/>
      <c r="QLA1" s="70"/>
      <c r="QLB1" s="70"/>
      <c r="QLC1" s="70"/>
      <c r="QLD1" s="70"/>
      <c r="QLE1" s="70"/>
      <c r="QLF1" s="70"/>
      <c r="QLG1" s="70"/>
      <c r="QLH1" s="70"/>
      <c r="QLI1" s="70"/>
      <c r="QLJ1" s="70"/>
      <c r="QLK1" s="70"/>
      <c r="QLL1" s="70"/>
      <c r="QLM1" s="70"/>
      <c r="QLN1" s="70"/>
      <c r="QLO1" s="70"/>
      <c r="QLP1" s="70"/>
      <c r="QLQ1" s="70"/>
      <c r="QLR1" s="70"/>
      <c r="QLS1" s="70"/>
      <c r="QLT1" s="70"/>
      <c r="QLU1" s="70"/>
      <c r="QLV1" s="70"/>
      <c r="QLW1" s="70"/>
      <c r="QLX1" s="70"/>
      <c r="QLY1" s="70"/>
      <c r="QLZ1" s="70"/>
      <c r="QMA1" s="70"/>
      <c r="QMB1" s="70"/>
      <c r="QMC1" s="70"/>
      <c r="QMD1" s="70"/>
      <c r="QME1" s="70"/>
      <c r="QMF1" s="70"/>
      <c r="QMG1" s="70"/>
      <c r="QMH1" s="70"/>
      <c r="QMI1" s="70"/>
      <c r="QMJ1" s="70"/>
      <c r="QMK1" s="70"/>
      <c r="QML1" s="70"/>
      <c r="QMM1" s="70"/>
      <c r="QMN1" s="70"/>
      <c r="QMO1" s="70"/>
      <c r="QMP1" s="70"/>
      <c r="QMQ1" s="70"/>
      <c r="QMR1" s="70"/>
      <c r="QMS1" s="70"/>
      <c r="QMT1" s="70"/>
      <c r="QMU1" s="70"/>
      <c r="QMV1" s="70"/>
      <c r="QMW1" s="70"/>
      <c r="QMX1" s="70"/>
      <c r="QMY1" s="70"/>
      <c r="QMZ1" s="70"/>
      <c r="QNA1" s="70"/>
      <c r="QNB1" s="70"/>
      <c r="QNC1" s="70"/>
      <c r="QND1" s="70"/>
      <c r="QNE1" s="70"/>
      <c r="QNF1" s="70"/>
      <c r="QNG1" s="70"/>
      <c r="QNH1" s="70"/>
      <c r="QNI1" s="70"/>
      <c r="QNJ1" s="70"/>
      <c r="QNK1" s="70"/>
      <c r="QNL1" s="70"/>
      <c r="QNM1" s="70"/>
      <c r="QNN1" s="70"/>
      <c r="QNO1" s="70"/>
      <c r="QNP1" s="70"/>
      <c r="QNQ1" s="70"/>
      <c r="QNR1" s="70"/>
      <c r="QNS1" s="70"/>
      <c r="QNT1" s="70"/>
      <c r="QNU1" s="70"/>
      <c r="QNV1" s="70"/>
      <c r="QNW1" s="70"/>
      <c r="QNX1" s="70"/>
      <c r="QNY1" s="70"/>
      <c r="QNZ1" s="70"/>
      <c r="QOA1" s="70"/>
      <c r="QOB1" s="70"/>
      <c r="QOC1" s="70"/>
      <c r="QOD1" s="70"/>
      <c r="QOE1" s="70"/>
      <c r="QOF1" s="70"/>
      <c r="QOG1" s="70"/>
      <c r="QOH1" s="70"/>
      <c r="QOI1" s="70"/>
      <c r="QOJ1" s="70"/>
      <c r="QOK1" s="70"/>
      <c r="QOL1" s="70"/>
      <c r="QOM1" s="70"/>
      <c r="QON1" s="70"/>
      <c r="QOO1" s="70"/>
      <c r="QOP1" s="70"/>
      <c r="QOQ1" s="70"/>
      <c r="QOR1" s="70"/>
      <c r="QOS1" s="70"/>
      <c r="QOT1" s="70"/>
      <c r="QOU1" s="70"/>
      <c r="QOV1" s="70"/>
      <c r="QOW1" s="70"/>
      <c r="QOX1" s="70"/>
      <c r="QOY1" s="70"/>
      <c r="QOZ1" s="70"/>
      <c r="QPA1" s="70"/>
      <c r="QPB1" s="70"/>
      <c r="QPC1" s="70"/>
      <c r="QPD1" s="70"/>
      <c r="QPE1" s="70"/>
      <c r="QPF1" s="70"/>
      <c r="QPG1" s="70"/>
      <c r="QPH1" s="70"/>
      <c r="QPI1" s="70"/>
      <c r="QPJ1" s="70"/>
      <c r="QPK1" s="70"/>
      <c r="QPL1" s="70"/>
      <c r="QPM1" s="70"/>
      <c r="QPN1" s="70"/>
      <c r="QPO1" s="70"/>
      <c r="QPP1" s="70"/>
      <c r="QPQ1" s="70"/>
      <c r="QPR1" s="70"/>
      <c r="QPS1" s="70"/>
      <c r="QPT1" s="70"/>
      <c r="QPU1" s="70"/>
      <c r="QPV1" s="70"/>
      <c r="QPW1" s="70"/>
      <c r="QPX1" s="70"/>
      <c r="QPY1" s="70"/>
      <c r="QPZ1" s="70"/>
      <c r="QQA1" s="70"/>
      <c r="QQB1" s="70"/>
      <c r="QQC1" s="70"/>
      <c r="QQD1" s="70"/>
      <c r="QQE1" s="70"/>
      <c r="QQF1" s="70"/>
      <c r="QQG1" s="70"/>
      <c r="QQH1" s="70"/>
      <c r="QQI1" s="70"/>
      <c r="QQJ1" s="70"/>
      <c r="QQK1" s="70"/>
      <c r="QQL1" s="70"/>
      <c r="QQM1" s="70"/>
      <c r="QQN1" s="70"/>
      <c r="QQO1" s="70"/>
      <c r="QQP1" s="70"/>
      <c r="QQQ1" s="70"/>
      <c r="QQR1" s="70"/>
      <c r="QQS1" s="70"/>
      <c r="QQT1" s="70"/>
      <c r="QQU1" s="70"/>
      <c r="QQV1" s="70"/>
      <c r="QQW1" s="70"/>
      <c r="QQX1" s="70"/>
      <c r="QQY1" s="70"/>
      <c r="QQZ1" s="70"/>
      <c r="QRA1" s="70"/>
      <c r="QRB1" s="70"/>
      <c r="QRC1" s="70"/>
      <c r="QRD1" s="70"/>
      <c r="QRE1" s="70"/>
      <c r="QRF1" s="70"/>
      <c r="QRG1" s="70"/>
      <c r="QRH1" s="70"/>
      <c r="QRI1" s="70"/>
      <c r="QRJ1" s="70"/>
      <c r="QRK1" s="70"/>
      <c r="QRL1" s="70"/>
      <c r="QRM1" s="70"/>
      <c r="QRN1" s="70"/>
      <c r="QRO1" s="70"/>
      <c r="QRP1" s="70"/>
      <c r="QRQ1" s="70"/>
      <c r="QRR1" s="70"/>
      <c r="QRS1" s="70"/>
      <c r="QRT1" s="70"/>
      <c r="QRU1" s="70"/>
      <c r="QRV1" s="70"/>
      <c r="QRW1" s="70"/>
      <c r="QRX1" s="70"/>
      <c r="QRY1" s="70"/>
      <c r="QRZ1" s="70"/>
      <c r="QSA1" s="70"/>
      <c r="QSB1" s="70"/>
      <c r="QSC1" s="70"/>
      <c r="QSD1" s="70"/>
      <c r="QSE1" s="70"/>
      <c r="QSF1" s="70"/>
      <c r="QSG1" s="70"/>
      <c r="QSH1" s="70"/>
      <c r="QSI1" s="70"/>
      <c r="QSJ1" s="70"/>
      <c r="QSK1" s="70"/>
      <c r="QSL1" s="70"/>
      <c r="QSM1" s="70"/>
      <c r="QSN1" s="70"/>
      <c r="QSO1" s="70"/>
      <c r="QSP1" s="70"/>
      <c r="QSQ1" s="70"/>
      <c r="QSR1" s="70"/>
      <c r="QSS1" s="70"/>
      <c r="QST1" s="70"/>
      <c r="QSU1" s="70"/>
      <c r="QSV1" s="70"/>
      <c r="QSW1" s="70"/>
      <c r="QSX1" s="70"/>
      <c r="QSY1" s="70"/>
      <c r="QSZ1" s="70"/>
      <c r="QTA1" s="70"/>
      <c r="QTB1" s="70"/>
      <c r="QTC1" s="70"/>
      <c r="QTD1" s="70"/>
      <c r="QTE1" s="70"/>
      <c r="QTF1" s="70"/>
      <c r="QTG1" s="70"/>
      <c r="QTH1" s="70"/>
      <c r="QTI1" s="70"/>
      <c r="QTJ1" s="70"/>
      <c r="QTK1" s="70"/>
      <c r="QTL1" s="70"/>
      <c r="QTM1" s="70"/>
      <c r="QTN1" s="70"/>
      <c r="QTO1" s="70"/>
      <c r="QTP1" s="70"/>
      <c r="QTQ1" s="70"/>
      <c r="QTR1" s="70"/>
      <c r="QTS1" s="70"/>
      <c r="QTT1" s="70"/>
      <c r="QTU1" s="70"/>
      <c r="QTV1" s="70"/>
      <c r="QTW1" s="70"/>
      <c r="QTX1" s="70"/>
      <c r="QTY1" s="70"/>
      <c r="QTZ1" s="70"/>
      <c r="QUA1" s="70"/>
      <c r="QUB1" s="70"/>
      <c r="QUC1" s="70"/>
      <c r="QUD1" s="70"/>
      <c r="QUE1" s="70"/>
      <c r="QUF1" s="70"/>
      <c r="QUG1" s="70"/>
      <c r="QUH1" s="70"/>
      <c r="QUI1" s="70"/>
      <c r="QUJ1" s="70"/>
      <c r="QUK1" s="70"/>
      <c r="QUL1" s="70"/>
      <c r="QUM1" s="70"/>
      <c r="QUN1" s="70"/>
      <c r="QUO1" s="70"/>
      <c r="QUP1" s="70"/>
      <c r="QUQ1" s="70"/>
      <c r="QUR1" s="70"/>
      <c r="QUS1" s="70"/>
      <c r="QUT1" s="70"/>
      <c r="QUU1" s="70"/>
      <c r="QUV1" s="70"/>
      <c r="QUW1" s="70"/>
      <c r="QUX1" s="70"/>
      <c r="QUY1" s="70"/>
      <c r="QUZ1" s="70"/>
      <c r="QVA1" s="70"/>
      <c r="QVB1" s="70"/>
      <c r="QVC1" s="70"/>
      <c r="QVD1" s="70"/>
      <c r="QVE1" s="70"/>
      <c r="QVF1" s="70"/>
      <c r="QVG1" s="70"/>
      <c r="QVH1" s="70"/>
      <c r="QVI1" s="70"/>
      <c r="QVJ1" s="70"/>
      <c r="QVK1" s="70"/>
      <c r="QVL1" s="70"/>
      <c r="QVM1" s="70"/>
      <c r="QVN1" s="70"/>
      <c r="QVO1" s="70"/>
      <c r="QVP1" s="70"/>
      <c r="QVQ1" s="70"/>
      <c r="QVR1" s="70"/>
      <c r="QVS1" s="70"/>
      <c r="QVT1" s="70"/>
      <c r="QVU1" s="70"/>
      <c r="QVV1" s="70"/>
      <c r="QVW1" s="70"/>
      <c r="QVX1" s="70"/>
      <c r="QVY1" s="70"/>
      <c r="QVZ1" s="70"/>
      <c r="QWA1" s="70"/>
      <c r="QWB1" s="70"/>
      <c r="QWC1" s="70"/>
      <c r="QWD1" s="70"/>
      <c r="QWE1" s="70"/>
      <c r="QWF1" s="70"/>
      <c r="QWG1" s="70"/>
      <c r="QWH1" s="70"/>
      <c r="QWI1" s="70"/>
      <c r="QWJ1" s="70"/>
      <c r="QWK1" s="70"/>
      <c r="QWL1" s="70"/>
      <c r="QWM1" s="70"/>
      <c r="QWN1" s="70"/>
      <c r="QWO1" s="70"/>
      <c r="QWP1" s="70"/>
      <c r="QWQ1" s="70"/>
      <c r="QWR1" s="70"/>
      <c r="QWS1" s="70"/>
      <c r="QWT1" s="70"/>
      <c r="QWU1" s="70"/>
      <c r="QWV1" s="70"/>
      <c r="QWW1" s="70"/>
      <c r="QWX1" s="70"/>
      <c r="QWY1" s="70"/>
      <c r="QWZ1" s="70"/>
      <c r="QXA1" s="70"/>
      <c r="QXB1" s="70"/>
      <c r="QXC1" s="70"/>
      <c r="QXD1" s="70"/>
      <c r="QXE1" s="70"/>
      <c r="QXF1" s="70"/>
      <c r="QXG1" s="70"/>
      <c r="QXH1" s="70"/>
      <c r="QXI1" s="70"/>
      <c r="QXJ1" s="70"/>
      <c r="QXK1" s="70"/>
      <c r="QXL1" s="70"/>
      <c r="QXM1" s="70"/>
      <c r="QXN1" s="70"/>
      <c r="QXO1" s="70"/>
      <c r="QXP1" s="70"/>
      <c r="QXQ1" s="70"/>
      <c r="QXR1" s="70"/>
      <c r="QXS1" s="70"/>
      <c r="QXT1" s="70"/>
      <c r="QXU1" s="70"/>
      <c r="QXV1" s="70"/>
      <c r="QXW1" s="70"/>
      <c r="QXX1" s="70"/>
      <c r="QXY1" s="70"/>
      <c r="QXZ1" s="70"/>
      <c r="QYA1" s="70"/>
      <c r="QYB1" s="70"/>
      <c r="QYC1" s="70"/>
      <c r="QYD1" s="70"/>
      <c r="QYE1" s="70"/>
      <c r="QYF1" s="70"/>
      <c r="QYG1" s="70"/>
      <c r="QYH1" s="70"/>
      <c r="QYI1" s="70"/>
      <c r="QYJ1" s="70"/>
      <c r="QYK1" s="70"/>
      <c r="QYL1" s="70"/>
      <c r="QYM1" s="70"/>
      <c r="QYN1" s="70"/>
      <c r="QYO1" s="70"/>
      <c r="QYP1" s="70"/>
      <c r="QYQ1" s="70"/>
      <c r="QYR1" s="70"/>
      <c r="QYS1" s="70"/>
      <c r="QYT1" s="70"/>
      <c r="QYU1" s="70"/>
      <c r="QYV1" s="70"/>
      <c r="QYW1" s="70"/>
      <c r="QYX1" s="70"/>
      <c r="QYY1" s="70"/>
      <c r="QYZ1" s="70"/>
      <c r="QZA1" s="70"/>
      <c r="QZB1" s="70"/>
      <c r="QZC1" s="70"/>
      <c r="QZD1" s="70"/>
      <c r="QZE1" s="70"/>
      <c r="QZF1" s="70"/>
      <c r="QZG1" s="70"/>
      <c r="QZH1" s="70"/>
      <c r="QZI1" s="70"/>
      <c r="QZJ1" s="70"/>
      <c r="QZK1" s="70"/>
      <c r="QZL1" s="70"/>
      <c r="QZM1" s="70"/>
      <c r="QZN1" s="70"/>
      <c r="QZO1" s="70"/>
      <c r="QZP1" s="70"/>
      <c r="QZQ1" s="70"/>
      <c r="QZR1" s="70"/>
      <c r="QZS1" s="70"/>
      <c r="QZT1" s="70"/>
      <c r="QZU1" s="70"/>
      <c r="QZV1" s="70"/>
      <c r="QZW1" s="70"/>
      <c r="QZX1" s="70"/>
      <c r="QZY1" s="70"/>
      <c r="QZZ1" s="70"/>
      <c r="RAA1" s="70"/>
      <c r="RAB1" s="70"/>
      <c r="RAC1" s="70"/>
      <c r="RAD1" s="70"/>
      <c r="RAE1" s="70"/>
      <c r="RAF1" s="70"/>
      <c r="RAG1" s="70"/>
      <c r="RAH1" s="70"/>
      <c r="RAI1" s="70"/>
      <c r="RAJ1" s="70"/>
      <c r="RAK1" s="70"/>
      <c r="RAL1" s="70"/>
      <c r="RAM1" s="70"/>
      <c r="RAN1" s="70"/>
      <c r="RAO1" s="70"/>
      <c r="RAP1" s="70"/>
      <c r="RAQ1" s="70"/>
      <c r="RAR1" s="70"/>
      <c r="RAS1" s="70"/>
      <c r="RAT1" s="70"/>
      <c r="RAU1" s="70"/>
      <c r="RAV1" s="70"/>
      <c r="RAW1" s="70"/>
      <c r="RAX1" s="70"/>
      <c r="RAY1" s="70"/>
      <c r="RAZ1" s="70"/>
      <c r="RBA1" s="70"/>
      <c r="RBB1" s="70"/>
      <c r="RBC1" s="70"/>
      <c r="RBD1" s="70"/>
      <c r="RBE1" s="70"/>
      <c r="RBF1" s="70"/>
      <c r="RBG1" s="70"/>
      <c r="RBH1" s="70"/>
      <c r="RBI1" s="70"/>
      <c r="RBJ1" s="70"/>
      <c r="RBK1" s="70"/>
      <c r="RBL1" s="70"/>
      <c r="RBM1" s="70"/>
      <c r="RBN1" s="70"/>
      <c r="RBO1" s="70"/>
      <c r="RBP1" s="70"/>
      <c r="RBQ1" s="70"/>
      <c r="RBR1" s="70"/>
      <c r="RBS1" s="70"/>
      <c r="RBT1" s="70"/>
      <c r="RBU1" s="70"/>
      <c r="RBV1" s="70"/>
      <c r="RBW1" s="70"/>
      <c r="RBX1" s="70"/>
      <c r="RBY1" s="70"/>
      <c r="RBZ1" s="70"/>
      <c r="RCA1" s="70"/>
      <c r="RCB1" s="70"/>
      <c r="RCC1" s="70"/>
      <c r="RCD1" s="70"/>
      <c r="RCE1" s="70"/>
      <c r="RCF1" s="70"/>
      <c r="RCG1" s="70"/>
      <c r="RCH1" s="70"/>
      <c r="RCI1" s="70"/>
      <c r="RCJ1" s="70"/>
      <c r="RCK1" s="70"/>
      <c r="RCL1" s="70"/>
      <c r="RCM1" s="70"/>
      <c r="RCN1" s="70"/>
      <c r="RCO1" s="70"/>
      <c r="RCP1" s="70"/>
      <c r="RCQ1" s="70"/>
      <c r="RCR1" s="70"/>
      <c r="RCS1" s="70"/>
      <c r="RCT1" s="70"/>
      <c r="RCU1" s="70"/>
      <c r="RCV1" s="70"/>
      <c r="RCW1" s="70"/>
      <c r="RCX1" s="70"/>
      <c r="RCY1" s="70"/>
      <c r="RCZ1" s="70"/>
      <c r="RDA1" s="70"/>
      <c r="RDB1" s="70"/>
      <c r="RDC1" s="70"/>
      <c r="RDD1" s="70"/>
      <c r="RDE1" s="70"/>
      <c r="RDF1" s="70"/>
      <c r="RDG1" s="70"/>
      <c r="RDH1" s="70"/>
      <c r="RDI1" s="70"/>
      <c r="RDJ1" s="70"/>
      <c r="RDK1" s="70"/>
      <c r="RDL1" s="70"/>
      <c r="RDM1" s="70"/>
      <c r="RDN1" s="70"/>
      <c r="RDO1" s="70"/>
      <c r="RDP1" s="70"/>
      <c r="RDQ1" s="70"/>
      <c r="RDR1" s="70"/>
      <c r="RDS1" s="70"/>
      <c r="RDT1" s="70"/>
      <c r="RDU1" s="70"/>
      <c r="RDV1" s="70"/>
      <c r="RDW1" s="70"/>
      <c r="RDX1" s="70"/>
      <c r="RDY1" s="70"/>
      <c r="RDZ1" s="70"/>
      <c r="REA1" s="70"/>
      <c r="REB1" s="70"/>
      <c r="REC1" s="70"/>
      <c r="RED1" s="70"/>
      <c r="REE1" s="70"/>
      <c r="REF1" s="70"/>
      <c r="REG1" s="70"/>
      <c r="REH1" s="70"/>
      <c r="REI1" s="70"/>
      <c r="REJ1" s="70"/>
      <c r="REK1" s="70"/>
      <c r="REL1" s="70"/>
      <c r="REM1" s="70"/>
      <c r="REN1" s="70"/>
      <c r="REO1" s="70"/>
      <c r="REP1" s="70"/>
      <c r="REQ1" s="70"/>
      <c r="RER1" s="70"/>
      <c r="RES1" s="70"/>
      <c r="RET1" s="70"/>
      <c r="REU1" s="70"/>
      <c r="REV1" s="70"/>
      <c r="REW1" s="70"/>
      <c r="REX1" s="70"/>
      <c r="REY1" s="70"/>
      <c r="REZ1" s="70"/>
      <c r="RFA1" s="70"/>
      <c r="RFB1" s="70"/>
      <c r="RFC1" s="70"/>
      <c r="RFD1" s="70"/>
      <c r="RFE1" s="70"/>
      <c r="RFF1" s="70"/>
      <c r="RFG1" s="70"/>
      <c r="RFH1" s="70"/>
      <c r="RFI1" s="70"/>
      <c r="RFJ1" s="70"/>
      <c r="RFK1" s="70"/>
      <c r="RFL1" s="70"/>
      <c r="RFM1" s="70"/>
      <c r="RFN1" s="70"/>
      <c r="RFO1" s="70"/>
      <c r="RFP1" s="70"/>
      <c r="RFQ1" s="70"/>
      <c r="RFR1" s="70"/>
      <c r="RFS1" s="70"/>
      <c r="RFT1" s="70"/>
      <c r="RFU1" s="70"/>
      <c r="RFV1" s="70"/>
      <c r="RFW1" s="70"/>
      <c r="RFX1" s="70"/>
      <c r="RFY1" s="70"/>
      <c r="RFZ1" s="70"/>
      <c r="RGA1" s="70"/>
      <c r="RGB1" s="70"/>
      <c r="RGC1" s="70"/>
      <c r="RGD1" s="70"/>
      <c r="RGE1" s="70"/>
      <c r="RGF1" s="70"/>
      <c r="RGG1" s="70"/>
      <c r="RGH1" s="70"/>
      <c r="RGI1" s="70"/>
      <c r="RGJ1" s="70"/>
      <c r="RGK1" s="70"/>
      <c r="RGL1" s="70"/>
      <c r="RGM1" s="70"/>
      <c r="RGN1" s="70"/>
      <c r="RGO1" s="70"/>
      <c r="RGP1" s="70"/>
      <c r="RGQ1" s="70"/>
      <c r="RGR1" s="70"/>
      <c r="RGS1" s="70"/>
      <c r="RGT1" s="70"/>
      <c r="RGU1" s="70"/>
      <c r="RGV1" s="70"/>
      <c r="RGW1" s="70"/>
      <c r="RGX1" s="70"/>
      <c r="RGY1" s="70"/>
      <c r="RGZ1" s="70"/>
      <c r="RHA1" s="70"/>
      <c r="RHB1" s="70"/>
      <c r="RHC1" s="70"/>
      <c r="RHD1" s="70"/>
      <c r="RHE1" s="70"/>
      <c r="RHF1" s="70"/>
      <c r="RHG1" s="70"/>
      <c r="RHH1" s="70"/>
      <c r="RHI1" s="70"/>
      <c r="RHJ1" s="70"/>
      <c r="RHK1" s="70"/>
      <c r="RHL1" s="70"/>
      <c r="RHM1" s="70"/>
      <c r="RHN1" s="70"/>
      <c r="RHO1" s="70"/>
      <c r="RHP1" s="70"/>
      <c r="RHQ1" s="70"/>
      <c r="RHR1" s="70"/>
      <c r="RHS1" s="70"/>
      <c r="RHT1" s="70"/>
      <c r="RHU1" s="70"/>
      <c r="RHV1" s="70"/>
      <c r="RHW1" s="70"/>
      <c r="RHX1" s="70"/>
      <c r="RHY1" s="70"/>
      <c r="RHZ1" s="70"/>
      <c r="RIA1" s="70"/>
      <c r="RIB1" s="70"/>
      <c r="RIC1" s="70"/>
      <c r="RID1" s="70"/>
      <c r="RIE1" s="70"/>
      <c r="RIF1" s="70"/>
      <c r="RIG1" s="70"/>
      <c r="RIH1" s="70"/>
      <c r="RII1" s="70"/>
      <c r="RIJ1" s="70"/>
      <c r="RIK1" s="70"/>
      <c r="RIL1" s="70"/>
      <c r="RIM1" s="70"/>
      <c r="RIN1" s="70"/>
      <c r="RIO1" s="70"/>
      <c r="RIP1" s="70"/>
      <c r="RIQ1" s="70"/>
      <c r="RIR1" s="70"/>
      <c r="RIS1" s="70"/>
      <c r="RIT1" s="70"/>
      <c r="RIU1" s="70"/>
      <c r="RIV1" s="70"/>
      <c r="RIW1" s="70"/>
      <c r="RIX1" s="70"/>
      <c r="RIY1" s="70"/>
      <c r="RIZ1" s="70"/>
      <c r="RJA1" s="70"/>
      <c r="RJB1" s="70"/>
      <c r="RJC1" s="70"/>
      <c r="RJD1" s="70"/>
      <c r="RJE1" s="70"/>
      <c r="RJF1" s="70"/>
      <c r="RJG1" s="70"/>
      <c r="RJH1" s="70"/>
      <c r="RJI1" s="70"/>
      <c r="RJJ1" s="70"/>
      <c r="RJK1" s="70"/>
      <c r="RJL1" s="70"/>
      <c r="RJM1" s="70"/>
      <c r="RJN1" s="70"/>
      <c r="RJO1" s="70"/>
      <c r="RJP1" s="70"/>
      <c r="RJQ1" s="70"/>
      <c r="RJR1" s="70"/>
      <c r="RJS1" s="70"/>
      <c r="RJT1" s="70"/>
      <c r="RJU1" s="70"/>
      <c r="RJV1" s="70"/>
      <c r="RJW1" s="70"/>
      <c r="RJX1" s="70"/>
      <c r="RJY1" s="70"/>
      <c r="RJZ1" s="70"/>
      <c r="RKA1" s="70"/>
      <c r="RKB1" s="70"/>
      <c r="RKC1" s="70"/>
      <c r="RKD1" s="70"/>
      <c r="RKE1" s="70"/>
      <c r="RKF1" s="70"/>
      <c r="RKG1" s="70"/>
      <c r="RKH1" s="70"/>
      <c r="RKI1" s="70"/>
      <c r="RKJ1" s="70"/>
      <c r="RKK1" s="70"/>
      <c r="RKL1" s="70"/>
      <c r="RKM1" s="70"/>
      <c r="RKN1" s="70"/>
      <c r="RKO1" s="70"/>
      <c r="RKP1" s="70"/>
      <c r="RKQ1" s="70"/>
      <c r="RKR1" s="70"/>
      <c r="RKS1" s="70"/>
      <c r="RKT1" s="70"/>
      <c r="RKU1" s="70"/>
      <c r="RKV1" s="70"/>
      <c r="RKW1" s="70"/>
      <c r="RKX1" s="70"/>
      <c r="RKY1" s="70"/>
      <c r="RKZ1" s="70"/>
      <c r="RLA1" s="70"/>
      <c r="RLB1" s="70"/>
      <c r="RLC1" s="70"/>
      <c r="RLD1" s="70"/>
      <c r="RLE1" s="70"/>
      <c r="RLF1" s="70"/>
      <c r="RLG1" s="70"/>
      <c r="RLH1" s="70"/>
      <c r="RLI1" s="70"/>
      <c r="RLJ1" s="70"/>
      <c r="RLK1" s="70"/>
      <c r="RLL1" s="70"/>
      <c r="RLM1" s="70"/>
      <c r="RLN1" s="70"/>
      <c r="RLO1" s="70"/>
      <c r="RLP1" s="70"/>
      <c r="RLQ1" s="70"/>
      <c r="RLR1" s="70"/>
      <c r="RLS1" s="70"/>
      <c r="RLT1" s="70"/>
      <c r="RLU1" s="70"/>
      <c r="RLV1" s="70"/>
      <c r="RLW1" s="70"/>
      <c r="RLX1" s="70"/>
      <c r="RLY1" s="70"/>
      <c r="RLZ1" s="70"/>
      <c r="RMA1" s="70"/>
      <c r="RMB1" s="70"/>
      <c r="RMC1" s="70"/>
      <c r="RMD1" s="70"/>
      <c r="RME1" s="70"/>
      <c r="RMF1" s="70"/>
      <c r="RMG1" s="70"/>
      <c r="RMH1" s="70"/>
      <c r="RMI1" s="70"/>
      <c r="RMJ1" s="70"/>
      <c r="RMK1" s="70"/>
      <c r="RML1" s="70"/>
      <c r="RMM1" s="70"/>
      <c r="RMN1" s="70"/>
      <c r="RMO1" s="70"/>
      <c r="RMP1" s="70"/>
      <c r="RMQ1" s="70"/>
      <c r="RMR1" s="70"/>
      <c r="RMS1" s="70"/>
      <c r="RMT1" s="70"/>
      <c r="RMU1" s="70"/>
      <c r="RMV1" s="70"/>
      <c r="RMW1" s="70"/>
      <c r="RMX1" s="70"/>
      <c r="RMY1" s="70"/>
      <c r="RMZ1" s="70"/>
      <c r="RNA1" s="70"/>
      <c r="RNB1" s="70"/>
      <c r="RNC1" s="70"/>
      <c r="RND1" s="70"/>
      <c r="RNE1" s="70"/>
      <c r="RNF1" s="70"/>
      <c r="RNG1" s="70"/>
      <c r="RNH1" s="70"/>
      <c r="RNI1" s="70"/>
      <c r="RNJ1" s="70"/>
      <c r="RNK1" s="70"/>
      <c r="RNL1" s="70"/>
      <c r="RNM1" s="70"/>
      <c r="RNN1" s="70"/>
      <c r="RNO1" s="70"/>
      <c r="RNP1" s="70"/>
      <c r="RNQ1" s="70"/>
      <c r="RNR1" s="70"/>
      <c r="RNS1" s="70"/>
      <c r="RNT1" s="70"/>
      <c r="RNU1" s="70"/>
      <c r="RNV1" s="70"/>
      <c r="RNW1" s="70"/>
      <c r="RNX1" s="70"/>
      <c r="RNY1" s="70"/>
      <c r="RNZ1" s="70"/>
      <c r="ROA1" s="70"/>
      <c r="ROB1" s="70"/>
      <c r="ROC1" s="70"/>
      <c r="ROD1" s="70"/>
      <c r="ROE1" s="70"/>
      <c r="ROF1" s="70"/>
      <c r="ROG1" s="70"/>
      <c r="ROH1" s="70"/>
      <c r="ROI1" s="70"/>
      <c r="ROJ1" s="70"/>
      <c r="ROK1" s="70"/>
      <c r="ROL1" s="70"/>
      <c r="ROM1" s="70"/>
      <c r="RON1" s="70"/>
      <c r="ROO1" s="70"/>
      <c r="ROP1" s="70"/>
      <c r="ROQ1" s="70"/>
      <c r="ROR1" s="70"/>
      <c r="ROS1" s="70"/>
      <c r="ROT1" s="70"/>
      <c r="ROU1" s="70"/>
      <c r="ROV1" s="70"/>
      <c r="ROW1" s="70"/>
      <c r="ROX1" s="70"/>
      <c r="ROY1" s="70"/>
      <c r="ROZ1" s="70"/>
      <c r="RPA1" s="70"/>
      <c r="RPB1" s="70"/>
      <c r="RPC1" s="70"/>
      <c r="RPD1" s="70"/>
      <c r="RPE1" s="70"/>
      <c r="RPF1" s="70"/>
      <c r="RPG1" s="70"/>
      <c r="RPH1" s="70"/>
      <c r="RPI1" s="70"/>
      <c r="RPJ1" s="70"/>
      <c r="RPK1" s="70"/>
      <c r="RPL1" s="70"/>
      <c r="RPM1" s="70"/>
      <c r="RPN1" s="70"/>
      <c r="RPO1" s="70"/>
      <c r="RPP1" s="70"/>
      <c r="RPQ1" s="70"/>
      <c r="RPR1" s="70"/>
      <c r="RPS1" s="70"/>
      <c r="RPT1" s="70"/>
      <c r="RPU1" s="70"/>
      <c r="RPV1" s="70"/>
      <c r="RPW1" s="70"/>
      <c r="RPX1" s="70"/>
      <c r="RPY1" s="70"/>
      <c r="RPZ1" s="70"/>
      <c r="RQA1" s="70"/>
      <c r="RQB1" s="70"/>
      <c r="RQC1" s="70"/>
      <c r="RQD1" s="70"/>
      <c r="RQE1" s="70"/>
      <c r="RQF1" s="70"/>
      <c r="RQG1" s="70"/>
      <c r="RQH1" s="70"/>
      <c r="RQI1" s="70"/>
      <c r="RQJ1" s="70"/>
      <c r="RQK1" s="70"/>
      <c r="RQL1" s="70"/>
      <c r="RQM1" s="70"/>
      <c r="RQN1" s="70"/>
      <c r="RQO1" s="70"/>
      <c r="RQP1" s="70"/>
      <c r="RQQ1" s="70"/>
      <c r="RQR1" s="70"/>
      <c r="RQS1" s="70"/>
      <c r="RQT1" s="70"/>
      <c r="RQU1" s="70"/>
      <c r="RQV1" s="70"/>
      <c r="RQW1" s="70"/>
      <c r="RQX1" s="70"/>
      <c r="RQY1" s="70"/>
      <c r="RQZ1" s="70"/>
      <c r="RRA1" s="70"/>
      <c r="RRB1" s="70"/>
      <c r="RRC1" s="70"/>
      <c r="RRD1" s="70"/>
      <c r="RRE1" s="70"/>
      <c r="RRF1" s="70"/>
      <c r="RRG1" s="70"/>
      <c r="RRH1" s="70"/>
      <c r="RRI1" s="70"/>
      <c r="RRJ1" s="70"/>
      <c r="RRK1" s="70"/>
      <c r="RRL1" s="70"/>
      <c r="RRM1" s="70"/>
      <c r="RRN1" s="70"/>
      <c r="RRO1" s="70"/>
      <c r="RRP1" s="70"/>
      <c r="RRQ1" s="70"/>
      <c r="RRR1" s="70"/>
      <c r="RRS1" s="70"/>
      <c r="RRT1" s="70"/>
      <c r="RRU1" s="70"/>
      <c r="RRV1" s="70"/>
      <c r="RRW1" s="70"/>
      <c r="RRX1" s="70"/>
      <c r="RRY1" s="70"/>
      <c r="RRZ1" s="70"/>
      <c r="RSA1" s="70"/>
      <c r="RSB1" s="70"/>
      <c r="RSC1" s="70"/>
      <c r="RSD1" s="70"/>
      <c r="RSE1" s="70"/>
      <c r="RSF1" s="70"/>
      <c r="RSG1" s="70"/>
      <c r="RSH1" s="70"/>
      <c r="RSI1" s="70"/>
      <c r="RSJ1" s="70"/>
      <c r="RSK1" s="70"/>
      <c r="RSL1" s="70"/>
      <c r="RSM1" s="70"/>
      <c r="RSN1" s="70"/>
      <c r="RSO1" s="70"/>
      <c r="RSP1" s="70"/>
      <c r="RSQ1" s="70"/>
      <c r="RSR1" s="70"/>
      <c r="RSS1" s="70"/>
      <c r="RST1" s="70"/>
      <c r="RSU1" s="70"/>
      <c r="RSV1" s="70"/>
      <c r="RSW1" s="70"/>
      <c r="RSX1" s="70"/>
      <c r="RSY1" s="70"/>
      <c r="RSZ1" s="70"/>
      <c r="RTA1" s="70"/>
      <c r="RTB1" s="70"/>
      <c r="RTC1" s="70"/>
      <c r="RTD1" s="70"/>
      <c r="RTE1" s="70"/>
      <c r="RTF1" s="70"/>
      <c r="RTG1" s="70"/>
      <c r="RTH1" s="70"/>
      <c r="RTI1" s="70"/>
      <c r="RTJ1" s="70"/>
      <c r="RTK1" s="70"/>
      <c r="RTL1" s="70"/>
      <c r="RTM1" s="70"/>
      <c r="RTN1" s="70"/>
      <c r="RTO1" s="70"/>
      <c r="RTP1" s="70"/>
      <c r="RTQ1" s="70"/>
      <c r="RTR1" s="70"/>
      <c r="RTS1" s="70"/>
      <c r="RTT1" s="70"/>
      <c r="RTU1" s="70"/>
      <c r="RTV1" s="70"/>
      <c r="RTW1" s="70"/>
      <c r="RTX1" s="70"/>
      <c r="RTY1" s="70"/>
      <c r="RTZ1" s="70"/>
      <c r="RUA1" s="70"/>
      <c r="RUB1" s="70"/>
      <c r="RUC1" s="70"/>
      <c r="RUD1" s="70"/>
      <c r="RUE1" s="70"/>
      <c r="RUF1" s="70"/>
      <c r="RUG1" s="70"/>
      <c r="RUH1" s="70"/>
      <c r="RUI1" s="70"/>
      <c r="RUJ1" s="70"/>
      <c r="RUK1" s="70"/>
      <c r="RUL1" s="70"/>
      <c r="RUM1" s="70"/>
      <c r="RUN1" s="70"/>
      <c r="RUO1" s="70"/>
      <c r="RUP1" s="70"/>
      <c r="RUQ1" s="70"/>
      <c r="RUR1" s="70"/>
      <c r="RUS1" s="70"/>
      <c r="RUT1" s="70"/>
      <c r="RUU1" s="70"/>
      <c r="RUV1" s="70"/>
      <c r="RUW1" s="70"/>
      <c r="RUX1" s="70"/>
      <c r="RUY1" s="70"/>
      <c r="RUZ1" s="70"/>
      <c r="RVA1" s="70"/>
      <c r="RVB1" s="70"/>
      <c r="RVC1" s="70"/>
      <c r="RVD1" s="70"/>
      <c r="RVE1" s="70"/>
      <c r="RVF1" s="70"/>
      <c r="RVG1" s="70"/>
      <c r="RVH1" s="70"/>
      <c r="RVI1" s="70"/>
      <c r="RVJ1" s="70"/>
      <c r="RVK1" s="70"/>
      <c r="RVL1" s="70"/>
      <c r="RVM1" s="70"/>
      <c r="RVN1" s="70"/>
      <c r="RVO1" s="70"/>
      <c r="RVP1" s="70"/>
      <c r="RVQ1" s="70"/>
      <c r="RVR1" s="70"/>
      <c r="RVS1" s="70"/>
      <c r="RVT1" s="70"/>
      <c r="RVU1" s="70"/>
      <c r="RVV1" s="70"/>
      <c r="RVW1" s="70"/>
      <c r="RVX1" s="70"/>
      <c r="RVY1" s="70"/>
      <c r="RVZ1" s="70"/>
      <c r="RWA1" s="70"/>
      <c r="RWB1" s="70"/>
      <c r="RWC1" s="70"/>
      <c r="RWD1" s="70"/>
      <c r="RWE1" s="70"/>
      <c r="RWF1" s="70"/>
      <c r="RWG1" s="70"/>
      <c r="RWH1" s="70"/>
      <c r="RWI1" s="70"/>
      <c r="RWJ1" s="70"/>
      <c r="RWK1" s="70"/>
      <c r="RWL1" s="70"/>
      <c r="RWM1" s="70"/>
      <c r="RWN1" s="70"/>
      <c r="RWO1" s="70"/>
      <c r="RWP1" s="70"/>
      <c r="RWQ1" s="70"/>
      <c r="RWR1" s="70"/>
      <c r="RWS1" s="70"/>
      <c r="RWT1" s="70"/>
      <c r="RWU1" s="70"/>
      <c r="RWV1" s="70"/>
      <c r="RWW1" s="70"/>
      <c r="RWX1" s="70"/>
      <c r="RWY1" s="70"/>
      <c r="RWZ1" s="70"/>
      <c r="RXA1" s="70"/>
      <c r="RXB1" s="70"/>
      <c r="RXC1" s="70"/>
      <c r="RXD1" s="70"/>
      <c r="RXE1" s="70"/>
      <c r="RXF1" s="70"/>
      <c r="RXG1" s="70"/>
      <c r="RXH1" s="70"/>
      <c r="RXI1" s="70"/>
      <c r="RXJ1" s="70"/>
      <c r="RXK1" s="70"/>
      <c r="RXL1" s="70"/>
      <c r="RXM1" s="70"/>
      <c r="RXN1" s="70"/>
      <c r="RXO1" s="70"/>
      <c r="RXP1" s="70"/>
      <c r="RXQ1" s="70"/>
      <c r="RXR1" s="70"/>
      <c r="RXS1" s="70"/>
      <c r="RXT1" s="70"/>
      <c r="RXU1" s="70"/>
      <c r="RXV1" s="70"/>
      <c r="RXW1" s="70"/>
      <c r="RXX1" s="70"/>
      <c r="RXY1" s="70"/>
      <c r="RXZ1" s="70"/>
      <c r="RYA1" s="70"/>
      <c r="RYB1" s="70"/>
      <c r="RYC1" s="70"/>
      <c r="RYD1" s="70"/>
      <c r="RYE1" s="70"/>
      <c r="RYF1" s="70"/>
      <c r="RYG1" s="70"/>
      <c r="RYH1" s="70"/>
      <c r="RYI1" s="70"/>
      <c r="RYJ1" s="70"/>
      <c r="RYK1" s="70"/>
      <c r="RYL1" s="70"/>
      <c r="RYM1" s="70"/>
      <c r="RYN1" s="70"/>
      <c r="RYO1" s="70"/>
      <c r="RYP1" s="70"/>
      <c r="RYQ1" s="70"/>
      <c r="RYR1" s="70"/>
      <c r="RYS1" s="70"/>
      <c r="RYT1" s="70"/>
      <c r="RYU1" s="70"/>
      <c r="RYV1" s="70"/>
      <c r="RYW1" s="70"/>
      <c r="RYX1" s="70"/>
      <c r="RYY1" s="70"/>
      <c r="RYZ1" s="70"/>
      <c r="RZA1" s="70"/>
      <c r="RZB1" s="70"/>
      <c r="RZC1" s="70"/>
      <c r="RZD1" s="70"/>
      <c r="RZE1" s="70"/>
      <c r="RZF1" s="70"/>
      <c r="RZG1" s="70"/>
      <c r="RZH1" s="70"/>
      <c r="RZI1" s="70"/>
      <c r="RZJ1" s="70"/>
      <c r="RZK1" s="70"/>
      <c r="RZL1" s="70"/>
      <c r="RZM1" s="70"/>
      <c r="RZN1" s="70"/>
      <c r="RZO1" s="70"/>
      <c r="RZP1" s="70"/>
      <c r="RZQ1" s="70"/>
      <c r="RZR1" s="70"/>
      <c r="RZS1" s="70"/>
      <c r="RZT1" s="70"/>
      <c r="RZU1" s="70"/>
      <c r="RZV1" s="70"/>
      <c r="RZW1" s="70"/>
      <c r="RZX1" s="70"/>
      <c r="RZY1" s="70"/>
      <c r="RZZ1" s="70"/>
      <c r="SAA1" s="70"/>
      <c r="SAB1" s="70"/>
      <c r="SAC1" s="70"/>
      <c r="SAD1" s="70"/>
      <c r="SAE1" s="70"/>
      <c r="SAF1" s="70"/>
      <c r="SAG1" s="70"/>
      <c r="SAH1" s="70"/>
      <c r="SAI1" s="70"/>
      <c r="SAJ1" s="70"/>
      <c r="SAK1" s="70"/>
      <c r="SAL1" s="70"/>
      <c r="SAM1" s="70"/>
      <c r="SAN1" s="70"/>
      <c r="SAO1" s="70"/>
      <c r="SAP1" s="70"/>
      <c r="SAQ1" s="70"/>
      <c r="SAR1" s="70"/>
      <c r="SAS1" s="70"/>
      <c r="SAT1" s="70"/>
      <c r="SAU1" s="70"/>
      <c r="SAV1" s="70"/>
      <c r="SAW1" s="70"/>
      <c r="SAX1" s="70"/>
      <c r="SAY1" s="70"/>
      <c r="SAZ1" s="70"/>
      <c r="SBA1" s="70"/>
      <c r="SBB1" s="70"/>
      <c r="SBC1" s="70"/>
      <c r="SBD1" s="70"/>
      <c r="SBE1" s="70"/>
      <c r="SBF1" s="70"/>
      <c r="SBG1" s="70"/>
      <c r="SBH1" s="70"/>
      <c r="SBI1" s="70"/>
      <c r="SBJ1" s="70"/>
      <c r="SBK1" s="70"/>
      <c r="SBL1" s="70"/>
      <c r="SBM1" s="70"/>
      <c r="SBN1" s="70"/>
      <c r="SBO1" s="70"/>
      <c r="SBP1" s="70"/>
      <c r="SBQ1" s="70"/>
      <c r="SBR1" s="70"/>
      <c r="SBS1" s="70"/>
      <c r="SBT1" s="70"/>
      <c r="SBU1" s="70"/>
      <c r="SBV1" s="70"/>
      <c r="SBW1" s="70"/>
      <c r="SBX1" s="70"/>
      <c r="SBY1" s="70"/>
      <c r="SBZ1" s="70"/>
      <c r="SCA1" s="70"/>
      <c r="SCB1" s="70"/>
      <c r="SCC1" s="70"/>
      <c r="SCD1" s="70"/>
      <c r="SCE1" s="70"/>
      <c r="SCF1" s="70"/>
      <c r="SCG1" s="70"/>
      <c r="SCH1" s="70"/>
      <c r="SCI1" s="70"/>
      <c r="SCJ1" s="70"/>
      <c r="SCK1" s="70"/>
      <c r="SCL1" s="70"/>
      <c r="SCM1" s="70"/>
      <c r="SCN1" s="70"/>
      <c r="SCO1" s="70"/>
      <c r="SCP1" s="70"/>
      <c r="SCQ1" s="70"/>
      <c r="SCR1" s="70"/>
      <c r="SCS1" s="70"/>
      <c r="SCT1" s="70"/>
      <c r="SCU1" s="70"/>
      <c r="SCV1" s="70"/>
      <c r="SCW1" s="70"/>
      <c r="SCX1" s="70"/>
      <c r="SCY1" s="70"/>
      <c r="SCZ1" s="70"/>
      <c r="SDA1" s="70"/>
      <c r="SDB1" s="70"/>
      <c r="SDC1" s="70"/>
      <c r="SDD1" s="70"/>
      <c r="SDE1" s="70"/>
      <c r="SDF1" s="70"/>
      <c r="SDG1" s="70"/>
      <c r="SDH1" s="70"/>
      <c r="SDI1" s="70"/>
      <c r="SDJ1" s="70"/>
      <c r="SDK1" s="70"/>
      <c r="SDL1" s="70"/>
      <c r="SDM1" s="70"/>
      <c r="SDN1" s="70"/>
      <c r="SDO1" s="70"/>
      <c r="SDP1" s="70"/>
      <c r="SDQ1" s="70"/>
      <c r="SDR1" s="70"/>
      <c r="SDS1" s="70"/>
      <c r="SDT1" s="70"/>
      <c r="SDU1" s="70"/>
      <c r="SDV1" s="70"/>
      <c r="SDW1" s="70"/>
      <c r="SDX1" s="70"/>
      <c r="SDY1" s="70"/>
      <c r="SDZ1" s="70"/>
      <c r="SEA1" s="70"/>
      <c r="SEB1" s="70"/>
      <c r="SEC1" s="70"/>
      <c r="SED1" s="70"/>
      <c r="SEE1" s="70"/>
      <c r="SEF1" s="70"/>
      <c r="SEG1" s="70"/>
      <c r="SEH1" s="70"/>
      <c r="SEI1" s="70"/>
      <c r="SEJ1" s="70"/>
      <c r="SEK1" s="70"/>
      <c r="SEL1" s="70"/>
      <c r="SEM1" s="70"/>
      <c r="SEN1" s="70"/>
      <c r="SEO1" s="70"/>
      <c r="SEP1" s="70"/>
      <c r="SEQ1" s="70"/>
      <c r="SER1" s="70"/>
      <c r="SES1" s="70"/>
      <c r="SET1" s="70"/>
      <c r="SEU1" s="70"/>
      <c r="SEV1" s="70"/>
      <c r="SEW1" s="70"/>
      <c r="SEX1" s="70"/>
      <c r="SEY1" s="70"/>
      <c r="SEZ1" s="70"/>
      <c r="SFA1" s="70"/>
      <c r="SFB1" s="70"/>
      <c r="SFC1" s="70"/>
      <c r="SFD1" s="70"/>
      <c r="SFE1" s="70"/>
      <c r="SFF1" s="70"/>
      <c r="SFG1" s="70"/>
      <c r="SFH1" s="70"/>
      <c r="SFI1" s="70"/>
      <c r="SFJ1" s="70"/>
      <c r="SFK1" s="70"/>
      <c r="SFL1" s="70"/>
      <c r="SFM1" s="70"/>
      <c r="SFN1" s="70"/>
      <c r="SFO1" s="70"/>
      <c r="SFP1" s="70"/>
      <c r="SFQ1" s="70"/>
      <c r="SFR1" s="70"/>
      <c r="SFS1" s="70"/>
      <c r="SFT1" s="70"/>
      <c r="SFU1" s="70"/>
      <c r="SFV1" s="70"/>
      <c r="SFW1" s="70"/>
      <c r="SFX1" s="70"/>
      <c r="SFY1" s="70"/>
      <c r="SFZ1" s="70"/>
      <c r="SGA1" s="70"/>
      <c r="SGB1" s="70"/>
      <c r="SGC1" s="70"/>
      <c r="SGD1" s="70"/>
      <c r="SGE1" s="70"/>
      <c r="SGF1" s="70"/>
      <c r="SGG1" s="70"/>
      <c r="SGH1" s="70"/>
      <c r="SGI1" s="70"/>
      <c r="SGJ1" s="70"/>
      <c r="SGK1" s="70"/>
      <c r="SGL1" s="70"/>
      <c r="SGM1" s="70"/>
      <c r="SGN1" s="70"/>
      <c r="SGO1" s="70"/>
      <c r="SGP1" s="70"/>
      <c r="SGQ1" s="70"/>
      <c r="SGR1" s="70"/>
      <c r="SGS1" s="70"/>
      <c r="SGT1" s="70"/>
      <c r="SGU1" s="70"/>
      <c r="SGV1" s="70"/>
      <c r="SGW1" s="70"/>
      <c r="SGX1" s="70"/>
      <c r="SGY1" s="70"/>
      <c r="SGZ1" s="70"/>
      <c r="SHA1" s="70"/>
      <c r="SHB1" s="70"/>
      <c r="SHC1" s="70"/>
      <c r="SHD1" s="70"/>
      <c r="SHE1" s="70"/>
      <c r="SHF1" s="70"/>
      <c r="SHG1" s="70"/>
      <c r="SHH1" s="70"/>
      <c r="SHI1" s="70"/>
      <c r="SHJ1" s="70"/>
      <c r="SHK1" s="70"/>
      <c r="SHL1" s="70"/>
      <c r="SHM1" s="70"/>
      <c r="SHN1" s="70"/>
      <c r="SHO1" s="70"/>
      <c r="SHP1" s="70"/>
      <c r="SHQ1" s="70"/>
      <c r="SHR1" s="70"/>
      <c r="SHS1" s="70"/>
      <c r="SHT1" s="70"/>
      <c r="SHU1" s="70"/>
      <c r="SHV1" s="70"/>
      <c r="SHW1" s="70"/>
      <c r="SHX1" s="70"/>
      <c r="SHY1" s="70"/>
      <c r="SHZ1" s="70"/>
      <c r="SIA1" s="70"/>
      <c r="SIB1" s="70"/>
      <c r="SIC1" s="70"/>
      <c r="SID1" s="70"/>
      <c r="SIE1" s="70"/>
      <c r="SIF1" s="70"/>
      <c r="SIG1" s="70"/>
      <c r="SIH1" s="70"/>
      <c r="SII1" s="70"/>
      <c r="SIJ1" s="70"/>
      <c r="SIK1" s="70"/>
      <c r="SIL1" s="70"/>
      <c r="SIM1" s="70"/>
      <c r="SIN1" s="70"/>
      <c r="SIO1" s="70"/>
      <c r="SIP1" s="70"/>
      <c r="SIQ1" s="70"/>
      <c r="SIR1" s="70"/>
      <c r="SIS1" s="70"/>
      <c r="SIT1" s="70"/>
      <c r="SIU1" s="70"/>
      <c r="SIV1" s="70"/>
      <c r="SIW1" s="70"/>
      <c r="SIX1" s="70"/>
      <c r="SIY1" s="70"/>
      <c r="SIZ1" s="70"/>
      <c r="SJA1" s="70"/>
      <c r="SJB1" s="70"/>
      <c r="SJC1" s="70"/>
      <c r="SJD1" s="70"/>
      <c r="SJE1" s="70"/>
      <c r="SJF1" s="70"/>
      <c r="SJG1" s="70"/>
      <c r="SJH1" s="70"/>
      <c r="SJI1" s="70"/>
      <c r="SJJ1" s="70"/>
      <c r="SJK1" s="70"/>
      <c r="SJL1" s="70"/>
      <c r="SJM1" s="70"/>
      <c r="SJN1" s="70"/>
      <c r="SJO1" s="70"/>
      <c r="SJP1" s="70"/>
      <c r="SJQ1" s="70"/>
      <c r="SJR1" s="70"/>
      <c r="SJS1" s="70"/>
      <c r="SJT1" s="70"/>
      <c r="SJU1" s="70"/>
      <c r="SJV1" s="70"/>
      <c r="SJW1" s="70"/>
      <c r="SJX1" s="70"/>
      <c r="SJY1" s="70"/>
      <c r="SJZ1" s="70"/>
      <c r="SKA1" s="70"/>
      <c r="SKB1" s="70"/>
      <c r="SKC1" s="70"/>
      <c r="SKD1" s="70"/>
      <c r="SKE1" s="70"/>
      <c r="SKF1" s="70"/>
      <c r="SKG1" s="70"/>
      <c r="SKH1" s="70"/>
      <c r="SKI1" s="70"/>
      <c r="SKJ1" s="70"/>
      <c r="SKK1" s="70"/>
      <c r="SKL1" s="70"/>
      <c r="SKM1" s="70"/>
      <c r="SKN1" s="70"/>
      <c r="SKO1" s="70"/>
      <c r="SKP1" s="70"/>
      <c r="SKQ1" s="70"/>
      <c r="SKR1" s="70"/>
      <c r="SKS1" s="70"/>
      <c r="SKT1" s="70"/>
      <c r="SKU1" s="70"/>
      <c r="SKV1" s="70"/>
      <c r="SKW1" s="70"/>
      <c r="SKX1" s="70"/>
      <c r="SKY1" s="70"/>
      <c r="SKZ1" s="70"/>
      <c r="SLA1" s="70"/>
      <c r="SLB1" s="70"/>
      <c r="SLC1" s="70"/>
      <c r="SLD1" s="70"/>
      <c r="SLE1" s="70"/>
      <c r="SLF1" s="70"/>
      <c r="SLG1" s="70"/>
      <c r="SLH1" s="70"/>
      <c r="SLI1" s="70"/>
      <c r="SLJ1" s="70"/>
      <c r="SLK1" s="70"/>
      <c r="SLL1" s="70"/>
      <c r="SLM1" s="70"/>
      <c r="SLN1" s="70"/>
      <c r="SLO1" s="70"/>
      <c r="SLP1" s="70"/>
      <c r="SLQ1" s="70"/>
      <c r="SLR1" s="70"/>
      <c r="SLS1" s="70"/>
      <c r="SLT1" s="70"/>
      <c r="SLU1" s="70"/>
      <c r="SLV1" s="70"/>
      <c r="SLW1" s="70"/>
      <c r="SLX1" s="70"/>
      <c r="SLY1" s="70"/>
      <c r="SLZ1" s="70"/>
      <c r="SMA1" s="70"/>
      <c r="SMB1" s="70"/>
      <c r="SMC1" s="70"/>
      <c r="SMD1" s="70"/>
      <c r="SME1" s="70"/>
      <c r="SMF1" s="70"/>
      <c r="SMG1" s="70"/>
      <c r="SMH1" s="70"/>
      <c r="SMI1" s="70"/>
      <c r="SMJ1" s="70"/>
      <c r="SMK1" s="70"/>
      <c r="SML1" s="70"/>
      <c r="SMM1" s="70"/>
      <c r="SMN1" s="70"/>
      <c r="SMO1" s="70"/>
      <c r="SMP1" s="70"/>
      <c r="SMQ1" s="70"/>
      <c r="SMR1" s="70"/>
      <c r="SMS1" s="70"/>
      <c r="SMT1" s="70"/>
      <c r="SMU1" s="70"/>
      <c r="SMV1" s="70"/>
      <c r="SMW1" s="70"/>
      <c r="SMX1" s="70"/>
      <c r="SMY1" s="70"/>
      <c r="SMZ1" s="70"/>
      <c r="SNA1" s="70"/>
      <c r="SNB1" s="70"/>
      <c r="SNC1" s="70"/>
      <c r="SND1" s="70"/>
      <c r="SNE1" s="70"/>
      <c r="SNF1" s="70"/>
      <c r="SNG1" s="70"/>
      <c r="SNH1" s="70"/>
      <c r="SNI1" s="70"/>
      <c r="SNJ1" s="70"/>
      <c r="SNK1" s="70"/>
      <c r="SNL1" s="70"/>
      <c r="SNM1" s="70"/>
      <c r="SNN1" s="70"/>
      <c r="SNO1" s="70"/>
      <c r="SNP1" s="70"/>
      <c r="SNQ1" s="70"/>
      <c r="SNR1" s="70"/>
      <c r="SNS1" s="70"/>
      <c r="SNT1" s="70"/>
      <c r="SNU1" s="70"/>
      <c r="SNV1" s="70"/>
      <c r="SNW1" s="70"/>
      <c r="SNX1" s="70"/>
      <c r="SNY1" s="70"/>
      <c r="SNZ1" s="70"/>
      <c r="SOA1" s="70"/>
      <c r="SOB1" s="70"/>
      <c r="SOC1" s="70"/>
      <c r="SOD1" s="70"/>
      <c r="SOE1" s="70"/>
      <c r="SOF1" s="70"/>
      <c r="SOG1" s="70"/>
      <c r="SOH1" s="70"/>
      <c r="SOI1" s="70"/>
      <c r="SOJ1" s="70"/>
      <c r="SOK1" s="70"/>
      <c r="SOL1" s="70"/>
      <c r="SOM1" s="70"/>
      <c r="SON1" s="70"/>
      <c r="SOO1" s="70"/>
      <c r="SOP1" s="70"/>
      <c r="SOQ1" s="70"/>
      <c r="SOR1" s="70"/>
      <c r="SOS1" s="70"/>
      <c r="SOT1" s="70"/>
      <c r="SOU1" s="70"/>
      <c r="SOV1" s="70"/>
      <c r="SOW1" s="70"/>
      <c r="SOX1" s="70"/>
      <c r="SOY1" s="70"/>
      <c r="SOZ1" s="70"/>
      <c r="SPA1" s="70"/>
      <c r="SPB1" s="70"/>
      <c r="SPC1" s="70"/>
      <c r="SPD1" s="70"/>
      <c r="SPE1" s="70"/>
      <c r="SPF1" s="70"/>
      <c r="SPG1" s="70"/>
      <c r="SPH1" s="70"/>
      <c r="SPI1" s="70"/>
      <c r="SPJ1" s="70"/>
      <c r="SPK1" s="70"/>
      <c r="SPL1" s="70"/>
      <c r="SPM1" s="70"/>
      <c r="SPN1" s="70"/>
      <c r="SPO1" s="70"/>
      <c r="SPP1" s="70"/>
      <c r="SPQ1" s="70"/>
      <c r="SPR1" s="70"/>
      <c r="SPS1" s="70"/>
      <c r="SPT1" s="70"/>
      <c r="SPU1" s="70"/>
      <c r="SPV1" s="70"/>
      <c r="SPW1" s="70"/>
      <c r="SPX1" s="70"/>
      <c r="SPY1" s="70"/>
      <c r="SPZ1" s="70"/>
      <c r="SQA1" s="70"/>
      <c r="SQB1" s="70"/>
      <c r="SQC1" s="70"/>
      <c r="SQD1" s="70"/>
      <c r="SQE1" s="70"/>
      <c r="SQF1" s="70"/>
      <c r="SQG1" s="70"/>
      <c r="SQH1" s="70"/>
      <c r="SQI1" s="70"/>
      <c r="SQJ1" s="70"/>
      <c r="SQK1" s="70"/>
      <c r="SQL1" s="70"/>
      <c r="SQM1" s="70"/>
      <c r="SQN1" s="70"/>
      <c r="SQO1" s="70"/>
      <c r="SQP1" s="70"/>
      <c r="SQQ1" s="70"/>
      <c r="SQR1" s="70"/>
      <c r="SQS1" s="70"/>
      <c r="SQT1" s="70"/>
      <c r="SQU1" s="70"/>
      <c r="SQV1" s="70"/>
      <c r="SQW1" s="70"/>
      <c r="SQX1" s="70"/>
      <c r="SQY1" s="70"/>
      <c r="SQZ1" s="70"/>
      <c r="SRA1" s="70"/>
      <c r="SRB1" s="70"/>
      <c r="SRC1" s="70"/>
      <c r="SRD1" s="70"/>
      <c r="SRE1" s="70"/>
      <c r="SRF1" s="70"/>
      <c r="SRG1" s="70"/>
      <c r="SRH1" s="70"/>
      <c r="SRI1" s="70"/>
      <c r="SRJ1" s="70"/>
      <c r="SRK1" s="70"/>
      <c r="SRL1" s="70"/>
      <c r="SRM1" s="70"/>
      <c r="SRN1" s="70"/>
      <c r="SRO1" s="70"/>
      <c r="SRP1" s="70"/>
      <c r="SRQ1" s="70"/>
      <c r="SRR1" s="70"/>
      <c r="SRS1" s="70"/>
      <c r="SRT1" s="70"/>
      <c r="SRU1" s="70"/>
      <c r="SRV1" s="70"/>
      <c r="SRW1" s="70"/>
      <c r="SRX1" s="70"/>
      <c r="SRY1" s="70"/>
      <c r="SRZ1" s="70"/>
      <c r="SSA1" s="70"/>
      <c r="SSB1" s="70"/>
      <c r="SSC1" s="70"/>
      <c r="SSD1" s="70"/>
      <c r="SSE1" s="70"/>
      <c r="SSF1" s="70"/>
      <c r="SSG1" s="70"/>
      <c r="SSH1" s="70"/>
      <c r="SSI1" s="70"/>
      <c r="SSJ1" s="70"/>
      <c r="SSK1" s="70"/>
      <c r="SSL1" s="70"/>
      <c r="SSM1" s="70"/>
      <c r="SSN1" s="70"/>
      <c r="SSO1" s="70"/>
      <c r="SSP1" s="70"/>
      <c r="SSQ1" s="70"/>
      <c r="SSR1" s="70"/>
      <c r="SSS1" s="70"/>
      <c r="SST1" s="70"/>
      <c r="SSU1" s="70"/>
      <c r="SSV1" s="70"/>
      <c r="SSW1" s="70"/>
      <c r="SSX1" s="70"/>
      <c r="SSY1" s="70"/>
      <c r="SSZ1" s="70"/>
      <c r="STA1" s="70"/>
      <c r="STB1" s="70"/>
      <c r="STC1" s="70"/>
      <c r="STD1" s="70"/>
      <c r="STE1" s="70"/>
      <c r="STF1" s="70"/>
      <c r="STG1" s="70"/>
      <c r="STH1" s="70"/>
      <c r="STI1" s="70"/>
      <c r="STJ1" s="70"/>
      <c r="STK1" s="70"/>
      <c r="STL1" s="70"/>
      <c r="STM1" s="70"/>
      <c r="STN1" s="70"/>
      <c r="STO1" s="70"/>
      <c r="STP1" s="70"/>
      <c r="STQ1" s="70"/>
      <c r="STR1" s="70"/>
      <c r="STS1" s="70"/>
      <c r="STT1" s="70"/>
      <c r="STU1" s="70"/>
      <c r="STV1" s="70"/>
      <c r="STW1" s="70"/>
      <c r="STX1" s="70"/>
      <c r="STY1" s="70"/>
      <c r="STZ1" s="70"/>
      <c r="SUA1" s="70"/>
      <c r="SUB1" s="70"/>
      <c r="SUC1" s="70"/>
      <c r="SUD1" s="70"/>
      <c r="SUE1" s="70"/>
      <c r="SUF1" s="70"/>
      <c r="SUG1" s="70"/>
      <c r="SUH1" s="70"/>
      <c r="SUI1" s="70"/>
      <c r="SUJ1" s="70"/>
      <c r="SUK1" s="70"/>
      <c r="SUL1" s="70"/>
      <c r="SUM1" s="70"/>
      <c r="SUN1" s="70"/>
      <c r="SUO1" s="70"/>
      <c r="SUP1" s="70"/>
      <c r="SUQ1" s="70"/>
      <c r="SUR1" s="70"/>
      <c r="SUS1" s="70"/>
      <c r="SUT1" s="70"/>
      <c r="SUU1" s="70"/>
      <c r="SUV1" s="70"/>
      <c r="SUW1" s="70"/>
      <c r="SUX1" s="70"/>
      <c r="SUY1" s="70"/>
      <c r="SUZ1" s="70"/>
      <c r="SVA1" s="70"/>
      <c r="SVB1" s="70"/>
      <c r="SVC1" s="70"/>
      <c r="SVD1" s="70"/>
      <c r="SVE1" s="70"/>
      <c r="SVF1" s="70"/>
      <c r="SVG1" s="70"/>
      <c r="SVH1" s="70"/>
      <c r="SVI1" s="70"/>
      <c r="SVJ1" s="70"/>
      <c r="SVK1" s="70"/>
      <c r="SVL1" s="70"/>
      <c r="SVM1" s="70"/>
      <c r="SVN1" s="70"/>
      <c r="SVO1" s="70"/>
      <c r="SVP1" s="70"/>
      <c r="SVQ1" s="70"/>
      <c r="SVR1" s="70"/>
      <c r="SVS1" s="70"/>
      <c r="SVT1" s="70"/>
      <c r="SVU1" s="70"/>
      <c r="SVV1" s="70"/>
      <c r="SVW1" s="70"/>
      <c r="SVX1" s="70"/>
      <c r="SVY1" s="70"/>
      <c r="SVZ1" s="70"/>
      <c r="SWA1" s="70"/>
      <c r="SWB1" s="70"/>
      <c r="SWC1" s="70"/>
      <c r="SWD1" s="70"/>
      <c r="SWE1" s="70"/>
      <c r="SWF1" s="70"/>
      <c r="SWG1" s="70"/>
      <c r="SWH1" s="70"/>
      <c r="SWI1" s="70"/>
      <c r="SWJ1" s="70"/>
      <c r="SWK1" s="70"/>
      <c r="SWL1" s="70"/>
      <c r="SWM1" s="70"/>
      <c r="SWN1" s="70"/>
      <c r="SWO1" s="70"/>
      <c r="SWP1" s="70"/>
      <c r="SWQ1" s="70"/>
      <c r="SWR1" s="70"/>
      <c r="SWS1" s="70"/>
      <c r="SWT1" s="70"/>
      <c r="SWU1" s="70"/>
      <c r="SWV1" s="70"/>
      <c r="SWW1" s="70"/>
      <c r="SWX1" s="70"/>
      <c r="SWY1" s="70"/>
      <c r="SWZ1" s="70"/>
      <c r="SXA1" s="70"/>
      <c r="SXB1" s="70"/>
      <c r="SXC1" s="70"/>
      <c r="SXD1" s="70"/>
      <c r="SXE1" s="70"/>
      <c r="SXF1" s="70"/>
      <c r="SXG1" s="70"/>
      <c r="SXH1" s="70"/>
      <c r="SXI1" s="70"/>
      <c r="SXJ1" s="70"/>
      <c r="SXK1" s="70"/>
      <c r="SXL1" s="70"/>
      <c r="SXM1" s="70"/>
      <c r="SXN1" s="70"/>
      <c r="SXO1" s="70"/>
      <c r="SXP1" s="70"/>
      <c r="SXQ1" s="70"/>
      <c r="SXR1" s="70"/>
      <c r="SXS1" s="70"/>
      <c r="SXT1" s="70"/>
      <c r="SXU1" s="70"/>
      <c r="SXV1" s="70"/>
      <c r="SXW1" s="70"/>
      <c r="SXX1" s="70"/>
      <c r="SXY1" s="70"/>
      <c r="SXZ1" s="70"/>
      <c r="SYA1" s="70"/>
      <c r="SYB1" s="70"/>
      <c r="SYC1" s="70"/>
      <c r="SYD1" s="70"/>
      <c r="SYE1" s="70"/>
      <c r="SYF1" s="70"/>
      <c r="SYG1" s="70"/>
      <c r="SYH1" s="70"/>
      <c r="SYI1" s="70"/>
      <c r="SYJ1" s="70"/>
      <c r="SYK1" s="70"/>
      <c r="SYL1" s="70"/>
      <c r="SYM1" s="70"/>
      <c r="SYN1" s="70"/>
      <c r="SYO1" s="70"/>
      <c r="SYP1" s="70"/>
      <c r="SYQ1" s="70"/>
      <c r="SYR1" s="70"/>
      <c r="SYS1" s="70"/>
      <c r="SYT1" s="70"/>
      <c r="SYU1" s="70"/>
      <c r="SYV1" s="70"/>
      <c r="SYW1" s="70"/>
      <c r="SYX1" s="70"/>
      <c r="SYY1" s="70"/>
      <c r="SYZ1" s="70"/>
      <c r="SZA1" s="70"/>
      <c r="SZB1" s="70"/>
      <c r="SZC1" s="70"/>
      <c r="SZD1" s="70"/>
      <c r="SZE1" s="70"/>
      <c r="SZF1" s="70"/>
      <c r="SZG1" s="70"/>
      <c r="SZH1" s="70"/>
      <c r="SZI1" s="70"/>
      <c r="SZJ1" s="70"/>
      <c r="SZK1" s="70"/>
      <c r="SZL1" s="70"/>
      <c r="SZM1" s="70"/>
      <c r="SZN1" s="70"/>
      <c r="SZO1" s="70"/>
      <c r="SZP1" s="70"/>
      <c r="SZQ1" s="70"/>
      <c r="SZR1" s="70"/>
      <c r="SZS1" s="70"/>
      <c r="SZT1" s="70"/>
      <c r="SZU1" s="70"/>
      <c r="SZV1" s="70"/>
      <c r="SZW1" s="70"/>
      <c r="SZX1" s="70"/>
      <c r="SZY1" s="70"/>
      <c r="SZZ1" s="70"/>
      <c r="TAA1" s="70"/>
      <c r="TAB1" s="70"/>
      <c r="TAC1" s="70"/>
      <c r="TAD1" s="70"/>
      <c r="TAE1" s="70"/>
      <c r="TAF1" s="70"/>
      <c r="TAG1" s="70"/>
      <c r="TAH1" s="70"/>
      <c r="TAI1" s="70"/>
      <c r="TAJ1" s="70"/>
      <c r="TAK1" s="70"/>
      <c r="TAL1" s="70"/>
      <c r="TAM1" s="70"/>
      <c r="TAN1" s="70"/>
      <c r="TAO1" s="70"/>
      <c r="TAP1" s="70"/>
      <c r="TAQ1" s="70"/>
      <c r="TAR1" s="70"/>
      <c r="TAS1" s="70"/>
      <c r="TAT1" s="70"/>
      <c r="TAU1" s="70"/>
      <c r="TAV1" s="70"/>
      <c r="TAW1" s="70"/>
      <c r="TAX1" s="70"/>
      <c r="TAY1" s="70"/>
      <c r="TAZ1" s="70"/>
      <c r="TBA1" s="70"/>
      <c r="TBB1" s="70"/>
      <c r="TBC1" s="70"/>
      <c r="TBD1" s="70"/>
      <c r="TBE1" s="70"/>
      <c r="TBF1" s="70"/>
      <c r="TBG1" s="70"/>
      <c r="TBH1" s="70"/>
      <c r="TBI1" s="70"/>
      <c r="TBJ1" s="70"/>
      <c r="TBK1" s="70"/>
      <c r="TBL1" s="70"/>
      <c r="TBM1" s="70"/>
      <c r="TBN1" s="70"/>
      <c r="TBO1" s="70"/>
      <c r="TBP1" s="70"/>
      <c r="TBQ1" s="70"/>
      <c r="TBR1" s="70"/>
      <c r="TBS1" s="70"/>
      <c r="TBT1" s="70"/>
      <c r="TBU1" s="70"/>
      <c r="TBV1" s="70"/>
      <c r="TBW1" s="70"/>
      <c r="TBX1" s="70"/>
      <c r="TBY1" s="70"/>
      <c r="TBZ1" s="70"/>
      <c r="TCA1" s="70"/>
      <c r="TCB1" s="70"/>
      <c r="TCC1" s="70"/>
      <c r="TCD1" s="70"/>
      <c r="TCE1" s="70"/>
      <c r="TCF1" s="70"/>
      <c r="TCG1" s="70"/>
      <c r="TCH1" s="70"/>
      <c r="TCI1" s="70"/>
      <c r="TCJ1" s="70"/>
      <c r="TCK1" s="70"/>
      <c r="TCL1" s="70"/>
      <c r="TCM1" s="70"/>
      <c r="TCN1" s="70"/>
      <c r="TCO1" s="70"/>
      <c r="TCP1" s="70"/>
      <c r="TCQ1" s="70"/>
      <c r="TCR1" s="70"/>
      <c r="TCS1" s="70"/>
      <c r="TCT1" s="70"/>
      <c r="TCU1" s="70"/>
      <c r="TCV1" s="70"/>
      <c r="TCW1" s="70"/>
      <c r="TCX1" s="70"/>
      <c r="TCY1" s="70"/>
      <c r="TCZ1" s="70"/>
      <c r="TDA1" s="70"/>
      <c r="TDB1" s="70"/>
      <c r="TDC1" s="70"/>
      <c r="TDD1" s="70"/>
      <c r="TDE1" s="70"/>
      <c r="TDF1" s="70"/>
      <c r="TDG1" s="70"/>
      <c r="TDH1" s="70"/>
      <c r="TDI1" s="70"/>
      <c r="TDJ1" s="70"/>
      <c r="TDK1" s="70"/>
      <c r="TDL1" s="70"/>
      <c r="TDM1" s="70"/>
      <c r="TDN1" s="70"/>
      <c r="TDO1" s="70"/>
      <c r="TDP1" s="70"/>
      <c r="TDQ1" s="70"/>
      <c r="TDR1" s="70"/>
      <c r="TDS1" s="70"/>
      <c r="TDT1" s="70"/>
      <c r="TDU1" s="70"/>
      <c r="TDV1" s="70"/>
      <c r="TDW1" s="70"/>
      <c r="TDX1" s="70"/>
      <c r="TDY1" s="70"/>
      <c r="TDZ1" s="70"/>
      <c r="TEA1" s="70"/>
      <c r="TEB1" s="70"/>
      <c r="TEC1" s="70"/>
      <c r="TED1" s="70"/>
      <c r="TEE1" s="70"/>
      <c r="TEF1" s="70"/>
      <c r="TEG1" s="70"/>
      <c r="TEH1" s="70"/>
      <c r="TEI1" s="70"/>
      <c r="TEJ1" s="70"/>
      <c r="TEK1" s="70"/>
      <c r="TEL1" s="70"/>
      <c r="TEM1" s="70"/>
      <c r="TEN1" s="70"/>
      <c r="TEO1" s="70"/>
      <c r="TEP1" s="70"/>
      <c r="TEQ1" s="70"/>
      <c r="TER1" s="70"/>
      <c r="TES1" s="70"/>
      <c r="TET1" s="70"/>
      <c r="TEU1" s="70"/>
      <c r="TEV1" s="70"/>
      <c r="TEW1" s="70"/>
      <c r="TEX1" s="70"/>
      <c r="TEY1" s="70"/>
      <c r="TEZ1" s="70"/>
      <c r="TFA1" s="70"/>
      <c r="TFB1" s="70"/>
      <c r="TFC1" s="70"/>
      <c r="TFD1" s="70"/>
      <c r="TFE1" s="70"/>
      <c r="TFF1" s="70"/>
      <c r="TFG1" s="70"/>
      <c r="TFH1" s="70"/>
      <c r="TFI1" s="70"/>
      <c r="TFJ1" s="70"/>
      <c r="TFK1" s="70"/>
      <c r="TFL1" s="70"/>
      <c r="TFM1" s="70"/>
      <c r="TFN1" s="70"/>
      <c r="TFO1" s="70"/>
      <c r="TFP1" s="70"/>
      <c r="TFQ1" s="70"/>
      <c r="TFR1" s="70"/>
      <c r="TFS1" s="70"/>
      <c r="TFT1" s="70"/>
      <c r="TFU1" s="70"/>
      <c r="TFV1" s="70"/>
      <c r="TFW1" s="70"/>
      <c r="TFX1" s="70"/>
      <c r="TFY1" s="70"/>
      <c r="TFZ1" s="70"/>
      <c r="TGA1" s="70"/>
      <c r="TGB1" s="70"/>
      <c r="TGC1" s="70"/>
      <c r="TGD1" s="70"/>
      <c r="TGE1" s="70"/>
      <c r="TGF1" s="70"/>
      <c r="TGG1" s="70"/>
      <c r="TGH1" s="70"/>
      <c r="TGI1" s="70"/>
      <c r="TGJ1" s="70"/>
      <c r="TGK1" s="70"/>
      <c r="TGL1" s="70"/>
      <c r="TGM1" s="70"/>
      <c r="TGN1" s="70"/>
      <c r="TGO1" s="70"/>
      <c r="TGP1" s="70"/>
      <c r="TGQ1" s="70"/>
      <c r="TGR1" s="70"/>
      <c r="TGS1" s="70"/>
      <c r="TGT1" s="70"/>
      <c r="TGU1" s="70"/>
      <c r="TGV1" s="70"/>
      <c r="TGW1" s="70"/>
      <c r="TGX1" s="70"/>
      <c r="TGY1" s="70"/>
      <c r="TGZ1" s="70"/>
      <c r="THA1" s="70"/>
      <c r="THB1" s="70"/>
      <c r="THC1" s="70"/>
      <c r="THD1" s="70"/>
      <c r="THE1" s="70"/>
      <c r="THF1" s="70"/>
      <c r="THG1" s="70"/>
      <c r="THH1" s="70"/>
      <c r="THI1" s="70"/>
      <c r="THJ1" s="70"/>
      <c r="THK1" s="70"/>
      <c r="THL1" s="70"/>
      <c r="THM1" s="70"/>
      <c r="THN1" s="70"/>
      <c r="THO1" s="70"/>
      <c r="THP1" s="70"/>
      <c r="THQ1" s="70"/>
      <c r="THR1" s="70"/>
      <c r="THS1" s="70"/>
      <c r="THT1" s="70"/>
      <c r="THU1" s="70"/>
      <c r="THV1" s="70"/>
      <c r="THW1" s="70"/>
      <c r="THX1" s="70"/>
      <c r="THY1" s="70"/>
      <c r="THZ1" s="70"/>
      <c r="TIA1" s="70"/>
      <c r="TIB1" s="70"/>
      <c r="TIC1" s="70"/>
      <c r="TID1" s="70"/>
      <c r="TIE1" s="70"/>
      <c r="TIF1" s="70"/>
      <c r="TIG1" s="70"/>
      <c r="TIH1" s="70"/>
      <c r="TII1" s="70"/>
      <c r="TIJ1" s="70"/>
      <c r="TIK1" s="70"/>
      <c r="TIL1" s="70"/>
      <c r="TIM1" s="70"/>
      <c r="TIN1" s="70"/>
      <c r="TIO1" s="70"/>
      <c r="TIP1" s="70"/>
      <c r="TIQ1" s="70"/>
      <c r="TIR1" s="70"/>
      <c r="TIS1" s="70"/>
      <c r="TIT1" s="70"/>
      <c r="TIU1" s="70"/>
      <c r="TIV1" s="70"/>
      <c r="TIW1" s="70"/>
      <c r="TIX1" s="70"/>
      <c r="TIY1" s="70"/>
      <c r="TIZ1" s="70"/>
      <c r="TJA1" s="70"/>
      <c r="TJB1" s="70"/>
      <c r="TJC1" s="70"/>
      <c r="TJD1" s="70"/>
      <c r="TJE1" s="70"/>
      <c r="TJF1" s="70"/>
      <c r="TJG1" s="70"/>
      <c r="TJH1" s="70"/>
      <c r="TJI1" s="70"/>
      <c r="TJJ1" s="70"/>
      <c r="TJK1" s="70"/>
      <c r="TJL1" s="70"/>
      <c r="TJM1" s="70"/>
      <c r="TJN1" s="70"/>
      <c r="TJO1" s="70"/>
      <c r="TJP1" s="70"/>
      <c r="TJQ1" s="70"/>
      <c r="TJR1" s="70"/>
      <c r="TJS1" s="70"/>
      <c r="TJT1" s="70"/>
      <c r="TJU1" s="70"/>
      <c r="TJV1" s="70"/>
      <c r="TJW1" s="70"/>
      <c r="TJX1" s="70"/>
      <c r="TJY1" s="70"/>
      <c r="TJZ1" s="70"/>
      <c r="TKA1" s="70"/>
      <c r="TKB1" s="70"/>
      <c r="TKC1" s="70"/>
      <c r="TKD1" s="70"/>
      <c r="TKE1" s="70"/>
      <c r="TKF1" s="70"/>
      <c r="TKG1" s="70"/>
      <c r="TKH1" s="70"/>
      <c r="TKI1" s="70"/>
      <c r="TKJ1" s="70"/>
      <c r="TKK1" s="70"/>
      <c r="TKL1" s="70"/>
      <c r="TKM1" s="70"/>
      <c r="TKN1" s="70"/>
      <c r="TKO1" s="70"/>
      <c r="TKP1" s="70"/>
      <c r="TKQ1" s="70"/>
      <c r="TKR1" s="70"/>
      <c r="TKS1" s="70"/>
      <c r="TKT1" s="70"/>
      <c r="TKU1" s="70"/>
      <c r="TKV1" s="70"/>
      <c r="TKW1" s="70"/>
      <c r="TKX1" s="70"/>
      <c r="TKY1" s="70"/>
      <c r="TKZ1" s="70"/>
      <c r="TLA1" s="70"/>
      <c r="TLB1" s="70"/>
      <c r="TLC1" s="70"/>
      <c r="TLD1" s="70"/>
      <c r="TLE1" s="70"/>
      <c r="TLF1" s="70"/>
      <c r="TLG1" s="70"/>
      <c r="TLH1" s="70"/>
      <c r="TLI1" s="70"/>
      <c r="TLJ1" s="70"/>
      <c r="TLK1" s="70"/>
      <c r="TLL1" s="70"/>
      <c r="TLM1" s="70"/>
      <c r="TLN1" s="70"/>
      <c r="TLO1" s="70"/>
      <c r="TLP1" s="70"/>
      <c r="TLQ1" s="70"/>
      <c r="TLR1" s="70"/>
      <c r="TLS1" s="70"/>
      <c r="TLT1" s="70"/>
      <c r="TLU1" s="70"/>
      <c r="TLV1" s="70"/>
      <c r="TLW1" s="70"/>
      <c r="TLX1" s="70"/>
      <c r="TLY1" s="70"/>
      <c r="TLZ1" s="70"/>
      <c r="TMA1" s="70"/>
      <c r="TMB1" s="70"/>
      <c r="TMC1" s="70"/>
      <c r="TMD1" s="70"/>
      <c r="TME1" s="70"/>
      <c r="TMF1" s="70"/>
      <c r="TMG1" s="70"/>
      <c r="TMH1" s="70"/>
      <c r="TMI1" s="70"/>
      <c r="TMJ1" s="70"/>
      <c r="TMK1" s="70"/>
      <c r="TML1" s="70"/>
      <c r="TMM1" s="70"/>
      <c r="TMN1" s="70"/>
      <c r="TMO1" s="70"/>
      <c r="TMP1" s="70"/>
      <c r="TMQ1" s="70"/>
      <c r="TMR1" s="70"/>
      <c r="TMS1" s="70"/>
      <c r="TMT1" s="70"/>
      <c r="TMU1" s="70"/>
      <c r="TMV1" s="70"/>
      <c r="TMW1" s="70"/>
      <c r="TMX1" s="70"/>
      <c r="TMY1" s="70"/>
      <c r="TMZ1" s="70"/>
      <c r="TNA1" s="70"/>
      <c r="TNB1" s="70"/>
      <c r="TNC1" s="70"/>
      <c r="TND1" s="70"/>
      <c r="TNE1" s="70"/>
      <c r="TNF1" s="70"/>
      <c r="TNG1" s="70"/>
      <c r="TNH1" s="70"/>
      <c r="TNI1" s="70"/>
      <c r="TNJ1" s="70"/>
      <c r="TNK1" s="70"/>
      <c r="TNL1" s="70"/>
      <c r="TNM1" s="70"/>
      <c r="TNN1" s="70"/>
      <c r="TNO1" s="70"/>
      <c r="TNP1" s="70"/>
      <c r="TNQ1" s="70"/>
      <c r="TNR1" s="70"/>
      <c r="TNS1" s="70"/>
      <c r="TNT1" s="70"/>
      <c r="TNU1" s="70"/>
      <c r="TNV1" s="70"/>
      <c r="TNW1" s="70"/>
      <c r="TNX1" s="70"/>
      <c r="TNY1" s="70"/>
      <c r="TNZ1" s="70"/>
      <c r="TOA1" s="70"/>
      <c r="TOB1" s="70"/>
      <c r="TOC1" s="70"/>
      <c r="TOD1" s="70"/>
      <c r="TOE1" s="70"/>
      <c r="TOF1" s="70"/>
      <c r="TOG1" s="70"/>
      <c r="TOH1" s="70"/>
      <c r="TOI1" s="70"/>
      <c r="TOJ1" s="70"/>
      <c r="TOK1" s="70"/>
      <c r="TOL1" s="70"/>
      <c r="TOM1" s="70"/>
      <c r="TON1" s="70"/>
      <c r="TOO1" s="70"/>
      <c r="TOP1" s="70"/>
      <c r="TOQ1" s="70"/>
      <c r="TOR1" s="70"/>
      <c r="TOS1" s="70"/>
      <c r="TOT1" s="70"/>
      <c r="TOU1" s="70"/>
      <c r="TOV1" s="70"/>
      <c r="TOW1" s="70"/>
      <c r="TOX1" s="70"/>
      <c r="TOY1" s="70"/>
      <c r="TOZ1" s="70"/>
      <c r="TPA1" s="70"/>
      <c r="TPB1" s="70"/>
      <c r="TPC1" s="70"/>
      <c r="TPD1" s="70"/>
      <c r="TPE1" s="70"/>
      <c r="TPF1" s="70"/>
      <c r="TPG1" s="70"/>
      <c r="TPH1" s="70"/>
      <c r="TPI1" s="70"/>
      <c r="TPJ1" s="70"/>
      <c r="TPK1" s="70"/>
      <c r="TPL1" s="70"/>
      <c r="TPM1" s="70"/>
      <c r="TPN1" s="70"/>
      <c r="TPO1" s="70"/>
      <c r="TPP1" s="70"/>
      <c r="TPQ1" s="70"/>
      <c r="TPR1" s="70"/>
      <c r="TPS1" s="70"/>
      <c r="TPT1" s="70"/>
      <c r="TPU1" s="70"/>
      <c r="TPV1" s="70"/>
      <c r="TPW1" s="70"/>
      <c r="TPX1" s="70"/>
      <c r="TPY1" s="70"/>
      <c r="TPZ1" s="70"/>
      <c r="TQA1" s="70"/>
      <c r="TQB1" s="70"/>
      <c r="TQC1" s="70"/>
      <c r="TQD1" s="70"/>
      <c r="TQE1" s="70"/>
      <c r="TQF1" s="70"/>
      <c r="TQG1" s="70"/>
      <c r="TQH1" s="70"/>
      <c r="TQI1" s="70"/>
      <c r="TQJ1" s="70"/>
      <c r="TQK1" s="70"/>
      <c r="TQL1" s="70"/>
      <c r="TQM1" s="70"/>
      <c r="TQN1" s="70"/>
      <c r="TQO1" s="70"/>
      <c r="TQP1" s="70"/>
      <c r="TQQ1" s="70"/>
      <c r="TQR1" s="70"/>
      <c r="TQS1" s="70"/>
      <c r="TQT1" s="70"/>
      <c r="TQU1" s="70"/>
      <c r="TQV1" s="70"/>
      <c r="TQW1" s="70"/>
      <c r="TQX1" s="70"/>
      <c r="TQY1" s="70"/>
      <c r="TQZ1" s="70"/>
      <c r="TRA1" s="70"/>
      <c r="TRB1" s="70"/>
      <c r="TRC1" s="70"/>
      <c r="TRD1" s="70"/>
      <c r="TRE1" s="70"/>
      <c r="TRF1" s="70"/>
      <c r="TRG1" s="70"/>
      <c r="TRH1" s="70"/>
      <c r="TRI1" s="70"/>
      <c r="TRJ1" s="70"/>
      <c r="TRK1" s="70"/>
      <c r="TRL1" s="70"/>
      <c r="TRM1" s="70"/>
      <c r="TRN1" s="70"/>
      <c r="TRO1" s="70"/>
      <c r="TRP1" s="70"/>
      <c r="TRQ1" s="70"/>
      <c r="TRR1" s="70"/>
      <c r="TRS1" s="70"/>
      <c r="TRT1" s="70"/>
      <c r="TRU1" s="70"/>
      <c r="TRV1" s="70"/>
      <c r="TRW1" s="70"/>
      <c r="TRX1" s="70"/>
      <c r="TRY1" s="70"/>
      <c r="TRZ1" s="70"/>
      <c r="TSA1" s="70"/>
      <c r="TSB1" s="70"/>
      <c r="TSC1" s="70"/>
      <c r="TSD1" s="70"/>
      <c r="TSE1" s="70"/>
      <c r="TSF1" s="70"/>
      <c r="TSG1" s="70"/>
      <c r="TSH1" s="70"/>
      <c r="TSI1" s="70"/>
      <c r="TSJ1" s="70"/>
      <c r="TSK1" s="70"/>
      <c r="TSL1" s="70"/>
      <c r="TSM1" s="70"/>
      <c r="TSN1" s="70"/>
      <c r="TSO1" s="70"/>
      <c r="TSP1" s="70"/>
      <c r="TSQ1" s="70"/>
      <c r="TSR1" s="70"/>
      <c r="TSS1" s="70"/>
      <c r="TST1" s="70"/>
      <c r="TSU1" s="70"/>
      <c r="TSV1" s="70"/>
      <c r="TSW1" s="70"/>
      <c r="TSX1" s="70"/>
      <c r="TSY1" s="70"/>
      <c r="TSZ1" s="70"/>
      <c r="TTA1" s="70"/>
      <c r="TTB1" s="70"/>
      <c r="TTC1" s="70"/>
      <c r="TTD1" s="70"/>
      <c r="TTE1" s="70"/>
      <c r="TTF1" s="70"/>
      <c r="TTG1" s="70"/>
      <c r="TTH1" s="70"/>
      <c r="TTI1" s="70"/>
      <c r="TTJ1" s="70"/>
      <c r="TTK1" s="70"/>
      <c r="TTL1" s="70"/>
      <c r="TTM1" s="70"/>
      <c r="TTN1" s="70"/>
      <c r="TTO1" s="70"/>
      <c r="TTP1" s="70"/>
      <c r="TTQ1" s="70"/>
      <c r="TTR1" s="70"/>
      <c r="TTS1" s="70"/>
      <c r="TTT1" s="70"/>
      <c r="TTU1" s="70"/>
      <c r="TTV1" s="70"/>
      <c r="TTW1" s="70"/>
      <c r="TTX1" s="70"/>
      <c r="TTY1" s="70"/>
      <c r="TTZ1" s="70"/>
      <c r="TUA1" s="70"/>
      <c r="TUB1" s="70"/>
      <c r="TUC1" s="70"/>
      <c r="TUD1" s="70"/>
      <c r="TUE1" s="70"/>
      <c r="TUF1" s="70"/>
      <c r="TUG1" s="70"/>
      <c r="TUH1" s="70"/>
      <c r="TUI1" s="70"/>
      <c r="TUJ1" s="70"/>
      <c r="TUK1" s="70"/>
      <c r="TUL1" s="70"/>
      <c r="TUM1" s="70"/>
      <c r="TUN1" s="70"/>
      <c r="TUO1" s="70"/>
      <c r="TUP1" s="70"/>
      <c r="TUQ1" s="70"/>
      <c r="TUR1" s="70"/>
      <c r="TUS1" s="70"/>
      <c r="TUT1" s="70"/>
      <c r="TUU1" s="70"/>
      <c r="TUV1" s="70"/>
      <c r="TUW1" s="70"/>
      <c r="TUX1" s="70"/>
      <c r="TUY1" s="70"/>
      <c r="TUZ1" s="70"/>
      <c r="TVA1" s="70"/>
      <c r="TVB1" s="70"/>
      <c r="TVC1" s="70"/>
      <c r="TVD1" s="70"/>
      <c r="TVE1" s="70"/>
      <c r="TVF1" s="70"/>
      <c r="TVG1" s="70"/>
      <c r="TVH1" s="70"/>
      <c r="TVI1" s="70"/>
      <c r="TVJ1" s="70"/>
      <c r="TVK1" s="70"/>
      <c r="TVL1" s="70"/>
      <c r="TVM1" s="70"/>
      <c r="TVN1" s="70"/>
      <c r="TVO1" s="70"/>
      <c r="TVP1" s="70"/>
      <c r="TVQ1" s="70"/>
      <c r="TVR1" s="70"/>
      <c r="TVS1" s="70"/>
      <c r="TVT1" s="70"/>
      <c r="TVU1" s="70"/>
      <c r="TVV1" s="70"/>
      <c r="TVW1" s="70"/>
      <c r="TVX1" s="70"/>
      <c r="TVY1" s="70"/>
      <c r="TVZ1" s="70"/>
      <c r="TWA1" s="70"/>
      <c r="TWB1" s="70"/>
      <c r="TWC1" s="70"/>
      <c r="TWD1" s="70"/>
      <c r="TWE1" s="70"/>
      <c r="TWF1" s="70"/>
      <c r="TWG1" s="70"/>
      <c r="TWH1" s="70"/>
      <c r="TWI1" s="70"/>
      <c r="TWJ1" s="70"/>
      <c r="TWK1" s="70"/>
      <c r="TWL1" s="70"/>
      <c r="TWM1" s="70"/>
      <c r="TWN1" s="70"/>
      <c r="TWO1" s="70"/>
      <c r="TWP1" s="70"/>
      <c r="TWQ1" s="70"/>
      <c r="TWR1" s="70"/>
      <c r="TWS1" s="70"/>
      <c r="TWT1" s="70"/>
      <c r="TWU1" s="70"/>
      <c r="TWV1" s="70"/>
      <c r="TWW1" s="70"/>
      <c r="TWX1" s="70"/>
      <c r="TWY1" s="70"/>
      <c r="TWZ1" s="70"/>
      <c r="TXA1" s="70"/>
      <c r="TXB1" s="70"/>
      <c r="TXC1" s="70"/>
      <c r="TXD1" s="70"/>
      <c r="TXE1" s="70"/>
      <c r="TXF1" s="70"/>
      <c r="TXG1" s="70"/>
      <c r="TXH1" s="70"/>
      <c r="TXI1" s="70"/>
      <c r="TXJ1" s="70"/>
      <c r="TXK1" s="70"/>
      <c r="TXL1" s="70"/>
      <c r="TXM1" s="70"/>
      <c r="TXN1" s="70"/>
      <c r="TXO1" s="70"/>
      <c r="TXP1" s="70"/>
      <c r="TXQ1" s="70"/>
      <c r="TXR1" s="70"/>
      <c r="TXS1" s="70"/>
      <c r="TXT1" s="70"/>
      <c r="TXU1" s="70"/>
      <c r="TXV1" s="70"/>
      <c r="TXW1" s="70"/>
      <c r="TXX1" s="70"/>
      <c r="TXY1" s="70"/>
      <c r="TXZ1" s="70"/>
      <c r="TYA1" s="70"/>
      <c r="TYB1" s="70"/>
      <c r="TYC1" s="70"/>
      <c r="TYD1" s="70"/>
      <c r="TYE1" s="70"/>
      <c r="TYF1" s="70"/>
      <c r="TYG1" s="70"/>
      <c r="TYH1" s="70"/>
      <c r="TYI1" s="70"/>
      <c r="TYJ1" s="70"/>
      <c r="TYK1" s="70"/>
      <c r="TYL1" s="70"/>
      <c r="TYM1" s="70"/>
      <c r="TYN1" s="70"/>
      <c r="TYO1" s="70"/>
      <c r="TYP1" s="70"/>
      <c r="TYQ1" s="70"/>
      <c r="TYR1" s="70"/>
      <c r="TYS1" s="70"/>
      <c r="TYT1" s="70"/>
      <c r="TYU1" s="70"/>
      <c r="TYV1" s="70"/>
      <c r="TYW1" s="70"/>
      <c r="TYX1" s="70"/>
      <c r="TYY1" s="70"/>
      <c r="TYZ1" s="70"/>
      <c r="TZA1" s="70"/>
      <c r="TZB1" s="70"/>
      <c r="TZC1" s="70"/>
      <c r="TZD1" s="70"/>
      <c r="TZE1" s="70"/>
      <c r="TZF1" s="70"/>
      <c r="TZG1" s="70"/>
      <c r="TZH1" s="70"/>
      <c r="TZI1" s="70"/>
      <c r="TZJ1" s="70"/>
      <c r="TZK1" s="70"/>
      <c r="TZL1" s="70"/>
      <c r="TZM1" s="70"/>
      <c r="TZN1" s="70"/>
      <c r="TZO1" s="70"/>
      <c r="TZP1" s="70"/>
      <c r="TZQ1" s="70"/>
      <c r="TZR1" s="70"/>
      <c r="TZS1" s="70"/>
      <c r="TZT1" s="70"/>
      <c r="TZU1" s="70"/>
      <c r="TZV1" s="70"/>
      <c r="TZW1" s="70"/>
      <c r="TZX1" s="70"/>
      <c r="TZY1" s="70"/>
      <c r="TZZ1" s="70"/>
      <c r="UAA1" s="70"/>
      <c r="UAB1" s="70"/>
      <c r="UAC1" s="70"/>
      <c r="UAD1" s="70"/>
      <c r="UAE1" s="70"/>
      <c r="UAF1" s="70"/>
      <c r="UAG1" s="70"/>
      <c r="UAH1" s="70"/>
      <c r="UAI1" s="70"/>
      <c r="UAJ1" s="70"/>
      <c r="UAK1" s="70"/>
      <c r="UAL1" s="70"/>
      <c r="UAM1" s="70"/>
      <c r="UAN1" s="70"/>
      <c r="UAO1" s="70"/>
      <c r="UAP1" s="70"/>
      <c r="UAQ1" s="70"/>
      <c r="UAR1" s="70"/>
      <c r="UAS1" s="70"/>
      <c r="UAT1" s="70"/>
      <c r="UAU1" s="70"/>
      <c r="UAV1" s="70"/>
      <c r="UAW1" s="70"/>
      <c r="UAX1" s="70"/>
      <c r="UAY1" s="70"/>
      <c r="UAZ1" s="70"/>
      <c r="UBA1" s="70"/>
      <c r="UBB1" s="70"/>
      <c r="UBC1" s="70"/>
      <c r="UBD1" s="70"/>
      <c r="UBE1" s="70"/>
      <c r="UBF1" s="70"/>
      <c r="UBG1" s="70"/>
      <c r="UBH1" s="70"/>
      <c r="UBI1" s="70"/>
      <c r="UBJ1" s="70"/>
      <c r="UBK1" s="70"/>
      <c r="UBL1" s="70"/>
      <c r="UBM1" s="70"/>
      <c r="UBN1" s="70"/>
      <c r="UBO1" s="70"/>
      <c r="UBP1" s="70"/>
      <c r="UBQ1" s="70"/>
      <c r="UBR1" s="70"/>
      <c r="UBS1" s="70"/>
      <c r="UBT1" s="70"/>
      <c r="UBU1" s="70"/>
      <c r="UBV1" s="70"/>
      <c r="UBW1" s="70"/>
      <c r="UBX1" s="70"/>
      <c r="UBY1" s="70"/>
      <c r="UBZ1" s="70"/>
      <c r="UCA1" s="70"/>
      <c r="UCB1" s="70"/>
      <c r="UCC1" s="70"/>
      <c r="UCD1" s="70"/>
      <c r="UCE1" s="70"/>
      <c r="UCF1" s="70"/>
      <c r="UCG1" s="70"/>
      <c r="UCH1" s="70"/>
      <c r="UCI1" s="70"/>
      <c r="UCJ1" s="70"/>
      <c r="UCK1" s="70"/>
      <c r="UCL1" s="70"/>
      <c r="UCM1" s="70"/>
      <c r="UCN1" s="70"/>
      <c r="UCO1" s="70"/>
      <c r="UCP1" s="70"/>
      <c r="UCQ1" s="70"/>
      <c r="UCR1" s="70"/>
      <c r="UCS1" s="70"/>
      <c r="UCT1" s="70"/>
      <c r="UCU1" s="70"/>
      <c r="UCV1" s="70"/>
      <c r="UCW1" s="70"/>
      <c r="UCX1" s="70"/>
      <c r="UCY1" s="70"/>
      <c r="UCZ1" s="70"/>
      <c r="UDA1" s="70"/>
      <c r="UDB1" s="70"/>
      <c r="UDC1" s="70"/>
      <c r="UDD1" s="70"/>
      <c r="UDE1" s="70"/>
      <c r="UDF1" s="70"/>
      <c r="UDG1" s="70"/>
      <c r="UDH1" s="70"/>
      <c r="UDI1" s="70"/>
      <c r="UDJ1" s="70"/>
      <c r="UDK1" s="70"/>
      <c r="UDL1" s="70"/>
      <c r="UDM1" s="70"/>
      <c r="UDN1" s="70"/>
      <c r="UDO1" s="70"/>
      <c r="UDP1" s="70"/>
      <c r="UDQ1" s="70"/>
      <c r="UDR1" s="70"/>
      <c r="UDS1" s="70"/>
      <c r="UDT1" s="70"/>
      <c r="UDU1" s="70"/>
      <c r="UDV1" s="70"/>
      <c r="UDW1" s="70"/>
      <c r="UDX1" s="70"/>
      <c r="UDY1" s="70"/>
      <c r="UDZ1" s="70"/>
      <c r="UEA1" s="70"/>
      <c r="UEB1" s="70"/>
      <c r="UEC1" s="70"/>
      <c r="UED1" s="70"/>
      <c r="UEE1" s="70"/>
      <c r="UEF1" s="70"/>
      <c r="UEG1" s="70"/>
      <c r="UEH1" s="70"/>
      <c r="UEI1" s="70"/>
      <c r="UEJ1" s="70"/>
      <c r="UEK1" s="70"/>
      <c r="UEL1" s="70"/>
      <c r="UEM1" s="70"/>
      <c r="UEN1" s="70"/>
      <c r="UEO1" s="70"/>
      <c r="UEP1" s="70"/>
      <c r="UEQ1" s="70"/>
      <c r="UER1" s="70"/>
      <c r="UES1" s="70"/>
      <c r="UET1" s="70"/>
      <c r="UEU1" s="70"/>
      <c r="UEV1" s="70"/>
      <c r="UEW1" s="70"/>
      <c r="UEX1" s="70"/>
      <c r="UEY1" s="70"/>
      <c r="UEZ1" s="70"/>
      <c r="UFA1" s="70"/>
      <c r="UFB1" s="70"/>
      <c r="UFC1" s="70"/>
      <c r="UFD1" s="70"/>
      <c r="UFE1" s="70"/>
      <c r="UFF1" s="70"/>
      <c r="UFG1" s="70"/>
      <c r="UFH1" s="70"/>
      <c r="UFI1" s="70"/>
      <c r="UFJ1" s="70"/>
      <c r="UFK1" s="70"/>
      <c r="UFL1" s="70"/>
      <c r="UFM1" s="70"/>
      <c r="UFN1" s="70"/>
      <c r="UFO1" s="70"/>
      <c r="UFP1" s="70"/>
      <c r="UFQ1" s="70"/>
      <c r="UFR1" s="70"/>
      <c r="UFS1" s="70"/>
      <c r="UFT1" s="70"/>
      <c r="UFU1" s="70"/>
      <c r="UFV1" s="70"/>
      <c r="UFW1" s="70"/>
      <c r="UFX1" s="70"/>
      <c r="UFY1" s="70"/>
      <c r="UFZ1" s="70"/>
      <c r="UGA1" s="70"/>
      <c r="UGB1" s="70"/>
      <c r="UGC1" s="70"/>
      <c r="UGD1" s="70"/>
      <c r="UGE1" s="70"/>
      <c r="UGF1" s="70"/>
      <c r="UGG1" s="70"/>
      <c r="UGH1" s="70"/>
      <c r="UGI1" s="70"/>
      <c r="UGJ1" s="70"/>
      <c r="UGK1" s="70"/>
      <c r="UGL1" s="70"/>
      <c r="UGM1" s="70"/>
      <c r="UGN1" s="70"/>
      <c r="UGO1" s="70"/>
      <c r="UGP1" s="70"/>
      <c r="UGQ1" s="70"/>
      <c r="UGR1" s="70"/>
      <c r="UGS1" s="70"/>
      <c r="UGT1" s="70"/>
      <c r="UGU1" s="70"/>
      <c r="UGV1" s="70"/>
      <c r="UGW1" s="70"/>
      <c r="UGX1" s="70"/>
      <c r="UGY1" s="70"/>
      <c r="UGZ1" s="70"/>
      <c r="UHA1" s="70"/>
      <c r="UHB1" s="70"/>
      <c r="UHC1" s="70"/>
      <c r="UHD1" s="70"/>
      <c r="UHE1" s="70"/>
      <c r="UHF1" s="70"/>
      <c r="UHG1" s="70"/>
      <c r="UHH1" s="70"/>
      <c r="UHI1" s="70"/>
      <c r="UHJ1" s="70"/>
      <c r="UHK1" s="70"/>
      <c r="UHL1" s="70"/>
      <c r="UHM1" s="70"/>
      <c r="UHN1" s="70"/>
      <c r="UHO1" s="70"/>
      <c r="UHP1" s="70"/>
      <c r="UHQ1" s="70"/>
      <c r="UHR1" s="70"/>
      <c r="UHS1" s="70"/>
      <c r="UHT1" s="70"/>
      <c r="UHU1" s="70"/>
      <c r="UHV1" s="70"/>
      <c r="UHW1" s="70"/>
      <c r="UHX1" s="70"/>
      <c r="UHY1" s="70"/>
      <c r="UHZ1" s="70"/>
      <c r="UIA1" s="70"/>
      <c r="UIB1" s="70"/>
      <c r="UIC1" s="70"/>
      <c r="UID1" s="70"/>
      <c r="UIE1" s="70"/>
      <c r="UIF1" s="70"/>
      <c r="UIG1" s="70"/>
      <c r="UIH1" s="70"/>
      <c r="UII1" s="70"/>
      <c r="UIJ1" s="70"/>
      <c r="UIK1" s="70"/>
      <c r="UIL1" s="70"/>
      <c r="UIM1" s="70"/>
      <c r="UIN1" s="70"/>
      <c r="UIO1" s="70"/>
      <c r="UIP1" s="70"/>
      <c r="UIQ1" s="70"/>
      <c r="UIR1" s="70"/>
      <c r="UIS1" s="70"/>
      <c r="UIT1" s="70"/>
      <c r="UIU1" s="70"/>
      <c r="UIV1" s="70"/>
      <c r="UIW1" s="70"/>
      <c r="UIX1" s="70"/>
      <c r="UIY1" s="70"/>
      <c r="UIZ1" s="70"/>
      <c r="UJA1" s="70"/>
      <c r="UJB1" s="70"/>
      <c r="UJC1" s="70"/>
      <c r="UJD1" s="70"/>
      <c r="UJE1" s="70"/>
      <c r="UJF1" s="70"/>
      <c r="UJG1" s="70"/>
      <c r="UJH1" s="70"/>
      <c r="UJI1" s="70"/>
      <c r="UJJ1" s="70"/>
      <c r="UJK1" s="70"/>
      <c r="UJL1" s="70"/>
      <c r="UJM1" s="70"/>
      <c r="UJN1" s="70"/>
      <c r="UJO1" s="70"/>
      <c r="UJP1" s="70"/>
      <c r="UJQ1" s="70"/>
      <c r="UJR1" s="70"/>
      <c r="UJS1" s="70"/>
      <c r="UJT1" s="70"/>
      <c r="UJU1" s="70"/>
      <c r="UJV1" s="70"/>
      <c r="UJW1" s="70"/>
      <c r="UJX1" s="70"/>
      <c r="UJY1" s="70"/>
      <c r="UJZ1" s="70"/>
      <c r="UKA1" s="70"/>
      <c r="UKB1" s="70"/>
      <c r="UKC1" s="70"/>
      <c r="UKD1" s="70"/>
      <c r="UKE1" s="70"/>
      <c r="UKF1" s="70"/>
      <c r="UKG1" s="70"/>
      <c r="UKH1" s="70"/>
      <c r="UKI1" s="70"/>
      <c r="UKJ1" s="70"/>
      <c r="UKK1" s="70"/>
      <c r="UKL1" s="70"/>
      <c r="UKM1" s="70"/>
      <c r="UKN1" s="70"/>
      <c r="UKO1" s="70"/>
      <c r="UKP1" s="70"/>
      <c r="UKQ1" s="70"/>
      <c r="UKR1" s="70"/>
      <c r="UKS1" s="70"/>
      <c r="UKT1" s="70"/>
      <c r="UKU1" s="70"/>
      <c r="UKV1" s="70"/>
      <c r="UKW1" s="70"/>
      <c r="UKX1" s="70"/>
      <c r="UKY1" s="70"/>
      <c r="UKZ1" s="70"/>
      <c r="ULA1" s="70"/>
      <c r="ULB1" s="70"/>
      <c r="ULC1" s="70"/>
      <c r="ULD1" s="70"/>
      <c r="ULE1" s="70"/>
      <c r="ULF1" s="70"/>
      <c r="ULG1" s="70"/>
      <c r="ULH1" s="70"/>
      <c r="ULI1" s="70"/>
      <c r="ULJ1" s="70"/>
      <c r="ULK1" s="70"/>
      <c r="ULL1" s="70"/>
      <c r="ULM1" s="70"/>
      <c r="ULN1" s="70"/>
      <c r="ULO1" s="70"/>
      <c r="ULP1" s="70"/>
      <c r="ULQ1" s="70"/>
      <c r="ULR1" s="70"/>
      <c r="ULS1" s="70"/>
      <c r="ULT1" s="70"/>
      <c r="ULU1" s="70"/>
      <c r="ULV1" s="70"/>
      <c r="ULW1" s="70"/>
      <c r="ULX1" s="70"/>
      <c r="ULY1" s="70"/>
      <c r="ULZ1" s="70"/>
      <c r="UMA1" s="70"/>
      <c r="UMB1" s="70"/>
      <c r="UMC1" s="70"/>
      <c r="UMD1" s="70"/>
      <c r="UME1" s="70"/>
      <c r="UMF1" s="70"/>
      <c r="UMG1" s="70"/>
      <c r="UMH1" s="70"/>
      <c r="UMI1" s="70"/>
      <c r="UMJ1" s="70"/>
      <c r="UMK1" s="70"/>
      <c r="UML1" s="70"/>
      <c r="UMM1" s="70"/>
      <c r="UMN1" s="70"/>
      <c r="UMO1" s="70"/>
      <c r="UMP1" s="70"/>
      <c r="UMQ1" s="70"/>
      <c r="UMR1" s="70"/>
      <c r="UMS1" s="70"/>
      <c r="UMT1" s="70"/>
      <c r="UMU1" s="70"/>
      <c r="UMV1" s="70"/>
      <c r="UMW1" s="70"/>
      <c r="UMX1" s="70"/>
      <c r="UMY1" s="70"/>
      <c r="UMZ1" s="70"/>
      <c r="UNA1" s="70"/>
      <c r="UNB1" s="70"/>
      <c r="UNC1" s="70"/>
      <c r="UND1" s="70"/>
      <c r="UNE1" s="70"/>
      <c r="UNF1" s="70"/>
      <c r="UNG1" s="70"/>
      <c r="UNH1" s="70"/>
      <c r="UNI1" s="70"/>
      <c r="UNJ1" s="70"/>
      <c r="UNK1" s="70"/>
      <c r="UNL1" s="70"/>
      <c r="UNM1" s="70"/>
      <c r="UNN1" s="70"/>
      <c r="UNO1" s="70"/>
      <c r="UNP1" s="70"/>
      <c r="UNQ1" s="70"/>
      <c r="UNR1" s="70"/>
      <c r="UNS1" s="70"/>
      <c r="UNT1" s="70"/>
      <c r="UNU1" s="70"/>
      <c r="UNV1" s="70"/>
      <c r="UNW1" s="70"/>
      <c r="UNX1" s="70"/>
      <c r="UNY1" s="70"/>
      <c r="UNZ1" s="70"/>
      <c r="UOA1" s="70"/>
      <c r="UOB1" s="70"/>
      <c r="UOC1" s="70"/>
      <c r="UOD1" s="70"/>
      <c r="UOE1" s="70"/>
      <c r="UOF1" s="70"/>
      <c r="UOG1" s="70"/>
      <c r="UOH1" s="70"/>
      <c r="UOI1" s="70"/>
      <c r="UOJ1" s="70"/>
      <c r="UOK1" s="70"/>
      <c r="UOL1" s="70"/>
      <c r="UOM1" s="70"/>
      <c r="UON1" s="70"/>
      <c r="UOO1" s="70"/>
      <c r="UOP1" s="70"/>
      <c r="UOQ1" s="70"/>
      <c r="UOR1" s="70"/>
      <c r="UOS1" s="70"/>
      <c r="UOT1" s="70"/>
      <c r="UOU1" s="70"/>
      <c r="UOV1" s="70"/>
      <c r="UOW1" s="70"/>
      <c r="UOX1" s="70"/>
      <c r="UOY1" s="70"/>
      <c r="UOZ1" s="70"/>
      <c r="UPA1" s="70"/>
      <c r="UPB1" s="70"/>
      <c r="UPC1" s="70"/>
      <c r="UPD1" s="70"/>
      <c r="UPE1" s="70"/>
      <c r="UPF1" s="70"/>
      <c r="UPG1" s="70"/>
      <c r="UPH1" s="70"/>
      <c r="UPI1" s="70"/>
      <c r="UPJ1" s="70"/>
      <c r="UPK1" s="70"/>
      <c r="UPL1" s="70"/>
      <c r="UPM1" s="70"/>
      <c r="UPN1" s="70"/>
      <c r="UPO1" s="70"/>
      <c r="UPP1" s="70"/>
      <c r="UPQ1" s="70"/>
      <c r="UPR1" s="70"/>
      <c r="UPS1" s="70"/>
      <c r="UPT1" s="70"/>
      <c r="UPU1" s="70"/>
      <c r="UPV1" s="70"/>
      <c r="UPW1" s="70"/>
      <c r="UPX1" s="70"/>
      <c r="UPY1" s="70"/>
      <c r="UPZ1" s="70"/>
      <c r="UQA1" s="70"/>
      <c r="UQB1" s="70"/>
      <c r="UQC1" s="70"/>
      <c r="UQD1" s="70"/>
      <c r="UQE1" s="70"/>
      <c r="UQF1" s="70"/>
      <c r="UQG1" s="70"/>
      <c r="UQH1" s="70"/>
      <c r="UQI1" s="70"/>
      <c r="UQJ1" s="70"/>
      <c r="UQK1" s="70"/>
      <c r="UQL1" s="70"/>
      <c r="UQM1" s="70"/>
      <c r="UQN1" s="70"/>
      <c r="UQO1" s="70"/>
      <c r="UQP1" s="70"/>
      <c r="UQQ1" s="70"/>
      <c r="UQR1" s="70"/>
      <c r="UQS1" s="70"/>
      <c r="UQT1" s="70"/>
      <c r="UQU1" s="70"/>
      <c r="UQV1" s="70"/>
      <c r="UQW1" s="70"/>
      <c r="UQX1" s="70"/>
      <c r="UQY1" s="70"/>
      <c r="UQZ1" s="70"/>
      <c r="URA1" s="70"/>
      <c r="URB1" s="70"/>
      <c r="URC1" s="70"/>
      <c r="URD1" s="70"/>
      <c r="URE1" s="70"/>
      <c r="URF1" s="70"/>
      <c r="URG1" s="70"/>
      <c r="URH1" s="70"/>
      <c r="URI1" s="70"/>
      <c r="URJ1" s="70"/>
      <c r="URK1" s="70"/>
      <c r="URL1" s="70"/>
      <c r="URM1" s="70"/>
      <c r="URN1" s="70"/>
      <c r="URO1" s="70"/>
      <c r="URP1" s="70"/>
      <c r="URQ1" s="70"/>
      <c r="URR1" s="70"/>
      <c r="URS1" s="70"/>
      <c r="URT1" s="70"/>
      <c r="URU1" s="70"/>
      <c r="URV1" s="70"/>
      <c r="URW1" s="70"/>
      <c r="URX1" s="70"/>
      <c r="URY1" s="70"/>
      <c r="URZ1" s="70"/>
      <c r="USA1" s="70"/>
      <c r="USB1" s="70"/>
      <c r="USC1" s="70"/>
      <c r="USD1" s="70"/>
      <c r="USE1" s="70"/>
      <c r="USF1" s="70"/>
      <c r="USG1" s="70"/>
      <c r="USH1" s="70"/>
      <c r="USI1" s="70"/>
      <c r="USJ1" s="70"/>
      <c r="USK1" s="70"/>
      <c r="USL1" s="70"/>
      <c r="USM1" s="70"/>
      <c r="USN1" s="70"/>
      <c r="USO1" s="70"/>
      <c r="USP1" s="70"/>
      <c r="USQ1" s="70"/>
      <c r="USR1" s="70"/>
      <c r="USS1" s="70"/>
      <c r="UST1" s="70"/>
      <c r="USU1" s="70"/>
      <c r="USV1" s="70"/>
      <c r="USW1" s="70"/>
      <c r="USX1" s="70"/>
      <c r="USY1" s="70"/>
      <c r="USZ1" s="70"/>
      <c r="UTA1" s="70"/>
      <c r="UTB1" s="70"/>
      <c r="UTC1" s="70"/>
      <c r="UTD1" s="70"/>
      <c r="UTE1" s="70"/>
      <c r="UTF1" s="70"/>
      <c r="UTG1" s="70"/>
      <c r="UTH1" s="70"/>
      <c r="UTI1" s="70"/>
      <c r="UTJ1" s="70"/>
      <c r="UTK1" s="70"/>
      <c r="UTL1" s="70"/>
      <c r="UTM1" s="70"/>
      <c r="UTN1" s="70"/>
      <c r="UTO1" s="70"/>
      <c r="UTP1" s="70"/>
      <c r="UTQ1" s="70"/>
      <c r="UTR1" s="70"/>
      <c r="UTS1" s="70"/>
      <c r="UTT1" s="70"/>
      <c r="UTU1" s="70"/>
      <c r="UTV1" s="70"/>
      <c r="UTW1" s="70"/>
      <c r="UTX1" s="70"/>
      <c r="UTY1" s="70"/>
      <c r="UTZ1" s="70"/>
      <c r="UUA1" s="70"/>
      <c r="UUB1" s="70"/>
      <c r="UUC1" s="70"/>
      <c r="UUD1" s="70"/>
      <c r="UUE1" s="70"/>
      <c r="UUF1" s="70"/>
      <c r="UUG1" s="70"/>
      <c r="UUH1" s="70"/>
      <c r="UUI1" s="70"/>
      <c r="UUJ1" s="70"/>
      <c r="UUK1" s="70"/>
      <c r="UUL1" s="70"/>
      <c r="UUM1" s="70"/>
      <c r="UUN1" s="70"/>
      <c r="UUO1" s="70"/>
      <c r="UUP1" s="70"/>
      <c r="UUQ1" s="70"/>
      <c r="UUR1" s="70"/>
      <c r="UUS1" s="70"/>
      <c r="UUT1" s="70"/>
      <c r="UUU1" s="70"/>
      <c r="UUV1" s="70"/>
      <c r="UUW1" s="70"/>
      <c r="UUX1" s="70"/>
      <c r="UUY1" s="70"/>
      <c r="UUZ1" s="70"/>
      <c r="UVA1" s="70"/>
      <c r="UVB1" s="70"/>
      <c r="UVC1" s="70"/>
      <c r="UVD1" s="70"/>
      <c r="UVE1" s="70"/>
      <c r="UVF1" s="70"/>
      <c r="UVG1" s="70"/>
      <c r="UVH1" s="70"/>
      <c r="UVI1" s="70"/>
      <c r="UVJ1" s="70"/>
      <c r="UVK1" s="70"/>
      <c r="UVL1" s="70"/>
      <c r="UVM1" s="70"/>
      <c r="UVN1" s="70"/>
      <c r="UVO1" s="70"/>
      <c r="UVP1" s="70"/>
      <c r="UVQ1" s="70"/>
      <c r="UVR1" s="70"/>
      <c r="UVS1" s="70"/>
      <c r="UVT1" s="70"/>
      <c r="UVU1" s="70"/>
      <c r="UVV1" s="70"/>
      <c r="UVW1" s="70"/>
      <c r="UVX1" s="70"/>
      <c r="UVY1" s="70"/>
      <c r="UVZ1" s="70"/>
      <c r="UWA1" s="70"/>
      <c r="UWB1" s="70"/>
      <c r="UWC1" s="70"/>
      <c r="UWD1" s="70"/>
      <c r="UWE1" s="70"/>
      <c r="UWF1" s="70"/>
      <c r="UWG1" s="70"/>
      <c r="UWH1" s="70"/>
      <c r="UWI1" s="70"/>
      <c r="UWJ1" s="70"/>
      <c r="UWK1" s="70"/>
      <c r="UWL1" s="70"/>
      <c r="UWM1" s="70"/>
      <c r="UWN1" s="70"/>
      <c r="UWO1" s="70"/>
      <c r="UWP1" s="70"/>
      <c r="UWQ1" s="70"/>
      <c r="UWR1" s="70"/>
      <c r="UWS1" s="70"/>
      <c r="UWT1" s="70"/>
      <c r="UWU1" s="70"/>
      <c r="UWV1" s="70"/>
      <c r="UWW1" s="70"/>
      <c r="UWX1" s="70"/>
      <c r="UWY1" s="70"/>
      <c r="UWZ1" s="70"/>
      <c r="UXA1" s="70"/>
      <c r="UXB1" s="70"/>
      <c r="UXC1" s="70"/>
      <c r="UXD1" s="70"/>
      <c r="UXE1" s="70"/>
      <c r="UXF1" s="70"/>
      <c r="UXG1" s="70"/>
      <c r="UXH1" s="70"/>
      <c r="UXI1" s="70"/>
      <c r="UXJ1" s="70"/>
      <c r="UXK1" s="70"/>
      <c r="UXL1" s="70"/>
      <c r="UXM1" s="70"/>
      <c r="UXN1" s="70"/>
      <c r="UXO1" s="70"/>
      <c r="UXP1" s="70"/>
      <c r="UXQ1" s="70"/>
      <c r="UXR1" s="70"/>
      <c r="UXS1" s="70"/>
      <c r="UXT1" s="70"/>
      <c r="UXU1" s="70"/>
      <c r="UXV1" s="70"/>
      <c r="UXW1" s="70"/>
      <c r="UXX1" s="70"/>
      <c r="UXY1" s="70"/>
      <c r="UXZ1" s="70"/>
      <c r="UYA1" s="70"/>
      <c r="UYB1" s="70"/>
      <c r="UYC1" s="70"/>
      <c r="UYD1" s="70"/>
      <c r="UYE1" s="70"/>
      <c r="UYF1" s="70"/>
      <c r="UYG1" s="70"/>
      <c r="UYH1" s="70"/>
      <c r="UYI1" s="70"/>
      <c r="UYJ1" s="70"/>
      <c r="UYK1" s="70"/>
      <c r="UYL1" s="70"/>
      <c r="UYM1" s="70"/>
      <c r="UYN1" s="70"/>
      <c r="UYO1" s="70"/>
      <c r="UYP1" s="70"/>
      <c r="UYQ1" s="70"/>
      <c r="UYR1" s="70"/>
      <c r="UYS1" s="70"/>
      <c r="UYT1" s="70"/>
      <c r="UYU1" s="70"/>
      <c r="UYV1" s="70"/>
      <c r="UYW1" s="70"/>
      <c r="UYX1" s="70"/>
      <c r="UYY1" s="70"/>
      <c r="UYZ1" s="70"/>
      <c r="UZA1" s="70"/>
      <c r="UZB1" s="70"/>
      <c r="UZC1" s="70"/>
      <c r="UZD1" s="70"/>
      <c r="UZE1" s="70"/>
      <c r="UZF1" s="70"/>
      <c r="UZG1" s="70"/>
      <c r="UZH1" s="70"/>
      <c r="UZI1" s="70"/>
      <c r="UZJ1" s="70"/>
      <c r="UZK1" s="70"/>
      <c r="UZL1" s="70"/>
      <c r="UZM1" s="70"/>
      <c r="UZN1" s="70"/>
      <c r="UZO1" s="70"/>
      <c r="UZP1" s="70"/>
      <c r="UZQ1" s="70"/>
      <c r="UZR1" s="70"/>
      <c r="UZS1" s="70"/>
      <c r="UZT1" s="70"/>
      <c r="UZU1" s="70"/>
      <c r="UZV1" s="70"/>
      <c r="UZW1" s="70"/>
      <c r="UZX1" s="70"/>
      <c r="UZY1" s="70"/>
      <c r="UZZ1" s="70"/>
      <c r="VAA1" s="70"/>
      <c r="VAB1" s="70"/>
      <c r="VAC1" s="70"/>
      <c r="VAD1" s="70"/>
      <c r="VAE1" s="70"/>
      <c r="VAF1" s="70"/>
      <c r="VAG1" s="70"/>
      <c r="VAH1" s="70"/>
      <c r="VAI1" s="70"/>
      <c r="VAJ1" s="70"/>
      <c r="VAK1" s="70"/>
      <c r="VAL1" s="70"/>
      <c r="VAM1" s="70"/>
      <c r="VAN1" s="70"/>
      <c r="VAO1" s="70"/>
      <c r="VAP1" s="70"/>
      <c r="VAQ1" s="70"/>
      <c r="VAR1" s="70"/>
      <c r="VAS1" s="70"/>
      <c r="VAT1" s="70"/>
      <c r="VAU1" s="70"/>
      <c r="VAV1" s="70"/>
      <c r="VAW1" s="70"/>
      <c r="VAX1" s="70"/>
      <c r="VAY1" s="70"/>
      <c r="VAZ1" s="70"/>
      <c r="VBA1" s="70"/>
      <c r="VBB1" s="70"/>
      <c r="VBC1" s="70"/>
      <c r="VBD1" s="70"/>
      <c r="VBE1" s="70"/>
      <c r="VBF1" s="70"/>
      <c r="VBG1" s="70"/>
      <c r="VBH1" s="70"/>
      <c r="VBI1" s="70"/>
      <c r="VBJ1" s="70"/>
      <c r="VBK1" s="70"/>
      <c r="VBL1" s="70"/>
      <c r="VBM1" s="70"/>
      <c r="VBN1" s="70"/>
      <c r="VBO1" s="70"/>
      <c r="VBP1" s="70"/>
      <c r="VBQ1" s="70"/>
      <c r="VBR1" s="70"/>
      <c r="VBS1" s="70"/>
      <c r="VBT1" s="70"/>
      <c r="VBU1" s="70"/>
      <c r="VBV1" s="70"/>
      <c r="VBW1" s="70"/>
      <c r="VBX1" s="70"/>
      <c r="VBY1" s="70"/>
      <c r="VBZ1" s="70"/>
      <c r="VCA1" s="70"/>
      <c r="VCB1" s="70"/>
      <c r="VCC1" s="70"/>
      <c r="VCD1" s="70"/>
      <c r="VCE1" s="70"/>
      <c r="VCF1" s="70"/>
      <c r="VCG1" s="70"/>
      <c r="VCH1" s="70"/>
      <c r="VCI1" s="70"/>
      <c r="VCJ1" s="70"/>
      <c r="VCK1" s="70"/>
      <c r="VCL1" s="70"/>
      <c r="VCM1" s="70"/>
      <c r="VCN1" s="70"/>
      <c r="VCO1" s="70"/>
      <c r="VCP1" s="70"/>
      <c r="VCQ1" s="70"/>
      <c r="VCR1" s="70"/>
      <c r="VCS1" s="70"/>
      <c r="VCT1" s="70"/>
      <c r="VCU1" s="70"/>
      <c r="VCV1" s="70"/>
      <c r="VCW1" s="70"/>
      <c r="VCX1" s="70"/>
      <c r="VCY1" s="70"/>
      <c r="VCZ1" s="70"/>
      <c r="VDA1" s="70"/>
      <c r="VDB1" s="70"/>
      <c r="VDC1" s="70"/>
      <c r="VDD1" s="70"/>
      <c r="VDE1" s="70"/>
      <c r="VDF1" s="70"/>
      <c r="VDG1" s="70"/>
      <c r="VDH1" s="70"/>
      <c r="VDI1" s="70"/>
      <c r="VDJ1" s="70"/>
      <c r="VDK1" s="70"/>
      <c r="VDL1" s="70"/>
      <c r="VDM1" s="70"/>
      <c r="VDN1" s="70"/>
      <c r="VDO1" s="70"/>
      <c r="VDP1" s="70"/>
      <c r="VDQ1" s="70"/>
      <c r="VDR1" s="70"/>
      <c r="VDS1" s="70"/>
      <c r="VDT1" s="70"/>
      <c r="VDU1" s="70"/>
      <c r="VDV1" s="70"/>
      <c r="VDW1" s="70"/>
      <c r="VDX1" s="70"/>
      <c r="VDY1" s="70"/>
      <c r="VDZ1" s="70"/>
      <c r="VEA1" s="70"/>
      <c r="VEB1" s="70"/>
      <c r="VEC1" s="70"/>
      <c r="VED1" s="70"/>
      <c r="VEE1" s="70"/>
      <c r="VEF1" s="70"/>
      <c r="VEG1" s="70"/>
      <c r="VEH1" s="70"/>
      <c r="VEI1" s="70"/>
      <c r="VEJ1" s="70"/>
      <c r="VEK1" s="70"/>
      <c r="VEL1" s="70"/>
      <c r="VEM1" s="70"/>
      <c r="VEN1" s="70"/>
      <c r="VEO1" s="70"/>
      <c r="VEP1" s="70"/>
      <c r="VEQ1" s="70"/>
      <c r="VER1" s="70"/>
      <c r="VES1" s="70"/>
      <c r="VET1" s="70"/>
      <c r="VEU1" s="70"/>
      <c r="VEV1" s="70"/>
      <c r="VEW1" s="70"/>
      <c r="VEX1" s="70"/>
      <c r="VEY1" s="70"/>
      <c r="VEZ1" s="70"/>
      <c r="VFA1" s="70"/>
      <c r="VFB1" s="70"/>
      <c r="VFC1" s="70"/>
      <c r="VFD1" s="70"/>
      <c r="VFE1" s="70"/>
      <c r="VFF1" s="70"/>
      <c r="VFG1" s="70"/>
      <c r="VFH1" s="70"/>
      <c r="VFI1" s="70"/>
      <c r="VFJ1" s="70"/>
      <c r="VFK1" s="70"/>
      <c r="VFL1" s="70"/>
      <c r="VFM1" s="70"/>
      <c r="VFN1" s="70"/>
      <c r="VFO1" s="70"/>
      <c r="VFP1" s="70"/>
      <c r="VFQ1" s="70"/>
      <c r="VFR1" s="70"/>
      <c r="VFS1" s="70"/>
      <c r="VFT1" s="70"/>
      <c r="VFU1" s="70"/>
      <c r="VFV1" s="70"/>
      <c r="VFW1" s="70"/>
      <c r="VFX1" s="70"/>
      <c r="VFY1" s="70"/>
      <c r="VFZ1" s="70"/>
      <c r="VGA1" s="70"/>
      <c r="VGB1" s="70"/>
      <c r="VGC1" s="70"/>
      <c r="VGD1" s="70"/>
      <c r="VGE1" s="70"/>
      <c r="VGF1" s="70"/>
      <c r="VGG1" s="70"/>
      <c r="VGH1" s="70"/>
      <c r="VGI1" s="70"/>
      <c r="VGJ1" s="70"/>
      <c r="VGK1" s="70"/>
      <c r="VGL1" s="70"/>
      <c r="VGM1" s="70"/>
      <c r="VGN1" s="70"/>
      <c r="VGO1" s="70"/>
      <c r="VGP1" s="70"/>
      <c r="VGQ1" s="70"/>
      <c r="VGR1" s="70"/>
      <c r="VGS1" s="70"/>
      <c r="VGT1" s="70"/>
      <c r="VGU1" s="70"/>
      <c r="VGV1" s="70"/>
      <c r="VGW1" s="70"/>
      <c r="VGX1" s="70"/>
      <c r="VGY1" s="70"/>
      <c r="VGZ1" s="70"/>
      <c r="VHA1" s="70"/>
      <c r="VHB1" s="70"/>
      <c r="VHC1" s="70"/>
      <c r="VHD1" s="70"/>
      <c r="VHE1" s="70"/>
      <c r="VHF1" s="70"/>
      <c r="VHG1" s="70"/>
      <c r="VHH1" s="70"/>
      <c r="VHI1" s="70"/>
      <c r="VHJ1" s="70"/>
      <c r="VHK1" s="70"/>
      <c r="VHL1" s="70"/>
      <c r="VHM1" s="70"/>
      <c r="VHN1" s="70"/>
      <c r="VHO1" s="70"/>
      <c r="VHP1" s="70"/>
      <c r="VHQ1" s="70"/>
      <c r="VHR1" s="70"/>
      <c r="VHS1" s="70"/>
      <c r="VHT1" s="70"/>
      <c r="VHU1" s="70"/>
      <c r="VHV1" s="70"/>
      <c r="VHW1" s="70"/>
      <c r="VHX1" s="70"/>
      <c r="VHY1" s="70"/>
      <c r="VHZ1" s="70"/>
      <c r="VIA1" s="70"/>
      <c r="VIB1" s="70"/>
      <c r="VIC1" s="70"/>
      <c r="VID1" s="70"/>
      <c r="VIE1" s="70"/>
      <c r="VIF1" s="70"/>
      <c r="VIG1" s="70"/>
      <c r="VIH1" s="70"/>
      <c r="VII1" s="70"/>
      <c r="VIJ1" s="70"/>
      <c r="VIK1" s="70"/>
      <c r="VIL1" s="70"/>
      <c r="VIM1" s="70"/>
      <c r="VIN1" s="70"/>
      <c r="VIO1" s="70"/>
      <c r="VIP1" s="70"/>
      <c r="VIQ1" s="70"/>
      <c r="VIR1" s="70"/>
      <c r="VIS1" s="70"/>
      <c r="VIT1" s="70"/>
      <c r="VIU1" s="70"/>
      <c r="VIV1" s="70"/>
      <c r="VIW1" s="70"/>
      <c r="VIX1" s="70"/>
      <c r="VIY1" s="70"/>
      <c r="VIZ1" s="70"/>
      <c r="VJA1" s="70"/>
      <c r="VJB1" s="70"/>
      <c r="VJC1" s="70"/>
      <c r="VJD1" s="70"/>
      <c r="VJE1" s="70"/>
      <c r="VJF1" s="70"/>
      <c r="VJG1" s="70"/>
      <c r="VJH1" s="70"/>
      <c r="VJI1" s="70"/>
      <c r="VJJ1" s="70"/>
      <c r="VJK1" s="70"/>
      <c r="VJL1" s="70"/>
      <c r="VJM1" s="70"/>
      <c r="VJN1" s="70"/>
      <c r="VJO1" s="70"/>
      <c r="VJP1" s="70"/>
      <c r="VJQ1" s="70"/>
      <c r="VJR1" s="70"/>
      <c r="VJS1" s="70"/>
      <c r="VJT1" s="70"/>
      <c r="VJU1" s="70"/>
      <c r="VJV1" s="70"/>
      <c r="VJW1" s="70"/>
      <c r="VJX1" s="70"/>
      <c r="VJY1" s="70"/>
      <c r="VJZ1" s="70"/>
      <c r="VKA1" s="70"/>
      <c r="VKB1" s="70"/>
      <c r="VKC1" s="70"/>
      <c r="VKD1" s="70"/>
      <c r="VKE1" s="70"/>
      <c r="VKF1" s="70"/>
      <c r="VKG1" s="70"/>
      <c r="VKH1" s="70"/>
      <c r="VKI1" s="70"/>
      <c r="VKJ1" s="70"/>
      <c r="VKK1" s="70"/>
      <c r="VKL1" s="70"/>
      <c r="VKM1" s="70"/>
      <c r="VKN1" s="70"/>
      <c r="VKO1" s="70"/>
      <c r="VKP1" s="70"/>
      <c r="VKQ1" s="70"/>
      <c r="VKR1" s="70"/>
      <c r="VKS1" s="70"/>
      <c r="VKT1" s="70"/>
      <c r="VKU1" s="70"/>
      <c r="VKV1" s="70"/>
      <c r="VKW1" s="70"/>
      <c r="VKX1" s="70"/>
      <c r="VKY1" s="70"/>
      <c r="VKZ1" s="70"/>
      <c r="VLA1" s="70"/>
      <c r="VLB1" s="70"/>
      <c r="VLC1" s="70"/>
      <c r="VLD1" s="70"/>
      <c r="VLE1" s="70"/>
      <c r="VLF1" s="70"/>
      <c r="VLG1" s="70"/>
      <c r="VLH1" s="70"/>
      <c r="VLI1" s="70"/>
      <c r="VLJ1" s="70"/>
      <c r="VLK1" s="70"/>
      <c r="VLL1" s="70"/>
      <c r="VLM1" s="70"/>
      <c r="VLN1" s="70"/>
      <c r="VLO1" s="70"/>
      <c r="VLP1" s="70"/>
      <c r="VLQ1" s="70"/>
      <c r="VLR1" s="70"/>
      <c r="VLS1" s="70"/>
      <c r="VLT1" s="70"/>
      <c r="VLU1" s="70"/>
      <c r="VLV1" s="70"/>
      <c r="VLW1" s="70"/>
      <c r="VLX1" s="70"/>
      <c r="VLY1" s="70"/>
      <c r="VLZ1" s="70"/>
      <c r="VMA1" s="70"/>
      <c r="VMB1" s="70"/>
      <c r="VMC1" s="70"/>
      <c r="VMD1" s="70"/>
      <c r="VME1" s="70"/>
      <c r="VMF1" s="70"/>
      <c r="VMG1" s="70"/>
      <c r="VMH1" s="70"/>
      <c r="VMI1" s="70"/>
      <c r="VMJ1" s="70"/>
      <c r="VMK1" s="70"/>
      <c r="VML1" s="70"/>
      <c r="VMM1" s="70"/>
      <c r="VMN1" s="70"/>
      <c r="VMO1" s="70"/>
      <c r="VMP1" s="70"/>
      <c r="VMQ1" s="70"/>
      <c r="VMR1" s="70"/>
      <c r="VMS1" s="70"/>
      <c r="VMT1" s="70"/>
      <c r="VMU1" s="70"/>
      <c r="VMV1" s="70"/>
      <c r="VMW1" s="70"/>
      <c r="VMX1" s="70"/>
      <c r="VMY1" s="70"/>
      <c r="VMZ1" s="70"/>
      <c r="VNA1" s="70"/>
      <c r="VNB1" s="70"/>
      <c r="VNC1" s="70"/>
      <c r="VND1" s="70"/>
      <c r="VNE1" s="70"/>
      <c r="VNF1" s="70"/>
      <c r="VNG1" s="70"/>
      <c r="VNH1" s="70"/>
      <c r="VNI1" s="70"/>
      <c r="VNJ1" s="70"/>
      <c r="VNK1" s="70"/>
      <c r="VNL1" s="70"/>
      <c r="VNM1" s="70"/>
      <c r="VNN1" s="70"/>
      <c r="VNO1" s="70"/>
      <c r="VNP1" s="70"/>
      <c r="VNQ1" s="70"/>
      <c r="VNR1" s="70"/>
      <c r="VNS1" s="70"/>
      <c r="VNT1" s="70"/>
      <c r="VNU1" s="70"/>
      <c r="VNV1" s="70"/>
      <c r="VNW1" s="70"/>
      <c r="VNX1" s="70"/>
      <c r="VNY1" s="70"/>
      <c r="VNZ1" s="70"/>
      <c r="VOA1" s="70"/>
      <c r="VOB1" s="70"/>
      <c r="VOC1" s="70"/>
      <c r="VOD1" s="70"/>
      <c r="VOE1" s="70"/>
      <c r="VOF1" s="70"/>
      <c r="VOG1" s="70"/>
      <c r="VOH1" s="70"/>
      <c r="VOI1" s="70"/>
      <c r="VOJ1" s="70"/>
      <c r="VOK1" s="70"/>
      <c r="VOL1" s="70"/>
      <c r="VOM1" s="70"/>
      <c r="VON1" s="70"/>
      <c r="VOO1" s="70"/>
      <c r="VOP1" s="70"/>
      <c r="VOQ1" s="70"/>
      <c r="VOR1" s="70"/>
      <c r="VOS1" s="70"/>
      <c r="VOT1" s="70"/>
      <c r="VOU1" s="70"/>
      <c r="VOV1" s="70"/>
      <c r="VOW1" s="70"/>
      <c r="VOX1" s="70"/>
      <c r="VOY1" s="70"/>
      <c r="VOZ1" s="70"/>
      <c r="VPA1" s="70"/>
      <c r="VPB1" s="70"/>
      <c r="VPC1" s="70"/>
      <c r="VPD1" s="70"/>
      <c r="VPE1" s="70"/>
      <c r="VPF1" s="70"/>
      <c r="VPG1" s="70"/>
      <c r="VPH1" s="70"/>
      <c r="VPI1" s="70"/>
      <c r="VPJ1" s="70"/>
      <c r="VPK1" s="70"/>
      <c r="VPL1" s="70"/>
      <c r="VPM1" s="70"/>
      <c r="VPN1" s="70"/>
      <c r="VPO1" s="70"/>
      <c r="VPP1" s="70"/>
      <c r="VPQ1" s="70"/>
      <c r="VPR1" s="70"/>
      <c r="VPS1" s="70"/>
      <c r="VPT1" s="70"/>
      <c r="VPU1" s="70"/>
      <c r="VPV1" s="70"/>
      <c r="VPW1" s="70"/>
      <c r="VPX1" s="70"/>
      <c r="VPY1" s="70"/>
      <c r="VPZ1" s="70"/>
      <c r="VQA1" s="70"/>
      <c r="VQB1" s="70"/>
      <c r="VQC1" s="70"/>
      <c r="VQD1" s="70"/>
      <c r="VQE1" s="70"/>
      <c r="VQF1" s="70"/>
      <c r="VQG1" s="70"/>
      <c r="VQH1" s="70"/>
      <c r="VQI1" s="70"/>
      <c r="VQJ1" s="70"/>
      <c r="VQK1" s="70"/>
      <c r="VQL1" s="70"/>
      <c r="VQM1" s="70"/>
      <c r="VQN1" s="70"/>
      <c r="VQO1" s="70"/>
      <c r="VQP1" s="70"/>
      <c r="VQQ1" s="70"/>
      <c r="VQR1" s="70"/>
      <c r="VQS1" s="70"/>
      <c r="VQT1" s="70"/>
      <c r="VQU1" s="70"/>
      <c r="VQV1" s="70"/>
      <c r="VQW1" s="70"/>
      <c r="VQX1" s="70"/>
      <c r="VQY1" s="70"/>
      <c r="VQZ1" s="70"/>
      <c r="VRA1" s="70"/>
      <c r="VRB1" s="70"/>
      <c r="VRC1" s="70"/>
      <c r="VRD1" s="70"/>
      <c r="VRE1" s="70"/>
      <c r="VRF1" s="70"/>
      <c r="VRG1" s="70"/>
      <c r="VRH1" s="70"/>
      <c r="VRI1" s="70"/>
      <c r="VRJ1" s="70"/>
      <c r="VRK1" s="70"/>
      <c r="VRL1" s="70"/>
      <c r="VRM1" s="70"/>
      <c r="VRN1" s="70"/>
      <c r="VRO1" s="70"/>
      <c r="VRP1" s="70"/>
      <c r="VRQ1" s="70"/>
      <c r="VRR1" s="70"/>
      <c r="VRS1" s="70"/>
      <c r="VRT1" s="70"/>
      <c r="VRU1" s="70"/>
      <c r="VRV1" s="70"/>
      <c r="VRW1" s="70"/>
      <c r="VRX1" s="70"/>
      <c r="VRY1" s="70"/>
      <c r="VRZ1" s="70"/>
      <c r="VSA1" s="70"/>
      <c r="VSB1" s="70"/>
      <c r="VSC1" s="70"/>
      <c r="VSD1" s="70"/>
      <c r="VSE1" s="70"/>
      <c r="VSF1" s="70"/>
      <c r="VSG1" s="70"/>
      <c r="VSH1" s="70"/>
      <c r="VSI1" s="70"/>
      <c r="VSJ1" s="70"/>
      <c r="VSK1" s="70"/>
      <c r="VSL1" s="70"/>
      <c r="VSM1" s="70"/>
      <c r="VSN1" s="70"/>
      <c r="VSO1" s="70"/>
      <c r="VSP1" s="70"/>
      <c r="VSQ1" s="70"/>
      <c r="VSR1" s="70"/>
      <c r="VSS1" s="70"/>
      <c r="VST1" s="70"/>
      <c r="VSU1" s="70"/>
      <c r="VSV1" s="70"/>
      <c r="VSW1" s="70"/>
      <c r="VSX1" s="70"/>
      <c r="VSY1" s="70"/>
      <c r="VSZ1" s="70"/>
      <c r="VTA1" s="70"/>
      <c r="VTB1" s="70"/>
      <c r="VTC1" s="70"/>
      <c r="VTD1" s="70"/>
      <c r="VTE1" s="70"/>
      <c r="VTF1" s="70"/>
      <c r="VTG1" s="70"/>
      <c r="VTH1" s="70"/>
      <c r="VTI1" s="70"/>
      <c r="VTJ1" s="70"/>
      <c r="VTK1" s="70"/>
      <c r="VTL1" s="70"/>
      <c r="VTM1" s="70"/>
      <c r="VTN1" s="70"/>
      <c r="VTO1" s="70"/>
      <c r="VTP1" s="70"/>
      <c r="VTQ1" s="70"/>
      <c r="VTR1" s="70"/>
      <c r="VTS1" s="70"/>
      <c r="VTT1" s="70"/>
      <c r="VTU1" s="70"/>
      <c r="VTV1" s="70"/>
      <c r="VTW1" s="70"/>
      <c r="VTX1" s="70"/>
      <c r="VTY1" s="70"/>
      <c r="VTZ1" s="70"/>
      <c r="VUA1" s="70"/>
      <c r="VUB1" s="70"/>
      <c r="VUC1" s="70"/>
      <c r="VUD1" s="70"/>
      <c r="VUE1" s="70"/>
      <c r="VUF1" s="70"/>
      <c r="VUG1" s="70"/>
      <c r="VUH1" s="70"/>
      <c r="VUI1" s="70"/>
      <c r="VUJ1" s="70"/>
      <c r="VUK1" s="70"/>
      <c r="VUL1" s="70"/>
      <c r="VUM1" s="70"/>
      <c r="VUN1" s="70"/>
      <c r="VUO1" s="70"/>
      <c r="VUP1" s="70"/>
      <c r="VUQ1" s="70"/>
      <c r="VUR1" s="70"/>
      <c r="VUS1" s="70"/>
      <c r="VUT1" s="70"/>
      <c r="VUU1" s="70"/>
      <c r="VUV1" s="70"/>
      <c r="VUW1" s="70"/>
      <c r="VUX1" s="70"/>
      <c r="VUY1" s="70"/>
      <c r="VUZ1" s="70"/>
      <c r="VVA1" s="70"/>
      <c r="VVB1" s="70"/>
      <c r="VVC1" s="70"/>
      <c r="VVD1" s="70"/>
      <c r="VVE1" s="70"/>
      <c r="VVF1" s="70"/>
      <c r="VVG1" s="70"/>
      <c r="VVH1" s="70"/>
      <c r="VVI1" s="70"/>
      <c r="VVJ1" s="70"/>
      <c r="VVK1" s="70"/>
      <c r="VVL1" s="70"/>
      <c r="VVM1" s="70"/>
      <c r="VVN1" s="70"/>
      <c r="VVO1" s="70"/>
      <c r="VVP1" s="70"/>
      <c r="VVQ1" s="70"/>
      <c r="VVR1" s="70"/>
      <c r="VVS1" s="70"/>
      <c r="VVT1" s="70"/>
      <c r="VVU1" s="70"/>
      <c r="VVV1" s="70"/>
      <c r="VVW1" s="70"/>
      <c r="VVX1" s="70"/>
      <c r="VVY1" s="70"/>
      <c r="VVZ1" s="70"/>
      <c r="VWA1" s="70"/>
      <c r="VWB1" s="70"/>
      <c r="VWC1" s="70"/>
      <c r="VWD1" s="70"/>
      <c r="VWE1" s="70"/>
      <c r="VWF1" s="70"/>
      <c r="VWG1" s="70"/>
      <c r="VWH1" s="70"/>
      <c r="VWI1" s="70"/>
      <c r="VWJ1" s="70"/>
      <c r="VWK1" s="70"/>
      <c r="VWL1" s="70"/>
      <c r="VWM1" s="70"/>
      <c r="VWN1" s="70"/>
      <c r="VWO1" s="70"/>
      <c r="VWP1" s="70"/>
      <c r="VWQ1" s="70"/>
      <c r="VWR1" s="70"/>
      <c r="VWS1" s="70"/>
      <c r="VWT1" s="70"/>
      <c r="VWU1" s="70"/>
      <c r="VWV1" s="70"/>
      <c r="VWW1" s="70"/>
      <c r="VWX1" s="70"/>
      <c r="VWY1" s="70"/>
      <c r="VWZ1" s="70"/>
      <c r="VXA1" s="70"/>
      <c r="VXB1" s="70"/>
      <c r="VXC1" s="70"/>
      <c r="VXD1" s="70"/>
      <c r="VXE1" s="70"/>
      <c r="VXF1" s="70"/>
      <c r="VXG1" s="70"/>
      <c r="VXH1" s="70"/>
      <c r="VXI1" s="70"/>
      <c r="VXJ1" s="70"/>
      <c r="VXK1" s="70"/>
      <c r="VXL1" s="70"/>
      <c r="VXM1" s="70"/>
      <c r="VXN1" s="70"/>
      <c r="VXO1" s="70"/>
      <c r="VXP1" s="70"/>
      <c r="VXQ1" s="70"/>
      <c r="VXR1" s="70"/>
      <c r="VXS1" s="70"/>
      <c r="VXT1" s="70"/>
      <c r="VXU1" s="70"/>
      <c r="VXV1" s="70"/>
      <c r="VXW1" s="70"/>
      <c r="VXX1" s="70"/>
      <c r="VXY1" s="70"/>
      <c r="VXZ1" s="70"/>
      <c r="VYA1" s="70"/>
      <c r="VYB1" s="70"/>
      <c r="VYC1" s="70"/>
      <c r="VYD1" s="70"/>
      <c r="VYE1" s="70"/>
      <c r="VYF1" s="70"/>
      <c r="VYG1" s="70"/>
      <c r="VYH1" s="70"/>
      <c r="VYI1" s="70"/>
      <c r="VYJ1" s="70"/>
      <c r="VYK1" s="70"/>
      <c r="VYL1" s="70"/>
      <c r="VYM1" s="70"/>
      <c r="VYN1" s="70"/>
      <c r="VYO1" s="70"/>
      <c r="VYP1" s="70"/>
      <c r="VYQ1" s="70"/>
      <c r="VYR1" s="70"/>
      <c r="VYS1" s="70"/>
      <c r="VYT1" s="70"/>
      <c r="VYU1" s="70"/>
      <c r="VYV1" s="70"/>
      <c r="VYW1" s="70"/>
      <c r="VYX1" s="70"/>
      <c r="VYY1" s="70"/>
      <c r="VYZ1" s="70"/>
      <c r="VZA1" s="70"/>
      <c r="VZB1" s="70"/>
      <c r="VZC1" s="70"/>
      <c r="VZD1" s="70"/>
      <c r="VZE1" s="70"/>
      <c r="VZF1" s="70"/>
      <c r="VZG1" s="70"/>
      <c r="VZH1" s="70"/>
      <c r="VZI1" s="70"/>
      <c r="VZJ1" s="70"/>
      <c r="VZK1" s="70"/>
      <c r="VZL1" s="70"/>
      <c r="VZM1" s="70"/>
      <c r="VZN1" s="70"/>
      <c r="VZO1" s="70"/>
      <c r="VZP1" s="70"/>
      <c r="VZQ1" s="70"/>
      <c r="VZR1" s="70"/>
      <c r="VZS1" s="70"/>
      <c r="VZT1" s="70"/>
      <c r="VZU1" s="70"/>
      <c r="VZV1" s="70"/>
      <c r="VZW1" s="70"/>
      <c r="VZX1" s="70"/>
      <c r="VZY1" s="70"/>
      <c r="VZZ1" s="70"/>
      <c r="WAA1" s="70"/>
      <c r="WAB1" s="70"/>
      <c r="WAC1" s="70"/>
      <c r="WAD1" s="70"/>
      <c r="WAE1" s="70"/>
      <c r="WAF1" s="70"/>
      <c r="WAG1" s="70"/>
      <c r="WAH1" s="70"/>
      <c r="WAI1" s="70"/>
      <c r="WAJ1" s="70"/>
      <c r="WAK1" s="70"/>
      <c r="WAL1" s="70"/>
      <c r="WAM1" s="70"/>
      <c r="WAN1" s="70"/>
      <c r="WAO1" s="70"/>
      <c r="WAP1" s="70"/>
      <c r="WAQ1" s="70"/>
      <c r="WAR1" s="70"/>
      <c r="WAS1" s="70"/>
      <c r="WAT1" s="70"/>
      <c r="WAU1" s="70"/>
      <c r="WAV1" s="70"/>
      <c r="WAW1" s="70"/>
      <c r="WAX1" s="70"/>
      <c r="WAY1" s="70"/>
      <c r="WAZ1" s="70"/>
      <c r="WBA1" s="70"/>
      <c r="WBB1" s="70"/>
      <c r="WBC1" s="70"/>
      <c r="WBD1" s="70"/>
      <c r="WBE1" s="70"/>
      <c r="WBF1" s="70"/>
      <c r="WBG1" s="70"/>
      <c r="WBH1" s="70"/>
      <c r="WBI1" s="70"/>
      <c r="WBJ1" s="70"/>
      <c r="WBK1" s="70"/>
      <c r="WBL1" s="70"/>
      <c r="WBM1" s="70"/>
      <c r="WBN1" s="70"/>
      <c r="WBO1" s="70"/>
      <c r="WBP1" s="70"/>
      <c r="WBQ1" s="70"/>
      <c r="WBR1" s="70"/>
      <c r="WBS1" s="70"/>
      <c r="WBT1" s="70"/>
      <c r="WBU1" s="70"/>
      <c r="WBV1" s="70"/>
      <c r="WBW1" s="70"/>
      <c r="WBX1" s="70"/>
      <c r="WBY1" s="70"/>
      <c r="WBZ1" s="70"/>
      <c r="WCA1" s="70"/>
      <c r="WCB1" s="70"/>
      <c r="WCC1" s="70"/>
      <c r="WCD1" s="70"/>
      <c r="WCE1" s="70"/>
      <c r="WCF1" s="70"/>
      <c r="WCG1" s="70"/>
      <c r="WCH1" s="70"/>
      <c r="WCI1" s="70"/>
      <c r="WCJ1" s="70"/>
      <c r="WCK1" s="70"/>
      <c r="WCL1" s="70"/>
      <c r="WCM1" s="70"/>
      <c r="WCN1" s="70"/>
      <c r="WCO1" s="70"/>
      <c r="WCP1" s="70"/>
      <c r="WCQ1" s="70"/>
      <c r="WCR1" s="70"/>
      <c r="WCS1" s="70"/>
      <c r="WCT1" s="70"/>
      <c r="WCU1" s="70"/>
      <c r="WCV1" s="70"/>
      <c r="WCW1" s="70"/>
      <c r="WCX1" s="70"/>
      <c r="WCY1" s="70"/>
      <c r="WCZ1" s="70"/>
      <c r="WDA1" s="70"/>
      <c r="WDB1" s="70"/>
      <c r="WDC1" s="70"/>
      <c r="WDD1" s="70"/>
      <c r="WDE1" s="70"/>
      <c r="WDF1" s="70"/>
      <c r="WDG1" s="70"/>
      <c r="WDH1" s="70"/>
      <c r="WDI1" s="70"/>
      <c r="WDJ1" s="70"/>
      <c r="WDK1" s="70"/>
      <c r="WDL1" s="70"/>
      <c r="WDM1" s="70"/>
      <c r="WDN1" s="70"/>
      <c r="WDO1" s="70"/>
      <c r="WDP1" s="70"/>
      <c r="WDQ1" s="70"/>
      <c r="WDR1" s="70"/>
      <c r="WDS1" s="70"/>
      <c r="WDT1" s="70"/>
      <c r="WDU1" s="70"/>
      <c r="WDV1" s="70"/>
      <c r="WDW1" s="70"/>
      <c r="WDX1" s="70"/>
      <c r="WDY1" s="70"/>
      <c r="WDZ1" s="70"/>
      <c r="WEA1" s="70"/>
      <c r="WEB1" s="70"/>
      <c r="WEC1" s="70"/>
      <c r="WED1" s="70"/>
      <c r="WEE1" s="70"/>
      <c r="WEF1" s="70"/>
      <c r="WEG1" s="70"/>
      <c r="WEH1" s="70"/>
      <c r="WEI1" s="70"/>
      <c r="WEJ1" s="70"/>
      <c r="WEK1" s="70"/>
      <c r="WEL1" s="70"/>
      <c r="WEM1" s="70"/>
      <c r="WEN1" s="70"/>
      <c r="WEO1" s="70"/>
      <c r="WEP1" s="70"/>
      <c r="WEQ1" s="70"/>
      <c r="WER1" s="70"/>
      <c r="WES1" s="70"/>
      <c r="WET1" s="70"/>
      <c r="WEU1" s="70"/>
      <c r="WEV1" s="70"/>
      <c r="WEW1" s="70"/>
      <c r="WEX1" s="70"/>
      <c r="WEY1" s="70"/>
      <c r="WEZ1" s="70"/>
      <c r="WFA1" s="70"/>
      <c r="WFB1" s="70"/>
      <c r="WFC1" s="70"/>
      <c r="WFD1" s="70"/>
      <c r="WFE1" s="70"/>
      <c r="WFF1" s="70"/>
      <c r="WFG1" s="70"/>
      <c r="WFH1" s="70"/>
      <c r="WFI1" s="70"/>
      <c r="WFJ1" s="70"/>
      <c r="WFK1" s="70"/>
      <c r="WFL1" s="70"/>
      <c r="WFM1" s="70"/>
      <c r="WFN1" s="70"/>
      <c r="WFO1" s="70"/>
      <c r="WFP1" s="70"/>
      <c r="WFQ1" s="70"/>
      <c r="WFR1" s="70"/>
      <c r="WFS1" s="70"/>
      <c r="WFT1" s="70"/>
      <c r="WFU1" s="70"/>
      <c r="WFV1" s="70"/>
      <c r="WFW1" s="70"/>
      <c r="WFX1" s="70"/>
      <c r="WFY1" s="70"/>
      <c r="WFZ1" s="70"/>
      <c r="WGA1" s="70"/>
      <c r="WGB1" s="70"/>
      <c r="WGC1" s="70"/>
      <c r="WGD1" s="70"/>
      <c r="WGE1" s="70"/>
      <c r="WGF1" s="70"/>
      <c r="WGG1" s="70"/>
      <c r="WGH1" s="70"/>
      <c r="WGI1" s="70"/>
      <c r="WGJ1" s="70"/>
      <c r="WGK1" s="70"/>
      <c r="WGL1" s="70"/>
      <c r="WGM1" s="70"/>
      <c r="WGN1" s="70"/>
      <c r="WGO1" s="70"/>
      <c r="WGP1" s="70"/>
      <c r="WGQ1" s="70"/>
      <c r="WGR1" s="70"/>
      <c r="WGS1" s="70"/>
      <c r="WGT1" s="70"/>
      <c r="WGU1" s="70"/>
      <c r="WGV1" s="70"/>
      <c r="WGW1" s="70"/>
      <c r="WGX1" s="70"/>
      <c r="WGY1" s="70"/>
      <c r="WGZ1" s="70"/>
      <c r="WHA1" s="70"/>
      <c r="WHB1" s="70"/>
      <c r="WHC1" s="70"/>
      <c r="WHD1" s="70"/>
      <c r="WHE1" s="70"/>
      <c r="WHF1" s="70"/>
      <c r="WHG1" s="70"/>
      <c r="WHH1" s="70"/>
      <c r="WHI1" s="70"/>
      <c r="WHJ1" s="70"/>
      <c r="WHK1" s="70"/>
      <c r="WHL1" s="70"/>
      <c r="WHM1" s="70"/>
      <c r="WHN1" s="70"/>
      <c r="WHO1" s="70"/>
      <c r="WHP1" s="70"/>
      <c r="WHQ1" s="70"/>
      <c r="WHR1" s="70"/>
      <c r="WHS1" s="70"/>
      <c r="WHT1" s="70"/>
      <c r="WHU1" s="70"/>
      <c r="WHV1" s="70"/>
      <c r="WHW1" s="70"/>
      <c r="WHX1" s="70"/>
      <c r="WHY1" s="70"/>
      <c r="WHZ1" s="70"/>
      <c r="WIA1" s="70"/>
      <c r="WIB1" s="70"/>
      <c r="WIC1" s="70"/>
      <c r="WID1" s="70"/>
      <c r="WIE1" s="70"/>
      <c r="WIF1" s="70"/>
      <c r="WIG1" s="70"/>
      <c r="WIH1" s="70"/>
      <c r="WII1" s="70"/>
      <c r="WIJ1" s="70"/>
      <c r="WIK1" s="70"/>
      <c r="WIL1" s="70"/>
      <c r="WIM1" s="70"/>
      <c r="WIN1" s="70"/>
      <c r="WIO1" s="70"/>
      <c r="WIP1" s="70"/>
      <c r="WIQ1" s="70"/>
      <c r="WIR1" s="70"/>
      <c r="WIS1" s="70"/>
      <c r="WIT1" s="70"/>
      <c r="WIU1" s="70"/>
      <c r="WIV1" s="70"/>
      <c r="WIW1" s="70"/>
      <c r="WIX1" s="70"/>
      <c r="WIY1" s="70"/>
      <c r="WIZ1" s="70"/>
      <c r="WJA1" s="70"/>
      <c r="WJB1" s="70"/>
      <c r="WJC1" s="70"/>
      <c r="WJD1" s="70"/>
      <c r="WJE1" s="70"/>
      <c r="WJF1" s="70"/>
      <c r="WJG1" s="70"/>
      <c r="WJH1" s="70"/>
      <c r="WJI1" s="70"/>
      <c r="WJJ1" s="70"/>
      <c r="WJK1" s="70"/>
      <c r="WJL1" s="70"/>
      <c r="WJM1" s="70"/>
      <c r="WJN1" s="70"/>
      <c r="WJO1" s="70"/>
      <c r="WJP1" s="70"/>
      <c r="WJQ1" s="70"/>
      <c r="WJR1" s="70"/>
      <c r="WJS1" s="70"/>
      <c r="WJT1" s="70"/>
      <c r="WJU1" s="70"/>
      <c r="WJV1" s="70"/>
      <c r="WJW1" s="70"/>
      <c r="WJX1" s="70"/>
      <c r="WJY1" s="70"/>
      <c r="WJZ1" s="70"/>
      <c r="WKA1" s="70"/>
      <c r="WKB1" s="70"/>
      <c r="WKC1" s="70"/>
      <c r="WKD1" s="70"/>
      <c r="WKE1" s="70"/>
      <c r="WKF1" s="70"/>
      <c r="WKG1" s="70"/>
      <c r="WKH1" s="70"/>
      <c r="WKI1" s="70"/>
      <c r="WKJ1" s="70"/>
      <c r="WKK1" s="70"/>
      <c r="WKL1" s="70"/>
      <c r="WKM1" s="70"/>
      <c r="WKN1" s="70"/>
      <c r="WKO1" s="70"/>
      <c r="WKP1" s="70"/>
      <c r="WKQ1" s="70"/>
      <c r="WKR1" s="70"/>
      <c r="WKS1" s="70"/>
      <c r="WKT1" s="70"/>
      <c r="WKU1" s="70"/>
      <c r="WKV1" s="70"/>
      <c r="WKW1" s="70"/>
      <c r="WKX1" s="70"/>
      <c r="WKY1" s="70"/>
      <c r="WKZ1" s="70"/>
      <c r="WLA1" s="70"/>
      <c r="WLB1" s="70"/>
      <c r="WLC1" s="70"/>
      <c r="WLD1" s="70"/>
      <c r="WLE1" s="70"/>
      <c r="WLF1" s="70"/>
      <c r="WLG1" s="70"/>
      <c r="WLH1" s="70"/>
      <c r="WLI1" s="70"/>
      <c r="WLJ1" s="70"/>
      <c r="WLK1" s="70"/>
      <c r="WLL1" s="70"/>
      <c r="WLM1" s="70"/>
      <c r="WLN1" s="70"/>
      <c r="WLO1" s="70"/>
      <c r="WLP1" s="70"/>
      <c r="WLQ1" s="70"/>
      <c r="WLR1" s="70"/>
      <c r="WLS1" s="70"/>
      <c r="WLT1" s="70"/>
      <c r="WLU1" s="70"/>
      <c r="WLV1" s="70"/>
      <c r="WLW1" s="70"/>
      <c r="WLX1" s="70"/>
      <c r="WLY1" s="70"/>
      <c r="WLZ1" s="70"/>
      <c r="WMA1" s="70"/>
      <c r="WMB1" s="70"/>
      <c r="WMC1" s="70"/>
      <c r="WMD1" s="70"/>
      <c r="WME1" s="70"/>
      <c r="WMF1" s="70"/>
      <c r="WMG1" s="70"/>
      <c r="WMH1" s="70"/>
      <c r="WMI1" s="70"/>
      <c r="WMJ1" s="70"/>
      <c r="WMK1" s="70"/>
      <c r="WML1" s="70"/>
      <c r="WMM1" s="70"/>
      <c r="WMN1" s="70"/>
      <c r="WMO1" s="70"/>
      <c r="WMP1" s="70"/>
      <c r="WMQ1" s="70"/>
      <c r="WMR1" s="70"/>
      <c r="WMS1" s="70"/>
      <c r="WMT1" s="70"/>
      <c r="WMU1" s="70"/>
      <c r="WMV1" s="70"/>
      <c r="WMW1" s="70"/>
      <c r="WMX1" s="70"/>
      <c r="WMY1" s="70"/>
      <c r="WMZ1" s="70"/>
      <c r="WNA1" s="70"/>
      <c r="WNB1" s="70"/>
      <c r="WNC1" s="70"/>
      <c r="WND1" s="70"/>
      <c r="WNE1" s="70"/>
      <c r="WNF1" s="70"/>
      <c r="WNG1" s="70"/>
      <c r="WNH1" s="70"/>
      <c r="WNI1" s="70"/>
      <c r="WNJ1" s="70"/>
      <c r="WNK1" s="70"/>
      <c r="WNL1" s="70"/>
      <c r="WNM1" s="70"/>
      <c r="WNN1" s="70"/>
      <c r="WNO1" s="70"/>
      <c r="WNP1" s="70"/>
      <c r="WNQ1" s="70"/>
      <c r="WNR1" s="70"/>
      <c r="WNS1" s="70"/>
      <c r="WNT1" s="70"/>
      <c r="WNU1" s="70"/>
      <c r="WNV1" s="70"/>
      <c r="WNW1" s="70"/>
      <c r="WNX1" s="70"/>
      <c r="WNY1" s="70"/>
      <c r="WNZ1" s="70"/>
      <c r="WOA1" s="70"/>
      <c r="WOB1" s="70"/>
      <c r="WOC1" s="70"/>
      <c r="WOD1" s="70"/>
      <c r="WOE1" s="70"/>
      <c r="WOF1" s="70"/>
      <c r="WOG1" s="70"/>
      <c r="WOH1" s="70"/>
      <c r="WOI1" s="70"/>
      <c r="WOJ1" s="70"/>
      <c r="WOK1" s="70"/>
      <c r="WOL1" s="70"/>
      <c r="WOM1" s="70"/>
      <c r="WON1" s="70"/>
      <c r="WOO1" s="70"/>
      <c r="WOP1" s="70"/>
      <c r="WOQ1" s="70"/>
      <c r="WOR1" s="70"/>
      <c r="WOS1" s="70"/>
      <c r="WOT1" s="70"/>
      <c r="WOU1" s="70"/>
      <c r="WOV1" s="70"/>
      <c r="WOW1" s="70"/>
      <c r="WOX1" s="70"/>
      <c r="WOY1" s="70"/>
      <c r="WOZ1" s="70"/>
      <c r="WPA1" s="70"/>
      <c r="WPB1" s="70"/>
      <c r="WPC1" s="70"/>
      <c r="WPD1" s="70"/>
      <c r="WPE1" s="70"/>
      <c r="WPF1" s="70"/>
      <c r="WPG1" s="70"/>
      <c r="WPH1" s="70"/>
      <c r="WPI1" s="70"/>
      <c r="WPJ1" s="70"/>
      <c r="WPK1" s="70"/>
      <c r="WPL1" s="70"/>
      <c r="WPM1" s="70"/>
      <c r="WPN1" s="70"/>
      <c r="WPO1" s="70"/>
      <c r="WPP1" s="70"/>
      <c r="WPQ1" s="70"/>
      <c r="WPR1" s="70"/>
      <c r="WPS1" s="70"/>
      <c r="WPT1" s="70"/>
      <c r="WPU1" s="70"/>
      <c r="WPV1" s="70"/>
      <c r="WPW1" s="70"/>
      <c r="WPX1" s="70"/>
      <c r="WPY1" s="70"/>
      <c r="WPZ1" s="70"/>
      <c r="WQA1" s="70"/>
      <c r="WQB1" s="70"/>
      <c r="WQC1" s="70"/>
      <c r="WQD1" s="70"/>
      <c r="WQE1" s="70"/>
      <c r="WQF1" s="70"/>
      <c r="WQG1" s="70"/>
      <c r="WQH1" s="70"/>
      <c r="WQI1" s="70"/>
      <c r="WQJ1" s="70"/>
      <c r="WQK1" s="70"/>
      <c r="WQL1" s="70"/>
      <c r="WQM1" s="70"/>
      <c r="WQN1" s="70"/>
      <c r="WQO1" s="70"/>
      <c r="WQP1" s="70"/>
      <c r="WQQ1" s="70"/>
      <c r="WQR1" s="70"/>
      <c r="WQS1" s="70"/>
      <c r="WQT1" s="70"/>
      <c r="WQU1" s="70"/>
      <c r="WQV1" s="70"/>
      <c r="WQW1" s="70"/>
      <c r="WQX1" s="70"/>
      <c r="WQY1" s="70"/>
      <c r="WQZ1" s="70"/>
      <c r="WRA1" s="70"/>
      <c r="WRB1" s="70"/>
      <c r="WRC1" s="70"/>
      <c r="WRD1" s="70"/>
      <c r="WRE1" s="70"/>
      <c r="WRF1" s="70"/>
      <c r="WRG1" s="70"/>
      <c r="WRH1" s="70"/>
      <c r="WRI1" s="70"/>
      <c r="WRJ1" s="70"/>
      <c r="WRK1" s="70"/>
      <c r="WRL1" s="70"/>
      <c r="WRM1" s="70"/>
      <c r="WRN1" s="70"/>
      <c r="WRO1" s="70"/>
      <c r="WRP1" s="70"/>
      <c r="WRQ1" s="70"/>
      <c r="WRR1" s="70"/>
      <c r="WRS1" s="70"/>
      <c r="WRT1" s="70"/>
      <c r="WRU1" s="70"/>
      <c r="WRV1" s="70"/>
      <c r="WRW1" s="70"/>
      <c r="WRX1" s="70"/>
      <c r="WRY1" s="70"/>
      <c r="WRZ1" s="70"/>
      <c r="WSA1" s="70"/>
      <c r="WSB1" s="70"/>
      <c r="WSC1" s="70"/>
      <c r="WSD1" s="70"/>
      <c r="WSE1" s="70"/>
      <c r="WSF1" s="70"/>
      <c r="WSG1" s="70"/>
      <c r="WSH1" s="70"/>
      <c r="WSI1" s="70"/>
      <c r="WSJ1" s="70"/>
      <c r="WSK1" s="70"/>
      <c r="WSL1" s="70"/>
      <c r="WSM1" s="70"/>
      <c r="WSN1" s="70"/>
      <c r="WSO1" s="70"/>
      <c r="WSP1" s="70"/>
      <c r="WSQ1" s="70"/>
      <c r="WSR1" s="70"/>
      <c r="WSS1" s="70"/>
      <c r="WST1" s="70"/>
      <c r="WSU1" s="70"/>
      <c r="WSV1" s="70"/>
      <c r="WSW1" s="70"/>
      <c r="WSX1" s="70"/>
      <c r="WSY1" s="70"/>
      <c r="WSZ1" s="70"/>
      <c r="WTA1" s="70"/>
      <c r="WTB1" s="70"/>
      <c r="WTC1" s="70"/>
      <c r="WTD1" s="70"/>
      <c r="WTE1" s="70"/>
      <c r="WTF1" s="70"/>
      <c r="WTG1" s="70"/>
      <c r="WTH1" s="70"/>
      <c r="WTI1" s="70"/>
      <c r="WTJ1" s="70"/>
      <c r="WTK1" s="70"/>
      <c r="WTL1" s="70"/>
      <c r="WTM1" s="70"/>
      <c r="WTN1" s="70"/>
      <c r="WTO1" s="70"/>
      <c r="WTP1" s="70"/>
      <c r="WTQ1" s="70"/>
      <c r="WTR1" s="70"/>
      <c r="WTS1" s="70"/>
      <c r="WTT1" s="70"/>
      <c r="WTU1" s="70"/>
      <c r="WTV1" s="70"/>
      <c r="WTW1" s="70"/>
      <c r="WTX1" s="70"/>
      <c r="WTY1" s="70"/>
      <c r="WTZ1" s="70"/>
      <c r="WUA1" s="70"/>
      <c r="WUB1" s="70"/>
      <c r="WUC1" s="70"/>
      <c r="WUD1" s="70"/>
      <c r="WUE1" s="70"/>
      <c r="WUF1" s="70"/>
      <c r="WUG1" s="70"/>
      <c r="WUH1" s="70"/>
      <c r="WUI1" s="70"/>
      <c r="WUJ1" s="70"/>
      <c r="WUK1" s="70"/>
      <c r="WUL1" s="70"/>
      <c r="WUM1" s="70"/>
      <c r="WUN1" s="70"/>
      <c r="WUO1" s="70"/>
      <c r="WUP1" s="70"/>
      <c r="WUQ1" s="70"/>
      <c r="WUR1" s="70"/>
      <c r="WUS1" s="70"/>
      <c r="WUT1" s="70"/>
      <c r="WUU1" s="70"/>
      <c r="WUV1" s="70"/>
      <c r="WUW1" s="70"/>
      <c r="WUX1" s="70"/>
      <c r="WUY1" s="70"/>
      <c r="WUZ1" s="70"/>
      <c r="WVA1" s="70"/>
      <c r="WVB1" s="70"/>
      <c r="WVC1" s="70"/>
      <c r="WVD1" s="70"/>
      <c r="WVE1" s="70"/>
      <c r="WVF1" s="70"/>
      <c r="WVG1" s="70"/>
      <c r="WVH1" s="70"/>
      <c r="WVI1" s="70"/>
      <c r="WVJ1" s="70"/>
      <c r="WVK1" s="70"/>
      <c r="WVL1" s="70"/>
      <c r="WVM1" s="70"/>
      <c r="WVN1" s="70"/>
      <c r="WVO1" s="70"/>
      <c r="WVP1" s="70"/>
      <c r="WVQ1" s="70"/>
      <c r="WVR1" s="70"/>
      <c r="WVS1" s="70"/>
      <c r="WVT1" s="70"/>
      <c r="WVU1" s="70"/>
      <c r="WVV1" s="70"/>
      <c r="WVW1" s="70"/>
      <c r="WVX1" s="70"/>
      <c r="WVY1" s="70"/>
      <c r="WVZ1" s="70"/>
      <c r="WWA1" s="70"/>
      <c r="WWB1" s="70"/>
      <c r="WWC1" s="70"/>
      <c r="WWD1" s="70"/>
      <c r="WWE1" s="70"/>
      <c r="WWF1" s="70"/>
      <c r="WWG1" s="70"/>
      <c r="WWH1" s="70"/>
      <c r="WWI1" s="70"/>
      <c r="WWJ1" s="70"/>
      <c r="WWK1" s="70"/>
      <c r="WWL1" s="70"/>
      <c r="WWM1" s="70"/>
      <c r="WWN1" s="70"/>
      <c r="WWO1" s="70"/>
      <c r="WWP1" s="70"/>
      <c r="WWQ1" s="70"/>
      <c r="WWR1" s="70"/>
      <c r="WWS1" s="70"/>
      <c r="WWT1" s="70"/>
      <c r="WWU1" s="70"/>
      <c r="WWV1" s="70"/>
      <c r="WWW1" s="70"/>
      <c r="WWX1" s="70"/>
      <c r="WWY1" s="70"/>
      <c r="WWZ1" s="70"/>
      <c r="WXA1" s="70"/>
      <c r="WXB1" s="70"/>
      <c r="WXC1" s="70"/>
      <c r="WXD1" s="70"/>
      <c r="WXE1" s="70"/>
      <c r="WXF1" s="70"/>
      <c r="WXG1" s="70"/>
      <c r="WXH1" s="70"/>
      <c r="WXI1" s="70"/>
      <c r="WXJ1" s="70"/>
      <c r="WXK1" s="70"/>
      <c r="WXL1" s="70"/>
      <c r="WXM1" s="70"/>
      <c r="WXN1" s="70"/>
      <c r="WXO1" s="70"/>
      <c r="WXP1" s="70"/>
      <c r="WXQ1" s="70"/>
      <c r="WXR1" s="70"/>
      <c r="WXS1" s="70"/>
      <c r="WXT1" s="70"/>
      <c r="WXU1" s="70"/>
      <c r="WXV1" s="70"/>
      <c r="WXW1" s="70"/>
      <c r="WXX1" s="70"/>
      <c r="WXY1" s="70"/>
      <c r="WXZ1" s="70"/>
      <c r="WYA1" s="70"/>
      <c r="WYB1" s="70"/>
      <c r="WYC1" s="70"/>
      <c r="WYD1" s="70"/>
      <c r="WYE1" s="70"/>
      <c r="WYF1" s="70"/>
      <c r="WYG1" s="70"/>
      <c r="WYH1" s="70"/>
      <c r="WYI1" s="70"/>
      <c r="WYJ1" s="70"/>
      <c r="WYK1" s="70"/>
      <c r="WYL1" s="70"/>
      <c r="WYM1" s="70"/>
      <c r="WYN1" s="70"/>
      <c r="WYO1" s="70"/>
      <c r="WYP1" s="70"/>
      <c r="WYQ1" s="70"/>
      <c r="WYR1" s="70"/>
      <c r="WYS1" s="70"/>
      <c r="WYT1" s="70"/>
      <c r="WYU1" s="70"/>
      <c r="WYV1" s="70"/>
      <c r="WYW1" s="70"/>
      <c r="WYX1" s="70"/>
      <c r="WYY1" s="70"/>
      <c r="WYZ1" s="70"/>
      <c r="WZA1" s="70"/>
      <c r="WZB1" s="70"/>
      <c r="WZC1" s="70"/>
      <c r="WZD1" s="70"/>
      <c r="WZE1" s="70"/>
      <c r="WZF1" s="70"/>
      <c r="WZG1" s="70"/>
      <c r="WZH1" s="70"/>
      <c r="WZI1" s="70"/>
      <c r="WZJ1" s="70"/>
      <c r="WZK1" s="70"/>
      <c r="WZL1" s="70"/>
      <c r="WZM1" s="70"/>
      <c r="WZN1" s="70"/>
      <c r="WZO1" s="70"/>
      <c r="WZP1" s="70"/>
      <c r="WZQ1" s="70"/>
      <c r="WZR1" s="70"/>
      <c r="WZS1" s="70"/>
      <c r="WZT1" s="70"/>
      <c r="WZU1" s="70"/>
      <c r="WZV1" s="70"/>
      <c r="WZW1" s="70"/>
      <c r="WZX1" s="70"/>
      <c r="WZY1" s="70"/>
      <c r="WZZ1" s="70"/>
      <c r="XAA1" s="70"/>
      <c r="XAB1" s="70"/>
      <c r="XAC1" s="70"/>
      <c r="XAD1" s="70"/>
      <c r="XAE1" s="70"/>
      <c r="XAF1" s="70"/>
      <c r="XAG1" s="70"/>
      <c r="XAH1" s="70"/>
      <c r="XAI1" s="70"/>
      <c r="XAJ1" s="70"/>
      <c r="XAK1" s="70"/>
      <c r="XAL1" s="70"/>
      <c r="XAM1" s="70"/>
      <c r="XAN1" s="70"/>
      <c r="XAO1" s="70"/>
      <c r="XAP1" s="70"/>
      <c r="XAQ1" s="70"/>
      <c r="XAR1" s="70"/>
      <c r="XAS1" s="70"/>
      <c r="XAT1" s="70"/>
      <c r="XAU1" s="70"/>
      <c r="XAV1" s="70"/>
      <c r="XAW1" s="70"/>
      <c r="XAX1" s="70"/>
      <c r="XAY1" s="70"/>
      <c r="XAZ1" s="70"/>
      <c r="XBA1" s="70"/>
      <c r="XBB1" s="70"/>
      <c r="XBC1" s="70"/>
      <c r="XBD1" s="70"/>
      <c r="XBE1" s="70"/>
      <c r="XBF1" s="70"/>
      <c r="XBG1" s="70"/>
      <c r="XBH1" s="70"/>
      <c r="XBI1" s="70"/>
      <c r="XBJ1" s="70"/>
      <c r="XBK1" s="70"/>
      <c r="XBL1" s="70"/>
      <c r="XBM1" s="70"/>
      <c r="XBN1" s="70"/>
      <c r="XBO1" s="70"/>
      <c r="XBP1" s="70"/>
      <c r="XBQ1" s="70"/>
      <c r="XBR1" s="70"/>
      <c r="XBS1" s="70"/>
      <c r="XBT1" s="70"/>
      <c r="XBU1" s="70"/>
      <c r="XBV1" s="70"/>
      <c r="XBW1" s="70"/>
      <c r="XBX1" s="70"/>
      <c r="XBY1" s="70"/>
      <c r="XBZ1" s="70"/>
      <c r="XCA1" s="70"/>
      <c r="XCB1" s="70"/>
      <c r="XCC1" s="70"/>
      <c r="XCD1" s="70"/>
      <c r="XCE1" s="70"/>
      <c r="XCF1" s="70"/>
      <c r="XCG1" s="70"/>
      <c r="XCH1" s="70"/>
      <c r="XCI1" s="70"/>
      <c r="XCJ1" s="70"/>
      <c r="XCK1" s="70"/>
      <c r="XCL1" s="70"/>
      <c r="XCM1" s="70"/>
      <c r="XCN1" s="70"/>
      <c r="XCO1" s="70"/>
      <c r="XCP1" s="70"/>
      <c r="XCQ1" s="70"/>
      <c r="XCR1" s="70"/>
      <c r="XCS1" s="70"/>
      <c r="XCT1" s="70"/>
      <c r="XCU1" s="70"/>
      <c r="XCV1" s="70"/>
      <c r="XCW1" s="70"/>
      <c r="XCX1" s="70"/>
      <c r="XCY1" s="70"/>
      <c r="XCZ1" s="70"/>
      <c r="XDA1" s="70"/>
      <c r="XDB1" s="70"/>
      <c r="XDC1" s="70"/>
      <c r="XDD1" s="70"/>
      <c r="XDE1" s="70"/>
      <c r="XDF1" s="70"/>
      <c r="XDG1" s="70"/>
      <c r="XDH1" s="70"/>
      <c r="XDI1" s="70"/>
      <c r="XDJ1" s="70"/>
      <c r="XDK1" s="70"/>
      <c r="XDL1" s="70"/>
      <c r="XDM1" s="70"/>
      <c r="XDN1" s="70"/>
      <c r="XDO1" s="70"/>
      <c r="XDP1" s="70"/>
      <c r="XDQ1" s="70"/>
      <c r="XDR1" s="70"/>
      <c r="XDS1" s="70"/>
      <c r="XDT1" s="70"/>
      <c r="XDU1" s="70"/>
      <c r="XDV1" s="70"/>
      <c r="XDW1" s="70"/>
      <c r="XDX1" s="70"/>
      <c r="XDY1" s="70"/>
      <c r="XDZ1" s="70"/>
      <c r="XEA1" s="70"/>
      <c r="XEB1" s="70"/>
      <c r="XEC1" s="70"/>
      <c r="XED1" s="70"/>
      <c r="XEE1" s="70"/>
      <c r="XEF1" s="70"/>
      <c r="XEG1" s="70"/>
      <c r="XEH1" s="70"/>
      <c r="XEI1" s="70"/>
      <c r="XEJ1" s="70"/>
      <c r="XEK1" s="70"/>
      <c r="XEL1" s="70"/>
      <c r="XEM1" s="70"/>
      <c r="XEN1" s="70"/>
      <c r="XEO1" s="70"/>
      <c r="XEP1" s="70"/>
      <c r="XEQ1" s="70"/>
      <c r="XER1" s="70"/>
      <c r="XES1" s="70"/>
      <c r="XET1" s="70"/>
      <c r="XEU1" s="70"/>
      <c r="XEV1" s="70"/>
      <c r="XEW1" s="70"/>
      <c r="XEX1" s="70"/>
      <c r="XEY1" s="70"/>
      <c r="XEZ1" s="70"/>
      <c r="XFA1" s="70"/>
      <c r="XFB1" s="70"/>
      <c r="XFC1" s="70"/>
      <c r="XFD1" s="70"/>
    </row>
    <row r="2" spans="1:16384" ht="15" thickTop="1" x14ac:dyDescent="0.3">
      <c r="A2" s="125" t="s">
        <v>1046</v>
      </c>
      <c r="B2" s="125" t="s">
        <v>1068</v>
      </c>
      <c r="C2" s="125" t="s">
        <v>8</v>
      </c>
      <c r="D2" s="103" t="s">
        <v>359</v>
      </c>
      <c r="E2" s="104">
        <v>1</v>
      </c>
      <c r="F2" s="103" t="s">
        <v>360</v>
      </c>
      <c r="G2" s="103" t="s">
        <v>361</v>
      </c>
      <c r="H2" s="103" t="s">
        <v>362</v>
      </c>
      <c r="I2" s="103">
        <v>1</v>
      </c>
      <c r="J2" s="103">
        <v>94.95</v>
      </c>
      <c r="K2" s="103" t="s">
        <v>1913</v>
      </c>
      <c r="L2" s="103" t="s">
        <v>1054</v>
      </c>
      <c r="M2" s="103">
        <f t="shared" ref="M2:M42" si="0">E2*J2</f>
        <v>94.95</v>
      </c>
    </row>
    <row r="3" spans="1:16384" x14ac:dyDescent="0.3">
      <c r="A3" s="125" t="s">
        <v>1046</v>
      </c>
      <c r="B3" s="125" t="s">
        <v>1409</v>
      </c>
      <c r="C3" s="125" t="s">
        <v>8</v>
      </c>
      <c r="D3" s="103" t="s">
        <v>1330</v>
      </c>
      <c r="E3" s="104">
        <v>1</v>
      </c>
      <c r="F3" s="103" t="s">
        <v>1331</v>
      </c>
      <c r="G3" s="103" t="s">
        <v>1332</v>
      </c>
      <c r="H3" s="103" t="s">
        <v>1333</v>
      </c>
      <c r="I3" s="103">
        <v>1</v>
      </c>
      <c r="J3" s="103">
        <v>69.95</v>
      </c>
      <c r="K3" s="103" t="s">
        <v>1914</v>
      </c>
      <c r="L3" s="103" t="s">
        <v>1350</v>
      </c>
      <c r="M3" s="103">
        <f t="shared" si="0"/>
        <v>69.95</v>
      </c>
    </row>
    <row r="4" spans="1:16384" x14ac:dyDescent="0.3">
      <c r="A4" s="125" t="s">
        <v>1046</v>
      </c>
      <c r="B4" s="125" t="s">
        <v>1409</v>
      </c>
      <c r="C4" s="125" t="s">
        <v>8</v>
      </c>
      <c r="D4" s="103" t="s">
        <v>1318</v>
      </c>
      <c r="E4" s="104">
        <v>1</v>
      </c>
      <c r="F4" s="103" t="s">
        <v>1319</v>
      </c>
      <c r="G4" s="103" t="s">
        <v>1320</v>
      </c>
      <c r="H4" s="103" t="s">
        <v>1321</v>
      </c>
      <c r="I4" s="103"/>
      <c r="J4" s="103">
        <v>9.9499999999999993</v>
      </c>
      <c r="K4" s="103" t="s">
        <v>1914</v>
      </c>
      <c r="L4" s="103" t="s">
        <v>1350</v>
      </c>
      <c r="M4" s="103">
        <f t="shared" si="0"/>
        <v>9.9499999999999993</v>
      </c>
    </row>
    <row r="5" spans="1:16384" s="120" customFormat="1" x14ac:dyDescent="0.3">
      <c r="A5" s="118" t="s">
        <v>1046</v>
      </c>
      <c r="B5" s="118" t="s">
        <v>1409</v>
      </c>
      <c r="C5" s="118" t="s">
        <v>8</v>
      </c>
      <c r="D5" s="128" t="s">
        <v>1322</v>
      </c>
      <c r="E5" s="129">
        <v>1</v>
      </c>
      <c r="F5" s="128" t="s">
        <v>1323</v>
      </c>
      <c r="G5" s="128" t="s">
        <v>1324</v>
      </c>
      <c r="H5" s="128" t="s">
        <v>1325</v>
      </c>
      <c r="I5" s="128">
        <v>1</v>
      </c>
      <c r="J5" s="128">
        <v>99.95</v>
      </c>
      <c r="K5" s="128" t="s">
        <v>1914</v>
      </c>
      <c r="L5" s="128" t="s">
        <v>1350</v>
      </c>
      <c r="M5" s="128">
        <f t="shared" si="0"/>
        <v>99.95</v>
      </c>
    </row>
    <row r="6" spans="1:16384" s="120" customFormat="1" x14ac:dyDescent="0.3">
      <c r="A6" s="118" t="s">
        <v>1046</v>
      </c>
      <c r="B6" s="118" t="s">
        <v>1409</v>
      </c>
      <c r="C6" s="118" t="s">
        <v>8</v>
      </c>
      <c r="D6" s="128" t="s">
        <v>1326</v>
      </c>
      <c r="E6" s="129">
        <v>0</v>
      </c>
      <c r="F6" s="128" t="s">
        <v>1327</v>
      </c>
      <c r="G6" s="128" t="s">
        <v>1328</v>
      </c>
      <c r="H6" s="128" t="s">
        <v>1329</v>
      </c>
      <c r="I6" s="128">
        <v>1</v>
      </c>
      <c r="J6" s="128">
        <v>65.95</v>
      </c>
      <c r="K6" s="128" t="s">
        <v>1914</v>
      </c>
      <c r="L6" s="128" t="s">
        <v>1350</v>
      </c>
      <c r="M6" s="128">
        <f t="shared" si="0"/>
        <v>0</v>
      </c>
    </row>
    <row r="7" spans="1:16384" s="120" customFormat="1" x14ac:dyDescent="0.3">
      <c r="A7" s="118" t="s">
        <v>1046</v>
      </c>
      <c r="B7" s="118" t="s">
        <v>1409</v>
      </c>
      <c r="C7" s="118" t="s">
        <v>8</v>
      </c>
      <c r="D7" s="128" t="s">
        <v>1314</v>
      </c>
      <c r="E7" s="129">
        <v>0</v>
      </c>
      <c r="F7" s="128" t="s">
        <v>1315</v>
      </c>
      <c r="G7" s="128" t="s">
        <v>1316</v>
      </c>
      <c r="H7" s="128" t="s">
        <v>1317</v>
      </c>
      <c r="I7" s="128"/>
      <c r="J7" s="128">
        <v>7.95</v>
      </c>
      <c r="K7" s="128" t="s">
        <v>1914</v>
      </c>
      <c r="L7" s="128" t="s">
        <v>1350</v>
      </c>
      <c r="M7" s="128">
        <f t="shared" si="0"/>
        <v>0</v>
      </c>
    </row>
    <row r="8" spans="1:16384" s="120" customFormat="1" x14ac:dyDescent="0.3">
      <c r="A8" s="128" t="s">
        <v>1046</v>
      </c>
      <c r="B8" s="128" t="s">
        <v>1409</v>
      </c>
      <c r="C8" s="128" t="s">
        <v>1898</v>
      </c>
      <c r="D8" s="128" t="s">
        <v>2376</v>
      </c>
      <c r="E8" s="129">
        <v>1</v>
      </c>
      <c r="F8" s="128"/>
      <c r="G8" s="128"/>
      <c r="H8" s="118" t="s">
        <v>2377</v>
      </c>
      <c r="J8" s="118">
        <v>49.95</v>
      </c>
      <c r="K8" s="118" t="s">
        <v>1914</v>
      </c>
      <c r="L8" s="118"/>
    </row>
    <row r="9" spans="1:16384" s="120" customFormat="1" x14ac:dyDescent="0.3">
      <c r="A9" s="128" t="s">
        <v>1046</v>
      </c>
      <c r="B9" s="128" t="s">
        <v>1409</v>
      </c>
      <c r="C9" s="128" t="s">
        <v>1898</v>
      </c>
      <c r="D9" s="128" t="s">
        <v>2378</v>
      </c>
      <c r="E9" s="129">
        <v>0</v>
      </c>
      <c r="F9" s="128"/>
      <c r="G9" s="128"/>
      <c r="H9" s="118" t="s">
        <v>2379</v>
      </c>
      <c r="J9" s="118">
        <v>9.9499999999999993</v>
      </c>
      <c r="K9" s="118" t="s">
        <v>1914</v>
      </c>
      <c r="L9" s="118"/>
    </row>
    <row r="10" spans="1:16384" s="120" customFormat="1" x14ac:dyDescent="0.3">
      <c r="A10" s="128" t="s">
        <v>1046</v>
      </c>
      <c r="B10" s="128" t="s">
        <v>1409</v>
      </c>
      <c r="C10" s="128" t="s">
        <v>1898</v>
      </c>
      <c r="D10" s="128" t="s">
        <v>2380</v>
      </c>
      <c r="E10" s="129">
        <v>0</v>
      </c>
      <c r="F10" s="128"/>
      <c r="G10" s="128"/>
      <c r="H10" s="118" t="s">
        <v>2381</v>
      </c>
      <c r="J10" s="118">
        <v>19.95</v>
      </c>
      <c r="K10" s="118" t="s">
        <v>1914</v>
      </c>
      <c r="L10" s="118"/>
    </row>
    <row r="11" spans="1:16384" s="120" customFormat="1" x14ac:dyDescent="0.3">
      <c r="A11" s="128" t="s">
        <v>1046</v>
      </c>
      <c r="B11" s="128" t="s">
        <v>1409</v>
      </c>
      <c r="C11" s="128" t="s">
        <v>1898</v>
      </c>
      <c r="D11" s="128" t="s">
        <v>2382</v>
      </c>
      <c r="E11" s="129">
        <v>1</v>
      </c>
      <c r="F11" s="128"/>
      <c r="G11" s="128"/>
      <c r="H11" s="118" t="s">
        <v>2383</v>
      </c>
      <c r="J11" s="118">
        <v>9.9499999999999993</v>
      </c>
      <c r="K11" s="118" t="s">
        <v>1914</v>
      </c>
      <c r="L11" s="118"/>
    </row>
    <row r="12" spans="1:16384" s="120" customFormat="1" x14ac:dyDescent="0.3">
      <c r="A12" s="128" t="s">
        <v>1046</v>
      </c>
      <c r="B12" s="128" t="s">
        <v>1409</v>
      </c>
      <c r="C12" s="128" t="s">
        <v>1898</v>
      </c>
      <c r="D12" s="128" t="s">
        <v>2384</v>
      </c>
      <c r="E12" s="129">
        <v>0</v>
      </c>
      <c r="F12" s="128"/>
      <c r="G12" s="128"/>
      <c r="H12" s="118" t="s">
        <v>2385</v>
      </c>
      <c r="J12" s="118">
        <v>7.95</v>
      </c>
      <c r="K12" s="118" t="s">
        <v>1914</v>
      </c>
      <c r="L12" s="118"/>
    </row>
    <row r="13" spans="1:16384" s="120" customFormat="1" x14ac:dyDescent="0.3">
      <c r="A13" s="128" t="s">
        <v>1046</v>
      </c>
      <c r="B13" s="128" t="s">
        <v>1409</v>
      </c>
      <c r="C13" s="128" t="s">
        <v>1898</v>
      </c>
      <c r="D13" s="128" t="s">
        <v>2386</v>
      </c>
      <c r="E13" s="129">
        <v>1</v>
      </c>
      <c r="F13" s="128"/>
      <c r="G13" s="128"/>
      <c r="H13" s="118" t="s">
        <v>2387</v>
      </c>
      <c r="J13" s="118">
        <v>39.950000000000003</v>
      </c>
      <c r="K13" s="118" t="s">
        <v>1914</v>
      </c>
      <c r="L13" s="118"/>
    </row>
    <row r="14" spans="1:16384" s="120" customFormat="1" x14ac:dyDescent="0.3">
      <c r="A14" s="128" t="s">
        <v>1046</v>
      </c>
      <c r="B14" s="128" t="s">
        <v>1409</v>
      </c>
      <c r="C14" s="128" t="s">
        <v>1898</v>
      </c>
      <c r="D14" s="128" t="s">
        <v>2388</v>
      </c>
      <c r="E14" s="129">
        <v>0</v>
      </c>
      <c r="F14" s="128"/>
      <c r="G14" s="128"/>
      <c r="H14" s="118" t="s">
        <v>2389</v>
      </c>
      <c r="J14" s="118">
        <v>39.950000000000003</v>
      </c>
      <c r="K14" s="118" t="s">
        <v>1914</v>
      </c>
      <c r="L14" s="118"/>
    </row>
    <row r="15" spans="1:16384" s="120" customFormat="1" x14ac:dyDescent="0.3">
      <c r="A15" s="128" t="s">
        <v>1046</v>
      </c>
      <c r="B15" s="128" t="s">
        <v>1409</v>
      </c>
      <c r="C15" s="128" t="s">
        <v>1898</v>
      </c>
      <c r="D15" s="128" t="s">
        <v>2390</v>
      </c>
      <c r="E15" s="129">
        <v>0</v>
      </c>
      <c r="F15" s="128"/>
      <c r="G15" s="128"/>
      <c r="H15" s="118" t="s">
        <v>2391</v>
      </c>
      <c r="J15" s="118">
        <v>49.95</v>
      </c>
      <c r="K15" s="118" t="s">
        <v>1914</v>
      </c>
      <c r="L15" s="118"/>
    </row>
    <row r="16" spans="1:16384" x14ac:dyDescent="0.3">
      <c r="A16" s="125" t="s">
        <v>1046</v>
      </c>
      <c r="B16" s="125" t="s">
        <v>1042</v>
      </c>
      <c r="C16" s="125" t="s">
        <v>8</v>
      </c>
      <c r="D16" s="103" t="s">
        <v>340</v>
      </c>
      <c r="E16" s="104">
        <v>1</v>
      </c>
      <c r="F16" s="103" t="s">
        <v>341</v>
      </c>
      <c r="G16" s="103" t="s">
        <v>342</v>
      </c>
      <c r="H16" s="103" t="s">
        <v>343</v>
      </c>
      <c r="I16" s="103">
        <v>1</v>
      </c>
      <c r="J16" s="103">
        <v>54.95</v>
      </c>
      <c r="K16" s="103" t="s">
        <v>1914</v>
      </c>
      <c r="L16" s="103" t="s">
        <v>1045</v>
      </c>
      <c r="M16" s="103">
        <f t="shared" si="0"/>
        <v>54.95</v>
      </c>
    </row>
    <row r="17" spans="1:13" x14ac:dyDescent="0.3">
      <c r="A17" s="125" t="s">
        <v>1046</v>
      </c>
      <c r="B17" s="125" t="s">
        <v>1042</v>
      </c>
      <c r="C17" s="125" t="s">
        <v>8</v>
      </c>
      <c r="D17" s="103" t="s">
        <v>336</v>
      </c>
      <c r="E17" s="104">
        <v>1</v>
      </c>
      <c r="F17" s="103" t="s">
        <v>337</v>
      </c>
      <c r="G17" s="103" t="s">
        <v>338</v>
      </c>
      <c r="H17" s="103" t="s">
        <v>339</v>
      </c>
      <c r="I17" s="103"/>
      <c r="J17" s="103">
        <v>59.95</v>
      </c>
      <c r="K17" s="103" t="s">
        <v>1913</v>
      </c>
      <c r="L17" s="103" t="s">
        <v>1045</v>
      </c>
      <c r="M17" s="103">
        <f t="shared" si="0"/>
        <v>59.95</v>
      </c>
    </row>
    <row r="18" spans="1:13" x14ac:dyDescent="0.3">
      <c r="A18" s="125" t="s">
        <v>1046</v>
      </c>
      <c r="B18" s="125" t="s">
        <v>1043</v>
      </c>
      <c r="C18" s="125" t="s">
        <v>8</v>
      </c>
      <c r="D18" s="103" t="s">
        <v>300</v>
      </c>
      <c r="E18" s="104">
        <v>1</v>
      </c>
      <c r="F18" s="103" t="s">
        <v>301</v>
      </c>
      <c r="G18" s="103" t="s">
        <v>302</v>
      </c>
      <c r="H18" s="103" t="s">
        <v>303</v>
      </c>
      <c r="I18" s="103">
        <v>1</v>
      </c>
      <c r="J18" s="103">
        <v>99.95</v>
      </c>
      <c r="K18" s="103" t="s">
        <v>1914</v>
      </c>
      <c r="L18" s="103" t="s">
        <v>1053</v>
      </c>
      <c r="M18" s="103">
        <f t="shared" si="0"/>
        <v>99.95</v>
      </c>
    </row>
    <row r="19" spans="1:13" x14ac:dyDescent="0.3">
      <c r="A19" s="125" t="s">
        <v>1046</v>
      </c>
      <c r="B19" s="125" t="s">
        <v>1043</v>
      </c>
      <c r="C19" s="125" t="s">
        <v>8</v>
      </c>
      <c r="D19" s="103" t="s">
        <v>320</v>
      </c>
      <c r="E19" s="104">
        <v>1</v>
      </c>
      <c r="F19" s="103" t="s">
        <v>321</v>
      </c>
      <c r="G19" s="103" t="s">
        <v>322</v>
      </c>
      <c r="H19" s="103" t="s">
        <v>323</v>
      </c>
      <c r="I19" s="103">
        <v>1</v>
      </c>
      <c r="J19" s="103">
        <v>19.95</v>
      </c>
      <c r="K19" s="103" t="s">
        <v>1914</v>
      </c>
      <c r="L19" s="103" t="s">
        <v>1052</v>
      </c>
      <c r="M19" s="103">
        <f t="shared" si="0"/>
        <v>19.95</v>
      </c>
    </row>
    <row r="20" spans="1:13" x14ac:dyDescent="0.3">
      <c r="A20" s="125" t="s">
        <v>1046</v>
      </c>
      <c r="B20" s="125" t="s">
        <v>1043</v>
      </c>
      <c r="C20" s="125" t="s">
        <v>8</v>
      </c>
      <c r="D20" s="103" t="s">
        <v>308</v>
      </c>
      <c r="E20" s="104">
        <v>1</v>
      </c>
      <c r="F20" s="103" t="s">
        <v>309</v>
      </c>
      <c r="G20" s="103" t="s">
        <v>310</v>
      </c>
      <c r="H20" s="103" t="s">
        <v>311</v>
      </c>
      <c r="I20" s="103">
        <v>1</v>
      </c>
      <c r="J20" s="103">
        <v>9.9499999999999993</v>
      </c>
      <c r="K20" s="103" t="s">
        <v>1914</v>
      </c>
      <c r="L20" s="103" t="s">
        <v>1052</v>
      </c>
      <c r="M20" s="103">
        <f t="shared" si="0"/>
        <v>9.9499999999999993</v>
      </c>
    </row>
    <row r="21" spans="1:13" x14ac:dyDescent="0.3">
      <c r="A21" s="125" t="s">
        <v>1046</v>
      </c>
      <c r="B21" s="125" t="s">
        <v>1043</v>
      </c>
      <c r="C21" s="125" t="s">
        <v>8</v>
      </c>
      <c r="D21" s="103" t="s">
        <v>312</v>
      </c>
      <c r="E21" s="104">
        <v>1</v>
      </c>
      <c r="F21" s="103" t="s">
        <v>313</v>
      </c>
      <c r="G21" s="103" t="s">
        <v>314</v>
      </c>
      <c r="H21" s="103" t="s">
        <v>315</v>
      </c>
      <c r="I21" s="103">
        <v>1</v>
      </c>
      <c r="J21" s="103">
        <v>9.9499999999999993</v>
      </c>
      <c r="K21" s="103" t="s">
        <v>1914</v>
      </c>
      <c r="L21" s="103" t="s">
        <v>1052</v>
      </c>
      <c r="M21" s="103">
        <f t="shared" si="0"/>
        <v>9.9499999999999993</v>
      </c>
    </row>
    <row r="22" spans="1:13" x14ac:dyDescent="0.3">
      <c r="A22" s="125" t="s">
        <v>1046</v>
      </c>
      <c r="B22" s="125" t="s">
        <v>1043</v>
      </c>
      <c r="C22" s="125" t="s">
        <v>8</v>
      </c>
      <c r="D22" s="103" t="s">
        <v>316</v>
      </c>
      <c r="E22" s="104">
        <v>1</v>
      </c>
      <c r="F22" s="103" t="s">
        <v>317</v>
      </c>
      <c r="G22" s="103" t="s">
        <v>318</v>
      </c>
      <c r="H22" s="103" t="s">
        <v>319</v>
      </c>
      <c r="I22" s="103">
        <v>1</v>
      </c>
      <c r="J22" s="103">
        <v>9.9499999999999993</v>
      </c>
      <c r="K22" s="103" t="s">
        <v>1914</v>
      </c>
      <c r="L22" s="103" t="s">
        <v>1052</v>
      </c>
      <c r="M22" s="103">
        <f t="shared" si="0"/>
        <v>9.9499999999999993</v>
      </c>
    </row>
    <row r="23" spans="1:13" x14ac:dyDescent="0.3">
      <c r="A23" s="125" t="s">
        <v>1046</v>
      </c>
      <c r="B23" s="125" t="s">
        <v>1043</v>
      </c>
      <c r="C23" s="125" t="s">
        <v>8</v>
      </c>
      <c r="D23" s="103" t="s">
        <v>304</v>
      </c>
      <c r="E23" s="104">
        <v>1</v>
      </c>
      <c r="F23" s="103" t="s">
        <v>305</v>
      </c>
      <c r="G23" s="103" t="s">
        <v>306</v>
      </c>
      <c r="H23" s="103" t="s">
        <v>307</v>
      </c>
      <c r="I23" s="103">
        <v>1</v>
      </c>
      <c r="J23" s="103">
        <v>9.9499999999999993</v>
      </c>
      <c r="K23" s="103" t="s">
        <v>1914</v>
      </c>
      <c r="L23" s="103" t="s">
        <v>1052</v>
      </c>
      <c r="M23" s="103">
        <f t="shared" si="0"/>
        <v>9.9499999999999993</v>
      </c>
    </row>
    <row r="24" spans="1:13" x14ac:dyDescent="0.3">
      <c r="A24" s="125" t="s">
        <v>1046</v>
      </c>
      <c r="B24" s="125" t="s">
        <v>1043</v>
      </c>
      <c r="C24" s="125" t="s">
        <v>8</v>
      </c>
      <c r="D24" s="103" t="s">
        <v>1128</v>
      </c>
      <c r="E24" s="104">
        <v>1</v>
      </c>
      <c r="F24" s="103" t="s">
        <v>1129</v>
      </c>
      <c r="G24" s="103" t="s">
        <v>1130</v>
      </c>
      <c r="H24" s="103" t="s">
        <v>1131</v>
      </c>
      <c r="I24" s="103">
        <v>1</v>
      </c>
      <c r="J24" s="103">
        <v>14.95</v>
      </c>
      <c r="K24" s="103" t="s">
        <v>1914</v>
      </c>
      <c r="L24" s="103" t="s">
        <v>1052</v>
      </c>
      <c r="M24" s="103">
        <f t="shared" si="0"/>
        <v>14.95</v>
      </c>
    </row>
    <row r="25" spans="1:13" x14ac:dyDescent="0.3">
      <c r="A25" s="125" t="s">
        <v>1046</v>
      </c>
      <c r="B25" s="125" t="s">
        <v>1043</v>
      </c>
      <c r="C25" s="125" t="s">
        <v>8</v>
      </c>
      <c r="D25" s="103" t="s">
        <v>1148</v>
      </c>
      <c r="E25" s="104">
        <v>1</v>
      </c>
      <c r="F25" s="103" t="s">
        <v>1149</v>
      </c>
      <c r="G25" s="103" t="s">
        <v>1150</v>
      </c>
      <c r="H25" s="103" t="s">
        <v>1151</v>
      </c>
      <c r="I25" s="103">
        <v>1</v>
      </c>
      <c r="J25" s="103">
        <v>9.9499999999999993</v>
      </c>
      <c r="K25" s="103" t="s">
        <v>1914</v>
      </c>
      <c r="L25" s="103" t="s">
        <v>1052</v>
      </c>
      <c r="M25" s="103">
        <f t="shared" si="0"/>
        <v>9.9499999999999993</v>
      </c>
    </row>
    <row r="26" spans="1:13" x14ac:dyDescent="0.3">
      <c r="A26" s="125" t="s">
        <v>1046</v>
      </c>
      <c r="B26" s="125" t="s">
        <v>1043</v>
      </c>
      <c r="C26" s="125" t="s">
        <v>8</v>
      </c>
      <c r="D26" s="103" t="s">
        <v>799</v>
      </c>
      <c r="E26" s="104">
        <v>4</v>
      </c>
      <c r="F26" s="103" t="s">
        <v>800</v>
      </c>
      <c r="G26" s="103" t="s">
        <v>801</v>
      </c>
      <c r="H26" s="103" t="s">
        <v>802</v>
      </c>
      <c r="I26" s="103">
        <v>1</v>
      </c>
      <c r="J26" s="103">
        <v>2.95</v>
      </c>
      <c r="K26" s="103" t="s">
        <v>1914</v>
      </c>
      <c r="L26" s="103" t="s">
        <v>1052</v>
      </c>
      <c r="M26" s="103">
        <f t="shared" si="0"/>
        <v>11.8</v>
      </c>
    </row>
    <row r="27" spans="1:13" x14ac:dyDescent="0.3">
      <c r="A27" s="125" t="s">
        <v>1046</v>
      </c>
      <c r="B27" s="125" t="s">
        <v>1180</v>
      </c>
      <c r="C27" s="125" t="s">
        <v>8</v>
      </c>
      <c r="D27" s="103" t="s">
        <v>1172</v>
      </c>
      <c r="E27" s="104">
        <v>1</v>
      </c>
      <c r="F27" s="103" t="s">
        <v>1173</v>
      </c>
      <c r="G27" s="103" t="s">
        <v>1174</v>
      </c>
      <c r="H27" s="103" t="s">
        <v>1175</v>
      </c>
      <c r="I27" s="103"/>
      <c r="J27" s="103">
        <v>20</v>
      </c>
      <c r="K27" s="103" t="s">
        <v>1914</v>
      </c>
      <c r="L27" s="130" t="s">
        <v>1050</v>
      </c>
      <c r="M27" s="103">
        <f t="shared" si="0"/>
        <v>20</v>
      </c>
    </row>
    <row r="28" spans="1:13" x14ac:dyDescent="0.3">
      <c r="A28" s="125" t="s">
        <v>1046</v>
      </c>
      <c r="B28" s="125" t="s">
        <v>1180</v>
      </c>
      <c r="C28" s="125" t="s">
        <v>8</v>
      </c>
      <c r="D28" s="103" t="s">
        <v>1152</v>
      </c>
      <c r="E28" s="104">
        <v>1</v>
      </c>
      <c r="F28" s="103" t="s">
        <v>1153</v>
      </c>
      <c r="G28" s="103" t="s">
        <v>1154</v>
      </c>
      <c r="H28" s="103" t="s">
        <v>1155</v>
      </c>
      <c r="I28" s="103"/>
      <c r="J28" s="103">
        <v>9</v>
      </c>
      <c r="K28" s="103" t="s">
        <v>1914</v>
      </c>
      <c r="L28" s="130" t="s">
        <v>1050</v>
      </c>
      <c r="M28" s="103">
        <f t="shared" si="0"/>
        <v>9</v>
      </c>
    </row>
    <row r="29" spans="1:13" x14ac:dyDescent="0.3">
      <c r="A29" s="125" t="s">
        <v>1046</v>
      </c>
      <c r="B29" s="125" t="s">
        <v>1180</v>
      </c>
      <c r="C29" s="125" t="s">
        <v>8</v>
      </c>
      <c r="D29" s="103" t="s">
        <v>1156</v>
      </c>
      <c r="E29" s="104">
        <v>1</v>
      </c>
      <c r="F29" s="103" t="s">
        <v>1157</v>
      </c>
      <c r="G29" s="103" t="s">
        <v>1158</v>
      </c>
      <c r="H29" s="103" t="s">
        <v>1159</v>
      </c>
      <c r="I29" s="103"/>
      <c r="J29" s="103">
        <v>5</v>
      </c>
      <c r="K29" s="103" t="s">
        <v>1914</v>
      </c>
      <c r="L29" s="130" t="s">
        <v>1050</v>
      </c>
      <c r="M29" s="103">
        <f t="shared" si="0"/>
        <v>5</v>
      </c>
    </row>
    <row r="30" spans="1:13" x14ac:dyDescent="0.3">
      <c r="A30" s="125" t="s">
        <v>1046</v>
      </c>
      <c r="B30" s="125" t="s">
        <v>1180</v>
      </c>
      <c r="C30" s="125" t="s">
        <v>8</v>
      </c>
      <c r="D30" s="103" t="s">
        <v>1164</v>
      </c>
      <c r="E30" s="104">
        <v>1</v>
      </c>
      <c r="F30" s="103" t="s">
        <v>1165</v>
      </c>
      <c r="G30" s="103" t="s">
        <v>1166</v>
      </c>
      <c r="H30" s="103" t="s">
        <v>1167</v>
      </c>
      <c r="I30" s="103"/>
      <c r="J30" s="103">
        <v>15</v>
      </c>
      <c r="K30" s="103" t="s">
        <v>1914</v>
      </c>
      <c r="L30" s="130" t="s">
        <v>1050</v>
      </c>
      <c r="M30" s="103">
        <f t="shared" si="0"/>
        <v>15</v>
      </c>
    </row>
    <row r="31" spans="1:13" x14ac:dyDescent="0.3">
      <c r="A31" s="125" t="s">
        <v>1046</v>
      </c>
      <c r="B31" s="125" t="s">
        <v>1180</v>
      </c>
      <c r="C31" s="125" t="s">
        <v>8</v>
      </c>
      <c r="D31" s="103" t="s">
        <v>1168</v>
      </c>
      <c r="E31" s="104">
        <v>1</v>
      </c>
      <c r="F31" s="103" t="s">
        <v>1169</v>
      </c>
      <c r="G31" s="103" t="s">
        <v>1170</v>
      </c>
      <c r="H31" s="103" t="s">
        <v>1171</v>
      </c>
      <c r="I31" s="103"/>
      <c r="J31" s="103">
        <v>15</v>
      </c>
      <c r="K31" s="103" t="s">
        <v>1914</v>
      </c>
      <c r="L31" s="130" t="s">
        <v>1050</v>
      </c>
      <c r="M31" s="103">
        <f t="shared" si="0"/>
        <v>15</v>
      </c>
    </row>
    <row r="32" spans="1:13" x14ac:dyDescent="0.3">
      <c r="A32" s="125" t="s">
        <v>1046</v>
      </c>
      <c r="B32" s="125" t="s">
        <v>1180</v>
      </c>
      <c r="D32" s="103" t="s">
        <v>2437</v>
      </c>
      <c r="E32" s="104">
        <v>1</v>
      </c>
      <c r="F32" s="103" t="s">
        <v>2438</v>
      </c>
      <c r="G32" s="103" t="s">
        <v>2439</v>
      </c>
      <c r="H32" s="103" t="s">
        <v>2440</v>
      </c>
      <c r="I32" s="103"/>
      <c r="J32" s="103">
        <v>15</v>
      </c>
      <c r="K32" s="125" t="s">
        <v>1914</v>
      </c>
      <c r="L32" s="102" t="s">
        <v>1050</v>
      </c>
      <c r="M32" s="103">
        <f t="shared" si="0"/>
        <v>15</v>
      </c>
    </row>
    <row r="33" spans="1:13" x14ac:dyDescent="0.3">
      <c r="A33" s="125" t="s">
        <v>1046</v>
      </c>
      <c r="B33" s="125" t="s">
        <v>1180</v>
      </c>
      <c r="D33" s="103" t="s">
        <v>2441</v>
      </c>
      <c r="E33" s="104">
        <v>1</v>
      </c>
      <c r="F33" s="103" t="s">
        <v>2442</v>
      </c>
      <c r="G33" s="103" t="s">
        <v>2443</v>
      </c>
      <c r="H33" s="103" t="s">
        <v>2444</v>
      </c>
      <c r="I33" s="103"/>
      <c r="J33" s="103">
        <v>10</v>
      </c>
      <c r="K33" s="125" t="s">
        <v>1914</v>
      </c>
      <c r="L33" s="102" t="s">
        <v>1050</v>
      </c>
      <c r="M33" s="103">
        <f t="shared" si="0"/>
        <v>10</v>
      </c>
    </row>
    <row r="34" spans="1:13" x14ac:dyDescent="0.3">
      <c r="A34" s="125" t="s">
        <v>1047</v>
      </c>
      <c r="B34" s="125" t="s">
        <v>1075</v>
      </c>
      <c r="C34" s="125" t="s">
        <v>8</v>
      </c>
      <c r="D34" s="103" t="s">
        <v>1076</v>
      </c>
      <c r="E34" s="104">
        <v>1</v>
      </c>
      <c r="F34" s="103" t="s">
        <v>1077</v>
      </c>
      <c r="G34" s="103" t="s">
        <v>1078</v>
      </c>
      <c r="H34" s="103" t="s">
        <v>1079</v>
      </c>
      <c r="I34" s="103"/>
      <c r="J34" s="103">
        <v>15</v>
      </c>
      <c r="K34" s="103" t="s">
        <v>1914</v>
      </c>
      <c r="L34" s="130" t="s">
        <v>1050</v>
      </c>
      <c r="M34" s="103">
        <f t="shared" si="0"/>
        <v>15</v>
      </c>
    </row>
    <row r="35" spans="1:13" x14ac:dyDescent="0.3">
      <c r="A35" s="125" t="s">
        <v>1047</v>
      </c>
      <c r="B35" s="125" t="s">
        <v>1075</v>
      </c>
      <c r="C35" s="125" t="s">
        <v>8</v>
      </c>
      <c r="D35" s="103" t="s">
        <v>1152</v>
      </c>
      <c r="E35" s="104">
        <v>1</v>
      </c>
      <c r="F35" s="103" t="s">
        <v>1153</v>
      </c>
      <c r="G35" s="103" t="s">
        <v>1154</v>
      </c>
      <c r="H35" s="103" t="s">
        <v>1155</v>
      </c>
      <c r="I35" s="103"/>
      <c r="J35" s="103">
        <v>9</v>
      </c>
      <c r="K35" s="103" t="s">
        <v>1914</v>
      </c>
      <c r="L35" s="130" t="s">
        <v>1050</v>
      </c>
      <c r="M35" s="103">
        <f t="shared" si="0"/>
        <v>9</v>
      </c>
    </row>
    <row r="36" spans="1:13" x14ac:dyDescent="0.3">
      <c r="A36" s="125" t="s">
        <v>1047</v>
      </c>
      <c r="B36" s="125" t="s">
        <v>1075</v>
      </c>
      <c r="C36" s="125" t="s">
        <v>8</v>
      </c>
      <c r="D36" s="103" t="s">
        <v>1160</v>
      </c>
      <c r="E36" s="104">
        <v>1</v>
      </c>
      <c r="F36" s="103" t="s">
        <v>1161</v>
      </c>
      <c r="G36" s="103" t="s">
        <v>1162</v>
      </c>
      <c r="H36" s="103" t="s">
        <v>1163</v>
      </c>
      <c r="I36" s="103"/>
      <c r="J36" s="103">
        <v>30</v>
      </c>
      <c r="K36" s="103" t="s">
        <v>1914</v>
      </c>
      <c r="L36" s="130" t="s">
        <v>1050</v>
      </c>
      <c r="M36" s="103">
        <f t="shared" si="0"/>
        <v>30</v>
      </c>
    </row>
    <row r="37" spans="1:13" x14ac:dyDescent="0.3">
      <c r="A37" s="125" t="s">
        <v>1047</v>
      </c>
      <c r="B37" s="125" t="s">
        <v>1075</v>
      </c>
      <c r="C37" s="125" t="s">
        <v>8</v>
      </c>
      <c r="D37" s="103" t="s">
        <v>1156</v>
      </c>
      <c r="E37" s="104">
        <v>1</v>
      </c>
      <c r="F37" s="103" t="s">
        <v>1157</v>
      </c>
      <c r="G37" s="103" t="s">
        <v>1158</v>
      </c>
      <c r="H37" s="103" t="s">
        <v>1159</v>
      </c>
      <c r="I37" s="103"/>
      <c r="J37" s="103">
        <v>5</v>
      </c>
      <c r="K37" s="103" t="s">
        <v>1914</v>
      </c>
      <c r="L37" s="130" t="s">
        <v>1050</v>
      </c>
      <c r="M37" s="103">
        <f t="shared" si="0"/>
        <v>5</v>
      </c>
    </row>
    <row r="38" spans="1:13" x14ac:dyDescent="0.3">
      <c r="A38" s="125" t="s">
        <v>1047</v>
      </c>
      <c r="B38" s="125" t="s">
        <v>1075</v>
      </c>
      <c r="C38" s="125" t="s">
        <v>8</v>
      </c>
      <c r="D38" s="103" t="s">
        <v>1164</v>
      </c>
      <c r="E38" s="104">
        <v>1</v>
      </c>
      <c r="F38" s="103" t="s">
        <v>1165</v>
      </c>
      <c r="G38" s="103" t="s">
        <v>1166</v>
      </c>
      <c r="H38" s="103" t="s">
        <v>1167</v>
      </c>
      <c r="I38" s="103"/>
      <c r="J38" s="103">
        <v>15</v>
      </c>
      <c r="K38" s="103" t="s">
        <v>1914</v>
      </c>
      <c r="L38" s="130" t="s">
        <v>1050</v>
      </c>
      <c r="M38" s="103">
        <f t="shared" si="0"/>
        <v>15</v>
      </c>
    </row>
    <row r="39" spans="1:13" x14ac:dyDescent="0.3">
      <c r="A39" s="125" t="s">
        <v>1047</v>
      </c>
      <c r="B39" s="125" t="s">
        <v>1069</v>
      </c>
      <c r="C39" s="125" t="s">
        <v>8</v>
      </c>
      <c r="D39" s="103" t="s">
        <v>355</v>
      </c>
      <c r="E39" s="104">
        <v>1</v>
      </c>
      <c r="F39" s="103" t="s">
        <v>356</v>
      </c>
      <c r="G39" s="103" t="s">
        <v>357</v>
      </c>
      <c r="H39" s="103" t="s">
        <v>358</v>
      </c>
      <c r="I39" s="103">
        <v>1</v>
      </c>
      <c r="J39" s="103">
        <v>39.950000000000003</v>
      </c>
      <c r="K39" s="103" t="s">
        <v>1914</v>
      </c>
      <c r="L39" s="103" t="s">
        <v>1044</v>
      </c>
      <c r="M39" s="103">
        <f t="shared" si="0"/>
        <v>39.950000000000003</v>
      </c>
    </row>
    <row r="40" spans="1:13" x14ac:dyDescent="0.3">
      <c r="A40" s="125" t="s">
        <v>1047</v>
      </c>
      <c r="B40" s="125" t="s">
        <v>1048</v>
      </c>
      <c r="C40" s="125" t="s">
        <v>8</v>
      </c>
      <c r="D40" s="103" t="s">
        <v>324</v>
      </c>
      <c r="E40" s="104">
        <v>1</v>
      </c>
      <c r="F40" s="103" t="s">
        <v>325</v>
      </c>
      <c r="G40" s="103" t="s">
        <v>326</v>
      </c>
      <c r="H40" s="103" t="s">
        <v>327</v>
      </c>
      <c r="I40" s="103">
        <v>1</v>
      </c>
      <c r="J40" s="103">
        <v>39.950000000000003</v>
      </c>
      <c r="K40" s="103" t="s">
        <v>1914</v>
      </c>
      <c r="L40" s="103" t="s">
        <v>1055</v>
      </c>
      <c r="M40" s="103">
        <f t="shared" si="0"/>
        <v>39.950000000000003</v>
      </c>
    </row>
    <row r="41" spans="1:13" x14ac:dyDescent="0.3">
      <c r="A41" s="125" t="s">
        <v>1047</v>
      </c>
      <c r="B41" s="125" t="s">
        <v>1048</v>
      </c>
      <c r="C41" s="125" t="s">
        <v>8</v>
      </c>
      <c r="D41" s="103" t="s">
        <v>328</v>
      </c>
      <c r="E41" s="104">
        <v>1</v>
      </c>
      <c r="F41" s="103" t="s">
        <v>329</v>
      </c>
      <c r="G41" s="103" t="s">
        <v>330</v>
      </c>
      <c r="H41" s="103" t="s">
        <v>331</v>
      </c>
      <c r="I41" s="103">
        <v>1</v>
      </c>
      <c r="J41" s="103">
        <v>14.95</v>
      </c>
      <c r="K41" s="103" t="s">
        <v>1914</v>
      </c>
      <c r="L41" s="103" t="s">
        <v>1055</v>
      </c>
      <c r="M41" s="103">
        <f t="shared" si="0"/>
        <v>14.95</v>
      </c>
    </row>
    <row r="42" spans="1:13" x14ac:dyDescent="0.3">
      <c r="A42" s="125" t="s">
        <v>1047</v>
      </c>
      <c r="B42" s="125" t="s">
        <v>1049</v>
      </c>
      <c r="C42" s="125" t="s">
        <v>8</v>
      </c>
      <c r="D42" s="103" t="s">
        <v>351</v>
      </c>
      <c r="E42" s="104">
        <v>1</v>
      </c>
      <c r="F42" s="103" t="s">
        <v>352</v>
      </c>
      <c r="G42" s="103" t="s">
        <v>353</v>
      </c>
      <c r="H42" s="103" t="s">
        <v>354</v>
      </c>
      <c r="I42" s="103"/>
      <c r="J42" s="103">
        <v>24.95</v>
      </c>
      <c r="K42" s="103" t="s">
        <v>1914</v>
      </c>
      <c r="L42" s="103" t="s">
        <v>1051</v>
      </c>
      <c r="M42" s="103">
        <f t="shared" si="0"/>
        <v>24.95</v>
      </c>
    </row>
    <row r="43" spans="1:13" x14ac:dyDescent="0.3">
      <c r="A43" s="125">
        <f>COUNTA(A2:A42)</f>
        <v>41</v>
      </c>
      <c r="E43" s="111">
        <f>SUM(E2:E42)</f>
        <v>37</v>
      </c>
      <c r="J43" s="102">
        <f>AVERAGE(J2:J42)</f>
        <v>28.330487804878064</v>
      </c>
      <c r="M43" s="105">
        <f>SUM(M2:M42)</f>
        <v>868.90000000000032</v>
      </c>
    </row>
  </sheetData>
  <conditionalFormatting sqref="A1:M1048576">
    <cfRule type="expression" dxfId="187" priority="4">
      <formula>AND(($E1=0),NOT(ISBLANK($E1)))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9858EABE-B873-43C2-96DE-0A08CDF41636}">
            <xm:f>$K1=FilterSpecs!$F$13</xm:f>
            <x14:dxf>
              <font>
                <b/>
                <i val="0"/>
                <color theme="0"/>
              </font>
              <fill>
                <patternFill>
                  <bgColor theme="9" tint="-0.499984740745262"/>
                </patternFill>
              </fill>
            </x14:dxf>
          </x14:cfRule>
          <x14:cfRule type="expression" priority="2" id="{B383DAB3-F3B9-4498-B0B0-F811DAD5B8A6}">
            <xm:f>$K1=FilterSpecs!$F$12</xm:f>
            <x14:dxf>
              <font>
                <b/>
                <i val="0"/>
                <color theme="0"/>
              </font>
              <fill>
                <patternFill>
                  <bgColor rgb="FFFF4F4F"/>
                </patternFill>
              </fill>
            </x14:dxf>
          </x14:cfRule>
          <x14:cfRule type="expression" priority="3" id="{F09AD249-FD37-461F-B837-2BAC10F25E5D}">
            <xm:f>$K1=FilterSpecs!$F$9</xm:f>
            <x14:dxf>
              <font>
                <b/>
                <i val="0"/>
                <color theme="0"/>
              </font>
              <fill>
                <patternFill>
                  <bgColor rgb="FFFF0000"/>
                </patternFill>
              </fill>
            </x14:dxf>
          </x14:cfRule>
          <x14:cfRule type="expression" priority="5" id="{1144114D-169E-41B4-858A-9CBF80A93329}">
            <xm:f>$K1=FilterSpecs!$F$8</xm:f>
            <x14:dxf>
              <font>
                <b/>
                <i val="0"/>
                <color theme="0"/>
              </font>
              <fill>
                <patternFill>
                  <bgColor rgb="FFFFC000"/>
                </patternFill>
              </fill>
            </x14:dxf>
          </x14:cfRule>
          <x14:cfRule type="expression" priority="6" id="{FF234A5C-5DBE-499D-B7F9-C54D82DD9E74}">
            <xm:f>$K1=FilterSpecs!$F$10</xm:f>
            <x14:dxf>
              <font>
                <b/>
                <i val="0"/>
                <color theme="0"/>
              </font>
              <fill>
                <patternFill>
                  <bgColor rgb="FF002060"/>
                </patternFill>
              </fill>
            </x14:dxf>
          </x14:cfRule>
          <x14:cfRule type="expression" priority="7" id="{9D5853E2-6D13-4E4F-9AA4-F84E505D096C}">
            <xm:f>$K1=FilterSpecs!$F$7</xm:f>
            <x14:dxf>
              <font>
                <b/>
                <i val="0"/>
                <color theme="0"/>
              </font>
              <fill>
                <patternFill>
                  <bgColor rgb="FF00B0F0"/>
                </patternFill>
              </fill>
            </x14:dxf>
          </x14:cfRule>
          <xm:sqref>A1:M1048576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552ADE9-48D7-45DF-83C9-AF1CDCD749CE}">
          <x14:formula1>
            <xm:f>FilterSpecs!$C$6:$C$13</xm:f>
          </x14:formula1>
          <xm:sqref>A27:A42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7DE10-5F3B-4B95-AA81-1EF5AB512CE3}">
  <sheetPr codeName="Sheet17"/>
  <dimension ref="A1:XFD219"/>
  <sheetViews>
    <sheetView topLeftCell="A40" zoomScaleNormal="100" workbookViewId="0">
      <selection activeCell="B6" sqref="B6"/>
    </sheetView>
  </sheetViews>
  <sheetFormatPr defaultRowHeight="14.4" x14ac:dyDescent="0.3"/>
  <cols>
    <col min="1" max="1" width="44.109375" style="102" customWidth="1"/>
    <col min="2" max="2" width="40.33203125" style="102" customWidth="1"/>
    <col min="3" max="3" width="10.21875" style="102" bestFit="1" customWidth="1"/>
    <col min="4" max="4" width="10.77734375" style="131" customWidth="1"/>
    <col min="5" max="5" width="8" style="105" customWidth="1"/>
    <col min="6" max="6" width="2.33203125" style="105" hidden="1" customWidth="1"/>
    <col min="7" max="7" width="0.77734375" style="105" hidden="1" customWidth="1"/>
    <col min="8" max="8" width="59.88671875" style="102" customWidth="1"/>
    <col min="9" max="9" width="1" style="105" hidden="1" customWidth="1"/>
    <col min="10" max="10" width="12.88671875" style="102" bestFit="1" customWidth="1"/>
    <col min="11" max="11" width="5.109375" style="102" customWidth="1"/>
    <col min="12" max="12" width="74.5546875" style="105" customWidth="1"/>
    <col min="13" max="16384" width="8.88671875" style="105"/>
  </cols>
  <sheetData>
    <row r="1" spans="1:16384" s="77" customFormat="1" ht="15.6" thickTop="1" thickBot="1" x14ac:dyDescent="0.35">
      <c r="A1" s="88" t="s">
        <v>893</v>
      </c>
      <c r="B1" s="88" t="s">
        <v>163</v>
      </c>
      <c r="C1" s="88" t="s">
        <v>7</v>
      </c>
      <c r="D1" s="84" t="s">
        <v>25</v>
      </c>
      <c r="E1" s="87" t="s">
        <v>26</v>
      </c>
      <c r="F1" s="77" t="s">
        <v>27</v>
      </c>
      <c r="G1" s="77" t="s">
        <v>28</v>
      </c>
      <c r="H1" s="88" t="s">
        <v>29</v>
      </c>
      <c r="I1" s="77" t="s">
        <v>30</v>
      </c>
      <c r="J1" s="88" t="s">
        <v>31</v>
      </c>
      <c r="K1" s="88" t="s">
        <v>1918</v>
      </c>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c r="JK1" s="5"/>
      <c r="JL1" s="5"/>
      <c r="JM1" s="5"/>
      <c r="JN1" s="5"/>
      <c r="JO1" s="5"/>
      <c r="JP1" s="5"/>
      <c r="JQ1" s="5"/>
      <c r="JR1" s="5"/>
      <c r="JS1" s="5"/>
      <c r="JT1" s="5"/>
      <c r="JU1" s="5"/>
      <c r="JV1" s="5"/>
      <c r="JW1" s="5"/>
      <c r="JX1" s="5"/>
      <c r="JY1" s="5"/>
      <c r="JZ1" s="5"/>
      <c r="KA1" s="5"/>
      <c r="KB1" s="5"/>
      <c r="KC1" s="5"/>
      <c r="KD1" s="5"/>
      <c r="KE1" s="5"/>
      <c r="KF1" s="5"/>
      <c r="KG1" s="5"/>
      <c r="KH1" s="5"/>
      <c r="KI1" s="5"/>
      <c r="KJ1" s="5"/>
      <c r="KK1" s="5"/>
      <c r="KL1" s="5"/>
      <c r="KM1" s="5"/>
      <c r="KN1" s="5"/>
      <c r="KO1" s="5"/>
      <c r="KP1" s="5"/>
      <c r="KQ1" s="5"/>
      <c r="KR1" s="5"/>
      <c r="KS1" s="5"/>
      <c r="KT1" s="5"/>
      <c r="KU1" s="5"/>
      <c r="KV1" s="5"/>
      <c r="KW1" s="5"/>
      <c r="KX1" s="5"/>
      <c r="KY1" s="5"/>
      <c r="KZ1" s="5"/>
      <c r="LA1" s="5"/>
      <c r="LB1" s="5"/>
      <c r="LC1" s="5"/>
      <c r="LD1" s="5"/>
      <c r="LE1" s="5"/>
      <c r="LF1" s="5"/>
      <c r="LG1" s="5"/>
      <c r="LH1" s="5"/>
      <c r="LI1" s="5"/>
      <c r="LJ1" s="5"/>
      <c r="LK1" s="5"/>
      <c r="LL1" s="5"/>
      <c r="LM1" s="5"/>
      <c r="LN1" s="5"/>
      <c r="LO1" s="5"/>
      <c r="LP1" s="5"/>
      <c r="LQ1" s="5"/>
      <c r="LR1" s="5"/>
      <c r="LS1" s="5"/>
      <c r="LT1" s="5"/>
      <c r="LU1" s="5"/>
      <c r="LV1" s="5"/>
      <c r="LW1" s="5"/>
      <c r="LX1" s="5"/>
      <c r="LY1" s="5"/>
      <c r="LZ1" s="5"/>
      <c r="MA1" s="5"/>
      <c r="MB1" s="5"/>
      <c r="MC1" s="5"/>
      <c r="MD1" s="5"/>
      <c r="ME1" s="5"/>
      <c r="MF1" s="5"/>
      <c r="MG1" s="5"/>
      <c r="MH1" s="5"/>
      <c r="MI1" s="5"/>
      <c r="MJ1" s="5"/>
      <c r="MK1" s="5"/>
      <c r="ML1" s="5"/>
      <c r="MM1" s="5"/>
      <c r="MN1" s="5"/>
      <c r="MO1" s="5"/>
      <c r="MP1" s="5"/>
      <c r="MQ1" s="5"/>
      <c r="MR1" s="5"/>
      <c r="MS1" s="5"/>
      <c r="MT1" s="5"/>
      <c r="MU1" s="5"/>
      <c r="MV1" s="5"/>
      <c r="MW1" s="5"/>
      <c r="MX1" s="5"/>
      <c r="MY1" s="5"/>
      <c r="MZ1" s="5"/>
      <c r="NA1" s="5"/>
      <c r="NB1" s="5"/>
      <c r="NC1" s="5"/>
      <c r="ND1" s="5"/>
      <c r="NE1" s="5"/>
      <c r="NF1" s="5"/>
      <c r="NG1" s="5"/>
      <c r="NH1" s="5"/>
      <c r="NI1" s="5"/>
      <c r="NJ1" s="5"/>
      <c r="NK1" s="5"/>
      <c r="NL1" s="5"/>
      <c r="NM1" s="5"/>
      <c r="NN1" s="5"/>
      <c r="NO1" s="5"/>
      <c r="NP1" s="5"/>
      <c r="NQ1" s="5"/>
      <c r="NR1" s="5"/>
      <c r="NS1" s="5"/>
      <c r="NT1" s="5"/>
      <c r="NU1" s="5"/>
      <c r="NV1" s="5"/>
      <c r="NW1" s="5"/>
      <c r="NX1" s="5"/>
      <c r="NY1" s="5"/>
      <c r="NZ1" s="5"/>
      <c r="OA1" s="5"/>
      <c r="OB1" s="5"/>
      <c r="OC1" s="5"/>
      <c r="OD1" s="5"/>
      <c r="OE1" s="5"/>
      <c r="OF1" s="5"/>
      <c r="OG1" s="5"/>
      <c r="OH1" s="5"/>
      <c r="OI1" s="5"/>
      <c r="OJ1" s="5"/>
      <c r="OK1" s="5"/>
      <c r="OL1" s="5"/>
      <c r="OM1" s="5"/>
      <c r="ON1" s="5"/>
      <c r="OO1" s="5"/>
      <c r="OP1" s="5"/>
      <c r="OQ1" s="5"/>
      <c r="OR1" s="5"/>
      <c r="OS1" s="5"/>
      <c r="OT1" s="5"/>
      <c r="OU1" s="5"/>
      <c r="OV1" s="5"/>
      <c r="OW1" s="5"/>
      <c r="OX1" s="5"/>
      <c r="OY1" s="5"/>
      <c r="OZ1" s="5"/>
      <c r="PA1" s="5"/>
      <c r="PB1" s="5"/>
      <c r="PC1" s="5"/>
      <c r="PD1" s="5"/>
      <c r="PE1" s="5"/>
      <c r="PF1" s="5"/>
      <c r="PG1" s="5"/>
      <c r="PH1" s="5"/>
      <c r="PI1" s="5"/>
      <c r="PJ1" s="5"/>
      <c r="PK1" s="5"/>
      <c r="PL1" s="5"/>
      <c r="PM1" s="5"/>
      <c r="PN1" s="5"/>
      <c r="PO1" s="5"/>
      <c r="PP1" s="5"/>
      <c r="PQ1" s="5"/>
      <c r="PR1" s="5"/>
      <c r="PS1" s="5"/>
      <c r="PT1" s="5"/>
      <c r="PU1" s="5"/>
      <c r="PV1" s="5"/>
      <c r="PW1" s="5"/>
      <c r="PX1" s="5"/>
      <c r="PY1" s="5"/>
      <c r="PZ1" s="5"/>
      <c r="QA1" s="5"/>
      <c r="QB1" s="5"/>
      <c r="QC1" s="5"/>
      <c r="QD1" s="5"/>
      <c r="QE1" s="5"/>
      <c r="QF1" s="5"/>
      <c r="QG1" s="5"/>
      <c r="QH1" s="5"/>
      <c r="QI1" s="5"/>
      <c r="QJ1" s="5"/>
      <c r="QK1" s="5"/>
      <c r="QL1" s="5"/>
      <c r="QM1" s="5"/>
      <c r="QN1" s="5"/>
      <c r="QO1" s="5"/>
      <c r="QP1" s="5"/>
      <c r="QQ1" s="5"/>
      <c r="QR1" s="5"/>
      <c r="QS1" s="5"/>
      <c r="QT1" s="5"/>
      <c r="QU1" s="5"/>
      <c r="QV1" s="5"/>
      <c r="QW1" s="5"/>
      <c r="QX1" s="5"/>
      <c r="QY1" s="5"/>
      <c r="QZ1" s="5"/>
      <c r="RA1" s="5"/>
      <c r="RB1" s="5"/>
      <c r="RC1" s="5"/>
      <c r="RD1" s="5"/>
      <c r="RE1" s="5"/>
      <c r="RF1" s="5"/>
      <c r="RG1" s="5"/>
      <c r="RH1" s="5"/>
      <c r="RI1" s="5"/>
      <c r="RJ1" s="5"/>
      <c r="RK1" s="5"/>
      <c r="RL1" s="5"/>
      <c r="RM1" s="5"/>
      <c r="RN1" s="5"/>
      <c r="RO1" s="5"/>
      <c r="RP1" s="5"/>
      <c r="RQ1" s="5"/>
      <c r="RR1" s="5"/>
      <c r="RS1" s="5"/>
      <c r="RT1" s="5"/>
      <c r="RU1" s="5"/>
      <c r="RV1" s="5"/>
      <c r="RW1" s="5"/>
      <c r="RX1" s="5"/>
      <c r="RY1" s="5"/>
      <c r="RZ1" s="5"/>
      <c r="SA1" s="5"/>
      <c r="SB1" s="5"/>
      <c r="SC1" s="5"/>
      <c r="SD1" s="5"/>
      <c r="SE1" s="5"/>
      <c r="SF1" s="5"/>
      <c r="SG1" s="5"/>
      <c r="SH1" s="5"/>
      <c r="SI1" s="5"/>
      <c r="SJ1" s="5"/>
      <c r="SK1" s="5"/>
      <c r="SL1" s="5"/>
      <c r="SM1" s="5"/>
      <c r="SN1" s="5"/>
      <c r="SO1" s="5"/>
      <c r="SP1" s="5"/>
      <c r="SQ1" s="5"/>
      <c r="SR1" s="5"/>
      <c r="SS1" s="5"/>
      <c r="ST1" s="5"/>
      <c r="SU1" s="5"/>
      <c r="SV1" s="5"/>
      <c r="SW1" s="5"/>
      <c r="SX1" s="5"/>
      <c r="SY1" s="5"/>
      <c r="SZ1" s="5"/>
      <c r="TA1" s="5"/>
      <c r="TB1" s="5"/>
      <c r="TC1" s="5"/>
      <c r="TD1" s="5"/>
      <c r="TE1" s="5"/>
      <c r="TF1" s="5"/>
      <c r="TG1" s="5"/>
      <c r="TH1" s="5"/>
      <c r="TI1" s="5"/>
      <c r="TJ1" s="5"/>
      <c r="TK1" s="5"/>
      <c r="TL1" s="5"/>
      <c r="TM1" s="5"/>
      <c r="TN1" s="5"/>
      <c r="TO1" s="5"/>
      <c r="TP1" s="5"/>
      <c r="TQ1" s="5"/>
      <c r="TR1" s="5"/>
      <c r="TS1" s="5"/>
      <c r="TT1" s="5"/>
      <c r="TU1" s="5"/>
      <c r="TV1" s="5"/>
      <c r="TW1" s="5"/>
      <c r="TX1" s="5"/>
      <c r="TY1" s="5"/>
      <c r="TZ1" s="5"/>
      <c r="UA1" s="5"/>
      <c r="UB1" s="5"/>
      <c r="UC1" s="5"/>
      <c r="UD1" s="5"/>
      <c r="UE1" s="5"/>
      <c r="UF1" s="5"/>
      <c r="UG1" s="5"/>
      <c r="UH1" s="5"/>
      <c r="UI1" s="5"/>
      <c r="UJ1" s="5"/>
      <c r="UK1" s="5"/>
      <c r="UL1" s="5"/>
      <c r="UM1" s="5"/>
      <c r="UN1" s="5"/>
      <c r="UO1" s="5"/>
      <c r="UP1" s="5"/>
      <c r="UQ1" s="5"/>
      <c r="UR1" s="5"/>
      <c r="US1" s="5"/>
      <c r="UT1" s="5"/>
      <c r="UU1" s="5"/>
      <c r="UV1" s="5"/>
      <c r="UW1" s="5"/>
      <c r="UX1" s="5"/>
      <c r="UY1" s="5"/>
      <c r="UZ1" s="5"/>
      <c r="VA1" s="5"/>
      <c r="VB1" s="5"/>
      <c r="VC1" s="5"/>
      <c r="VD1" s="5"/>
      <c r="VE1" s="5"/>
      <c r="VF1" s="5"/>
      <c r="VG1" s="5"/>
      <c r="VH1" s="5"/>
      <c r="VI1" s="5"/>
      <c r="VJ1" s="5"/>
      <c r="VK1" s="5"/>
      <c r="VL1" s="5"/>
      <c r="VM1" s="5"/>
      <c r="VN1" s="5"/>
      <c r="VO1" s="5"/>
      <c r="VP1" s="5"/>
      <c r="VQ1" s="5"/>
      <c r="VR1" s="5"/>
      <c r="VS1" s="5"/>
      <c r="VT1" s="5"/>
      <c r="VU1" s="5"/>
      <c r="VV1" s="5"/>
      <c r="VW1" s="5"/>
      <c r="VX1" s="5"/>
      <c r="VY1" s="5"/>
      <c r="VZ1" s="5"/>
      <c r="WA1" s="5"/>
      <c r="WB1" s="5"/>
      <c r="WC1" s="5"/>
      <c r="WD1" s="5"/>
      <c r="WE1" s="5"/>
      <c r="WF1" s="5"/>
      <c r="WG1" s="5"/>
      <c r="WH1" s="5"/>
      <c r="WI1" s="5"/>
      <c r="WJ1" s="5"/>
      <c r="WK1" s="5"/>
      <c r="WL1" s="5"/>
      <c r="WM1" s="5"/>
      <c r="WN1" s="5"/>
      <c r="WO1" s="5"/>
      <c r="WP1" s="5"/>
      <c r="WQ1" s="5"/>
      <c r="WR1" s="5"/>
      <c r="WS1" s="5"/>
      <c r="WT1" s="5"/>
      <c r="WU1" s="5"/>
      <c r="WV1" s="5"/>
      <c r="WW1" s="5"/>
      <c r="WX1" s="5"/>
      <c r="WY1" s="5"/>
      <c r="WZ1" s="5"/>
      <c r="XA1" s="5"/>
      <c r="XB1" s="5"/>
      <c r="XC1" s="5"/>
      <c r="XD1" s="5"/>
      <c r="XE1" s="5"/>
      <c r="XF1" s="5"/>
      <c r="XG1" s="5"/>
      <c r="XH1" s="5"/>
      <c r="XI1" s="5"/>
      <c r="XJ1" s="5"/>
      <c r="XK1" s="5"/>
      <c r="XL1" s="5"/>
      <c r="XM1" s="5"/>
      <c r="XN1" s="5"/>
      <c r="XO1" s="5"/>
      <c r="XP1" s="5"/>
      <c r="XQ1" s="5"/>
      <c r="XR1" s="5"/>
      <c r="XS1" s="5"/>
      <c r="XT1" s="5"/>
      <c r="XU1" s="5"/>
      <c r="XV1" s="5"/>
      <c r="XW1" s="5"/>
      <c r="XX1" s="5"/>
      <c r="XY1" s="5"/>
      <c r="XZ1" s="5"/>
      <c r="YA1" s="5"/>
      <c r="YB1" s="5"/>
      <c r="YC1" s="5"/>
      <c r="YD1" s="5"/>
      <c r="YE1" s="5"/>
      <c r="YF1" s="5"/>
      <c r="YG1" s="5"/>
      <c r="YH1" s="5"/>
      <c r="YI1" s="5"/>
      <c r="YJ1" s="5"/>
      <c r="YK1" s="5"/>
      <c r="YL1" s="5"/>
      <c r="YM1" s="5"/>
      <c r="YN1" s="5"/>
      <c r="YO1" s="5"/>
      <c r="YP1" s="5"/>
      <c r="YQ1" s="5"/>
      <c r="YR1" s="5"/>
      <c r="YS1" s="5"/>
      <c r="YT1" s="5"/>
      <c r="YU1" s="5"/>
      <c r="YV1" s="5"/>
      <c r="YW1" s="5"/>
      <c r="YX1" s="5"/>
      <c r="YY1" s="5"/>
      <c r="YZ1" s="5"/>
      <c r="ZA1" s="5"/>
      <c r="ZB1" s="5"/>
      <c r="ZC1" s="5"/>
      <c r="ZD1" s="5"/>
      <c r="ZE1" s="5"/>
      <c r="ZF1" s="5"/>
      <c r="ZG1" s="5"/>
      <c r="ZH1" s="5"/>
      <c r="ZI1" s="5"/>
      <c r="ZJ1" s="5"/>
      <c r="ZK1" s="5"/>
      <c r="ZL1" s="5"/>
      <c r="ZM1" s="5"/>
      <c r="ZN1" s="5"/>
      <c r="ZO1" s="5"/>
      <c r="ZP1" s="5"/>
      <c r="ZQ1" s="5"/>
      <c r="ZR1" s="5"/>
      <c r="ZS1" s="5"/>
      <c r="ZT1" s="5"/>
      <c r="ZU1" s="5"/>
      <c r="ZV1" s="5"/>
      <c r="ZW1" s="5"/>
      <c r="ZX1" s="5"/>
      <c r="ZY1" s="5"/>
      <c r="ZZ1" s="5"/>
      <c r="AAA1" s="5"/>
      <c r="AAB1" s="5"/>
      <c r="AAC1" s="5"/>
      <c r="AAD1" s="5"/>
      <c r="AAE1" s="5"/>
      <c r="AAF1" s="5"/>
      <c r="AAG1" s="5"/>
      <c r="AAH1" s="5"/>
      <c r="AAI1" s="5"/>
      <c r="AAJ1" s="5"/>
      <c r="AAK1" s="5"/>
      <c r="AAL1" s="5"/>
      <c r="AAM1" s="5"/>
      <c r="AAN1" s="5"/>
      <c r="AAO1" s="5"/>
      <c r="AAP1" s="5"/>
      <c r="AAQ1" s="5"/>
      <c r="AAR1" s="5"/>
      <c r="AAS1" s="5"/>
      <c r="AAT1" s="5"/>
      <c r="AAU1" s="5"/>
      <c r="AAV1" s="5"/>
      <c r="AAW1" s="5"/>
      <c r="AAX1" s="5"/>
      <c r="AAY1" s="5"/>
      <c r="AAZ1" s="5"/>
      <c r="ABA1" s="5"/>
      <c r="ABB1" s="5"/>
      <c r="ABC1" s="5"/>
      <c r="ABD1" s="5"/>
      <c r="ABE1" s="5"/>
      <c r="ABF1" s="5"/>
      <c r="ABG1" s="5"/>
      <c r="ABH1" s="5"/>
      <c r="ABI1" s="5"/>
      <c r="ABJ1" s="5"/>
      <c r="ABK1" s="5"/>
      <c r="ABL1" s="5"/>
      <c r="ABM1" s="5"/>
      <c r="ABN1" s="5"/>
      <c r="ABO1" s="5"/>
      <c r="ABP1" s="5"/>
      <c r="ABQ1" s="5"/>
      <c r="ABR1" s="5"/>
      <c r="ABS1" s="5"/>
      <c r="ABT1" s="5"/>
      <c r="ABU1" s="5"/>
      <c r="ABV1" s="5"/>
      <c r="ABW1" s="5"/>
      <c r="ABX1" s="5"/>
      <c r="ABY1" s="5"/>
      <c r="ABZ1" s="5"/>
      <c r="ACA1" s="5"/>
      <c r="ACB1" s="5"/>
      <c r="ACC1" s="5"/>
      <c r="ACD1" s="5"/>
      <c r="ACE1" s="5"/>
      <c r="ACF1" s="5"/>
      <c r="ACG1" s="5"/>
      <c r="ACH1" s="5"/>
      <c r="ACI1" s="5"/>
      <c r="ACJ1" s="5"/>
      <c r="ACK1" s="5"/>
      <c r="ACL1" s="5"/>
      <c r="ACM1" s="5"/>
      <c r="ACN1" s="5"/>
      <c r="ACO1" s="5"/>
      <c r="ACP1" s="5"/>
      <c r="ACQ1" s="5"/>
      <c r="ACR1" s="5"/>
      <c r="ACS1" s="5"/>
      <c r="ACT1" s="5"/>
      <c r="ACU1" s="5"/>
      <c r="ACV1" s="5"/>
      <c r="ACW1" s="5"/>
      <c r="ACX1" s="5"/>
      <c r="ACY1" s="5"/>
      <c r="ACZ1" s="5"/>
      <c r="ADA1" s="5"/>
      <c r="ADB1" s="5"/>
      <c r="ADC1" s="5"/>
      <c r="ADD1" s="5"/>
      <c r="ADE1" s="5"/>
      <c r="ADF1" s="5"/>
      <c r="ADG1" s="5"/>
      <c r="ADH1" s="5"/>
      <c r="ADI1" s="5"/>
      <c r="ADJ1" s="5"/>
      <c r="ADK1" s="5"/>
      <c r="ADL1" s="5"/>
      <c r="ADM1" s="5"/>
      <c r="ADN1" s="5"/>
      <c r="ADO1" s="5"/>
      <c r="ADP1" s="5"/>
      <c r="ADQ1" s="5"/>
      <c r="ADR1" s="5"/>
      <c r="ADS1" s="5"/>
      <c r="ADT1" s="5"/>
      <c r="ADU1" s="5"/>
      <c r="ADV1" s="5"/>
      <c r="ADW1" s="5"/>
      <c r="ADX1" s="5"/>
      <c r="ADY1" s="5"/>
      <c r="ADZ1" s="5"/>
      <c r="AEA1" s="5"/>
      <c r="AEB1" s="5"/>
      <c r="AEC1" s="5"/>
      <c r="AED1" s="5"/>
      <c r="AEE1" s="5"/>
      <c r="AEF1" s="5"/>
      <c r="AEG1" s="5"/>
      <c r="AEH1" s="5"/>
      <c r="AEI1" s="5"/>
      <c r="AEJ1" s="5"/>
      <c r="AEK1" s="5"/>
      <c r="AEL1" s="5"/>
      <c r="AEM1" s="5"/>
      <c r="AEN1" s="5"/>
      <c r="AEO1" s="5"/>
      <c r="AEP1" s="5"/>
      <c r="AEQ1" s="5"/>
      <c r="AER1" s="5"/>
      <c r="AES1" s="5"/>
      <c r="AET1" s="5"/>
      <c r="AEU1" s="5"/>
      <c r="AEV1" s="5"/>
      <c r="AEW1" s="5"/>
      <c r="AEX1" s="5"/>
      <c r="AEY1" s="5"/>
      <c r="AEZ1" s="5"/>
      <c r="AFA1" s="5"/>
      <c r="AFB1" s="5"/>
      <c r="AFC1" s="5"/>
      <c r="AFD1" s="5"/>
      <c r="AFE1" s="5"/>
      <c r="AFF1" s="5"/>
      <c r="AFG1" s="5"/>
      <c r="AFH1" s="5"/>
      <c r="AFI1" s="5"/>
      <c r="AFJ1" s="5"/>
      <c r="AFK1" s="5"/>
      <c r="AFL1" s="5"/>
      <c r="AFM1" s="5"/>
      <c r="AFN1" s="5"/>
      <c r="AFO1" s="5"/>
      <c r="AFP1" s="5"/>
      <c r="AFQ1" s="5"/>
      <c r="AFR1" s="5"/>
      <c r="AFS1" s="5"/>
      <c r="AFT1" s="5"/>
      <c r="AFU1" s="5"/>
      <c r="AFV1" s="5"/>
      <c r="AFW1" s="5"/>
      <c r="AFX1" s="5"/>
      <c r="AFY1" s="5"/>
      <c r="AFZ1" s="5"/>
      <c r="AGA1" s="5"/>
      <c r="AGB1" s="5"/>
      <c r="AGC1" s="5"/>
      <c r="AGD1" s="5"/>
      <c r="AGE1" s="5"/>
      <c r="AGF1" s="5"/>
      <c r="AGG1" s="5"/>
      <c r="AGH1" s="5"/>
      <c r="AGI1" s="5"/>
      <c r="AGJ1" s="5"/>
      <c r="AGK1" s="5"/>
      <c r="AGL1" s="5"/>
      <c r="AGM1" s="5"/>
      <c r="AGN1" s="5"/>
      <c r="AGO1" s="5"/>
      <c r="AGP1" s="5"/>
      <c r="AGQ1" s="5"/>
      <c r="AGR1" s="5"/>
      <c r="AGS1" s="5"/>
      <c r="AGT1" s="5"/>
      <c r="AGU1" s="5"/>
      <c r="AGV1" s="5"/>
      <c r="AGW1" s="5"/>
      <c r="AGX1" s="5"/>
      <c r="AGY1" s="5"/>
      <c r="AGZ1" s="5"/>
      <c r="AHA1" s="5"/>
      <c r="AHB1" s="5"/>
      <c r="AHC1" s="5"/>
      <c r="AHD1" s="5"/>
      <c r="AHE1" s="5"/>
      <c r="AHF1" s="5"/>
      <c r="AHG1" s="5"/>
      <c r="AHH1" s="5"/>
      <c r="AHI1" s="5"/>
      <c r="AHJ1" s="5"/>
      <c r="AHK1" s="5"/>
      <c r="AHL1" s="5"/>
      <c r="AHM1" s="5"/>
      <c r="AHN1" s="5"/>
      <c r="AHO1" s="5"/>
      <c r="AHP1" s="5"/>
      <c r="AHQ1" s="5"/>
      <c r="AHR1" s="5"/>
      <c r="AHS1" s="5"/>
      <c r="AHT1" s="5"/>
      <c r="AHU1" s="5"/>
      <c r="AHV1" s="5"/>
      <c r="AHW1" s="5"/>
      <c r="AHX1" s="5"/>
      <c r="AHY1" s="5"/>
      <c r="AHZ1" s="5"/>
      <c r="AIA1" s="5"/>
      <c r="AIB1" s="5"/>
      <c r="AIC1" s="5"/>
      <c r="AID1" s="5"/>
      <c r="AIE1" s="5"/>
      <c r="AIF1" s="5"/>
      <c r="AIG1" s="5"/>
      <c r="AIH1" s="5"/>
      <c r="AII1" s="5"/>
      <c r="AIJ1" s="5"/>
      <c r="AIK1" s="5"/>
      <c r="AIL1" s="5"/>
      <c r="AIM1" s="5"/>
      <c r="AIN1" s="5"/>
      <c r="AIO1" s="5"/>
      <c r="AIP1" s="5"/>
      <c r="AIQ1" s="5"/>
      <c r="AIR1" s="5"/>
      <c r="AIS1" s="5"/>
      <c r="AIT1" s="5"/>
      <c r="AIU1" s="5"/>
      <c r="AIV1" s="5"/>
      <c r="AIW1" s="5"/>
      <c r="AIX1" s="5"/>
      <c r="AIY1" s="5"/>
      <c r="AIZ1" s="5"/>
      <c r="AJA1" s="5"/>
      <c r="AJB1" s="5"/>
      <c r="AJC1" s="5"/>
      <c r="AJD1" s="5"/>
      <c r="AJE1" s="5"/>
      <c r="AJF1" s="5"/>
      <c r="AJG1" s="5"/>
      <c r="AJH1" s="5"/>
      <c r="AJI1" s="5"/>
      <c r="AJJ1" s="5"/>
      <c r="AJK1" s="5"/>
      <c r="AJL1" s="5"/>
      <c r="AJM1" s="5"/>
      <c r="AJN1" s="5"/>
      <c r="AJO1" s="5"/>
      <c r="AJP1" s="5"/>
      <c r="AJQ1" s="5"/>
      <c r="AJR1" s="5"/>
      <c r="AJS1" s="5"/>
      <c r="AJT1" s="5"/>
      <c r="AJU1" s="5"/>
      <c r="AJV1" s="5"/>
      <c r="AJW1" s="5"/>
      <c r="AJX1" s="5"/>
      <c r="AJY1" s="5"/>
      <c r="AJZ1" s="5"/>
      <c r="AKA1" s="5"/>
      <c r="AKB1" s="5"/>
      <c r="AKC1" s="5"/>
      <c r="AKD1" s="5"/>
      <c r="AKE1" s="5"/>
      <c r="AKF1" s="5"/>
      <c r="AKG1" s="5"/>
      <c r="AKH1" s="5"/>
      <c r="AKI1" s="5"/>
      <c r="AKJ1" s="5"/>
      <c r="AKK1" s="5"/>
      <c r="AKL1" s="5"/>
      <c r="AKM1" s="5"/>
      <c r="AKN1" s="5"/>
      <c r="AKO1" s="5"/>
      <c r="AKP1" s="5"/>
      <c r="AKQ1" s="5"/>
      <c r="AKR1" s="5"/>
      <c r="AKS1" s="5"/>
      <c r="AKT1" s="5"/>
      <c r="AKU1" s="5"/>
      <c r="AKV1" s="5"/>
      <c r="AKW1" s="5"/>
      <c r="AKX1" s="5"/>
      <c r="AKY1" s="5"/>
      <c r="AKZ1" s="5"/>
      <c r="ALA1" s="5"/>
      <c r="ALB1" s="5"/>
      <c r="ALC1" s="5"/>
      <c r="ALD1" s="5"/>
      <c r="ALE1" s="5"/>
      <c r="ALF1" s="5"/>
      <c r="ALG1" s="5"/>
      <c r="ALH1" s="5"/>
      <c r="ALI1" s="5"/>
      <c r="ALJ1" s="5"/>
      <c r="ALK1" s="5"/>
      <c r="ALL1" s="5"/>
      <c r="ALM1" s="5"/>
      <c r="ALN1" s="5"/>
      <c r="ALO1" s="5"/>
      <c r="ALP1" s="5"/>
      <c r="ALQ1" s="5"/>
      <c r="ALR1" s="5"/>
      <c r="ALS1" s="5"/>
      <c r="ALT1" s="5"/>
      <c r="ALU1" s="5"/>
      <c r="ALV1" s="5"/>
      <c r="ALW1" s="5"/>
      <c r="ALX1" s="5"/>
      <c r="ALY1" s="5"/>
      <c r="ALZ1" s="5"/>
      <c r="AMA1" s="5"/>
      <c r="AMB1" s="5"/>
      <c r="AMC1" s="5"/>
      <c r="AMD1" s="5"/>
      <c r="AME1" s="5"/>
      <c r="AMF1" s="5"/>
      <c r="AMG1" s="5"/>
      <c r="AMH1" s="5"/>
      <c r="AMI1" s="5"/>
      <c r="AMJ1" s="5"/>
      <c r="AMK1" s="5"/>
      <c r="AML1" s="5"/>
      <c r="AMM1" s="5"/>
      <c r="AMN1" s="5"/>
      <c r="AMO1" s="5"/>
      <c r="AMP1" s="5"/>
      <c r="AMQ1" s="5"/>
      <c r="AMR1" s="5"/>
      <c r="AMS1" s="5"/>
      <c r="AMT1" s="5"/>
      <c r="AMU1" s="5"/>
      <c r="AMV1" s="5"/>
      <c r="AMW1" s="5"/>
      <c r="AMX1" s="5"/>
      <c r="AMY1" s="5"/>
      <c r="AMZ1" s="5"/>
      <c r="ANA1" s="5"/>
      <c r="ANB1" s="5"/>
      <c r="ANC1" s="5"/>
      <c r="AND1" s="5"/>
      <c r="ANE1" s="5"/>
      <c r="ANF1" s="5"/>
      <c r="ANG1" s="5"/>
      <c r="ANH1" s="5"/>
      <c r="ANI1" s="5"/>
      <c r="ANJ1" s="5"/>
      <c r="ANK1" s="5"/>
      <c r="ANL1" s="5"/>
      <c r="ANM1" s="5"/>
      <c r="ANN1" s="5"/>
      <c r="ANO1" s="5"/>
      <c r="ANP1" s="5"/>
      <c r="ANQ1" s="5"/>
      <c r="ANR1" s="5"/>
      <c r="ANS1" s="5"/>
      <c r="ANT1" s="5"/>
      <c r="ANU1" s="5"/>
      <c r="ANV1" s="5"/>
      <c r="ANW1" s="5"/>
      <c r="ANX1" s="5"/>
      <c r="ANY1" s="5"/>
      <c r="ANZ1" s="5"/>
      <c r="AOA1" s="5"/>
      <c r="AOB1" s="5"/>
      <c r="AOC1" s="5"/>
      <c r="AOD1" s="5"/>
      <c r="AOE1" s="5"/>
      <c r="AOF1" s="5"/>
      <c r="AOG1" s="5"/>
      <c r="AOH1" s="5"/>
      <c r="AOI1" s="5"/>
      <c r="AOJ1" s="5"/>
      <c r="AOK1" s="5"/>
      <c r="AOL1" s="5"/>
      <c r="AOM1" s="5"/>
      <c r="AON1" s="5"/>
      <c r="AOO1" s="5"/>
      <c r="AOP1" s="5"/>
      <c r="AOQ1" s="5"/>
      <c r="AOR1" s="5"/>
      <c r="AOS1" s="5"/>
      <c r="AOT1" s="5"/>
      <c r="AOU1" s="5"/>
      <c r="AOV1" s="5"/>
      <c r="AOW1" s="5"/>
      <c r="AOX1" s="5"/>
      <c r="AOY1" s="5"/>
      <c r="AOZ1" s="5"/>
      <c r="APA1" s="5"/>
      <c r="APB1" s="5"/>
      <c r="APC1" s="5"/>
      <c r="APD1" s="5"/>
      <c r="APE1" s="5"/>
      <c r="APF1" s="5"/>
      <c r="APG1" s="5"/>
      <c r="APH1" s="5"/>
      <c r="API1" s="5"/>
      <c r="APJ1" s="5"/>
      <c r="APK1" s="5"/>
      <c r="APL1" s="5"/>
      <c r="APM1" s="5"/>
      <c r="APN1" s="5"/>
      <c r="APO1" s="5"/>
      <c r="APP1" s="5"/>
      <c r="APQ1" s="5"/>
      <c r="APR1" s="5"/>
      <c r="APS1" s="5"/>
      <c r="APT1" s="5"/>
      <c r="APU1" s="5"/>
      <c r="APV1" s="5"/>
      <c r="APW1" s="5"/>
      <c r="APX1" s="5"/>
      <c r="APY1" s="5"/>
      <c r="APZ1" s="5"/>
      <c r="AQA1" s="5"/>
      <c r="AQB1" s="5"/>
      <c r="AQC1" s="5"/>
      <c r="AQD1" s="5"/>
      <c r="AQE1" s="5"/>
      <c r="AQF1" s="5"/>
      <c r="AQG1" s="5"/>
      <c r="AQH1" s="5"/>
      <c r="AQI1" s="5"/>
      <c r="AQJ1" s="5"/>
      <c r="AQK1" s="5"/>
      <c r="AQL1" s="5"/>
      <c r="AQM1" s="5"/>
      <c r="AQN1" s="5"/>
      <c r="AQO1" s="5"/>
      <c r="AQP1" s="5"/>
      <c r="AQQ1" s="5"/>
      <c r="AQR1" s="5"/>
      <c r="AQS1" s="5"/>
      <c r="AQT1" s="5"/>
      <c r="AQU1" s="5"/>
      <c r="AQV1" s="5"/>
      <c r="AQW1" s="5"/>
      <c r="AQX1" s="5"/>
      <c r="AQY1" s="5"/>
      <c r="AQZ1" s="5"/>
      <c r="ARA1" s="5"/>
      <c r="ARB1" s="5"/>
      <c r="ARC1" s="5"/>
      <c r="ARD1" s="5"/>
      <c r="ARE1" s="5"/>
      <c r="ARF1" s="5"/>
      <c r="ARG1" s="5"/>
      <c r="ARH1" s="5"/>
      <c r="ARI1" s="5"/>
      <c r="ARJ1" s="5"/>
      <c r="ARK1" s="5"/>
      <c r="ARL1" s="5"/>
      <c r="ARM1" s="5"/>
      <c r="ARN1" s="5"/>
      <c r="ARO1" s="5"/>
      <c r="ARP1" s="5"/>
      <c r="ARQ1" s="5"/>
      <c r="ARR1" s="5"/>
      <c r="ARS1" s="5"/>
      <c r="ART1" s="5"/>
      <c r="ARU1" s="5"/>
      <c r="ARV1" s="5"/>
      <c r="ARW1" s="5"/>
      <c r="ARX1" s="5"/>
      <c r="ARY1" s="5"/>
      <c r="ARZ1" s="5"/>
      <c r="ASA1" s="5"/>
      <c r="ASB1" s="5"/>
      <c r="ASC1" s="5"/>
      <c r="ASD1" s="5"/>
      <c r="ASE1" s="5"/>
      <c r="ASF1" s="5"/>
      <c r="ASG1" s="5"/>
      <c r="ASH1" s="5"/>
      <c r="ASI1" s="5"/>
      <c r="ASJ1" s="5"/>
      <c r="ASK1" s="5"/>
      <c r="ASL1" s="5"/>
      <c r="ASM1" s="5"/>
      <c r="ASN1" s="5"/>
      <c r="ASO1" s="5"/>
      <c r="ASP1" s="5"/>
      <c r="ASQ1" s="5"/>
      <c r="ASR1" s="5"/>
      <c r="ASS1" s="5"/>
      <c r="AST1" s="5"/>
      <c r="ASU1" s="5"/>
      <c r="ASV1" s="5"/>
      <c r="ASW1" s="5"/>
      <c r="ASX1" s="5"/>
      <c r="ASY1" s="5"/>
      <c r="ASZ1" s="5"/>
      <c r="ATA1" s="5"/>
      <c r="ATB1" s="5"/>
      <c r="ATC1" s="5"/>
      <c r="ATD1" s="5"/>
      <c r="ATE1" s="5"/>
      <c r="ATF1" s="5"/>
      <c r="ATG1" s="5"/>
      <c r="ATH1" s="5"/>
      <c r="ATI1" s="5"/>
      <c r="ATJ1" s="5"/>
      <c r="ATK1" s="5"/>
      <c r="ATL1" s="5"/>
      <c r="ATM1" s="5"/>
      <c r="ATN1" s="5"/>
      <c r="ATO1" s="5"/>
      <c r="ATP1" s="5"/>
      <c r="ATQ1" s="5"/>
      <c r="ATR1" s="5"/>
      <c r="ATS1" s="5"/>
      <c r="ATT1" s="5"/>
      <c r="ATU1" s="5"/>
      <c r="ATV1" s="5"/>
      <c r="ATW1" s="5"/>
      <c r="ATX1" s="5"/>
      <c r="ATY1" s="5"/>
      <c r="ATZ1" s="5"/>
      <c r="AUA1" s="5"/>
      <c r="AUB1" s="5"/>
      <c r="AUC1" s="5"/>
      <c r="AUD1" s="5"/>
      <c r="AUE1" s="5"/>
      <c r="AUF1" s="5"/>
      <c r="AUG1" s="5"/>
      <c r="AUH1" s="5"/>
      <c r="AUI1" s="5"/>
      <c r="AUJ1" s="5"/>
      <c r="AUK1" s="5"/>
      <c r="AUL1" s="5"/>
      <c r="AUM1" s="5"/>
      <c r="AUN1" s="5"/>
      <c r="AUO1" s="5"/>
      <c r="AUP1" s="5"/>
      <c r="AUQ1" s="5"/>
      <c r="AUR1" s="5"/>
      <c r="AUS1" s="5"/>
      <c r="AUT1" s="5"/>
      <c r="AUU1" s="5"/>
      <c r="AUV1" s="5"/>
      <c r="AUW1" s="5"/>
      <c r="AUX1" s="5"/>
      <c r="AUY1" s="5"/>
      <c r="AUZ1" s="5"/>
      <c r="AVA1" s="5"/>
      <c r="AVB1" s="5"/>
      <c r="AVC1" s="5"/>
      <c r="AVD1" s="5"/>
      <c r="AVE1" s="5"/>
      <c r="AVF1" s="5"/>
      <c r="AVG1" s="5"/>
      <c r="AVH1" s="5"/>
      <c r="AVI1" s="5"/>
      <c r="AVJ1" s="5"/>
      <c r="AVK1" s="5"/>
      <c r="AVL1" s="5"/>
      <c r="AVM1" s="5"/>
      <c r="AVN1" s="5"/>
      <c r="AVO1" s="5"/>
      <c r="AVP1" s="5"/>
      <c r="AVQ1" s="5"/>
      <c r="AVR1" s="5"/>
      <c r="AVS1" s="5"/>
      <c r="AVT1" s="5"/>
      <c r="AVU1" s="5"/>
      <c r="AVV1" s="5"/>
      <c r="AVW1" s="5"/>
      <c r="AVX1" s="5"/>
      <c r="AVY1" s="5"/>
      <c r="AVZ1" s="5"/>
      <c r="AWA1" s="5"/>
      <c r="AWB1" s="5"/>
      <c r="AWC1" s="5"/>
      <c r="AWD1" s="5"/>
      <c r="AWE1" s="5"/>
      <c r="AWF1" s="5"/>
      <c r="AWG1" s="5"/>
      <c r="AWH1" s="5"/>
      <c r="AWI1" s="5"/>
      <c r="AWJ1" s="5"/>
      <c r="AWK1" s="5"/>
      <c r="AWL1" s="5"/>
      <c r="AWM1" s="5"/>
      <c r="AWN1" s="5"/>
      <c r="AWO1" s="5"/>
      <c r="AWP1" s="5"/>
      <c r="AWQ1" s="5"/>
      <c r="AWR1" s="5"/>
      <c r="AWS1" s="5"/>
      <c r="AWT1" s="5"/>
      <c r="AWU1" s="5"/>
      <c r="AWV1" s="5"/>
      <c r="AWW1" s="5"/>
      <c r="AWX1" s="5"/>
      <c r="AWY1" s="5"/>
      <c r="AWZ1" s="5"/>
      <c r="AXA1" s="5"/>
      <c r="AXB1" s="5"/>
      <c r="AXC1" s="5"/>
      <c r="AXD1" s="5"/>
      <c r="AXE1" s="5"/>
      <c r="AXF1" s="5"/>
      <c r="AXG1" s="5"/>
      <c r="AXH1" s="5"/>
      <c r="AXI1" s="5"/>
      <c r="AXJ1" s="5"/>
      <c r="AXK1" s="5"/>
      <c r="AXL1" s="5"/>
      <c r="AXM1" s="5"/>
      <c r="AXN1" s="5"/>
      <c r="AXO1" s="5"/>
      <c r="AXP1" s="5"/>
      <c r="AXQ1" s="5"/>
      <c r="AXR1" s="5"/>
      <c r="AXS1" s="5"/>
      <c r="AXT1" s="5"/>
      <c r="AXU1" s="5"/>
      <c r="AXV1" s="5"/>
      <c r="AXW1" s="5"/>
      <c r="AXX1" s="5"/>
      <c r="AXY1" s="5"/>
      <c r="AXZ1" s="5"/>
      <c r="AYA1" s="5"/>
      <c r="AYB1" s="5"/>
      <c r="AYC1" s="5"/>
      <c r="AYD1" s="5"/>
      <c r="AYE1" s="5"/>
      <c r="AYF1" s="5"/>
      <c r="AYG1" s="5"/>
      <c r="AYH1" s="5"/>
      <c r="AYI1" s="5"/>
      <c r="AYJ1" s="5"/>
      <c r="AYK1" s="5"/>
      <c r="AYL1" s="5"/>
      <c r="AYM1" s="5"/>
      <c r="AYN1" s="5"/>
      <c r="AYO1" s="5"/>
      <c r="AYP1" s="5"/>
      <c r="AYQ1" s="5"/>
      <c r="AYR1" s="5"/>
      <c r="AYS1" s="5"/>
      <c r="AYT1" s="5"/>
      <c r="AYU1" s="5"/>
      <c r="AYV1" s="5"/>
      <c r="AYW1" s="5"/>
      <c r="AYX1" s="5"/>
      <c r="AYY1" s="5"/>
      <c r="AYZ1" s="5"/>
      <c r="AZA1" s="5"/>
      <c r="AZB1" s="5"/>
      <c r="AZC1" s="5"/>
      <c r="AZD1" s="5"/>
      <c r="AZE1" s="5"/>
      <c r="AZF1" s="5"/>
      <c r="AZG1" s="5"/>
      <c r="AZH1" s="5"/>
      <c r="AZI1" s="5"/>
      <c r="AZJ1" s="5"/>
      <c r="AZK1" s="5"/>
      <c r="AZL1" s="5"/>
      <c r="AZM1" s="5"/>
      <c r="AZN1" s="5"/>
      <c r="AZO1" s="5"/>
      <c r="AZP1" s="5"/>
      <c r="AZQ1" s="5"/>
      <c r="AZR1" s="5"/>
      <c r="AZS1" s="5"/>
      <c r="AZT1" s="5"/>
      <c r="AZU1" s="5"/>
      <c r="AZV1" s="5"/>
      <c r="AZW1" s="5"/>
      <c r="AZX1" s="5"/>
      <c r="AZY1" s="5"/>
      <c r="AZZ1" s="5"/>
      <c r="BAA1" s="5"/>
      <c r="BAB1" s="5"/>
      <c r="BAC1" s="5"/>
      <c r="BAD1" s="5"/>
      <c r="BAE1" s="5"/>
      <c r="BAF1" s="5"/>
      <c r="BAG1" s="5"/>
      <c r="BAH1" s="5"/>
      <c r="BAI1" s="5"/>
      <c r="BAJ1" s="5"/>
      <c r="BAK1" s="5"/>
      <c r="BAL1" s="5"/>
      <c r="BAM1" s="5"/>
      <c r="BAN1" s="5"/>
      <c r="BAO1" s="5"/>
      <c r="BAP1" s="5"/>
      <c r="BAQ1" s="5"/>
      <c r="BAR1" s="5"/>
      <c r="BAS1" s="5"/>
      <c r="BAT1" s="5"/>
      <c r="BAU1" s="5"/>
      <c r="BAV1" s="5"/>
      <c r="BAW1" s="5"/>
      <c r="BAX1" s="5"/>
      <c r="BAY1" s="5"/>
      <c r="BAZ1" s="5"/>
      <c r="BBA1" s="5"/>
      <c r="BBB1" s="5"/>
      <c r="BBC1" s="5"/>
      <c r="BBD1" s="5"/>
      <c r="BBE1" s="5"/>
      <c r="BBF1" s="5"/>
      <c r="BBG1" s="5"/>
      <c r="BBH1" s="5"/>
      <c r="BBI1" s="5"/>
      <c r="BBJ1" s="5"/>
      <c r="BBK1" s="5"/>
      <c r="BBL1" s="5"/>
      <c r="BBM1" s="5"/>
      <c r="BBN1" s="5"/>
      <c r="BBO1" s="5"/>
      <c r="BBP1" s="5"/>
      <c r="BBQ1" s="5"/>
      <c r="BBR1" s="5"/>
      <c r="BBS1" s="5"/>
      <c r="BBT1" s="5"/>
      <c r="BBU1" s="5"/>
      <c r="BBV1" s="5"/>
      <c r="BBW1" s="5"/>
      <c r="BBX1" s="5"/>
      <c r="BBY1" s="5"/>
      <c r="BBZ1" s="5"/>
      <c r="BCA1" s="5"/>
      <c r="BCB1" s="5"/>
      <c r="BCC1" s="5"/>
      <c r="BCD1" s="5"/>
      <c r="BCE1" s="5"/>
      <c r="BCF1" s="5"/>
      <c r="BCG1" s="5"/>
      <c r="BCH1" s="5"/>
      <c r="BCI1" s="5"/>
      <c r="BCJ1" s="5"/>
      <c r="BCK1" s="5"/>
      <c r="BCL1" s="5"/>
      <c r="BCM1" s="5"/>
      <c r="BCN1" s="5"/>
      <c r="BCO1" s="5"/>
      <c r="BCP1" s="5"/>
      <c r="BCQ1" s="5"/>
      <c r="BCR1" s="5"/>
      <c r="BCS1" s="5"/>
      <c r="BCT1" s="5"/>
      <c r="BCU1" s="5"/>
      <c r="BCV1" s="5"/>
      <c r="BCW1" s="5"/>
      <c r="BCX1" s="5"/>
      <c r="BCY1" s="5"/>
      <c r="BCZ1" s="5"/>
      <c r="BDA1" s="5"/>
      <c r="BDB1" s="5"/>
      <c r="BDC1" s="5"/>
      <c r="BDD1" s="5"/>
      <c r="BDE1" s="5"/>
      <c r="BDF1" s="5"/>
      <c r="BDG1" s="5"/>
      <c r="BDH1" s="5"/>
      <c r="BDI1" s="5"/>
      <c r="BDJ1" s="5"/>
      <c r="BDK1" s="5"/>
      <c r="BDL1" s="5"/>
      <c r="BDM1" s="5"/>
      <c r="BDN1" s="5"/>
      <c r="BDO1" s="5"/>
      <c r="BDP1" s="5"/>
      <c r="BDQ1" s="5"/>
      <c r="BDR1" s="5"/>
      <c r="BDS1" s="5"/>
      <c r="BDT1" s="5"/>
      <c r="BDU1" s="5"/>
      <c r="BDV1" s="5"/>
      <c r="BDW1" s="5"/>
      <c r="BDX1" s="5"/>
      <c r="BDY1" s="5"/>
      <c r="BDZ1" s="5"/>
      <c r="BEA1" s="5"/>
      <c r="BEB1" s="5"/>
      <c r="BEC1" s="5"/>
      <c r="BED1" s="5"/>
      <c r="BEE1" s="5"/>
      <c r="BEF1" s="5"/>
      <c r="BEG1" s="5"/>
      <c r="BEH1" s="5"/>
      <c r="BEI1" s="5"/>
      <c r="BEJ1" s="5"/>
      <c r="BEK1" s="5"/>
      <c r="BEL1" s="5"/>
      <c r="BEM1" s="5"/>
      <c r="BEN1" s="5"/>
      <c r="BEO1" s="5"/>
      <c r="BEP1" s="5"/>
      <c r="BEQ1" s="5"/>
      <c r="BER1" s="5"/>
      <c r="BES1" s="5"/>
      <c r="BET1" s="5"/>
      <c r="BEU1" s="5"/>
      <c r="BEV1" s="5"/>
      <c r="BEW1" s="5"/>
      <c r="BEX1" s="5"/>
      <c r="BEY1" s="5"/>
      <c r="BEZ1" s="5"/>
      <c r="BFA1" s="5"/>
      <c r="BFB1" s="5"/>
      <c r="BFC1" s="5"/>
      <c r="BFD1" s="5"/>
      <c r="BFE1" s="5"/>
      <c r="BFF1" s="5"/>
      <c r="BFG1" s="5"/>
      <c r="BFH1" s="5"/>
      <c r="BFI1" s="5"/>
      <c r="BFJ1" s="5"/>
      <c r="BFK1" s="5"/>
      <c r="BFL1" s="5"/>
      <c r="BFM1" s="5"/>
      <c r="BFN1" s="5"/>
      <c r="BFO1" s="5"/>
      <c r="BFP1" s="5"/>
      <c r="BFQ1" s="5"/>
      <c r="BFR1" s="5"/>
      <c r="BFS1" s="5"/>
      <c r="BFT1" s="5"/>
      <c r="BFU1" s="5"/>
      <c r="BFV1" s="5"/>
      <c r="BFW1" s="5"/>
      <c r="BFX1" s="5"/>
      <c r="BFY1" s="5"/>
      <c r="BFZ1" s="5"/>
      <c r="BGA1" s="5"/>
      <c r="BGB1" s="5"/>
      <c r="BGC1" s="5"/>
      <c r="BGD1" s="5"/>
      <c r="BGE1" s="5"/>
      <c r="BGF1" s="5"/>
      <c r="BGG1" s="5"/>
      <c r="BGH1" s="5"/>
      <c r="BGI1" s="5"/>
      <c r="BGJ1" s="5"/>
      <c r="BGK1" s="5"/>
      <c r="BGL1" s="5"/>
      <c r="BGM1" s="5"/>
      <c r="BGN1" s="5"/>
      <c r="BGO1" s="5"/>
      <c r="BGP1" s="5"/>
      <c r="BGQ1" s="5"/>
      <c r="BGR1" s="5"/>
      <c r="BGS1" s="5"/>
      <c r="BGT1" s="5"/>
      <c r="BGU1" s="5"/>
      <c r="BGV1" s="5"/>
      <c r="BGW1" s="5"/>
      <c r="BGX1" s="5"/>
      <c r="BGY1" s="5"/>
      <c r="BGZ1" s="5"/>
      <c r="BHA1" s="5"/>
      <c r="BHB1" s="5"/>
      <c r="BHC1" s="5"/>
      <c r="BHD1" s="5"/>
      <c r="BHE1" s="5"/>
      <c r="BHF1" s="5"/>
      <c r="BHG1" s="5"/>
      <c r="BHH1" s="5"/>
      <c r="BHI1" s="5"/>
      <c r="BHJ1" s="5"/>
      <c r="BHK1" s="5"/>
      <c r="BHL1" s="5"/>
      <c r="BHM1" s="5"/>
      <c r="BHN1" s="5"/>
      <c r="BHO1" s="5"/>
      <c r="BHP1" s="5"/>
      <c r="BHQ1" s="5"/>
      <c r="BHR1" s="5"/>
      <c r="BHS1" s="5"/>
      <c r="BHT1" s="5"/>
      <c r="BHU1" s="5"/>
      <c r="BHV1" s="5"/>
      <c r="BHW1" s="5"/>
      <c r="BHX1" s="5"/>
      <c r="BHY1" s="5"/>
      <c r="BHZ1" s="5"/>
      <c r="BIA1" s="5"/>
      <c r="BIB1" s="5"/>
      <c r="BIC1" s="5"/>
      <c r="BID1" s="5"/>
      <c r="BIE1" s="5"/>
      <c r="BIF1" s="5"/>
      <c r="BIG1" s="5"/>
      <c r="BIH1" s="5"/>
      <c r="BII1" s="5"/>
      <c r="BIJ1" s="5"/>
      <c r="BIK1" s="5"/>
      <c r="BIL1" s="5"/>
      <c r="BIM1" s="5"/>
      <c r="BIN1" s="5"/>
      <c r="BIO1" s="5"/>
      <c r="BIP1" s="5"/>
      <c r="BIQ1" s="5"/>
      <c r="BIR1" s="5"/>
      <c r="BIS1" s="5"/>
      <c r="BIT1" s="5"/>
      <c r="BIU1" s="5"/>
      <c r="BIV1" s="5"/>
      <c r="BIW1" s="5"/>
      <c r="BIX1" s="5"/>
      <c r="BIY1" s="5"/>
      <c r="BIZ1" s="5"/>
      <c r="BJA1" s="5"/>
      <c r="BJB1" s="5"/>
      <c r="BJC1" s="5"/>
      <c r="BJD1" s="5"/>
      <c r="BJE1" s="5"/>
      <c r="BJF1" s="5"/>
      <c r="BJG1" s="5"/>
      <c r="BJH1" s="5"/>
      <c r="BJI1" s="5"/>
      <c r="BJJ1" s="5"/>
      <c r="BJK1" s="5"/>
      <c r="BJL1" s="5"/>
      <c r="BJM1" s="5"/>
      <c r="BJN1" s="5"/>
      <c r="BJO1" s="5"/>
      <c r="BJP1" s="5"/>
      <c r="BJQ1" s="5"/>
      <c r="BJR1" s="5"/>
      <c r="BJS1" s="5"/>
      <c r="BJT1" s="5"/>
      <c r="BJU1" s="5"/>
      <c r="BJV1" s="5"/>
      <c r="BJW1" s="5"/>
      <c r="BJX1" s="5"/>
      <c r="BJY1" s="5"/>
      <c r="BJZ1" s="5"/>
      <c r="BKA1" s="5"/>
      <c r="BKB1" s="5"/>
      <c r="BKC1" s="5"/>
      <c r="BKD1" s="5"/>
      <c r="BKE1" s="5"/>
      <c r="BKF1" s="5"/>
      <c r="BKG1" s="5"/>
      <c r="BKH1" s="5"/>
      <c r="BKI1" s="5"/>
      <c r="BKJ1" s="5"/>
      <c r="BKK1" s="5"/>
      <c r="BKL1" s="5"/>
      <c r="BKM1" s="5"/>
      <c r="BKN1" s="5"/>
      <c r="BKO1" s="5"/>
      <c r="BKP1" s="5"/>
      <c r="BKQ1" s="5"/>
      <c r="BKR1" s="5"/>
      <c r="BKS1" s="5"/>
      <c r="BKT1" s="5"/>
      <c r="BKU1" s="5"/>
      <c r="BKV1" s="5"/>
      <c r="BKW1" s="5"/>
      <c r="BKX1" s="5"/>
      <c r="BKY1" s="5"/>
      <c r="BKZ1" s="5"/>
      <c r="BLA1" s="5"/>
      <c r="BLB1" s="5"/>
      <c r="BLC1" s="5"/>
      <c r="BLD1" s="5"/>
      <c r="BLE1" s="5"/>
      <c r="BLF1" s="5"/>
      <c r="BLG1" s="5"/>
      <c r="BLH1" s="5"/>
      <c r="BLI1" s="5"/>
      <c r="BLJ1" s="5"/>
      <c r="BLK1" s="5"/>
      <c r="BLL1" s="5"/>
      <c r="BLM1" s="5"/>
      <c r="BLN1" s="5"/>
      <c r="BLO1" s="5"/>
      <c r="BLP1" s="5"/>
      <c r="BLQ1" s="5"/>
      <c r="BLR1" s="5"/>
      <c r="BLS1" s="5"/>
      <c r="BLT1" s="5"/>
      <c r="BLU1" s="5"/>
      <c r="BLV1" s="5"/>
      <c r="BLW1" s="5"/>
      <c r="BLX1" s="5"/>
      <c r="BLY1" s="5"/>
      <c r="BLZ1" s="5"/>
      <c r="BMA1" s="5"/>
      <c r="BMB1" s="5"/>
      <c r="BMC1" s="5"/>
      <c r="BMD1" s="5"/>
      <c r="BME1" s="5"/>
      <c r="BMF1" s="5"/>
      <c r="BMG1" s="5"/>
      <c r="BMH1" s="5"/>
      <c r="BMI1" s="5"/>
      <c r="BMJ1" s="5"/>
      <c r="BMK1" s="5"/>
      <c r="BML1" s="5"/>
      <c r="BMM1" s="5"/>
      <c r="BMN1" s="5"/>
      <c r="BMO1" s="5"/>
      <c r="BMP1" s="5"/>
      <c r="BMQ1" s="5"/>
      <c r="BMR1" s="5"/>
      <c r="BMS1" s="5"/>
      <c r="BMT1" s="5"/>
      <c r="BMU1" s="5"/>
      <c r="BMV1" s="5"/>
      <c r="BMW1" s="5"/>
      <c r="BMX1" s="5"/>
      <c r="BMY1" s="5"/>
      <c r="BMZ1" s="5"/>
      <c r="BNA1" s="5"/>
      <c r="BNB1" s="5"/>
      <c r="BNC1" s="5"/>
      <c r="BND1" s="5"/>
      <c r="BNE1" s="5"/>
      <c r="BNF1" s="5"/>
      <c r="BNG1" s="5"/>
      <c r="BNH1" s="5"/>
      <c r="BNI1" s="5"/>
      <c r="BNJ1" s="5"/>
      <c r="BNK1" s="5"/>
      <c r="BNL1" s="5"/>
      <c r="BNM1" s="5"/>
      <c r="BNN1" s="5"/>
      <c r="BNO1" s="5"/>
      <c r="BNP1" s="5"/>
      <c r="BNQ1" s="5"/>
      <c r="BNR1" s="5"/>
      <c r="BNS1" s="5"/>
      <c r="BNT1" s="5"/>
      <c r="BNU1" s="5"/>
      <c r="BNV1" s="5"/>
      <c r="BNW1" s="5"/>
      <c r="BNX1" s="5"/>
      <c r="BNY1" s="5"/>
      <c r="BNZ1" s="5"/>
      <c r="BOA1" s="5"/>
      <c r="BOB1" s="5"/>
      <c r="BOC1" s="5"/>
      <c r="BOD1" s="5"/>
      <c r="BOE1" s="5"/>
      <c r="BOF1" s="5"/>
      <c r="BOG1" s="5"/>
      <c r="BOH1" s="5"/>
      <c r="BOI1" s="5"/>
      <c r="BOJ1" s="5"/>
      <c r="BOK1" s="5"/>
      <c r="BOL1" s="5"/>
      <c r="BOM1" s="5"/>
      <c r="BON1" s="5"/>
      <c r="BOO1" s="5"/>
      <c r="BOP1" s="5"/>
      <c r="BOQ1" s="5"/>
      <c r="BOR1" s="5"/>
      <c r="BOS1" s="5"/>
      <c r="BOT1" s="5"/>
      <c r="BOU1" s="5"/>
      <c r="BOV1" s="5"/>
      <c r="BOW1" s="5"/>
      <c r="BOX1" s="5"/>
      <c r="BOY1" s="5"/>
      <c r="BOZ1" s="5"/>
      <c r="BPA1" s="5"/>
      <c r="BPB1" s="5"/>
      <c r="BPC1" s="5"/>
      <c r="BPD1" s="5"/>
      <c r="BPE1" s="5"/>
      <c r="BPF1" s="5"/>
      <c r="BPG1" s="5"/>
      <c r="BPH1" s="5"/>
      <c r="BPI1" s="5"/>
      <c r="BPJ1" s="5"/>
      <c r="BPK1" s="5"/>
      <c r="BPL1" s="5"/>
      <c r="BPM1" s="5"/>
      <c r="BPN1" s="5"/>
      <c r="BPO1" s="5"/>
      <c r="BPP1" s="5"/>
      <c r="BPQ1" s="5"/>
      <c r="BPR1" s="5"/>
      <c r="BPS1" s="5"/>
      <c r="BPT1" s="5"/>
      <c r="BPU1" s="5"/>
      <c r="BPV1" s="5"/>
      <c r="BPW1" s="5"/>
      <c r="BPX1" s="5"/>
      <c r="BPY1" s="5"/>
      <c r="BPZ1" s="5"/>
      <c r="BQA1" s="5"/>
      <c r="BQB1" s="5"/>
      <c r="BQC1" s="5"/>
      <c r="BQD1" s="5"/>
      <c r="BQE1" s="5"/>
      <c r="BQF1" s="5"/>
      <c r="BQG1" s="5"/>
      <c r="BQH1" s="5"/>
      <c r="BQI1" s="5"/>
      <c r="BQJ1" s="5"/>
      <c r="BQK1" s="5"/>
      <c r="BQL1" s="5"/>
      <c r="BQM1" s="5"/>
      <c r="BQN1" s="5"/>
      <c r="BQO1" s="5"/>
      <c r="BQP1" s="5"/>
      <c r="BQQ1" s="5"/>
      <c r="BQR1" s="5"/>
      <c r="BQS1" s="5"/>
      <c r="BQT1" s="5"/>
      <c r="BQU1" s="5"/>
      <c r="BQV1" s="5"/>
      <c r="BQW1" s="5"/>
      <c r="BQX1" s="5"/>
      <c r="BQY1" s="5"/>
      <c r="BQZ1" s="5"/>
      <c r="BRA1" s="5"/>
      <c r="BRB1" s="5"/>
      <c r="BRC1" s="5"/>
      <c r="BRD1" s="5"/>
      <c r="BRE1" s="5"/>
      <c r="BRF1" s="5"/>
      <c r="BRG1" s="5"/>
      <c r="BRH1" s="5"/>
      <c r="BRI1" s="5"/>
      <c r="BRJ1" s="5"/>
      <c r="BRK1" s="5"/>
      <c r="BRL1" s="5"/>
      <c r="BRM1" s="5"/>
      <c r="BRN1" s="5"/>
      <c r="BRO1" s="5"/>
      <c r="BRP1" s="5"/>
      <c r="BRQ1" s="5"/>
      <c r="BRR1" s="5"/>
      <c r="BRS1" s="5"/>
      <c r="BRT1" s="5"/>
      <c r="BRU1" s="5"/>
      <c r="BRV1" s="5"/>
      <c r="BRW1" s="5"/>
      <c r="BRX1" s="5"/>
      <c r="BRY1" s="5"/>
      <c r="BRZ1" s="5"/>
      <c r="BSA1" s="5"/>
      <c r="BSB1" s="5"/>
      <c r="BSC1" s="5"/>
      <c r="BSD1" s="5"/>
      <c r="BSE1" s="5"/>
      <c r="BSF1" s="5"/>
      <c r="BSG1" s="5"/>
      <c r="BSH1" s="5"/>
      <c r="BSI1" s="5"/>
      <c r="BSJ1" s="5"/>
      <c r="BSK1" s="5"/>
      <c r="BSL1" s="5"/>
      <c r="BSM1" s="5"/>
      <c r="BSN1" s="5"/>
      <c r="BSO1" s="5"/>
      <c r="BSP1" s="5"/>
      <c r="BSQ1" s="5"/>
      <c r="BSR1" s="5"/>
      <c r="BSS1" s="5"/>
      <c r="BST1" s="5"/>
      <c r="BSU1" s="5"/>
      <c r="BSV1" s="5"/>
      <c r="BSW1" s="5"/>
      <c r="BSX1" s="5"/>
      <c r="BSY1" s="5"/>
      <c r="BSZ1" s="5"/>
      <c r="BTA1" s="5"/>
      <c r="BTB1" s="5"/>
      <c r="BTC1" s="5"/>
      <c r="BTD1" s="5"/>
      <c r="BTE1" s="5"/>
      <c r="BTF1" s="5"/>
      <c r="BTG1" s="5"/>
      <c r="BTH1" s="5"/>
      <c r="BTI1" s="5"/>
      <c r="BTJ1" s="5"/>
      <c r="BTK1" s="5"/>
      <c r="BTL1" s="5"/>
      <c r="BTM1" s="5"/>
      <c r="BTN1" s="5"/>
      <c r="BTO1" s="5"/>
      <c r="BTP1" s="5"/>
      <c r="BTQ1" s="5"/>
      <c r="BTR1" s="5"/>
      <c r="BTS1" s="5"/>
      <c r="BTT1" s="5"/>
      <c r="BTU1" s="5"/>
      <c r="BTV1" s="5"/>
      <c r="BTW1" s="5"/>
      <c r="BTX1" s="5"/>
      <c r="BTY1" s="5"/>
      <c r="BTZ1" s="5"/>
      <c r="BUA1" s="5"/>
      <c r="BUB1" s="5"/>
      <c r="BUC1" s="5"/>
      <c r="BUD1" s="5"/>
      <c r="BUE1" s="5"/>
      <c r="BUF1" s="5"/>
      <c r="BUG1" s="5"/>
      <c r="BUH1" s="5"/>
      <c r="BUI1" s="5"/>
      <c r="BUJ1" s="5"/>
      <c r="BUK1" s="5"/>
      <c r="BUL1" s="5"/>
      <c r="BUM1" s="5"/>
      <c r="BUN1" s="5"/>
      <c r="BUO1" s="5"/>
      <c r="BUP1" s="5"/>
      <c r="BUQ1" s="5"/>
      <c r="BUR1" s="5"/>
      <c r="BUS1" s="5"/>
      <c r="BUT1" s="5"/>
      <c r="BUU1" s="5"/>
      <c r="BUV1" s="5"/>
      <c r="BUW1" s="5"/>
      <c r="BUX1" s="5"/>
      <c r="BUY1" s="5"/>
      <c r="BUZ1" s="5"/>
      <c r="BVA1" s="5"/>
      <c r="BVB1" s="5"/>
      <c r="BVC1" s="5"/>
      <c r="BVD1" s="5"/>
      <c r="BVE1" s="5"/>
      <c r="BVF1" s="5"/>
      <c r="BVG1" s="5"/>
      <c r="BVH1" s="5"/>
      <c r="BVI1" s="5"/>
      <c r="BVJ1" s="5"/>
      <c r="BVK1" s="5"/>
      <c r="BVL1" s="5"/>
      <c r="BVM1" s="5"/>
      <c r="BVN1" s="5"/>
      <c r="BVO1" s="5"/>
      <c r="BVP1" s="5"/>
      <c r="BVQ1" s="5"/>
      <c r="BVR1" s="5"/>
      <c r="BVS1" s="5"/>
      <c r="BVT1" s="5"/>
      <c r="BVU1" s="5"/>
      <c r="BVV1" s="5"/>
      <c r="BVW1" s="5"/>
      <c r="BVX1" s="5"/>
      <c r="BVY1" s="5"/>
      <c r="BVZ1" s="5"/>
      <c r="BWA1" s="5"/>
      <c r="BWB1" s="5"/>
      <c r="BWC1" s="5"/>
      <c r="BWD1" s="5"/>
      <c r="BWE1" s="5"/>
      <c r="BWF1" s="5"/>
      <c r="BWG1" s="5"/>
      <c r="BWH1" s="5"/>
      <c r="BWI1" s="5"/>
      <c r="BWJ1" s="5"/>
      <c r="BWK1" s="5"/>
      <c r="BWL1" s="5"/>
      <c r="BWM1" s="5"/>
      <c r="BWN1" s="5"/>
      <c r="BWO1" s="5"/>
      <c r="BWP1" s="5"/>
      <c r="BWQ1" s="5"/>
      <c r="BWR1" s="5"/>
      <c r="BWS1" s="5"/>
      <c r="BWT1" s="5"/>
      <c r="BWU1" s="5"/>
      <c r="BWV1" s="5"/>
      <c r="BWW1" s="5"/>
      <c r="BWX1" s="5"/>
      <c r="BWY1" s="5"/>
      <c r="BWZ1" s="5"/>
      <c r="BXA1" s="5"/>
      <c r="BXB1" s="5"/>
      <c r="BXC1" s="5"/>
      <c r="BXD1" s="5"/>
      <c r="BXE1" s="5"/>
      <c r="BXF1" s="5"/>
      <c r="BXG1" s="5"/>
      <c r="BXH1" s="5"/>
      <c r="BXI1" s="5"/>
      <c r="BXJ1" s="5"/>
      <c r="BXK1" s="5"/>
      <c r="BXL1" s="5"/>
      <c r="BXM1" s="5"/>
      <c r="BXN1" s="5"/>
      <c r="BXO1" s="5"/>
      <c r="BXP1" s="5"/>
      <c r="BXQ1" s="5"/>
      <c r="BXR1" s="5"/>
      <c r="BXS1" s="5"/>
      <c r="BXT1" s="5"/>
      <c r="BXU1" s="5"/>
      <c r="BXV1" s="5"/>
      <c r="BXW1" s="5"/>
      <c r="BXX1" s="5"/>
      <c r="BXY1" s="5"/>
      <c r="BXZ1" s="5"/>
      <c r="BYA1" s="5"/>
      <c r="BYB1" s="5"/>
      <c r="BYC1" s="5"/>
      <c r="BYD1" s="5"/>
      <c r="BYE1" s="5"/>
      <c r="BYF1" s="5"/>
      <c r="BYG1" s="5"/>
      <c r="BYH1" s="5"/>
      <c r="BYI1" s="5"/>
      <c r="BYJ1" s="5"/>
      <c r="BYK1" s="5"/>
      <c r="BYL1" s="5"/>
      <c r="BYM1" s="5"/>
      <c r="BYN1" s="5"/>
      <c r="BYO1" s="5"/>
      <c r="BYP1" s="5"/>
      <c r="BYQ1" s="5"/>
      <c r="BYR1" s="5"/>
      <c r="BYS1" s="5"/>
      <c r="BYT1" s="5"/>
      <c r="BYU1" s="5"/>
      <c r="BYV1" s="5"/>
      <c r="BYW1" s="5"/>
      <c r="BYX1" s="5"/>
      <c r="BYY1" s="5"/>
      <c r="BYZ1" s="5"/>
      <c r="BZA1" s="5"/>
      <c r="BZB1" s="5"/>
      <c r="BZC1" s="5"/>
      <c r="BZD1" s="5"/>
      <c r="BZE1" s="5"/>
      <c r="BZF1" s="5"/>
      <c r="BZG1" s="5"/>
      <c r="BZH1" s="5"/>
      <c r="BZI1" s="5"/>
      <c r="BZJ1" s="5"/>
      <c r="BZK1" s="5"/>
      <c r="BZL1" s="5"/>
      <c r="BZM1" s="5"/>
      <c r="BZN1" s="5"/>
      <c r="BZO1" s="5"/>
      <c r="BZP1" s="5"/>
      <c r="BZQ1" s="5"/>
      <c r="BZR1" s="5"/>
      <c r="BZS1" s="5"/>
      <c r="BZT1" s="5"/>
      <c r="BZU1" s="5"/>
      <c r="BZV1" s="5"/>
      <c r="BZW1" s="5"/>
      <c r="BZX1" s="5"/>
      <c r="BZY1" s="5"/>
      <c r="BZZ1" s="5"/>
      <c r="CAA1" s="5"/>
      <c r="CAB1" s="5"/>
      <c r="CAC1" s="5"/>
      <c r="CAD1" s="5"/>
      <c r="CAE1" s="5"/>
      <c r="CAF1" s="5"/>
      <c r="CAG1" s="5"/>
      <c r="CAH1" s="5"/>
      <c r="CAI1" s="5"/>
      <c r="CAJ1" s="5"/>
      <c r="CAK1" s="5"/>
      <c r="CAL1" s="5"/>
      <c r="CAM1" s="5"/>
      <c r="CAN1" s="5"/>
      <c r="CAO1" s="5"/>
      <c r="CAP1" s="5"/>
      <c r="CAQ1" s="5"/>
      <c r="CAR1" s="5"/>
      <c r="CAS1" s="5"/>
      <c r="CAT1" s="5"/>
      <c r="CAU1" s="5"/>
      <c r="CAV1" s="5"/>
      <c r="CAW1" s="5"/>
      <c r="CAX1" s="5"/>
      <c r="CAY1" s="5"/>
      <c r="CAZ1" s="5"/>
      <c r="CBA1" s="5"/>
      <c r="CBB1" s="5"/>
      <c r="CBC1" s="5"/>
      <c r="CBD1" s="5"/>
      <c r="CBE1" s="5"/>
      <c r="CBF1" s="5"/>
      <c r="CBG1" s="5"/>
      <c r="CBH1" s="5"/>
      <c r="CBI1" s="5"/>
      <c r="CBJ1" s="5"/>
      <c r="CBK1" s="5"/>
      <c r="CBL1" s="5"/>
      <c r="CBM1" s="5"/>
      <c r="CBN1" s="5"/>
      <c r="CBO1" s="5"/>
      <c r="CBP1" s="5"/>
      <c r="CBQ1" s="5"/>
      <c r="CBR1" s="5"/>
      <c r="CBS1" s="5"/>
      <c r="CBT1" s="5"/>
      <c r="CBU1" s="5"/>
      <c r="CBV1" s="5"/>
      <c r="CBW1" s="5"/>
      <c r="CBX1" s="5"/>
      <c r="CBY1" s="5"/>
      <c r="CBZ1" s="5"/>
      <c r="CCA1" s="5"/>
      <c r="CCB1" s="5"/>
      <c r="CCC1" s="5"/>
      <c r="CCD1" s="5"/>
      <c r="CCE1" s="5"/>
      <c r="CCF1" s="5"/>
      <c r="CCG1" s="5"/>
      <c r="CCH1" s="5"/>
      <c r="CCI1" s="5"/>
      <c r="CCJ1" s="5"/>
      <c r="CCK1" s="5"/>
      <c r="CCL1" s="5"/>
      <c r="CCM1" s="5"/>
      <c r="CCN1" s="5"/>
      <c r="CCO1" s="5"/>
      <c r="CCP1" s="5"/>
      <c r="CCQ1" s="5"/>
      <c r="CCR1" s="5"/>
      <c r="CCS1" s="5"/>
      <c r="CCT1" s="5"/>
      <c r="CCU1" s="5"/>
      <c r="CCV1" s="5"/>
      <c r="CCW1" s="5"/>
      <c r="CCX1" s="5"/>
      <c r="CCY1" s="5"/>
      <c r="CCZ1" s="5"/>
      <c r="CDA1" s="5"/>
      <c r="CDB1" s="5"/>
      <c r="CDC1" s="5"/>
      <c r="CDD1" s="5"/>
      <c r="CDE1" s="5"/>
      <c r="CDF1" s="5"/>
      <c r="CDG1" s="5"/>
      <c r="CDH1" s="5"/>
      <c r="CDI1" s="5"/>
      <c r="CDJ1" s="5"/>
      <c r="CDK1" s="5"/>
      <c r="CDL1" s="5"/>
      <c r="CDM1" s="5"/>
      <c r="CDN1" s="5"/>
      <c r="CDO1" s="5"/>
      <c r="CDP1" s="5"/>
      <c r="CDQ1" s="5"/>
      <c r="CDR1" s="5"/>
      <c r="CDS1" s="5"/>
      <c r="CDT1" s="5"/>
      <c r="CDU1" s="5"/>
      <c r="CDV1" s="5"/>
      <c r="CDW1" s="5"/>
      <c r="CDX1" s="5"/>
      <c r="CDY1" s="5"/>
      <c r="CDZ1" s="5"/>
      <c r="CEA1" s="5"/>
      <c r="CEB1" s="5"/>
      <c r="CEC1" s="5"/>
      <c r="CED1" s="5"/>
      <c r="CEE1" s="5"/>
      <c r="CEF1" s="5"/>
      <c r="CEG1" s="5"/>
      <c r="CEH1" s="5"/>
      <c r="CEI1" s="5"/>
      <c r="CEJ1" s="5"/>
      <c r="CEK1" s="5"/>
      <c r="CEL1" s="5"/>
      <c r="CEM1" s="5"/>
      <c r="CEN1" s="5"/>
      <c r="CEO1" s="5"/>
      <c r="CEP1" s="5"/>
      <c r="CEQ1" s="5"/>
      <c r="CER1" s="5"/>
      <c r="CES1" s="5"/>
      <c r="CET1" s="5"/>
      <c r="CEU1" s="5"/>
      <c r="CEV1" s="5"/>
      <c r="CEW1" s="5"/>
      <c r="CEX1" s="5"/>
      <c r="CEY1" s="5"/>
      <c r="CEZ1" s="5"/>
      <c r="CFA1" s="5"/>
      <c r="CFB1" s="5"/>
      <c r="CFC1" s="5"/>
      <c r="CFD1" s="5"/>
      <c r="CFE1" s="5"/>
      <c r="CFF1" s="5"/>
      <c r="CFG1" s="5"/>
      <c r="CFH1" s="5"/>
      <c r="CFI1" s="5"/>
      <c r="CFJ1" s="5"/>
      <c r="CFK1" s="5"/>
      <c r="CFL1" s="5"/>
      <c r="CFM1" s="5"/>
      <c r="CFN1" s="5"/>
      <c r="CFO1" s="5"/>
      <c r="CFP1" s="5"/>
      <c r="CFQ1" s="5"/>
      <c r="CFR1" s="5"/>
      <c r="CFS1" s="5"/>
      <c r="CFT1" s="5"/>
      <c r="CFU1" s="5"/>
      <c r="CFV1" s="5"/>
      <c r="CFW1" s="5"/>
      <c r="CFX1" s="5"/>
      <c r="CFY1" s="5"/>
      <c r="CFZ1" s="5"/>
      <c r="CGA1" s="5"/>
      <c r="CGB1" s="5"/>
      <c r="CGC1" s="5"/>
      <c r="CGD1" s="5"/>
      <c r="CGE1" s="5"/>
      <c r="CGF1" s="5"/>
      <c r="CGG1" s="5"/>
      <c r="CGH1" s="5"/>
      <c r="CGI1" s="5"/>
      <c r="CGJ1" s="5"/>
      <c r="CGK1" s="5"/>
      <c r="CGL1" s="5"/>
      <c r="CGM1" s="5"/>
      <c r="CGN1" s="5"/>
      <c r="CGO1" s="5"/>
      <c r="CGP1" s="5"/>
      <c r="CGQ1" s="5"/>
      <c r="CGR1" s="5"/>
      <c r="CGS1" s="5"/>
      <c r="CGT1" s="5"/>
      <c r="CGU1" s="5"/>
      <c r="CGV1" s="5"/>
      <c r="CGW1" s="5"/>
      <c r="CGX1" s="5"/>
      <c r="CGY1" s="5"/>
      <c r="CGZ1" s="5"/>
      <c r="CHA1" s="5"/>
      <c r="CHB1" s="5"/>
      <c r="CHC1" s="5"/>
      <c r="CHD1" s="5"/>
      <c r="CHE1" s="5"/>
      <c r="CHF1" s="5"/>
      <c r="CHG1" s="5"/>
      <c r="CHH1" s="5"/>
      <c r="CHI1" s="5"/>
      <c r="CHJ1" s="5"/>
      <c r="CHK1" s="5"/>
      <c r="CHL1" s="5"/>
      <c r="CHM1" s="5"/>
      <c r="CHN1" s="5"/>
      <c r="CHO1" s="5"/>
      <c r="CHP1" s="5"/>
      <c r="CHQ1" s="5"/>
      <c r="CHR1" s="5"/>
      <c r="CHS1" s="5"/>
      <c r="CHT1" s="5"/>
      <c r="CHU1" s="5"/>
      <c r="CHV1" s="5"/>
      <c r="CHW1" s="5"/>
      <c r="CHX1" s="5"/>
      <c r="CHY1" s="5"/>
      <c r="CHZ1" s="5"/>
      <c r="CIA1" s="5"/>
      <c r="CIB1" s="5"/>
      <c r="CIC1" s="5"/>
      <c r="CID1" s="5"/>
      <c r="CIE1" s="5"/>
      <c r="CIF1" s="5"/>
      <c r="CIG1" s="5"/>
      <c r="CIH1" s="5"/>
      <c r="CII1" s="5"/>
      <c r="CIJ1" s="5"/>
      <c r="CIK1" s="5"/>
      <c r="CIL1" s="5"/>
      <c r="CIM1" s="5"/>
      <c r="CIN1" s="5"/>
      <c r="CIO1" s="5"/>
      <c r="CIP1" s="5"/>
      <c r="CIQ1" s="5"/>
      <c r="CIR1" s="5"/>
      <c r="CIS1" s="5"/>
      <c r="CIT1" s="5"/>
      <c r="CIU1" s="5"/>
      <c r="CIV1" s="5"/>
      <c r="CIW1" s="5"/>
      <c r="CIX1" s="5"/>
      <c r="CIY1" s="5"/>
      <c r="CIZ1" s="5"/>
      <c r="CJA1" s="5"/>
      <c r="CJB1" s="5"/>
      <c r="CJC1" s="5"/>
      <c r="CJD1" s="5"/>
      <c r="CJE1" s="5"/>
      <c r="CJF1" s="5"/>
      <c r="CJG1" s="5"/>
      <c r="CJH1" s="5"/>
      <c r="CJI1" s="5"/>
      <c r="CJJ1" s="5"/>
      <c r="CJK1" s="5"/>
      <c r="CJL1" s="5"/>
      <c r="CJM1" s="5"/>
      <c r="CJN1" s="5"/>
      <c r="CJO1" s="5"/>
      <c r="CJP1" s="5"/>
      <c r="CJQ1" s="5"/>
      <c r="CJR1" s="5"/>
      <c r="CJS1" s="5"/>
      <c r="CJT1" s="5"/>
      <c r="CJU1" s="5"/>
      <c r="CJV1" s="5"/>
      <c r="CJW1" s="5"/>
      <c r="CJX1" s="5"/>
      <c r="CJY1" s="5"/>
      <c r="CJZ1" s="5"/>
      <c r="CKA1" s="5"/>
      <c r="CKB1" s="5"/>
      <c r="CKC1" s="5"/>
      <c r="CKD1" s="5"/>
      <c r="CKE1" s="5"/>
      <c r="CKF1" s="5"/>
      <c r="CKG1" s="5"/>
      <c r="CKH1" s="5"/>
      <c r="CKI1" s="5"/>
      <c r="CKJ1" s="5"/>
      <c r="CKK1" s="5"/>
      <c r="CKL1" s="5"/>
      <c r="CKM1" s="5"/>
      <c r="CKN1" s="5"/>
      <c r="CKO1" s="5"/>
      <c r="CKP1" s="5"/>
      <c r="CKQ1" s="5"/>
      <c r="CKR1" s="5"/>
      <c r="CKS1" s="5"/>
      <c r="CKT1" s="5"/>
      <c r="CKU1" s="5"/>
      <c r="CKV1" s="5"/>
      <c r="CKW1" s="5"/>
      <c r="CKX1" s="5"/>
      <c r="CKY1" s="5"/>
      <c r="CKZ1" s="5"/>
      <c r="CLA1" s="5"/>
      <c r="CLB1" s="5"/>
      <c r="CLC1" s="5"/>
      <c r="CLD1" s="5"/>
      <c r="CLE1" s="5"/>
      <c r="CLF1" s="5"/>
      <c r="CLG1" s="5"/>
      <c r="CLH1" s="5"/>
      <c r="CLI1" s="5"/>
      <c r="CLJ1" s="5"/>
      <c r="CLK1" s="5"/>
      <c r="CLL1" s="5"/>
      <c r="CLM1" s="5"/>
      <c r="CLN1" s="5"/>
      <c r="CLO1" s="5"/>
      <c r="CLP1" s="5"/>
      <c r="CLQ1" s="5"/>
      <c r="CLR1" s="5"/>
      <c r="CLS1" s="5"/>
      <c r="CLT1" s="5"/>
      <c r="CLU1" s="5"/>
      <c r="CLV1" s="5"/>
      <c r="CLW1" s="5"/>
      <c r="CLX1" s="5"/>
      <c r="CLY1" s="5"/>
      <c r="CLZ1" s="5"/>
      <c r="CMA1" s="5"/>
      <c r="CMB1" s="5"/>
      <c r="CMC1" s="5"/>
      <c r="CMD1" s="5"/>
      <c r="CME1" s="5"/>
      <c r="CMF1" s="5"/>
      <c r="CMG1" s="5"/>
      <c r="CMH1" s="5"/>
      <c r="CMI1" s="5"/>
      <c r="CMJ1" s="5"/>
      <c r="CMK1" s="5"/>
      <c r="CML1" s="5"/>
      <c r="CMM1" s="5"/>
      <c r="CMN1" s="5"/>
      <c r="CMO1" s="5"/>
      <c r="CMP1" s="5"/>
      <c r="CMQ1" s="5"/>
      <c r="CMR1" s="5"/>
      <c r="CMS1" s="5"/>
      <c r="CMT1" s="5"/>
      <c r="CMU1" s="5"/>
      <c r="CMV1" s="5"/>
      <c r="CMW1" s="5"/>
      <c r="CMX1" s="5"/>
      <c r="CMY1" s="5"/>
      <c r="CMZ1" s="5"/>
      <c r="CNA1" s="5"/>
      <c r="CNB1" s="5"/>
      <c r="CNC1" s="5"/>
      <c r="CND1" s="5"/>
      <c r="CNE1" s="5"/>
      <c r="CNF1" s="5"/>
      <c r="CNG1" s="5"/>
      <c r="CNH1" s="5"/>
      <c r="CNI1" s="5"/>
      <c r="CNJ1" s="5"/>
      <c r="CNK1" s="5"/>
      <c r="CNL1" s="5"/>
      <c r="CNM1" s="5"/>
      <c r="CNN1" s="5"/>
      <c r="CNO1" s="5"/>
      <c r="CNP1" s="5"/>
      <c r="CNQ1" s="5"/>
      <c r="CNR1" s="5"/>
      <c r="CNS1" s="5"/>
      <c r="CNT1" s="5"/>
      <c r="CNU1" s="5"/>
      <c r="CNV1" s="5"/>
      <c r="CNW1" s="5"/>
      <c r="CNX1" s="5"/>
      <c r="CNY1" s="5"/>
      <c r="CNZ1" s="5"/>
      <c r="COA1" s="5"/>
      <c r="COB1" s="5"/>
      <c r="COC1" s="5"/>
      <c r="COD1" s="5"/>
      <c r="COE1" s="5"/>
      <c r="COF1" s="5"/>
      <c r="COG1" s="5"/>
      <c r="COH1" s="5"/>
      <c r="COI1" s="5"/>
      <c r="COJ1" s="5"/>
      <c r="COK1" s="5"/>
      <c r="COL1" s="5"/>
      <c r="COM1" s="5"/>
      <c r="CON1" s="5"/>
      <c r="COO1" s="5"/>
      <c r="COP1" s="5"/>
      <c r="COQ1" s="5"/>
      <c r="COR1" s="5"/>
      <c r="COS1" s="5"/>
      <c r="COT1" s="5"/>
      <c r="COU1" s="5"/>
      <c r="COV1" s="5"/>
      <c r="COW1" s="5"/>
      <c r="COX1" s="5"/>
      <c r="COY1" s="5"/>
      <c r="COZ1" s="5"/>
      <c r="CPA1" s="5"/>
      <c r="CPB1" s="5"/>
      <c r="CPC1" s="5"/>
      <c r="CPD1" s="5"/>
      <c r="CPE1" s="5"/>
      <c r="CPF1" s="5"/>
      <c r="CPG1" s="5"/>
      <c r="CPH1" s="5"/>
      <c r="CPI1" s="5"/>
      <c r="CPJ1" s="5"/>
      <c r="CPK1" s="5"/>
      <c r="CPL1" s="5"/>
      <c r="CPM1" s="5"/>
      <c r="CPN1" s="5"/>
      <c r="CPO1" s="5"/>
      <c r="CPP1" s="5"/>
      <c r="CPQ1" s="5"/>
      <c r="CPR1" s="5"/>
      <c r="CPS1" s="5"/>
      <c r="CPT1" s="5"/>
      <c r="CPU1" s="5"/>
      <c r="CPV1" s="5"/>
      <c r="CPW1" s="5"/>
      <c r="CPX1" s="5"/>
      <c r="CPY1" s="5"/>
      <c r="CPZ1" s="5"/>
      <c r="CQA1" s="5"/>
      <c r="CQB1" s="5"/>
      <c r="CQC1" s="5"/>
      <c r="CQD1" s="5"/>
      <c r="CQE1" s="5"/>
      <c r="CQF1" s="5"/>
      <c r="CQG1" s="5"/>
      <c r="CQH1" s="5"/>
      <c r="CQI1" s="5"/>
      <c r="CQJ1" s="5"/>
      <c r="CQK1" s="5"/>
      <c r="CQL1" s="5"/>
      <c r="CQM1" s="5"/>
      <c r="CQN1" s="5"/>
      <c r="CQO1" s="5"/>
      <c r="CQP1" s="5"/>
      <c r="CQQ1" s="5"/>
      <c r="CQR1" s="5"/>
      <c r="CQS1" s="5"/>
      <c r="CQT1" s="5"/>
      <c r="CQU1" s="5"/>
      <c r="CQV1" s="5"/>
      <c r="CQW1" s="5"/>
      <c r="CQX1" s="5"/>
      <c r="CQY1" s="5"/>
      <c r="CQZ1" s="5"/>
      <c r="CRA1" s="5"/>
      <c r="CRB1" s="5"/>
      <c r="CRC1" s="5"/>
      <c r="CRD1" s="5"/>
      <c r="CRE1" s="5"/>
      <c r="CRF1" s="5"/>
      <c r="CRG1" s="5"/>
      <c r="CRH1" s="5"/>
      <c r="CRI1" s="5"/>
      <c r="CRJ1" s="5"/>
      <c r="CRK1" s="5"/>
      <c r="CRL1" s="5"/>
      <c r="CRM1" s="5"/>
      <c r="CRN1" s="5"/>
      <c r="CRO1" s="5"/>
      <c r="CRP1" s="5"/>
      <c r="CRQ1" s="5"/>
      <c r="CRR1" s="5"/>
      <c r="CRS1" s="5"/>
      <c r="CRT1" s="5"/>
      <c r="CRU1" s="5"/>
      <c r="CRV1" s="5"/>
      <c r="CRW1" s="5"/>
      <c r="CRX1" s="5"/>
      <c r="CRY1" s="5"/>
      <c r="CRZ1" s="5"/>
      <c r="CSA1" s="5"/>
      <c r="CSB1" s="5"/>
      <c r="CSC1" s="5"/>
      <c r="CSD1" s="5"/>
      <c r="CSE1" s="5"/>
      <c r="CSF1" s="5"/>
      <c r="CSG1" s="5"/>
      <c r="CSH1" s="5"/>
      <c r="CSI1" s="5"/>
      <c r="CSJ1" s="5"/>
      <c r="CSK1" s="5"/>
      <c r="CSL1" s="5"/>
      <c r="CSM1" s="5"/>
      <c r="CSN1" s="5"/>
      <c r="CSO1" s="5"/>
      <c r="CSP1" s="5"/>
      <c r="CSQ1" s="5"/>
      <c r="CSR1" s="5"/>
      <c r="CSS1" s="5"/>
      <c r="CST1" s="5"/>
      <c r="CSU1" s="5"/>
      <c r="CSV1" s="5"/>
      <c r="CSW1" s="5"/>
      <c r="CSX1" s="5"/>
      <c r="CSY1" s="5"/>
      <c r="CSZ1" s="5"/>
      <c r="CTA1" s="5"/>
      <c r="CTB1" s="5"/>
      <c r="CTC1" s="5"/>
      <c r="CTD1" s="5"/>
      <c r="CTE1" s="5"/>
      <c r="CTF1" s="5"/>
      <c r="CTG1" s="5"/>
      <c r="CTH1" s="5"/>
      <c r="CTI1" s="5"/>
      <c r="CTJ1" s="5"/>
      <c r="CTK1" s="5"/>
      <c r="CTL1" s="5"/>
      <c r="CTM1" s="5"/>
      <c r="CTN1" s="5"/>
      <c r="CTO1" s="5"/>
      <c r="CTP1" s="5"/>
      <c r="CTQ1" s="5"/>
      <c r="CTR1" s="5"/>
      <c r="CTS1" s="5"/>
      <c r="CTT1" s="5"/>
      <c r="CTU1" s="5"/>
      <c r="CTV1" s="5"/>
      <c r="CTW1" s="5"/>
      <c r="CTX1" s="5"/>
      <c r="CTY1" s="5"/>
      <c r="CTZ1" s="5"/>
      <c r="CUA1" s="5"/>
      <c r="CUB1" s="5"/>
      <c r="CUC1" s="5"/>
      <c r="CUD1" s="5"/>
      <c r="CUE1" s="5"/>
      <c r="CUF1" s="5"/>
      <c r="CUG1" s="5"/>
      <c r="CUH1" s="5"/>
      <c r="CUI1" s="5"/>
      <c r="CUJ1" s="5"/>
      <c r="CUK1" s="5"/>
      <c r="CUL1" s="5"/>
      <c r="CUM1" s="5"/>
      <c r="CUN1" s="5"/>
      <c r="CUO1" s="5"/>
      <c r="CUP1" s="5"/>
      <c r="CUQ1" s="5"/>
      <c r="CUR1" s="5"/>
      <c r="CUS1" s="5"/>
      <c r="CUT1" s="5"/>
      <c r="CUU1" s="5"/>
      <c r="CUV1" s="5"/>
      <c r="CUW1" s="5"/>
      <c r="CUX1" s="5"/>
      <c r="CUY1" s="5"/>
      <c r="CUZ1" s="5"/>
      <c r="CVA1" s="5"/>
      <c r="CVB1" s="5"/>
      <c r="CVC1" s="5"/>
      <c r="CVD1" s="5"/>
      <c r="CVE1" s="5"/>
      <c r="CVF1" s="5"/>
      <c r="CVG1" s="5"/>
      <c r="CVH1" s="5"/>
      <c r="CVI1" s="5"/>
      <c r="CVJ1" s="5"/>
      <c r="CVK1" s="5"/>
      <c r="CVL1" s="5"/>
      <c r="CVM1" s="5"/>
      <c r="CVN1" s="5"/>
      <c r="CVO1" s="5"/>
      <c r="CVP1" s="5"/>
      <c r="CVQ1" s="5"/>
      <c r="CVR1" s="5"/>
      <c r="CVS1" s="5"/>
      <c r="CVT1" s="5"/>
      <c r="CVU1" s="5"/>
      <c r="CVV1" s="5"/>
      <c r="CVW1" s="5"/>
      <c r="CVX1" s="5"/>
      <c r="CVY1" s="5"/>
      <c r="CVZ1" s="5"/>
      <c r="CWA1" s="5"/>
      <c r="CWB1" s="5"/>
      <c r="CWC1" s="5"/>
      <c r="CWD1" s="5"/>
      <c r="CWE1" s="5"/>
      <c r="CWF1" s="5"/>
      <c r="CWG1" s="5"/>
      <c r="CWH1" s="5"/>
      <c r="CWI1" s="5"/>
      <c r="CWJ1" s="5"/>
      <c r="CWK1" s="5"/>
      <c r="CWL1" s="5"/>
      <c r="CWM1" s="5"/>
      <c r="CWN1" s="5"/>
      <c r="CWO1" s="5"/>
      <c r="CWP1" s="5"/>
      <c r="CWQ1" s="5"/>
      <c r="CWR1" s="5"/>
      <c r="CWS1" s="5"/>
      <c r="CWT1" s="5"/>
      <c r="CWU1" s="5"/>
      <c r="CWV1" s="5"/>
      <c r="CWW1" s="5"/>
      <c r="CWX1" s="5"/>
      <c r="CWY1" s="5"/>
      <c r="CWZ1" s="5"/>
      <c r="CXA1" s="5"/>
      <c r="CXB1" s="5"/>
      <c r="CXC1" s="5"/>
      <c r="CXD1" s="5"/>
      <c r="CXE1" s="5"/>
      <c r="CXF1" s="5"/>
      <c r="CXG1" s="5"/>
      <c r="CXH1" s="5"/>
      <c r="CXI1" s="5"/>
      <c r="CXJ1" s="5"/>
      <c r="CXK1" s="5"/>
      <c r="CXL1" s="5"/>
      <c r="CXM1" s="5"/>
      <c r="CXN1" s="5"/>
      <c r="CXO1" s="5"/>
      <c r="CXP1" s="5"/>
      <c r="CXQ1" s="5"/>
      <c r="CXR1" s="5"/>
      <c r="CXS1" s="5"/>
      <c r="CXT1" s="5"/>
      <c r="CXU1" s="5"/>
      <c r="CXV1" s="5"/>
      <c r="CXW1" s="5"/>
      <c r="CXX1" s="5"/>
      <c r="CXY1" s="5"/>
      <c r="CXZ1" s="5"/>
      <c r="CYA1" s="5"/>
      <c r="CYB1" s="5"/>
      <c r="CYC1" s="5"/>
      <c r="CYD1" s="5"/>
      <c r="CYE1" s="5"/>
      <c r="CYF1" s="5"/>
      <c r="CYG1" s="5"/>
      <c r="CYH1" s="5"/>
      <c r="CYI1" s="5"/>
      <c r="CYJ1" s="5"/>
      <c r="CYK1" s="5"/>
      <c r="CYL1" s="5"/>
      <c r="CYM1" s="5"/>
      <c r="CYN1" s="5"/>
      <c r="CYO1" s="5"/>
      <c r="CYP1" s="5"/>
      <c r="CYQ1" s="5"/>
      <c r="CYR1" s="5"/>
      <c r="CYS1" s="5"/>
      <c r="CYT1" s="5"/>
      <c r="CYU1" s="5"/>
      <c r="CYV1" s="5"/>
      <c r="CYW1" s="5"/>
      <c r="CYX1" s="5"/>
      <c r="CYY1" s="5"/>
      <c r="CYZ1" s="5"/>
      <c r="CZA1" s="5"/>
      <c r="CZB1" s="5"/>
      <c r="CZC1" s="5"/>
      <c r="CZD1" s="5"/>
      <c r="CZE1" s="5"/>
      <c r="CZF1" s="5"/>
      <c r="CZG1" s="5"/>
      <c r="CZH1" s="5"/>
      <c r="CZI1" s="5"/>
      <c r="CZJ1" s="5"/>
      <c r="CZK1" s="5"/>
      <c r="CZL1" s="5"/>
      <c r="CZM1" s="5"/>
      <c r="CZN1" s="5"/>
      <c r="CZO1" s="5"/>
      <c r="CZP1" s="5"/>
      <c r="CZQ1" s="5"/>
      <c r="CZR1" s="5"/>
      <c r="CZS1" s="5"/>
      <c r="CZT1" s="5"/>
      <c r="CZU1" s="5"/>
      <c r="CZV1" s="5"/>
      <c r="CZW1" s="5"/>
      <c r="CZX1" s="5"/>
      <c r="CZY1" s="5"/>
      <c r="CZZ1" s="5"/>
      <c r="DAA1" s="5"/>
      <c r="DAB1" s="5"/>
      <c r="DAC1" s="5"/>
      <c r="DAD1" s="5"/>
      <c r="DAE1" s="5"/>
      <c r="DAF1" s="5"/>
      <c r="DAG1" s="5"/>
      <c r="DAH1" s="5"/>
      <c r="DAI1" s="5"/>
      <c r="DAJ1" s="5"/>
      <c r="DAK1" s="5"/>
      <c r="DAL1" s="5"/>
      <c r="DAM1" s="5"/>
      <c r="DAN1" s="5"/>
      <c r="DAO1" s="5"/>
      <c r="DAP1" s="5"/>
      <c r="DAQ1" s="5"/>
      <c r="DAR1" s="5"/>
      <c r="DAS1" s="5"/>
      <c r="DAT1" s="5"/>
      <c r="DAU1" s="5"/>
      <c r="DAV1" s="5"/>
      <c r="DAW1" s="5"/>
      <c r="DAX1" s="5"/>
      <c r="DAY1" s="5"/>
      <c r="DAZ1" s="5"/>
      <c r="DBA1" s="5"/>
      <c r="DBB1" s="5"/>
      <c r="DBC1" s="5"/>
      <c r="DBD1" s="5"/>
      <c r="DBE1" s="5"/>
      <c r="DBF1" s="5"/>
      <c r="DBG1" s="5"/>
      <c r="DBH1" s="5"/>
      <c r="DBI1" s="5"/>
      <c r="DBJ1" s="5"/>
      <c r="DBK1" s="5"/>
      <c r="DBL1" s="5"/>
      <c r="DBM1" s="5"/>
      <c r="DBN1" s="5"/>
      <c r="DBO1" s="5"/>
      <c r="DBP1" s="5"/>
      <c r="DBQ1" s="5"/>
      <c r="DBR1" s="5"/>
      <c r="DBS1" s="5"/>
      <c r="DBT1" s="5"/>
      <c r="DBU1" s="5"/>
      <c r="DBV1" s="5"/>
      <c r="DBW1" s="5"/>
      <c r="DBX1" s="5"/>
      <c r="DBY1" s="5"/>
      <c r="DBZ1" s="5"/>
      <c r="DCA1" s="5"/>
      <c r="DCB1" s="5"/>
      <c r="DCC1" s="5"/>
      <c r="DCD1" s="5"/>
      <c r="DCE1" s="5"/>
      <c r="DCF1" s="5"/>
      <c r="DCG1" s="5"/>
      <c r="DCH1" s="5"/>
      <c r="DCI1" s="5"/>
      <c r="DCJ1" s="5"/>
      <c r="DCK1" s="5"/>
      <c r="DCL1" s="5"/>
      <c r="DCM1" s="5"/>
      <c r="DCN1" s="5"/>
      <c r="DCO1" s="5"/>
      <c r="DCP1" s="5"/>
      <c r="DCQ1" s="5"/>
      <c r="DCR1" s="5"/>
      <c r="DCS1" s="5"/>
      <c r="DCT1" s="5"/>
      <c r="DCU1" s="5"/>
      <c r="DCV1" s="5"/>
      <c r="DCW1" s="5"/>
      <c r="DCX1" s="5"/>
      <c r="DCY1" s="5"/>
      <c r="DCZ1" s="5"/>
      <c r="DDA1" s="5"/>
      <c r="DDB1" s="5"/>
      <c r="DDC1" s="5"/>
      <c r="DDD1" s="5"/>
      <c r="DDE1" s="5"/>
      <c r="DDF1" s="5"/>
      <c r="DDG1" s="5"/>
      <c r="DDH1" s="5"/>
      <c r="DDI1" s="5"/>
      <c r="DDJ1" s="5"/>
      <c r="DDK1" s="5"/>
      <c r="DDL1" s="5"/>
      <c r="DDM1" s="5"/>
      <c r="DDN1" s="5"/>
      <c r="DDO1" s="5"/>
      <c r="DDP1" s="5"/>
      <c r="DDQ1" s="5"/>
      <c r="DDR1" s="5"/>
      <c r="DDS1" s="5"/>
      <c r="DDT1" s="5"/>
      <c r="DDU1" s="5"/>
      <c r="DDV1" s="5"/>
      <c r="DDW1" s="5"/>
      <c r="DDX1" s="5"/>
      <c r="DDY1" s="5"/>
      <c r="DDZ1" s="5"/>
      <c r="DEA1" s="5"/>
      <c r="DEB1" s="5"/>
      <c r="DEC1" s="5"/>
      <c r="DED1" s="5"/>
      <c r="DEE1" s="5"/>
      <c r="DEF1" s="5"/>
      <c r="DEG1" s="5"/>
      <c r="DEH1" s="5"/>
      <c r="DEI1" s="5"/>
      <c r="DEJ1" s="5"/>
      <c r="DEK1" s="5"/>
      <c r="DEL1" s="5"/>
      <c r="DEM1" s="5"/>
      <c r="DEN1" s="5"/>
      <c r="DEO1" s="5"/>
      <c r="DEP1" s="5"/>
      <c r="DEQ1" s="5"/>
      <c r="DER1" s="5"/>
      <c r="DES1" s="5"/>
      <c r="DET1" s="5"/>
      <c r="DEU1" s="5"/>
      <c r="DEV1" s="5"/>
      <c r="DEW1" s="5"/>
      <c r="DEX1" s="5"/>
      <c r="DEY1" s="5"/>
      <c r="DEZ1" s="5"/>
      <c r="DFA1" s="5"/>
      <c r="DFB1" s="5"/>
      <c r="DFC1" s="5"/>
      <c r="DFD1" s="5"/>
      <c r="DFE1" s="5"/>
      <c r="DFF1" s="5"/>
      <c r="DFG1" s="5"/>
      <c r="DFH1" s="5"/>
      <c r="DFI1" s="5"/>
      <c r="DFJ1" s="5"/>
      <c r="DFK1" s="5"/>
      <c r="DFL1" s="5"/>
      <c r="DFM1" s="5"/>
      <c r="DFN1" s="5"/>
      <c r="DFO1" s="5"/>
      <c r="DFP1" s="5"/>
      <c r="DFQ1" s="5"/>
      <c r="DFR1" s="5"/>
      <c r="DFS1" s="5"/>
      <c r="DFT1" s="5"/>
      <c r="DFU1" s="5"/>
      <c r="DFV1" s="5"/>
      <c r="DFW1" s="5"/>
      <c r="DFX1" s="5"/>
      <c r="DFY1" s="5"/>
      <c r="DFZ1" s="5"/>
      <c r="DGA1" s="5"/>
      <c r="DGB1" s="5"/>
      <c r="DGC1" s="5"/>
      <c r="DGD1" s="5"/>
      <c r="DGE1" s="5"/>
      <c r="DGF1" s="5"/>
      <c r="DGG1" s="5"/>
      <c r="DGH1" s="5"/>
      <c r="DGI1" s="5"/>
      <c r="DGJ1" s="5"/>
      <c r="DGK1" s="5"/>
      <c r="DGL1" s="5"/>
      <c r="DGM1" s="5"/>
      <c r="DGN1" s="5"/>
      <c r="DGO1" s="5"/>
      <c r="DGP1" s="5"/>
      <c r="DGQ1" s="5"/>
      <c r="DGR1" s="5"/>
      <c r="DGS1" s="5"/>
      <c r="DGT1" s="5"/>
      <c r="DGU1" s="5"/>
      <c r="DGV1" s="5"/>
      <c r="DGW1" s="5"/>
      <c r="DGX1" s="5"/>
      <c r="DGY1" s="5"/>
      <c r="DGZ1" s="5"/>
      <c r="DHA1" s="5"/>
      <c r="DHB1" s="5"/>
      <c r="DHC1" s="5"/>
      <c r="DHD1" s="5"/>
      <c r="DHE1" s="5"/>
      <c r="DHF1" s="5"/>
      <c r="DHG1" s="5"/>
      <c r="DHH1" s="5"/>
      <c r="DHI1" s="5"/>
      <c r="DHJ1" s="5"/>
      <c r="DHK1" s="5"/>
      <c r="DHL1" s="5"/>
      <c r="DHM1" s="5"/>
      <c r="DHN1" s="5"/>
      <c r="DHO1" s="5"/>
      <c r="DHP1" s="5"/>
      <c r="DHQ1" s="5"/>
      <c r="DHR1" s="5"/>
      <c r="DHS1" s="5"/>
      <c r="DHT1" s="5"/>
      <c r="DHU1" s="5"/>
      <c r="DHV1" s="5"/>
      <c r="DHW1" s="5"/>
      <c r="DHX1" s="5"/>
      <c r="DHY1" s="5"/>
      <c r="DHZ1" s="5"/>
      <c r="DIA1" s="5"/>
      <c r="DIB1" s="5"/>
      <c r="DIC1" s="5"/>
      <c r="DID1" s="5"/>
      <c r="DIE1" s="5"/>
      <c r="DIF1" s="5"/>
      <c r="DIG1" s="5"/>
      <c r="DIH1" s="5"/>
      <c r="DII1" s="5"/>
      <c r="DIJ1" s="5"/>
      <c r="DIK1" s="5"/>
      <c r="DIL1" s="5"/>
      <c r="DIM1" s="5"/>
      <c r="DIN1" s="5"/>
      <c r="DIO1" s="5"/>
      <c r="DIP1" s="5"/>
      <c r="DIQ1" s="5"/>
      <c r="DIR1" s="5"/>
      <c r="DIS1" s="5"/>
      <c r="DIT1" s="5"/>
      <c r="DIU1" s="5"/>
      <c r="DIV1" s="5"/>
      <c r="DIW1" s="5"/>
      <c r="DIX1" s="5"/>
      <c r="DIY1" s="5"/>
      <c r="DIZ1" s="5"/>
      <c r="DJA1" s="5"/>
      <c r="DJB1" s="5"/>
      <c r="DJC1" s="5"/>
      <c r="DJD1" s="5"/>
      <c r="DJE1" s="5"/>
      <c r="DJF1" s="5"/>
      <c r="DJG1" s="5"/>
      <c r="DJH1" s="5"/>
      <c r="DJI1" s="5"/>
      <c r="DJJ1" s="5"/>
      <c r="DJK1" s="5"/>
      <c r="DJL1" s="5"/>
      <c r="DJM1" s="5"/>
      <c r="DJN1" s="5"/>
      <c r="DJO1" s="5"/>
      <c r="DJP1" s="5"/>
      <c r="DJQ1" s="5"/>
      <c r="DJR1" s="5"/>
      <c r="DJS1" s="5"/>
      <c r="DJT1" s="5"/>
      <c r="DJU1" s="5"/>
      <c r="DJV1" s="5"/>
      <c r="DJW1" s="5"/>
      <c r="DJX1" s="5"/>
      <c r="DJY1" s="5"/>
      <c r="DJZ1" s="5"/>
      <c r="DKA1" s="5"/>
      <c r="DKB1" s="5"/>
      <c r="DKC1" s="5"/>
      <c r="DKD1" s="5"/>
      <c r="DKE1" s="5"/>
      <c r="DKF1" s="5"/>
      <c r="DKG1" s="5"/>
      <c r="DKH1" s="5"/>
      <c r="DKI1" s="5"/>
      <c r="DKJ1" s="5"/>
      <c r="DKK1" s="5"/>
      <c r="DKL1" s="5"/>
      <c r="DKM1" s="5"/>
      <c r="DKN1" s="5"/>
      <c r="DKO1" s="5"/>
      <c r="DKP1" s="5"/>
      <c r="DKQ1" s="5"/>
      <c r="DKR1" s="5"/>
      <c r="DKS1" s="5"/>
      <c r="DKT1" s="5"/>
      <c r="DKU1" s="5"/>
      <c r="DKV1" s="5"/>
      <c r="DKW1" s="5"/>
      <c r="DKX1" s="5"/>
      <c r="DKY1" s="5"/>
      <c r="DKZ1" s="5"/>
      <c r="DLA1" s="5"/>
      <c r="DLB1" s="5"/>
      <c r="DLC1" s="5"/>
      <c r="DLD1" s="5"/>
      <c r="DLE1" s="5"/>
      <c r="DLF1" s="5"/>
      <c r="DLG1" s="5"/>
      <c r="DLH1" s="5"/>
      <c r="DLI1" s="5"/>
      <c r="DLJ1" s="5"/>
      <c r="DLK1" s="5"/>
      <c r="DLL1" s="5"/>
      <c r="DLM1" s="5"/>
      <c r="DLN1" s="5"/>
      <c r="DLO1" s="5"/>
      <c r="DLP1" s="5"/>
      <c r="DLQ1" s="5"/>
      <c r="DLR1" s="5"/>
      <c r="DLS1" s="5"/>
      <c r="DLT1" s="5"/>
      <c r="DLU1" s="5"/>
      <c r="DLV1" s="5"/>
      <c r="DLW1" s="5"/>
      <c r="DLX1" s="5"/>
      <c r="DLY1" s="5"/>
      <c r="DLZ1" s="5"/>
      <c r="DMA1" s="5"/>
      <c r="DMB1" s="5"/>
      <c r="DMC1" s="5"/>
      <c r="DMD1" s="5"/>
      <c r="DME1" s="5"/>
      <c r="DMF1" s="5"/>
      <c r="DMG1" s="5"/>
      <c r="DMH1" s="5"/>
      <c r="DMI1" s="5"/>
      <c r="DMJ1" s="5"/>
      <c r="DMK1" s="5"/>
      <c r="DML1" s="5"/>
      <c r="DMM1" s="5"/>
      <c r="DMN1" s="5"/>
      <c r="DMO1" s="5"/>
      <c r="DMP1" s="5"/>
      <c r="DMQ1" s="5"/>
      <c r="DMR1" s="5"/>
      <c r="DMS1" s="5"/>
      <c r="DMT1" s="5"/>
      <c r="DMU1" s="5"/>
      <c r="DMV1" s="5"/>
      <c r="DMW1" s="5"/>
      <c r="DMX1" s="5"/>
      <c r="DMY1" s="5"/>
      <c r="DMZ1" s="5"/>
      <c r="DNA1" s="5"/>
      <c r="DNB1" s="5"/>
      <c r="DNC1" s="5"/>
      <c r="DND1" s="5"/>
      <c r="DNE1" s="5"/>
      <c r="DNF1" s="5"/>
      <c r="DNG1" s="5"/>
      <c r="DNH1" s="5"/>
      <c r="DNI1" s="5"/>
      <c r="DNJ1" s="5"/>
      <c r="DNK1" s="5"/>
      <c r="DNL1" s="5"/>
      <c r="DNM1" s="5"/>
      <c r="DNN1" s="5"/>
      <c r="DNO1" s="5"/>
      <c r="DNP1" s="5"/>
      <c r="DNQ1" s="5"/>
      <c r="DNR1" s="5"/>
      <c r="DNS1" s="5"/>
      <c r="DNT1" s="5"/>
      <c r="DNU1" s="5"/>
      <c r="DNV1" s="5"/>
      <c r="DNW1" s="5"/>
      <c r="DNX1" s="5"/>
      <c r="DNY1" s="5"/>
      <c r="DNZ1" s="5"/>
      <c r="DOA1" s="5"/>
      <c r="DOB1" s="5"/>
      <c r="DOC1" s="5"/>
      <c r="DOD1" s="5"/>
      <c r="DOE1" s="5"/>
      <c r="DOF1" s="5"/>
      <c r="DOG1" s="5"/>
      <c r="DOH1" s="5"/>
      <c r="DOI1" s="5"/>
      <c r="DOJ1" s="5"/>
      <c r="DOK1" s="5"/>
      <c r="DOL1" s="5"/>
      <c r="DOM1" s="5"/>
      <c r="DON1" s="5"/>
      <c r="DOO1" s="5"/>
      <c r="DOP1" s="5"/>
      <c r="DOQ1" s="5"/>
      <c r="DOR1" s="5"/>
      <c r="DOS1" s="5"/>
      <c r="DOT1" s="5"/>
      <c r="DOU1" s="5"/>
      <c r="DOV1" s="5"/>
      <c r="DOW1" s="5"/>
      <c r="DOX1" s="5"/>
      <c r="DOY1" s="5"/>
      <c r="DOZ1" s="5"/>
      <c r="DPA1" s="5"/>
      <c r="DPB1" s="5"/>
      <c r="DPC1" s="5"/>
      <c r="DPD1" s="5"/>
      <c r="DPE1" s="5"/>
      <c r="DPF1" s="5"/>
      <c r="DPG1" s="5"/>
      <c r="DPH1" s="5"/>
      <c r="DPI1" s="5"/>
      <c r="DPJ1" s="5"/>
      <c r="DPK1" s="5"/>
      <c r="DPL1" s="5"/>
      <c r="DPM1" s="5"/>
      <c r="DPN1" s="5"/>
      <c r="DPO1" s="5"/>
      <c r="DPP1" s="5"/>
      <c r="DPQ1" s="5"/>
      <c r="DPR1" s="5"/>
      <c r="DPS1" s="5"/>
      <c r="DPT1" s="5"/>
      <c r="DPU1" s="5"/>
      <c r="DPV1" s="5"/>
      <c r="DPW1" s="5"/>
      <c r="DPX1" s="5"/>
      <c r="DPY1" s="5"/>
      <c r="DPZ1" s="5"/>
      <c r="DQA1" s="5"/>
      <c r="DQB1" s="5"/>
      <c r="DQC1" s="5"/>
      <c r="DQD1" s="5"/>
      <c r="DQE1" s="5"/>
      <c r="DQF1" s="5"/>
      <c r="DQG1" s="5"/>
      <c r="DQH1" s="5"/>
      <c r="DQI1" s="5"/>
      <c r="DQJ1" s="5"/>
      <c r="DQK1" s="5"/>
      <c r="DQL1" s="5"/>
      <c r="DQM1" s="5"/>
      <c r="DQN1" s="5"/>
      <c r="DQO1" s="5"/>
      <c r="DQP1" s="5"/>
      <c r="DQQ1" s="5"/>
      <c r="DQR1" s="5"/>
      <c r="DQS1" s="5"/>
      <c r="DQT1" s="5"/>
      <c r="DQU1" s="5"/>
      <c r="DQV1" s="5"/>
      <c r="DQW1" s="5"/>
      <c r="DQX1" s="5"/>
      <c r="DQY1" s="5"/>
      <c r="DQZ1" s="5"/>
      <c r="DRA1" s="5"/>
      <c r="DRB1" s="5"/>
      <c r="DRC1" s="5"/>
      <c r="DRD1" s="5"/>
      <c r="DRE1" s="5"/>
      <c r="DRF1" s="5"/>
      <c r="DRG1" s="5"/>
      <c r="DRH1" s="5"/>
      <c r="DRI1" s="5"/>
      <c r="DRJ1" s="5"/>
      <c r="DRK1" s="5"/>
      <c r="DRL1" s="5"/>
      <c r="DRM1" s="5"/>
      <c r="DRN1" s="5"/>
      <c r="DRO1" s="5"/>
      <c r="DRP1" s="5"/>
      <c r="DRQ1" s="5"/>
      <c r="DRR1" s="5"/>
      <c r="DRS1" s="5"/>
      <c r="DRT1" s="5"/>
      <c r="DRU1" s="5"/>
      <c r="DRV1" s="5"/>
      <c r="DRW1" s="5"/>
      <c r="DRX1" s="5"/>
      <c r="DRY1" s="5"/>
      <c r="DRZ1" s="5"/>
      <c r="DSA1" s="5"/>
      <c r="DSB1" s="5"/>
      <c r="DSC1" s="5"/>
      <c r="DSD1" s="5"/>
      <c r="DSE1" s="5"/>
      <c r="DSF1" s="5"/>
      <c r="DSG1" s="5"/>
      <c r="DSH1" s="5"/>
      <c r="DSI1" s="5"/>
      <c r="DSJ1" s="5"/>
      <c r="DSK1" s="5"/>
      <c r="DSL1" s="5"/>
      <c r="DSM1" s="5"/>
      <c r="DSN1" s="5"/>
      <c r="DSO1" s="5"/>
      <c r="DSP1" s="5"/>
      <c r="DSQ1" s="5"/>
      <c r="DSR1" s="5"/>
      <c r="DSS1" s="5"/>
      <c r="DST1" s="5"/>
      <c r="DSU1" s="5"/>
      <c r="DSV1" s="5"/>
      <c r="DSW1" s="5"/>
      <c r="DSX1" s="5"/>
      <c r="DSY1" s="5"/>
      <c r="DSZ1" s="5"/>
      <c r="DTA1" s="5"/>
      <c r="DTB1" s="5"/>
      <c r="DTC1" s="5"/>
      <c r="DTD1" s="5"/>
      <c r="DTE1" s="5"/>
      <c r="DTF1" s="5"/>
      <c r="DTG1" s="5"/>
      <c r="DTH1" s="5"/>
      <c r="DTI1" s="5"/>
      <c r="DTJ1" s="5"/>
      <c r="DTK1" s="5"/>
      <c r="DTL1" s="5"/>
      <c r="DTM1" s="5"/>
      <c r="DTN1" s="5"/>
      <c r="DTO1" s="5"/>
      <c r="DTP1" s="5"/>
      <c r="DTQ1" s="5"/>
      <c r="DTR1" s="5"/>
      <c r="DTS1" s="5"/>
      <c r="DTT1" s="5"/>
      <c r="DTU1" s="5"/>
      <c r="DTV1" s="5"/>
      <c r="DTW1" s="5"/>
      <c r="DTX1" s="5"/>
      <c r="DTY1" s="5"/>
      <c r="DTZ1" s="5"/>
      <c r="DUA1" s="5"/>
      <c r="DUB1" s="5"/>
      <c r="DUC1" s="5"/>
      <c r="DUD1" s="5"/>
      <c r="DUE1" s="5"/>
      <c r="DUF1" s="5"/>
      <c r="DUG1" s="5"/>
      <c r="DUH1" s="5"/>
      <c r="DUI1" s="5"/>
      <c r="DUJ1" s="5"/>
      <c r="DUK1" s="5"/>
      <c r="DUL1" s="5"/>
      <c r="DUM1" s="5"/>
      <c r="DUN1" s="5"/>
      <c r="DUO1" s="5"/>
      <c r="DUP1" s="5"/>
      <c r="DUQ1" s="5"/>
      <c r="DUR1" s="5"/>
      <c r="DUS1" s="5"/>
      <c r="DUT1" s="5"/>
      <c r="DUU1" s="5"/>
      <c r="DUV1" s="5"/>
      <c r="DUW1" s="5"/>
      <c r="DUX1" s="5"/>
      <c r="DUY1" s="5"/>
      <c r="DUZ1" s="5"/>
      <c r="DVA1" s="5"/>
      <c r="DVB1" s="5"/>
      <c r="DVC1" s="5"/>
      <c r="DVD1" s="5"/>
      <c r="DVE1" s="5"/>
      <c r="DVF1" s="5"/>
      <c r="DVG1" s="5"/>
      <c r="DVH1" s="5"/>
      <c r="DVI1" s="5"/>
      <c r="DVJ1" s="5"/>
      <c r="DVK1" s="5"/>
      <c r="DVL1" s="5"/>
      <c r="DVM1" s="5"/>
      <c r="DVN1" s="5"/>
      <c r="DVO1" s="5"/>
      <c r="DVP1" s="5"/>
      <c r="DVQ1" s="5"/>
      <c r="DVR1" s="5"/>
      <c r="DVS1" s="5"/>
      <c r="DVT1" s="5"/>
      <c r="DVU1" s="5"/>
      <c r="DVV1" s="5"/>
      <c r="DVW1" s="5"/>
      <c r="DVX1" s="5"/>
      <c r="DVY1" s="5"/>
      <c r="DVZ1" s="5"/>
      <c r="DWA1" s="5"/>
      <c r="DWB1" s="5"/>
      <c r="DWC1" s="5"/>
      <c r="DWD1" s="5"/>
      <c r="DWE1" s="5"/>
      <c r="DWF1" s="5"/>
      <c r="DWG1" s="5"/>
      <c r="DWH1" s="5"/>
      <c r="DWI1" s="5"/>
      <c r="DWJ1" s="5"/>
      <c r="DWK1" s="5"/>
      <c r="DWL1" s="5"/>
      <c r="DWM1" s="5"/>
      <c r="DWN1" s="5"/>
      <c r="DWO1" s="5"/>
      <c r="DWP1" s="5"/>
      <c r="DWQ1" s="5"/>
      <c r="DWR1" s="5"/>
      <c r="DWS1" s="5"/>
      <c r="DWT1" s="5"/>
      <c r="DWU1" s="5"/>
      <c r="DWV1" s="5"/>
      <c r="DWW1" s="5"/>
      <c r="DWX1" s="5"/>
      <c r="DWY1" s="5"/>
      <c r="DWZ1" s="5"/>
      <c r="DXA1" s="5"/>
      <c r="DXB1" s="5"/>
      <c r="DXC1" s="5"/>
      <c r="DXD1" s="5"/>
      <c r="DXE1" s="5"/>
      <c r="DXF1" s="5"/>
      <c r="DXG1" s="5"/>
      <c r="DXH1" s="5"/>
      <c r="DXI1" s="5"/>
      <c r="DXJ1" s="5"/>
      <c r="DXK1" s="5"/>
      <c r="DXL1" s="5"/>
      <c r="DXM1" s="5"/>
      <c r="DXN1" s="5"/>
      <c r="DXO1" s="5"/>
      <c r="DXP1" s="5"/>
      <c r="DXQ1" s="5"/>
      <c r="DXR1" s="5"/>
      <c r="DXS1" s="5"/>
      <c r="DXT1" s="5"/>
      <c r="DXU1" s="5"/>
      <c r="DXV1" s="5"/>
      <c r="DXW1" s="5"/>
      <c r="DXX1" s="5"/>
      <c r="DXY1" s="5"/>
      <c r="DXZ1" s="5"/>
      <c r="DYA1" s="5"/>
      <c r="DYB1" s="5"/>
      <c r="DYC1" s="5"/>
      <c r="DYD1" s="5"/>
      <c r="DYE1" s="5"/>
      <c r="DYF1" s="5"/>
      <c r="DYG1" s="5"/>
      <c r="DYH1" s="5"/>
      <c r="DYI1" s="5"/>
      <c r="DYJ1" s="5"/>
      <c r="DYK1" s="5"/>
      <c r="DYL1" s="5"/>
      <c r="DYM1" s="5"/>
      <c r="DYN1" s="5"/>
      <c r="DYO1" s="5"/>
      <c r="DYP1" s="5"/>
      <c r="DYQ1" s="5"/>
      <c r="DYR1" s="5"/>
      <c r="DYS1" s="5"/>
      <c r="DYT1" s="5"/>
      <c r="DYU1" s="5"/>
      <c r="DYV1" s="5"/>
      <c r="DYW1" s="5"/>
      <c r="DYX1" s="5"/>
      <c r="DYY1" s="5"/>
      <c r="DYZ1" s="5"/>
      <c r="DZA1" s="5"/>
      <c r="DZB1" s="5"/>
      <c r="DZC1" s="5"/>
      <c r="DZD1" s="5"/>
      <c r="DZE1" s="5"/>
      <c r="DZF1" s="5"/>
      <c r="DZG1" s="5"/>
      <c r="DZH1" s="5"/>
      <c r="DZI1" s="5"/>
      <c r="DZJ1" s="5"/>
      <c r="DZK1" s="5"/>
      <c r="DZL1" s="5"/>
      <c r="DZM1" s="5"/>
      <c r="DZN1" s="5"/>
      <c r="DZO1" s="5"/>
      <c r="DZP1" s="5"/>
      <c r="DZQ1" s="5"/>
      <c r="DZR1" s="5"/>
      <c r="DZS1" s="5"/>
      <c r="DZT1" s="5"/>
      <c r="DZU1" s="5"/>
      <c r="DZV1" s="5"/>
      <c r="DZW1" s="5"/>
      <c r="DZX1" s="5"/>
      <c r="DZY1" s="5"/>
      <c r="DZZ1" s="5"/>
      <c r="EAA1" s="5"/>
      <c r="EAB1" s="5"/>
      <c r="EAC1" s="5"/>
      <c r="EAD1" s="5"/>
      <c r="EAE1" s="5"/>
      <c r="EAF1" s="5"/>
      <c r="EAG1" s="5"/>
      <c r="EAH1" s="5"/>
      <c r="EAI1" s="5"/>
      <c r="EAJ1" s="5"/>
      <c r="EAK1" s="5"/>
      <c r="EAL1" s="5"/>
      <c r="EAM1" s="5"/>
      <c r="EAN1" s="5"/>
      <c r="EAO1" s="5"/>
      <c r="EAP1" s="5"/>
      <c r="EAQ1" s="5"/>
      <c r="EAR1" s="5"/>
      <c r="EAS1" s="5"/>
      <c r="EAT1" s="5"/>
      <c r="EAU1" s="5"/>
      <c r="EAV1" s="5"/>
      <c r="EAW1" s="5"/>
      <c r="EAX1" s="5"/>
      <c r="EAY1" s="5"/>
      <c r="EAZ1" s="5"/>
      <c r="EBA1" s="5"/>
      <c r="EBB1" s="5"/>
      <c r="EBC1" s="5"/>
      <c r="EBD1" s="5"/>
      <c r="EBE1" s="5"/>
      <c r="EBF1" s="5"/>
      <c r="EBG1" s="5"/>
      <c r="EBH1" s="5"/>
      <c r="EBI1" s="5"/>
      <c r="EBJ1" s="5"/>
      <c r="EBK1" s="5"/>
      <c r="EBL1" s="5"/>
      <c r="EBM1" s="5"/>
      <c r="EBN1" s="5"/>
      <c r="EBO1" s="5"/>
      <c r="EBP1" s="5"/>
      <c r="EBQ1" s="5"/>
      <c r="EBR1" s="5"/>
      <c r="EBS1" s="5"/>
      <c r="EBT1" s="5"/>
      <c r="EBU1" s="5"/>
      <c r="EBV1" s="5"/>
      <c r="EBW1" s="5"/>
      <c r="EBX1" s="5"/>
      <c r="EBY1" s="5"/>
      <c r="EBZ1" s="5"/>
      <c r="ECA1" s="5"/>
      <c r="ECB1" s="5"/>
      <c r="ECC1" s="5"/>
      <c r="ECD1" s="5"/>
      <c r="ECE1" s="5"/>
      <c r="ECF1" s="5"/>
      <c r="ECG1" s="5"/>
      <c r="ECH1" s="5"/>
      <c r="ECI1" s="5"/>
      <c r="ECJ1" s="5"/>
      <c r="ECK1" s="5"/>
      <c r="ECL1" s="5"/>
      <c r="ECM1" s="5"/>
      <c r="ECN1" s="5"/>
      <c r="ECO1" s="5"/>
      <c r="ECP1" s="5"/>
      <c r="ECQ1" s="5"/>
      <c r="ECR1" s="5"/>
      <c r="ECS1" s="5"/>
      <c r="ECT1" s="5"/>
      <c r="ECU1" s="5"/>
      <c r="ECV1" s="5"/>
      <c r="ECW1" s="5"/>
      <c r="ECX1" s="5"/>
      <c r="ECY1" s="5"/>
      <c r="ECZ1" s="5"/>
      <c r="EDA1" s="5"/>
      <c r="EDB1" s="5"/>
      <c r="EDC1" s="5"/>
      <c r="EDD1" s="5"/>
      <c r="EDE1" s="5"/>
      <c r="EDF1" s="5"/>
      <c r="EDG1" s="5"/>
      <c r="EDH1" s="5"/>
      <c r="EDI1" s="5"/>
      <c r="EDJ1" s="5"/>
      <c r="EDK1" s="5"/>
      <c r="EDL1" s="5"/>
      <c r="EDM1" s="5"/>
      <c r="EDN1" s="5"/>
      <c r="EDO1" s="5"/>
      <c r="EDP1" s="5"/>
      <c r="EDQ1" s="5"/>
      <c r="EDR1" s="5"/>
      <c r="EDS1" s="5"/>
      <c r="EDT1" s="5"/>
      <c r="EDU1" s="5"/>
      <c r="EDV1" s="5"/>
      <c r="EDW1" s="5"/>
      <c r="EDX1" s="5"/>
      <c r="EDY1" s="5"/>
      <c r="EDZ1" s="5"/>
      <c r="EEA1" s="5"/>
      <c r="EEB1" s="5"/>
      <c r="EEC1" s="5"/>
      <c r="EED1" s="5"/>
      <c r="EEE1" s="5"/>
      <c r="EEF1" s="5"/>
      <c r="EEG1" s="5"/>
      <c r="EEH1" s="5"/>
      <c r="EEI1" s="5"/>
      <c r="EEJ1" s="5"/>
      <c r="EEK1" s="5"/>
      <c r="EEL1" s="5"/>
      <c r="EEM1" s="5"/>
      <c r="EEN1" s="5"/>
      <c r="EEO1" s="5"/>
      <c r="EEP1" s="5"/>
      <c r="EEQ1" s="5"/>
      <c r="EER1" s="5"/>
      <c r="EES1" s="5"/>
      <c r="EET1" s="5"/>
      <c r="EEU1" s="5"/>
      <c r="EEV1" s="5"/>
      <c r="EEW1" s="5"/>
      <c r="EEX1" s="5"/>
      <c r="EEY1" s="5"/>
      <c r="EEZ1" s="5"/>
      <c r="EFA1" s="5"/>
      <c r="EFB1" s="5"/>
      <c r="EFC1" s="5"/>
      <c r="EFD1" s="5"/>
      <c r="EFE1" s="5"/>
      <c r="EFF1" s="5"/>
      <c r="EFG1" s="5"/>
      <c r="EFH1" s="5"/>
      <c r="EFI1" s="5"/>
      <c r="EFJ1" s="5"/>
      <c r="EFK1" s="5"/>
      <c r="EFL1" s="5"/>
      <c r="EFM1" s="5"/>
      <c r="EFN1" s="5"/>
      <c r="EFO1" s="5"/>
      <c r="EFP1" s="5"/>
      <c r="EFQ1" s="5"/>
      <c r="EFR1" s="5"/>
      <c r="EFS1" s="5"/>
      <c r="EFT1" s="5"/>
      <c r="EFU1" s="5"/>
      <c r="EFV1" s="5"/>
      <c r="EFW1" s="5"/>
      <c r="EFX1" s="5"/>
      <c r="EFY1" s="5"/>
      <c r="EFZ1" s="5"/>
      <c r="EGA1" s="5"/>
      <c r="EGB1" s="5"/>
      <c r="EGC1" s="5"/>
      <c r="EGD1" s="5"/>
      <c r="EGE1" s="5"/>
      <c r="EGF1" s="5"/>
      <c r="EGG1" s="5"/>
      <c r="EGH1" s="5"/>
      <c r="EGI1" s="5"/>
      <c r="EGJ1" s="5"/>
      <c r="EGK1" s="5"/>
      <c r="EGL1" s="5"/>
      <c r="EGM1" s="5"/>
      <c r="EGN1" s="5"/>
      <c r="EGO1" s="5"/>
      <c r="EGP1" s="5"/>
      <c r="EGQ1" s="5"/>
      <c r="EGR1" s="5"/>
      <c r="EGS1" s="5"/>
      <c r="EGT1" s="5"/>
      <c r="EGU1" s="5"/>
      <c r="EGV1" s="5"/>
      <c r="EGW1" s="5"/>
      <c r="EGX1" s="5"/>
      <c r="EGY1" s="5"/>
      <c r="EGZ1" s="5"/>
      <c r="EHA1" s="5"/>
      <c r="EHB1" s="5"/>
      <c r="EHC1" s="5"/>
      <c r="EHD1" s="5"/>
      <c r="EHE1" s="5"/>
      <c r="EHF1" s="5"/>
      <c r="EHG1" s="5"/>
      <c r="EHH1" s="5"/>
      <c r="EHI1" s="5"/>
      <c r="EHJ1" s="5"/>
      <c r="EHK1" s="5"/>
      <c r="EHL1" s="5"/>
      <c r="EHM1" s="5"/>
      <c r="EHN1" s="5"/>
      <c r="EHO1" s="5"/>
      <c r="EHP1" s="5"/>
      <c r="EHQ1" s="5"/>
      <c r="EHR1" s="5"/>
      <c r="EHS1" s="5"/>
      <c r="EHT1" s="5"/>
      <c r="EHU1" s="5"/>
      <c r="EHV1" s="5"/>
      <c r="EHW1" s="5"/>
      <c r="EHX1" s="5"/>
      <c r="EHY1" s="5"/>
      <c r="EHZ1" s="5"/>
      <c r="EIA1" s="5"/>
      <c r="EIB1" s="5"/>
      <c r="EIC1" s="5"/>
      <c r="EID1" s="5"/>
      <c r="EIE1" s="5"/>
      <c r="EIF1" s="5"/>
      <c r="EIG1" s="5"/>
      <c r="EIH1" s="5"/>
      <c r="EII1" s="5"/>
      <c r="EIJ1" s="5"/>
      <c r="EIK1" s="5"/>
      <c r="EIL1" s="5"/>
      <c r="EIM1" s="5"/>
      <c r="EIN1" s="5"/>
      <c r="EIO1" s="5"/>
      <c r="EIP1" s="5"/>
      <c r="EIQ1" s="5"/>
      <c r="EIR1" s="5"/>
      <c r="EIS1" s="5"/>
      <c r="EIT1" s="5"/>
      <c r="EIU1" s="5"/>
      <c r="EIV1" s="5"/>
      <c r="EIW1" s="5"/>
      <c r="EIX1" s="5"/>
      <c r="EIY1" s="5"/>
      <c r="EIZ1" s="5"/>
      <c r="EJA1" s="5"/>
      <c r="EJB1" s="5"/>
      <c r="EJC1" s="5"/>
      <c r="EJD1" s="5"/>
      <c r="EJE1" s="5"/>
      <c r="EJF1" s="5"/>
      <c r="EJG1" s="5"/>
      <c r="EJH1" s="5"/>
      <c r="EJI1" s="5"/>
      <c r="EJJ1" s="5"/>
      <c r="EJK1" s="5"/>
      <c r="EJL1" s="5"/>
      <c r="EJM1" s="5"/>
      <c r="EJN1" s="5"/>
      <c r="EJO1" s="5"/>
      <c r="EJP1" s="5"/>
      <c r="EJQ1" s="5"/>
      <c r="EJR1" s="5"/>
      <c r="EJS1" s="5"/>
      <c r="EJT1" s="5"/>
      <c r="EJU1" s="5"/>
      <c r="EJV1" s="5"/>
      <c r="EJW1" s="5"/>
      <c r="EJX1" s="5"/>
      <c r="EJY1" s="5"/>
      <c r="EJZ1" s="5"/>
      <c r="EKA1" s="5"/>
      <c r="EKB1" s="5"/>
      <c r="EKC1" s="5"/>
      <c r="EKD1" s="5"/>
      <c r="EKE1" s="5"/>
      <c r="EKF1" s="5"/>
      <c r="EKG1" s="5"/>
      <c r="EKH1" s="5"/>
      <c r="EKI1" s="5"/>
      <c r="EKJ1" s="5"/>
      <c r="EKK1" s="5"/>
      <c r="EKL1" s="5"/>
      <c r="EKM1" s="5"/>
      <c r="EKN1" s="5"/>
      <c r="EKO1" s="5"/>
      <c r="EKP1" s="5"/>
      <c r="EKQ1" s="5"/>
      <c r="EKR1" s="5"/>
      <c r="EKS1" s="5"/>
      <c r="EKT1" s="5"/>
      <c r="EKU1" s="5"/>
      <c r="EKV1" s="5"/>
      <c r="EKW1" s="5"/>
      <c r="EKX1" s="5"/>
      <c r="EKY1" s="5"/>
      <c r="EKZ1" s="5"/>
      <c r="ELA1" s="5"/>
      <c r="ELB1" s="5"/>
      <c r="ELC1" s="5"/>
      <c r="ELD1" s="5"/>
      <c r="ELE1" s="5"/>
      <c r="ELF1" s="5"/>
      <c r="ELG1" s="5"/>
      <c r="ELH1" s="5"/>
      <c r="ELI1" s="5"/>
      <c r="ELJ1" s="5"/>
      <c r="ELK1" s="5"/>
      <c r="ELL1" s="5"/>
      <c r="ELM1" s="5"/>
      <c r="ELN1" s="5"/>
      <c r="ELO1" s="5"/>
      <c r="ELP1" s="5"/>
      <c r="ELQ1" s="5"/>
      <c r="ELR1" s="5"/>
      <c r="ELS1" s="5"/>
      <c r="ELT1" s="5"/>
      <c r="ELU1" s="5"/>
      <c r="ELV1" s="5"/>
      <c r="ELW1" s="5"/>
      <c r="ELX1" s="5"/>
      <c r="ELY1" s="5"/>
      <c r="ELZ1" s="5"/>
      <c r="EMA1" s="5"/>
      <c r="EMB1" s="5"/>
      <c r="EMC1" s="5"/>
      <c r="EMD1" s="5"/>
      <c r="EME1" s="5"/>
      <c r="EMF1" s="5"/>
      <c r="EMG1" s="5"/>
      <c r="EMH1" s="5"/>
      <c r="EMI1" s="5"/>
      <c r="EMJ1" s="5"/>
      <c r="EMK1" s="5"/>
      <c r="EML1" s="5"/>
      <c r="EMM1" s="5"/>
      <c r="EMN1" s="5"/>
      <c r="EMO1" s="5"/>
      <c r="EMP1" s="5"/>
      <c r="EMQ1" s="5"/>
      <c r="EMR1" s="5"/>
      <c r="EMS1" s="5"/>
      <c r="EMT1" s="5"/>
      <c r="EMU1" s="5"/>
      <c r="EMV1" s="5"/>
      <c r="EMW1" s="5"/>
      <c r="EMX1" s="5"/>
      <c r="EMY1" s="5"/>
      <c r="EMZ1" s="5"/>
      <c r="ENA1" s="5"/>
      <c r="ENB1" s="5"/>
      <c r="ENC1" s="5"/>
      <c r="END1" s="5"/>
      <c r="ENE1" s="5"/>
      <c r="ENF1" s="5"/>
      <c r="ENG1" s="5"/>
      <c r="ENH1" s="5"/>
      <c r="ENI1" s="5"/>
      <c r="ENJ1" s="5"/>
      <c r="ENK1" s="5"/>
      <c r="ENL1" s="5"/>
      <c r="ENM1" s="5"/>
      <c r="ENN1" s="5"/>
      <c r="ENO1" s="5"/>
      <c r="ENP1" s="5"/>
      <c r="ENQ1" s="5"/>
      <c r="ENR1" s="5"/>
      <c r="ENS1" s="5"/>
      <c r="ENT1" s="5"/>
      <c r="ENU1" s="5"/>
      <c r="ENV1" s="5"/>
      <c r="ENW1" s="5"/>
      <c r="ENX1" s="5"/>
      <c r="ENY1" s="5"/>
      <c r="ENZ1" s="5"/>
      <c r="EOA1" s="5"/>
      <c r="EOB1" s="5"/>
      <c r="EOC1" s="5"/>
      <c r="EOD1" s="5"/>
      <c r="EOE1" s="5"/>
      <c r="EOF1" s="5"/>
      <c r="EOG1" s="5"/>
      <c r="EOH1" s="5"/>
      <c r="EOI1" s="5"/>
      <c r="EOJ1" s="5"/>
      <c r="EOK1" s="5"/>
      <c r="EOL1" s="5"/>
      <c r="EOM1" s="5"/>
      <c r="EON1" s="5"/>
      <c r="EOO1" s="5"/>
      <c r="EOP1" s="5"/>
      <c r="EOQ1" s="5"/>
      <c r="EOR1" s="5"/>
      <c r="EOS1" s="5"/>
      <c r="EOT1" s="5"/>
      <c r="EOU1" s="5"/>
      <c r="EOV1" s="5"/>
      <c r="EOW1" s="5"/>
      <c r="EOX1" s="5"/>
      <c r="EOY1" s="5"/>
      <c r="EOZ1" s="5"/>
      <c r="EPA1" s="5"/>
      <c r="EPB1" s="5"/>
      <c r="EPC1" s="5"/>
      <c r="EPD1" s="5"/>
      <c r="EPE1" s="5"/>
      <c r="EPF1" s="5"/>
      <c r="EPG1" s="5"/>
      <c r="EPH1" s="5"/>
      <c r="EPI1" s="5"/>
      <c r="EPJ1" s="5"/>
      <c r="EPK1" s="5"/>
      <c r="EPL1" s="5"/>
      <c r="EPM1" s="5"/>
      <c r="EPN1" s="5"/>
      <c r="EPO1" s="5"/>
      <c r="EPP1" s="5"/>
      <c r="EPQ1" s="5"/>
      <c r="EPR1" s="5"/>
      <c r="EPS1" s="5"/>
      <c r="EPT1" s="5"/>
      <c r="EPU1" s="5"/>
      <c r="EPV1" s="5"/>
      <c r="EPW1" s="5"/>
      <c r="EPX1" s="5"/>
      <c r="EPY1" s="5"/>
      <c r="EPZ1" s="5"/>
      <c r="EQA1" s="5"/>
      <c r="EQB1" s="5"/>
      <c r="EQC1" s="5"/>
      <c r="EQD1" s="5"/>
      <c r="EQE1" s="5"/>
      <c r="EQF1" s="5"/>
      <c r="EQG1" s="5"/>
      <c r="EQH1" s="5"/>
      <c r="EQI1" s="5"/>
      <c r="EQJ1" s="5"/>
      <c r="EQK1" s="5"/>
      <c r="EQL1" s="5"/>
      <c r="EQM1" s="5"/>
      <c r="EQN1" s="5"/>
      <c r="EQO1" s="5"/>
      <c r="EQP1" s="5"/>
      <c r="EQQ1" s="5"/>
      <c r="EQR1" s="5"/>
      <c r="EQS1" s="5"/>
      <c r="EQT1" s="5"/>
      <c r="EQU1" s="5"/>
      <c r="EQV1" s="5"/>
      <c r="EQW1" s="5"/>
      <c r="EQX1" s="5"/>
      <c r="EQY1" s="5"/>
      <c r="EQZ1" s="5"/>
      <c r="ERA1" s="5"/>
      <c r="ERB1" s="5"/>
      <c r="ERC1" s="5"/>
      <c r="ERD1" s="5"/>
      <c r="ERE1" s="5"/>
      <c r="ERF1" s="5"/>
      <c r="ERG1" s="5"/>
      <c r="ERH1" s="5"/>
      <c r="ERI1" s="5"/>
      <c r="ERJ1" s="5"/>
      <c r="ERK1" s="5"/>
      <c r="ERL1" s="5"/>
      <c r="ERM1" s="5"/>
      <c r="ERN1" s="5"/>
      <c r="ERO1" s="5"/>
      <c r="ERP1" s="5"/>
      <c r="ERQ1" s="5"/>
      <c r="ERR1" s="5"/>
      <c r="ERS1" s="5"/>
      <c r="ERT1" s="5"/>
      <c r="ERU1" s="5"/>
      <c r="ERV1" s="5"/>
      <c r="ERW1" s="5"/>
      <c r="ERX1" s="5"/>
      <c r="ERY1" s="5"/>
      <c r="ERZ1" s="5"/>
      <c r="ESA1" s="5"/>
      <c r="ESB1" s="5"/>
      <c r="ESC1" s="5"/>
      <c r="ESD1" s="5"/>
      <c r="ESE1" s="5"/>
      <c r="ESF1" s="5"/>
      <c r="ESG1" s="5"/>
      <c r="ESH1" s="5"/>
      <c r="ESI1" s="5"/>
      <c r="ESJ1" s="5"/>
      <c r="ESK1" s="5"/>
      <c r="ESL1" s="5"/>
      <c r="ESM1" s="5"/>
      <c r="ESN1" s="5"/>
      <c r="ESO1" s="5"/>
      <c r="ESP1" s="5"/>
      <c r="ESQ1" s="5"/>
      <c r="ESR1" s="5"/>
      <c r="ESS1" s="5"/>
      <c r="EST1" s="5"/>
      <c r="ESU1" s="5"/>
      <c r="ESV1" s="5"/>
      <c r="ESW1" s="5"/>
      <c r="ESX1" s="5"/>
      <c r="ESY1" s="5"/>
      <c r="ESZ1" s="5"/>
      <c r="ETA1" s="5"/>
      <c r="ETB1" s="5"/>
      <c r="ETC1" s="5"/>
      <c r="ETD1" s="5"/>
      <c r="ETE1" s="5"/>
      <c r="ETF1" s="5"/>
      <c r="ETG1" s="5"/>
      <c r="ETH1" s="5"/>
      <c r="ETI1" s="5"/>
      <c r="ETJ1" s="5"/>
      <c r="ETK1" s="5"/>
      <c r="ETL1" s="5"/>
      <c r="ETM1" s="5"/>
      <c r="ETN1" s="5"/>
      <c r="ETO1" s="5"/>
      <c r="ETP1" s="5"/>
      <c r="ETQ1" s="5"/>
      <c r="ETR1" s="5"/>
      <c r="ETS1" s="5"/>
      <c r="ETT1" s="5"/>
      <c r="ETU1" s="5"/>
      <c r="ETV1" s="5"/>
      <c r="ETW1" s="5"/>
      <c r="ETX1" s="5"/>
      <c r="ETY1" s="5"/>
      <c r="ETZ1" s="5"/>
      <c r="EUA1" s="5"/>
      <c r="EUB1" s="5"/>
      <c r="EUC1" s="5"/>
      <c r="EUD1" s="5"/>
      <c r="EUE1" s="5"/>
      <c r="EUF1" s="5"/>
      <c r="EUG1" s="5"/>
      <c r="EUH1" s="5"/>
      <c r="EUI1" s="5"/>
      <c r="EUJ1" s="5"/>
      <c r="EUK1" s="5"/>
      <c r="EUL1" s="5"/>
      <c r="EUM1" s="5"/>
      <c r="EUN1" s="5"/>
      <c r="EUO1" s="5"/>
      <c r="EUP1" s="5"/>
      <c r="EUQ1" s="5"/>
      <c r="EUR1" s="5"/>
      <c r="EUS1" s="5"/>
      <c r="EUT1" s="5"/>
      <c r="EUU1" s="5"/>
      <c r="EUV1" s="5"/>
      <c r="EUW1" s="5"/>
      <c r="EUX1" s="5"/>
      <c r="EUY1" s="5"/>
      <c r="EUZ1" s="5"/>
      <c r="EVA1" s="5"/>
      <c r="EVB1" s="5"/>
      <c r="EVC1" s="5"/>
      <c r="EVD1" s="5"/>
      <c r="EVE1" s="5"/>
      <c r="EVF1" s="5"/>
      <c r="EVG1" s="5"/>
      <c r="EVH1" s="5"/>
      <c r="EVI1" s="5"/>
      <c r="EVJ1" s="5"/>
      <c r="EVK1" s="5"/>
      <c r="EVL1" s="5"/>
      <c r="EVM1" s="5"/>
      <c r="EVN1" s="5"/>
      <c r="EVO1" s="5"/>
      <c r="EVP1" s="5"/>
      <c r="EVQ1" s="5"/>
      <c r="EVR1" s="5"/>
      <c r="EVS1" s="5"/>
      <c r="EVT1" s="5"/>
      <c r="EVU1" s="5"/>
      <c r="EVV1" s="5"/>
      <c r="EVW1" s="5"/>
      <c r="EVX1" s="5"/>
      <c r="EVY1" s="5"/>
      <c r="EVZ1" s="5"/>
      <c r="EWA1" s="5"/>
      <c r="EWB1" s="5"/>
      <c r="EWC1" s="5"/>
      <c r="EWD1" s="5"/>
      <c r="EWE1" s="5"/>
      <c r="EWF1" s="5"/>
      <c r="EWG1" s="5"/>
      <c r="EWH1" s="5"/>
      <c r="EWI1" s="5"/>
      <c r="EWJ1" s="5"/>
      <c r="EWK1" s="5"/>
      <c r="EWL1" s="5"/>
      <c r="EWM1" s="5"/>
      <c r="EWN1" s="5"/>
      <c r="EWO1" s="5"/>
      <c r="EWP1" s="5"/>
      <c r="EWQ1" s="5"/>
      <c r="EWR1" s="5"/>
      <c r="EWS1" s="5"/>
      <c r="EWT1" s="5"/>
      <c r="EWU1" s="5"/>
      <c r="EWV1" s="5"/>
      <c r="EWW1" s="5"/>
      <c r="EWX1" s="5"/>
      <c r="EWY1" s="5"/>
      <c r="EWZ1" s="5"/>
      <c r="EXA1" s="5"/>
      <c r="EXB1" s="5"/>
      <c r="EXC1" s="5"/>
      <c r="EXD1" s="5"/>
      <c r="EXE1" s="5"/>
      <c r="EXF1" s="5"/>
      <c r="EXG1" s="5"/>
      <c r="EXH1" s="5"/>
      <c r="EXI1" s="5"/>
      <c r="EXJ1" s="5"/>
      <c r="EXK1" s="5"/>
      <c r="EXL1" s="5"/>
      <c r="EXM1" s="5"/>
      <c r="EXN1" s="5"/>
      <c r="EXO1" s="5"/>
      <c r="EXP1" s="5"/>
      <c r="EXQ1" s="5"/>
      <c r="EXR1" s="5"/>
      <c r="EXS1" s="5"/>
      <c r="EXT1" s="5"/>
      <c r="EXU1" s="5"/>
      <c r="EXV1" s="5"/>
      <c r="EXW1" s="5"/>
      <c r="EXX1" s="5"/>
      <c r="EXY1" s="5"/>
      <c r="EXZ1" s="5"/>
      <c r="EYA1" s="5"/>
      <c r="EYB1" s="5"/>
      <c r="EYC1" s="5"/>
      <c r="EYD1" s="5"/>
      <c r="EYE1" s="5"/>
      <c r="EYF1" s="5"/>
      <c r="EYG1" s="5"/>
      <c r="EYH1" s="5"/>
      <c r="EYI1" s="5"/>
      <c r="EYJ1" s="5"/>
      <c r="EYK1" s="5"/>
      <c r="EYL1" s="5"/>
      <c r="EYM1" s="5"/>
      <c r="EYN1" s="5"/>
      <c r="EYO1" s="5"/>
      <c r="EYP1" s="5"/>
      <c r="EYQ1" s="5"/>
      <c r="EYR1" s="5"/>
      <c r="EYS1" s="5"/>
      <c r="EYT1" s="5"/>
      <c r="EYU1" s="5"/>
      <c r="EYV1" s="5"/>
      <c r="EYW1" s="5"/>
      <c r="EYX1" s="5"/>
      <c r="EYY1" s="5"/>
      <c r="EYZ1" s="5"/>
      <c r="EZA1" s="5"/>
      <c r="EZB1" s="5"/>
      <c r="EZC1" s="5"/>
      <c r="EZD1" s="5"/>
      <c r="EZE1" s="5"/>
      <c r="EZF1" s="5"/>
      <c r="EZG1" s="5"/>
      <c r="EZH1" s="5"/>
      <c r="EZI1" s="5"/>
      <c r="EZJ1" s="5"/>
      <c r="EZK1" s="5"/>
      <c r="EZL1" s="5"/>
      <c r="EZM1" s="5"/>
      <c r="EZN1" s="5"/>
      <c r="EZO1" s="5"/>
      <c r="EZP1" s="5"/>
      <c r="EZQ1" s="5"/>
      <c r="EZR1" s="5"/>
      <c r="EZS1" s="5"/>
      <c r="EZT1" s="5"/>
      <c r="EZU1" s="5"/>
      <c r="EZV1" s="5"/>
      <c r="EZW1" s="5"/>
      <c r="EZX1" s="5"/>
      <c r="EZY1" s="5"/>
      <c r="EZZ1" s="5"/>
      <c r="FAA1" s="5"/>
      <c r="FAB1" s="5"/>
      <c r="FAC1" s="5"/>
      <c r="FAD1" s="5"/>
      <c r="FAE1" s="5"/>
      <c r="FAF1" s="5"/>
      <c r="FAG1" s="5"/>
      <c r="FAH1" s="5"/>
      <c r="FAI1" s="5"/>
      <c r="FAJ1" s="5"/>
      <c r="FAK1" s="5"/>
      <c r="FAL1" s="5"/>
      <c r="FAM1" s="5"/>
      <c r="FAN1" s="5"/>
      <c r="FAO1" s="5"/>
      <c r="FAP1" s="5"/>
      <c r="FAQ1" s="5"/>
      <c r="FAR1" s="5"/>
      <c r="FAS1" s="5"/>
      <c r="FAT1" s="5"/>
      <c r="FAU1" s="5"/>
      <c r="FAV1" s="5"/>
      <c r="FAW1" s="5"/>
      <c r="FAX1" s="5"/>
      <c r="FAY1" s="5"/>
      <c r="FAZ1" s="5"/>
      <c r="FBA1" s="5"/>
      <c r="FBB1" s="5"/>
      <c r="FBC1" s="5"/>
      <c r="FBD1" s="5"/>
      <c r="FBE1" s="5"/>
      <c r="FBF1" s="5"/>
      <c r="FBG1" s="5"/>
      <c r="FBH1" s="5"/>
      <c r="FBI1" s="5"/>
      <c r="FBJ1" s="5"/>
      <c r="FBK1" s="5"/>
      <c r="FBL1" s="5"/>
      <c r="FBM1" s="5"/>
      <c r="FBN1" s="5"/>
      <c r="FBO1" s="5"/>
      <c r="FBP1" s="5"/>
      <c r="FBQ1" s="5"/>
      <c r="FBR1" s="5"/>
      <c r="FBS1" s="5"/>
      <c r="FBT1" s="5"/>
      <c r="FBU1" s="5"/>
      <c r="FBV1" s="5"/>
      <c r="FBW1" s="5"/>
      <c r="FBX1" s="5"/>
      <c r="FBY1" s="5"/>
      <c r="FBZ1" s="5"/>
      <c r="FCA1" s="5"/>
      <c r="FCB1" s="5"/>
      <c r="FCC1" s="5"/>
      <c r="FCD1" s="5"/>
      <c r="FCE1" s="5"/>
      <c r="FCF1" s="5"/>
      <c r="FCG1" s="5"/>
      <c r="FCH1" s="5"/>
      <c r="FCI1" s="5"/>
      <c r="FCJ1" s="5"/>
      <c r="FCK1" s="5"/>
      <c r="FCL1" s="5"/>
      <c r="FCM1" s="5"/>
      <c r="FCN1" s="5"/>
      <c r="FCO1" s="5"/>
      <c r="FCP1" s="5"/>
      <c r="FCQ1" s="5"/>
      <c r="FCR1" s="5"/>
      <c r="FCS1" s="5"/>
      <c r="FCT1" s="5"/>
      <c r="FCU1" s="5"/>
      <c r="FCV1" s="5"/>
      <c r="FCW1" s="5"/>
      <c r="FCX1" s="5"/>
      <c r="FCY1" s="5"/>
      <c r="FCZ1" s="5"/>
      <c r="FDA1" s="5"/>
      <c r="FDB1" s="5"/>
      <c r="FDC1" s="5"/>
      <c r="FDD1" s="5"/>
      <c r="FDE1" s="5"/>
      <c r="FDF1" s="5"/>
      <c r="FDG1" s="5"/>
      <c r="FDH1" s="5"/>
      <c r="FDI1" s="5"/>
      <c r="FDJ1" s="5"/>
      <c r="FDK1" s="5"/>
      <c r="FDL1" s="5"/>
      <c r="FDM1" s="5"/>
      <c r="FDN1" s="5"/>
      <c r="FDO1" s="5"/>
      <c r="FDP1" s="5"/>
      <c r="FDQ1" s="5"/>
      <c r="FDR1" s="5"/>
      <c r="FDS1" s="5"/>
      <c r="FDT1" s="5"/>
      <c r="FDU1" s="5"/>
      <c r="FDV1" s="5"/>
      <c r="FDW1" s="5"/>
      <c r="FDX1" s="5"/>
      <c r="FDY1" s="5"/>
      <c r="FDZ1" s="5"/>
      <c r="FEA1" s="5"/>
      <c r="FEB1" s="5"/>
      <c r="FEC1" s="5"/>
      <c r="FED1" s="5"/>
      <c r="FEE1" s="5"/>
      <c r="FEF1" s="5"/>
      <c r="FEG1" s="5"/>
      <c r="FEH1" s="5"/>
      <c r="FEI1" s="5"/>
      <c r="FEJ1" s="5"/>
      <c r="FEK1" s="5"/>
      <c r="FEL1" s="5"/>
      <c r="FEM1" s="5"/>
      <c r="FEN1" s="5"/>
      <c r="FEO1" s="5"/>
      <c r="FEP1" s="5"/>
      <c r="FEQ1" s="5"/>
      <c r="FER1" s="5"/>
      <c r="FES1" s="5"/>
      <c r="FET1" s="5"/>
      <c r="FEU1" s="5"/>
      <c r="FEV1" s="5"/>
      <c r="FEW1" s="5"/>
      <c r="FEX1" s="5"/>
      <c r="FEY1" s="5"/>
      <c r="FEZ1" s="5"/>
      <c r="FFA1" s="5"/>
      <c r="FFB1" s="5"/>
      <c r="FFC1" s="5"/>
      <c r="FFD1" s="5"/>
      <c r="FFE1" s="5"/>
      <c r="FFF1" s="5"/>
      <c r="FFG1" s="5"/>
      <c r="FFH1" s="5"/>
      <c r="FFI1" s="5"/>
      <c r="FFJ1" s="5"/>
      <c r="FFK1" s="5"/>
      <c r="FFL1" s="5"/>
      <c r="FFM1" s="5"/>
      <c r="FFN1" s="5"/>
      <c r="FFO1" s="5"/>
      <c r="FFP1" s="5"/>
      <c r="FFQ1" s="5"/>
      <c r="FFR1" s="5"/>
      <c r="FFS1" s="5"/>
      <c r="FFT1" s="5"/>
      <c r="FFU1" s="5"/>
      <c r="FFV1" s="5"/>
      <c r="FFW1" s="5"/>
      <c r="FFX1" s="5"/>
      <c r="FFY1" s="5"/>
      <c r="FFZ1" s="5"/>
      <c r="FGA1" s="5"/>
      <c r="FGB1" s="5"/>
      <c r="FGC1" s="5"/>
      <c r="FGD1" s="5"/>
      <c r="FGE1" s="5"/>
      <c r="FGF1" s="5"/>
      <c r="FGG1" s="5"/>
      <c r="FGH1" s="5"/>
      <c r="FGI1" s="5"/>
      <c r="FGJ1" s="5"/>
      <c r="FGK1" s="5"/>
      <c r="FGL1" s="5"/>
      <c r="FGM1" s="5"/>
      <c r="FGN1" s="5"/>
      <c r="FGO1" s="5"/>
      <c r="FGP1" s="5"/>
      <c r="FGQ1" s="5"/>
      <c r="FGR1" s="5"/>
      <c r="FGS1" s="5"/>
      <c r="FGT1" s="5"/>
      <c r="FGU1" s="5"/>
      <c r="FGV1" s="5"/>
      <c r="FGW1" s="5"/>
      <c r="FGX1" s="5"/>
      <c r="FGY1" s="5"/>
      <c r="FGZ1" s="5"/>
      <c r="FHA1" s="5"/>
      <c r="FHB1" s="5"/>
      <c r="FHC1" s="5"/>
      <c r="FHD1" s="5"/>
      <c r="FHE1" s="5"/>
      <c r="FHF1" s="5"/>
      <c r="FHG1" s="5"/>
      <c r="FHH1" s="5"/>
      <c r="FHI1" s="5"/>
      <c r="FHJ1" s="5"/>
      <c r="FHK1" s="5"/>
      <c r="FHL1" s="5"/>
      <c r="FHM1" s="5"/>
      <c r="FHN1" s="5"/>
      <c r="FHO1" s="5"/>
      <c r="FHP1" s="5"/>
      <c r="FHQ1" s="5"/>
      <c r="FHR1" s="5"/>
      <c r="FHS1" s="5"/>
      <c r="FHT1" s="5"/>
      <c r="FHU1" s="5"/>
      <c r="FHV1" s="5"/>
      <c r="FHW1" s="5"/>
      <c r="FHX1" s="5"/>
      <c r="FHY1" s="5"/>
      <c r="FHZ1" s="5"/>
      <c r="FIA1" s="5"/>
      <c r="FIB1" s="5"/>
      <c r="FIC1" s="5"/>
      <c r="FID1" s="5"/>
      <c r="FIE1" s="5"/>
      <c r="FIF1" s="5"/>
      <c r="FIG1" s="5"/>
      <c r="FIH1" s="5"/>
      <c r="FII1" s="5"/>
      <c r="FIJ1" s="5"/>
      <c r="FIK1" s="5"/>
      <c r="FIL1" s="5"/>
      <c r="FIM1" s="5"/>
      <c r="FIN1" s="5"/>
      <c r="FIO1" s="5"/>
      <c r="FIP1" s="5"/>
      <c r="FIQ1" s="5"/>
      <c r="FIR1" s="5"/>
      <c r="FIS1" s="5"/>
      <c r="FIT1" s="5"/>
      <c r="FIU1" s="5"/>
      <c r="FIV1" s="5"/>
      <c r="FIW1" s="5"/>
      <c r="FIX1" s="5"/>
      <c r="FIY1" s="5"/>
      <c r="FIZ1" s="5"/>
      <c r="FJA1" s="5"/>
      <c r="FJB1" s="5"/>
      <c r="FJC1" s="5"/>
      <c r="FJD1" s="5"/>
      <c r="FJE1" s="5"/>
      <c r="FJF1" s="5"/>
      <c r="FJG1" s="5"/>
      <c r="FJH1" s="5"/>
      <c r="FJI1" s="5"/>
      <c r="FJJ1" s="5"/>
      <c r="FJK1" s="5"/>
      <c r="FJL1" s="5"/>
      <c r="FJM1" s="5"/>
      <c r="FJN1" s="5"/>
      <c r="FJO1" s="5"/>
      <c r="FJP1" s="5"/>
      <c r="FJQ1" s="5"/>
      <c r="FJR1" s="5"/>
      <c r="FJS1" s="5"/>
      <c r="FJT1" s="5"/>
      <c r="FJU1" s="5"/>
      <c r="FJV1" s="5"/>
      <c r="FJW1" s="5"/>
      <c r="FJX1" s="5"/>
      <c r="FJY1" s="5"/>
      <c r="FJZ1" s="5"/>
      <c r="FKA1" s="5"/>
      <c r="FKB1" s="5"/>
      <c r="FKC1" s="5"/>
      <c r="FKD1" s="5"/>
      <c r="FKE1" s="5"/>
      <c r="FKF1" s="5"/>
      <c r="FKG1" s="5"/>
      <c r="FKH1" s="5"/>
      <c r="FKI1" s="5"/>
      <c r="FKJ1" s="5"/>
      <c r="FKK1" s="5"/>
      <c r="FKL1" s="5"/>
      <c r="FKM1" s="5"/>
      <c r="FKN1" s="5"/>
      <c r="FKO1" s="5"/>
      <c r="FKP1" s="5"/>
      <c r="FKQ1" s="5"/>
      <c r="FKR1" s="5"/>
      <c r="FKS1" s="5"/>
      <c r="FKT1" s="5"/>
      <c r="FKU1" s="5"/>
      <c r="FKV1" s="5"/>
      <c r="FKW1" s="5"/>
      <c r="FKX1" s="5"/>
      <c r="FKY1" s="5"/>
      <c r="FKZ1" s="5"/>
      <c r="FLA1" s="5"/>
      <c r="FLB1" s="5"/>
      <c r="FLC1" s="5"/>
      <c r="FLD1" s="5"/>
      <c r="FLE1" s="5"/>
      <c r="FLF1" s="5"/>
      <c r="FLG1" s="5"/>
      <c r="FLH1" s="5"/>
      <c r="FLI1" s="5"/>
      <c r="FLJ1" s="5"/>
      <c r="FLK1" s="5"/>
      <c r="FLL1" s="5"/>
      <c r="FLM1" s="5"/>
      <c r="FLN1" s="5"/>
      <c r="FLO1" s="5"/>
      <c r="FLP1" s="5"/>
      <c r="FLQ1" s="5"/>
      <c r="FLR1" s="5"/>
      <c r="FLS1" s="5"/>
      <c r="FLT1" s="5"/>
      <c r="FLU1" s="5"/>
      <c r="FLV1" s="5"/>
      <c r="FLW1" s="5"/>
      <c r="FLX1" s="5"/>
      <c r="FLY1" s="5"/>
      <c r="FLZ1" s="5"/>
      <c r="FMA1" s="5"/>
      <c r="FMB1" s="5"/>
      <c r="FMC1" s="5"/>
      <c r="FMD1" s="5"/>
      <c r="FME1" s="5"/>
      <c r="FMF1" s="5"/>
      <c r="FMG1" s="5"/>
      <c r="FMH1" s="5"/>
      <c r="FMI1" s="5"/>
      <c r="FMJ1" s="5"/>
      <c r="FMK1" s="5"/>
      <c r="FML1" s="5"/>
      <c r="FMM1" s="5"/>
      <c r="FMN1" s="5"/>
      <c r="FMO1" s="5"/>
      <c r="FMP1" s="5"/>
      <c r="FMQ1" s="5"/>
      <c r="FMR1" s="5"/>
      <c r="FMS1" s="5"/>
      <c r="FMT1" s="5"/>
      <c r="FMU1" s="5"/>
      <c r="FMV1" s="5"/>
      <c r="FMW1" s="5"/>
      <c r="FMX1" s="5"/>
      <c r="FMY1" s="5"/>
      <c r="FMZ1" s="5"/>
      <c r="FNA1" s="5"/>
      <c r="FNB1" s="5"/>
      <c r="FNC1" s="5"/>
      <c r="FND1" s="5"/>
      <c r="FNE1" s="5"/>
      <c r="FNF1" s="5"/>
      <c r="FNG1" s="5"/>
      <c r="FNH1" s="5"/>
      <c r="FNI1" s="5"/>
      <c r="FNJ1" s="5"/>
      <c r="FNK1" s="5"/>
      <c r="FNL1" s="5"/>
      <c r="FNM1" s="5"/>
      <c r="FNN1" s="5"/>
      <c r="FNO1" s="5"/>
      <c r="FNP1" s="5"/>
      <c r="FNQ1" s="5"/>
      <c r="FNR1" s="5"/>
      <c r="FNS1" s="5"/>
      <c r="FNT1" s="5"/>
      <c r="FNU1" s="5"/>
      <c r="FNV1" s="5"/>
      <c r="FNW1" s="5"/>
      <c r="FNX1" s="5"/>
      <c r="FNY1" s="5"/>
      <c r="FNZ1" s="5"/>
      <c r="FOA1" s="5"/>
      <c r="FOB1" s="5"/>
      <c r="FOC1" s="5"/>
      <c r="FOD1" s="5"/>
      <c r="FOE1" s="5"/>
      <c r="FOF1" s="5"/>
      <c r="FOG1" s="5"/>
      <c r="FOH1" s="5"/>
      <c r="FOI1" s="5"/>
      <c r="FOJ1" s="5"/>
      <c r="FOK1" s="5"/>
      <c r="FOL1" s="5"/>
      <c r="FOM1" s="5"/>
      <c r="FON1" s="5"/>
      <c r="FOO1" s="5"/>
      <c r="FOP1" s="5"/>
      <c r="FOQ1" s="5"/>
      <c r="FOR1" s="5"/>
      <c r="FOS1" s="5"/>
      <c r="FOT1" s="5"/>
      <c r="FOU1" s="5"/>
      <c r="FOV1" s="5"/>
      <c r="FOW1" s="5"/>
      <c r="FOX1" s="5"/>
      <c r="FOY1" s="5"/>
      <c r="FOZ1" s="5"/>
      <c r="FPA1" s="5"/>
      <c r="FPB1" s="5"/>
      <c r="FPC1" s="5"/>
      <c r="FPD1" s="5"/>
      <c r="FPE1" s="5"/>
      <c r="FPF1" s="5"/>
      <c r="FPG1" s="5"/>
      <c r="FPH1" s="5"/>
      <c r="FPI1" s="5"/>
      <c r="FPJ1" s="5"/>
      <c r="FPK1" s="5"/>
      <c r="FPL1" s="5"/>
      <c r="FPM1" s="5"/>
      <c r="FPN1" s="5"/>
      <c r="FPO1" s="5"/>
      <c r="FPP1" s="5"/>
      <c r="FPQ1" s="5"/>
      <c r="FPR1" s="5"/>
      <c r="FPS1" s="5"/>
      <c r="FPT1" s="5"/>
      <c r="FPU1" s="5"/>
      <c r="FPV1" s="5"/>
      <c r="FPW1" s="5"/>
      <c r="FPX1" s="5"/>
      <c r="FPY1" s="5"/>
      <c r="FPZ1" s="5"/>
      <c r="FQA1" s="5"/>
      <c r="FQB1" s="5"/>
      <c r="FQC1" s="5"/>
      <c r="FQD1" s="5"/>
      <c r="FQE1" s="5"/>
      <c r="FQF1" s="5"/>
      <c r="FQG1" s="5"/>
      <c r="FQH1" s="5"/>
      <c r="FQI1" s="5"/>
      <c r="FQJ1" s="5"/>
      <c r="FQK1" s="5"/>
      <c r="FQL1" s="5"/>
      <c r="FQM1" s="5"/>
      <c r="FQN1" s="5"/>
      <c r="FQO1" s="5"/>
      <c r="FQP1" s="5"/>
      <c r="FQQ1" s="5"/>
      <c r="FQR1" s="5"/>
      <c r="FQS1" s="5"/>
      <c r="FQT1" s="5"/>
      <c r="FQU1" s="5"/>
      <c r="FQV1" s="5"/>
      <c r="FQW1" s="5"/>
      <c r="FQX1" s="5"/>
      <c r="FQY1" s="5"/>
      <c r="FQZ1" s="5"/>
      <c r="FRA1" s="5"/>
      <c r="FRB1" s="5"/>
      <c r="FRC1" s="5"/>
      <c r="FRD1" s="5"/>
      <c r="FRE1" s="5"/>
      <c r="FRF1" s="5"/>
      <c r="FRG1" s="5"/>
      <c r="FRH1" s="5"/>
      <c r="FRI1" s="5"/>
      <c r="FRJ1" s="5"/>
      <c r="FRK1" s="5"/>
      <c r="FRL1" s="5"/>
      <c r="FRM1" s="5"/>
      <c r="FRN1" s="5"/>
      <c r="FRO1" s="5"/>
      <c r="FRP1" s="5"/>
      <c r="FRQ1" s="5"/>
      <c r="FRR1" s="5"/>
      <c r="FRS1" s="5"/>
      <c r="FRT1" s="5"/>
      <c r="FRU1" s="5"/>
      <c r="FRV1" s="5"/>
      <c r="FRW1" s="5"/>
      <c r="FRX1" s="5"/>
      <c r="FRY1" s="5"/>
      <c r="FRZ1" s="5"/>
      <c r="FSA1" s="5"/>
      <c r="FSB1" s="5"/>
      <c r="FSC1" s="5"/>
      <c r="FSD1" s="5"/>
      <c r="FSE1" s="5"/>
      <c r="FSF1" s="5"/>
      <c r="FSG1" s="5"/>
      <c r="FSH1" s="5"/>
      <c r="FSI1" s="5"/>
      <c r="FSJ1" s="5"/>
      <c r="FSK1" s="5"/>
      <c r="FSL1" s="5"/>
      <c r="FSM1" s="5"/>
      <c r="FSN1" s="5"/>
      <c r="FSO1" s="5"/>
      <c r="FSP1" s="5"/>
      <c r="FSQ1" s="5"/>
      <c r="FSR1" s="5"/>
      <c r="FSS1" s="5"/>
      <c r="FST1" s="5"/>
      <c r="FSU1" s="5"/>
      <c r="FSV1" s="5"/>
      <c r="FSW1" s="5"/>
      <c r="FSX1" s="5"/>
      <c r="FSY1" s="5"/>
      <c r="FSZ1" s="5"/>
      <c r="FTA1" s="5"/>
      <c r="FTB1" s="5"/>
      <c r="FTC1" s="5"/>
      <c r="FTD1" s="5"/>
      <c r="FTE1" s="5"/>
      <c r="FTF1" s="5"/>
      <c r="FTG1" s="5"/>
      <c r="FTH1" s="5"/>
      <c r="FTI1" s="5"/>
      <c r="FTJ1" s="5"/>
      <c r="FTK1" s="5"/>
      <c r="FTL1" s="5"/>
      <c r="FTM1" s="5"/>
      <c r="FTN1" s="5"/>
      <c r="FTO1" s="5"/>
      <c r="FTP1" s="5"/>
      <c r="FTQ1" s="5"/>
      <c r="FTR1" s="5"/>
      <c r="FTS1" s="5"/>
      <c r="FTT1" s="5"/>
      <c r="FTU1" s="5"/>
      <c r="FTV1" s="5"/>
      <c r="FTW1" s="5"/>
      <c r="FTX1" s="5"/>
      <c r="FTY1" s="5"/>
      <c r="FTZ1" s="5"/>
      <c r="FUA1" s="5"/>
      <c r="FUB1" s="5"/>
      <c r="FUC1" s="5"/>
      <c r="FUD1" s="5"/>
      <c r="FUE1" s="5"/>
      <c r="FUF1" s="5"/>
      <c r="FUG1" s="5"/>
      <c r="FUH1" s="5"/>
      <c r="FUI1" s="5"/>
      <c r="FUJ1" s="5"/>
      <c r="FUK1" s="5"/>
      <c r="FUL1" s="5"/>
      <c r="FUM1" s="5"/>
      <c r="FUN1" s="5"/>
      <c r="FUO1" s="5"/>
      <c r="FUP1" s="5"/>
      <c r="FUQ1" s="5"/>
      <c r="FUR1" s="5"/>
      <c r="FUS1" s="5"/>
      <c r="FUT1" s="5"/>
      <c r="FUU1" s="5"/>
      <c r="FUV1" s="5"/>
      <c r="FUW1" s="5"/>
      <c r="FUX1" s="5"/>
      <c r="FUY1" s="5"/>
      <c r="FUZ1" s="5"/>
      <c r="FVA1" s="5"/>
      <c r="FVB1" s="5"/>
      <c r="FVC1" s="5"/>
      <c r="FVD1" s="5"/>
      <c r="FVE1" s="5"/>
      <c r="FVF1" s="5"/>
      <c r="FVG1" s="5"/>
      <c r="FVH1" s="5"/>
      <c r="FVI1" s="5"/>
      <c r="FVJ1" s="5"/>
      <c r="FVK1" s="5"/>
      <c r="FVL1" s="5"/>
      <c r="FVM1" s="5"/>
      <c r="FVN1" s="5"/>
      <c r="FVO1" s="5"/>
      <c r="FVP1" s="5"/>
      <c r="FVQ1" s="5"/>
      <c r="FVR1" s="5"/>
      <c r="FVS1" s="5"/>
      <c r="FVT1" s="5"/>
      <c r="FVU1" s="5"/>
      <c r="FVV1" s="5"/>
      <c r="FVW1" s="5"/>
      <c r="FVX1" s="5"/>
      <c r="FVY1" s="5"/>
      <c r="FVZ1" s="5"/>
      <c r="FWA1" s="5"/>
      <c r="FWB1" s="5"/>
      <c r="FWC1" s="5"/>
      <c r="FWD1" s="5"/>
      <c r="FWE1" s="5"/>
      <c r="FWF1" s="5"/>
      <c r="FWG1" s="5"/>
      <c r="FWH1" s="5"/>
      <c r="FWI1" s="5"/>
      <c r="FWJ1" s="5"/>
      <c r="FWK1" s="5"/>
      <c r="FWL1" s="5"/>
      <c r="FWM1" s="5"/>
      <c r="FWN1" s="5"/>
      <c r="FWO1" s="5"/>
      <c r="FWP1" s="5"/>
      <c r="FWQ1" s="5"/>
      <c r="FWR1" s="5"/>
      <c r="FWS1" s="5"/>
      <c r="FWT1" s="5"/>
      <c r="FWU1" s="5"/>
      <c r="FWV1" s="5"/>
      <c r="FWW1" s="5"/>
      <c r="FWX1" s="5"/>
      <c r="FWY1" s="5"/>
      <c r="FWZ1" s="5"/>
      <c r="FXA1" s="5"/>
      <c r="FXB1" s="5"/>
      <c r="FXC1" s="5"/>
      <c r="FXD1" s="5"/>
      <c r="FXE1" s="5"/>
      <c r="FXF1" s="5"/>
      <c r="FXG1" s="5"/>
      <c r="FXH1" s="5"/>
      <c r="FXI1" s="5"/>
      <c r="FXJ1" s="5"/>
      <c r="FXK1" s="5"/>
      <c r="FXL1" s="5"/>
      <c r="FXM1" s="5"/>
      <c r="FXN1" s="5"/>
      <c r="FXO1" s="5"/>
      <c r="FXP1" s="5"/>
      <c r="FXQ1" s="5"/>
      <c r="FXR1" s="5"/>
      <c r="FXS1" s="5"/>
      <c r="FXT1" s="5"/>
      <c r="FXU1" s="5"/>
      <c r="FXV1" s="5"/>
      <c r="FXW1" s="5"/>
      <c r="FXX1" s="5"/>
      <c r="FXY1" s="5"/>
      <c r="FXZ1" s="5"/>
      <c r="FYA1" s="5"/>
      <c r="FYB1" s="5"/>
      <c r="FYC1" s="5"/>
      <c r="FYD1" s="5"/>
      <c r="FYE1" s="5"/>
      <c r="FYF1" s="5"/>
      <c r="FYG1" s="5"/>
      <c r="FYH1" s="5"/>
      <c r="FYI1" s="5"/>
      <c r="FYJ1" s="5"/>
      <c r="FYK1" s="5"/>
      <c r="FYL1" s="5"/>
      <c r="FYM1" s="5"/>
      <c r="FYN1" s="5"/>
      <c r="FYO1" s="5"/>
      <c r="FYP1" s="5"/>
      <c r="FYQ1" s="5"/>
      <c r="FYR1" s="5"/>
      <c r="FYS1" s="5"/>
      <c r="FYT1" s="5"/>
      <c r="FYU1" s="5"/>
      <c r="FYV1" s="5"/>
      <c r="FYW1" s="5"/>
      <c r="FYX1" s="5"/>
      <c r="FYY1" s="5"/>
      <c r="FYZ1" s="5"/>
      <c r="FZA1" s="5"/>
      <c r="FZB1" s="5"/>
      <c r="FZC1" s="5"/>
      <c r="FZD1" s="5"/>
      <c r="FZE1" s="5"/>
      <c r="FZF1" s="5"/>
      <c r="FZG1" s="5"/>
      <c r="FZH1" s="5"/>
      <c r="FZI1" s="5"/>
      <c r="FZJ1" s="5"/>
      <c r="FZK1" s="5"/>
      <c r="FZL1" s="5"/>
      <c r="FZM1" s="5"/>
      <c r="FZN1" s="5"/>
      <c r="FZO1" s="5"/>
      <c r="FZP1" s="5"/>
      <c r="FZQ1" s="5"/>
      <c r="FZR1" s="5"/>
      <c r="FZS1" s="5"/>
      <c r="FZT1" s="5"/>
      <c r="FZU1" s="5"/>
      <c r="FZV1" s="5"/>
      <c r="FZW1" s="5"/>
      <c r="FZX1" s="5"/>
      <c r="FZY1" s="5"/>
      <c r="FZZ1" s="5"/>
      <c r="GAA1" s="5"/>
      <c r="GAB1" s="5"/>
      <c r="GAC1" s="5"/>
      <c r="GAD1" s="5"/>
      <c r="GAE1" s="5"/>
      <c r="GAF1" s="5"/>
      <c r="GAG1" s="5"/>
      <c r="GAH1" s="5"/>
      <c r="GAI1" s="5"/>
      <c r="GAJ1" s="5"/>
      <c r="GAK1" s="5"/>
      <c r="GAL1" s="5"/>
      <c r="GAM1" s="5"/>
      <c r="GAN1" s="5"/>
      <c r="GAO1" s="5"/>
      <c r="GAP1" s="5"/>
      <c r="GAQ1" s="5"/>
      <c r="GAR1" s="5"/>
      <c r="GAS1" s="5"/>
      <c r="GAT1" s="5"/>
      <c r="GAU1" s="5"/>
      <c r="GAV1" s="5"/>
      <c r="GAW1" s="5"/>
      <c r="GAX1" s="5"/>
      <c r="GAY1" s="5"/>
      <c r="GAZ1" s="5"/>
      <c r="GBA1" s="5"/>
      <c r="GBB1" s="5"/>
      <c r="GBC1" s="5"/>
      <c r="GBD1" s="5"/>
      <c r="GBE1" s="5"/>
      <c r="GBF1" s="5"/>
      <c r="GBG1" s="5"/>
      <c r="GBH1" s="5"/>
      <c r="GBI1" s="5"/>
      <c r="GBJ1" s="5"/>
      <c r="GBK1" s="5"/>
      <c r="GBL1" s="5"/>
      <c r="GBM1" s="5"/>
      <c r="GBN1" s="5"/>
      <c r="GBO1" s="5"/>
      <c r="GBP1" s="5"/>
      <c r="GBQ1" s="5"/>
      <c r="GBR1" s="5"/>
      <c r="GBS1" s="5"/>
      <c r="GBT1" s="5"/>
      <c r="GBU1" s="5"/>
      <c r="GBV1" s="5"/>
      <c r="GBW1" s="5"/>
      <c r="GBX1" s="5"/>
      <c r="GBY1" s="5"/>
      <c r="GBZ1" s="5"/>
      <c r="GCA1" s="5"/>
      <c r="GCB1" s="5"/>
      <c r="GCC1" s="5"/>
      <c r="GCD1" s="5"/>
      <c r="GCE1" s="5"/>
      <c r="GCF1" s="5"/>
      <c r="GCG1" s="5"/>
      <c r="GCH1" s="5"/>
      <c r="GCI1" s="5"/>
      <c r="GCJ1" s="5"/>
      <c r="GCK1" s="5"/>
      <c r="GCL1" s="5"/>
      <c r="GCM1" s="5"/>
      <c r="GCN1" s="5"/>
      <c r="GCO1" s="5"/>
      <c r="GCP1" s="5"/>
      <c r="GCQ1" s="5"/>
      <c r="GCR1" s="5"/>
      <c r="GCS1" s="5"/>
      <c r="GCT1" s="5"/>
      <c r="GCU1" s="5"/>
      <c r="GCV1" s="5"/>
      <c r="GCW1" s="5"/>
      <c r="GCX1" s="5"/>
      <c r="GCY1" s="5"/>
      <c r="GCZ1" s="5"/>
      <c r="GDA1" s="5"/>
      <c r="GDB1" s="5"/>
      <c r="GDC1" s="5"/>
      <c r="GDD1" s="5"/>
      <c r="GDE1" s="5"/>
      <c r="GDF1" s="5"/>
      <c r="GDG1" s="5"/>
      <c r="GDH1" s="5"/>
      <c r="GDI1" s="5"/>
      <c r="GDJ1" s="5"/>
      <c r="GDK1" s="5"/>
      <c r="GDL1" s="5"/>
      <c r="GDM1" s="5"/>
      <c r="GDN1" s="5"/>
      <c r="GDO1" s="5"/>
      <c r="GDP1" s="5"/>
      <c r="GDQ1" s="5"/>
      <c r="GDR1" s="5"/>
      <c r="GDS1" s="5"/>
      <c r="GDT1" s="5"/>
      <c r="GDU1" s="5"/>
      <c r="GDV1" s="5"/>
      <c r="GDW1" s="5"/>
      <c r="GDX1" s="5"/>
      <c r="GDY1" s="5"/>
      <c r="GDZ1" s="5"/>
      <c r="GEA1" s="5"/>
      <c r="GEB1" s="5"/>
      <c r="GEC1" s="5"/>
      <c r="GED1" s="5"/>
      <c r="GEE1" s="5"/>
      <c r="GEF1" s="5"/>
      <c r="GEG1" s="5"/>
      <c r="GEH1" s="5"/>
      <c r="GEI1" s="5"/>
      <c r="GEJ1" s="5"/>
      <c r="GEK1" s="5"/>
      <c r="GEL1" s="5"/>
      <c r="GEM1" s="5"/>
      <c r="GEN1" s="5"/>
      <c r="GEO1" s="5"/>
      <c r="GEP1" s="5"/>
      <c r="GEQ1" s="5"/>
      <c r="GER1" s="5"/>
      <c r="GES1" s="5"/>
      <c r="GET1" s="5"/>
      <c r="GEU1" s="5"/>
      <c r="GEV1" s="5"/>
      <c r="GEW1" s="5"/>
      <c r="GEX1" s="5"/>
      <c r="GEY1" s="5"/>
      <c r="GEZ1" s="5"/>
      <c r="GFA1" s="5"/>
      <c r="GFB1" s="5"/>
      <c r="GFC1" s="5"/>
      <c r="GFD1" s="5"/>
      <c r="GFE1" s="5"/>
      <c r="GFF1" s="5"/>
      <c r="GFG1" s="5"/>
      <c r="GFH1" s="5"/>
      <c r="GFI1" s="5"/>
      <c r="GFJ1" s="5"/>
      <c r="GFK1" s="5"/>
      <c r="GFL1" s="5"/>
      <c r="GFM1" s="5"/>
      <c r="GFN1" s="5"/>
      <c r="GFO1" s="5"/>
      <c r="GFP1" s="5"/>
      <c r="GFQ1" s="5"/>
      <c r="GFR1" s="5"/>
      <c r="GFS1" s="5"/>
      <c r="GFT1" s="5"/>
      <c r="GFU1" s="5"/>
      <c r="GFV1" s="5"/>
      <c r="GFW1" s="5"/>
      <c r="GFX1" s="5"/>
      <c r="GFY1" s="5"/>
      <c r="GFZ1" s="5"/>
      <c r="GGA1" s="5"/>
      <c r="GGB1" s="5"/>
      <c r="GGC1" s="5"/>
      <c r="GGD1" s="5"/>
      <c r="GGE1" s="5"/>
      <c r="GGF1" s="5"/>
      <c r="GGG1" s="5"/>
      <c r="GGH1" s="5"/>
      <c r="GGI1" s="5"/>
      <c r="GGJ1" s="5"/>
      <c r="GGK1" s="5"/>
      <c r="GGL1" s="5"/>
      <c r="GGM1" s="5"/>
      <c r="GGN1" s="5"/>
      <c r="GGO1" s="5"/>
      <c r="GGP1" s="5"/>
      <c r="GGQ1" s="5"/>
      <c r="GGR1" s="5"/>
      <c r="GGS1" s="5"/>
      <c r="GGT1" s="5"/>
      <c r="GGU1" s="5"/>
      <c r="GGV1" s="5"/>
      <c r="GGW1" s="5"/>
      <c r="GGX1" s="5"/>
      <c r="GGY1" s="5"/>
      <c r="GGZ1" s="5"/>
      <c r="GHA1" s="5"/>
      <c r="GHB1" s="5"/>
      <c r="GHC1" s="5"/>
      <c r="GHD1" s="5"/>
      <c r="GHE1" s="5"/>
      <c r="GHF1" s="5"/>
      <c r="GHG1" s="5"/>
      <c r="GHH1" s="5"/>
      <c r="GHI1" s="5"/>
      <c r="GHJ1" s="5"/>
      <c r="GHK1" s="5"/>
      <c r="GHL1" s="5"/>
      <c r="GHM1" s="5"/>
      <c r="GHN1" s="5"/>
      <c r="GHO1" s="5"/>
      <c r="GHP1" s="5"/>
      <c r="GHQ1" s="5"/>
      <c r="GHR1" s="5"/>
      <c r="GHS1" s="5"/>
      <c r="GHT1" s="5"/>
      <c r="GHU1" s="5"/>
      <c r="GHV1" s="5"/>
      <c r="GHW1" s="5"/>
      <c r="GHX1" s="5"/>
      <c r="GHY1" s="5"/>
      <c r="GHZ1" s="5"/>
      <c r="GIA1" s="5"/>
      <c r="GIB1" s="5"/>
      <c r="GIC1" s="5"/>
      <c r="GID1" s="5"/>
      <c r="GIE1" s="5"/>
      <c r="GIF1" s="5"/>
      <c r="GIG1" s="5"/>
      <c r="GIH1" s="5"/>
      <c r="GII1" s="5"/>
      <c r="GIJ1" s="5"/>
      <c r="GIK1" s="5"/>
      <c r="GIL1" s="5"/>
      <c r="GIM1" s="5"/>
      <c r="GIN1" s="5"/>
      <c r="GIO1" s="5"/>
      <c r="GIP1" s="5"/>
      <c r="GIQ1" s="5"/>
      <c r="GIR1" s="5"/>
      <c r="GIS1" s="5"/>
      <c r="GIT1" s="5"/>
      <c r="GIU1" s="5"/>
      <c r="GIV1" s="5"/>
      <c r="GIW1" s="5"/>
      <c r="GIX1" s="5"/>
      <c r="GIY1" s="5"/>
      <c r="GIZ1" s="5"/>
      <c r="GJA1" s="5"/>
      <c r="GJB1" s="5"/>
      <c r="GJC1" s="5"/>
      <c r="GJD1" s="5"/>
      <c r="GJE1" s="5"/>
      <c r="GJF1" s="5"/>
      <c r="GJG1" s="5"/>
      <c r="GJH1" s="5"/>
      <c r="GJI1" s="5"/>
      <c r="GJJ1" s="5"/>
      <c r="GJK1" s="5"/>
      <c r="GJL1" s="5"/>
      <c r="GJM1" s="5"/>
      <c r="GJN1" s="5"/>
      <c r="GJO1" s="5"/>
      <c r="GJP1" s="5"/>
      <c r="GJQ1" s="5"/>
      <c r="GJR1" s="5"/>
      <c r="GJS1" s="5"/>
      <c r="GJT1" s="5"/>
      <c r="GJU1" s="5"/>
      <c r="GJV1" s="5"/>
      <c r="GJW1" s="5"/>
      <c r="GJX1" s="5"/>
      <c r="GJY1" s="5"/>
      <c r="GJZ1" s="5"/>
      <c r="GKA1" s="5"/>
      <c r="GKB1" s="5"/>
      <c r="GKC1" s="5"/>
      <c r="GKD1" s="5"/>
      <c r="GKE1" s="5"/>
      <c r="GKF1" s="5"/>
      <c r="GKG1" s="5"/>
      <c r="GKH1" s="5"/>
      <c r="GKI1" s="5"/>
      <c r="GKJ1" s="5"/>
      <c r="GKK1" s="5"/>
      <c r="GKL1" s="5"/>
      <c r="GKM1" s="5"/>
      <c r="GKN1" s="5"/>
      <c r="GKO1" s="5"/>
      <c r="GKP1" s="5"/>
      <c r="GKQ1" s="5"/>
      <c r="GKR1" s="5"/>
      <c r="GKS1" s="5"/>
      <c r="GKT1" s="5"/>
      <c r="GKU1" s="5"/>
      <c r="GKV1" s="5"/>
      <c r="GKW1" s="5"/>
      <c r="GKX1" s="5"/>
      <c r="GKY1" s="5"/>
      <c r="GKZ1" s="5"/>
      <c r="GLA1" s="5"/>
      <c r="GLB1" s="5"/>
      <c r="GLC1" s="5"/>
      <c r="GLD1" s="5"/>
      <c r="GLE1" s="5"/>
      <c r="GLF1" s="5"/>
      <c r="GLG1" s="5"/>
      <c r="GLH1" s="5"/>
      <c r="GLI1" s="5"/>
      <c r="GLJ1" s="5"/>
      <c r="GLK1" s="5"/>
      <c r="GLL1" s="5"/>
      <c r="GLM1" s="5"/>
      <c r="GLN1" s="5"/>
      <c r="GLO1" s="5"/>
      <c r="GLP1" s="5"/>
      <c r="GLQ1" s="5"/>
      <c r="GLR1" s="5"/>
      <c r="GLS1" s="5"/>
      <c r="GLT1" s="5"/>
      <c r="GLU1" s="5"/>
      <c r="GLV1" s="5"/>
      <c r="GLW1" s="5"/>
      <c r="GLX1" s="5"/>
      <c r="GLY1" s="5"/>
      <c r="GLZ1" s="5"/>
      <c r="GMA1" s="5"/>
      <c r="GMB1" s="5"/>
      <c r="GMC1" s="5"/>
      <c r="GMD1" s="5"/>
      <c r="GME1" s="5"/>
      <c r="GMF1" s="5"/>
      <c r="GMG1" s="5"/>
      <c r="GMH1" s="5"/>
      <c r="GMI1" s="5"/>
      <c r="GMJ1" s="5"/>
      <c r="GMK1" s="5"/>
      <c r="GML1" s="5"/>
      <c r="GMM1" s="5"/>
      <c r="GMN1" s="5"/>
      <c r="GMO1" s="5"/>
      <c r="GMP1" s="5"/>
      <c r="GMQ1" s="5"/>
      <c r="GMR1" s="5"/>
      <c r="GMS1" s="5"/>
      <c r="GMT1" s="5"/>
      <c r="GMU1" s="5"/>
      <c r="GMV1" s="5"/>
      <c r="GMW1" s="5"/>
      <c r="GMX1" s="5"/>
      <c r="GMY1" s="5"/>
      <c r="GMZ1" s="5"/>
      <c r="GNA1" s="5"/>
      <c r="GNB1" s="5"/>
      <c r="GNC1" s="5"/>
      <c r="GND1" s="5"/>
      <c r="GNE1" s="5"/>
      <c r="GNF1" s="5"/>
      <c r="GNG1" s="5"/>
      <c r="GNH1" s="5"/>
      <c r="GNI1" s="5"/>
      <c r="GNJ1" s="5"/>
      <c r="GNK1" s="5"/>
      <c r="GNL1" s="5"/>
      <c r="GNM1" s="5"/>
      <c r="GNN1" s="5"/>
      <c r="GNO1" s="5"/>
      <c r="GNP1" s="5"/>
      <c r="GNQ1" s="5"/>
      <c r="GNR1" s="5"/>
      <c r="GNS1" s="5"/>
      <c r="GNT1" s="5"/>
      <c r="GNU1" s="5"/>
      <c r="GNV1" s="5"/>
      <c r="GNW1" s="5"/>
      <c r="GNX1" s="5"/>
      <c r="GNY1" s="5"/>
      <c r="GNZ1" s="5"/>
      <c r="GOA1" s="5"/>
      <c r="GOB1" s="5"/>
      <c r="GOC1" s="5"/>
      <c r="GOD1" s="5"/>
      <c r="GOE1" s="5"/>
      <c r="GOF1" s="5"/>
      <c r="GOG1" s="5"/>
      <c r="GOH1" s="5"/>
      <c r="GOI1" s="5"/>
      <c r="GOJ1" s="5"/>
      <c r="GOK1" s="5"/>
      <c r="GOL1" s="5"/>
      <c r="GOM1" s="5"/>
      <c r="GON1" s="5"/>
      <c r="GOO1" s="5"/>
      <c r="GOP1" s="5"/>
      <c r="GOQ1" s="5"/>
      <c r="GOR1" s="5"/>
      <c r="GOS1" s="5"/>
      <c r="GOT1" s="5"/>
      <c r="GOU1" s="5"/>
      <c r="GOV1" s="5"/>
      <c r="GOW1" s="5"/>
      <c r="GOX1" s="5"/>
      <c r="GOY1" s="5"/>
      <c r="GOZ1" s="5"/>
      <c r="GPA1" s="5"/>
      <c r="GPB1" s="5"/>
      <c r="GPC1" s="5"/>
      <c r="GPD1" s="5"/>
      <c r="GPE1" s="5"/>
      <c r="GPF1" s="5"/>
      <c r="GPG1" s="5"/>
      <c r="GPH1" s="5"/>
      <c r="GPI1" s="5"/>
      <c r="GPJ1" s="5"/>
      <c r="GPK1" s="5"/>
      <c r="GPL1" s="5"/>
      <c r="GPM1" s="5"/>
      <c r="GPN1" s="5"/>
      <c r="GPO1" s="5"/>
      <c r="GPP1" s="5"/>
      <c r="GPQ1" s="5"/>
      <c r="GPR1" s="5"/>
      <c r="GPS1" s="5"/>
      <c r="GPT1" s="5"/>
      <c r="GPU1" s="5"/>
      <c r="GPV1" s="5"/>
      <c r="GPW1" s="5"/>
      <c r="GPX1" s="5"/>
      <c r="GPY1" s="5"/>
      <c r="GPZ1" s="5"/>
      <c r="GQA1" s="5"/>
      <c r="GQB1" s="5"/>
      <c r="GQC1" s="5"/>
      <c r="GQD1" s="5"/>
      <c r="GQE1" s="5"/>
      <c r="GQF1" s="5"/>
      <c r="GQG1" s="5"/>
      <c r="GQH1" s="5"/>
      <c r="GQI1" s="5"/>
      <c r="GQJ1" s="5"/>
      <c r="GQK1" s="5"/>
      <c r="GQL1" s="5"/>
      <c r="GQM1" s="5"/>
      <c r="GQN1" s="5"/>
      <c r="GQO1" s="5"/>
      <c r="GQP1" s="5"/>
      <c r="GQQ1" s="5"/>
      <c r="GQR1" s="5"/>
      <c r="GQS1" s="5"/>
      <c r="GQT1" s="5"/>
      <c r="GQU1" s="5"/>
      <c r="GQV1" s="5"/>
      <c r="GQW1" s="5"/>
      <c r="GQX1" s="5"/>
      <c r="GQY1" s="5"/>
      <c r="GQZ1" s="5"/>
      <c r="GRA1" s="5"/>
      <c r="GRB1" s="5"/>
      <c r="GRC1" s="5"/>
      <c r="GRD1" s="5"/>
      <c r="GRE1" s="5"/>
      <c r="GRF1" s="5"/>
      <c r="GRG1" s="5"/>
      <c r="GRH1" s="5"/>
      <c r="GRI1" s="5"/>
      <c r="GRJ1" s="5"/>
      <c r="GRK1" s="5"/>
      <c r="GRL1" s="5"/>
      <c r="GRM1" s="5"/>
      <c r="GRN1" s="5"/>
      <c r="GRO1" s="5"/>
      <c r="GRP1" s="5"/>
      <c r="GRQ1" s="5"/>
      <c r="GRR1" s="5"/>
      <c r="GRS1" s="5"/>
      <c r="GRT1" s="5"/>
      <c r="GRU1" s="5"/>
      <c r="GRV1" s="5"/>
      <c r="GRW1" s="5"/>
      <c r="GRX1" s="5"/>
      <c r="GRY1" s="5"/>
      <c r="GRZ1" s="5"/>
      <c r="GSA1" s="5"/>
      <c r="GSB1" s="5"/>
      <c r="GSC1" s="5"/>
      <c r="GSD1" s="5"/>
      <c r="GSE1" s="5"/>
      <c r="GSF1" s="5"/>
      <c r="GSG1" s="5"/>
      <c r="GSH1" s="5"/>
      <c r="GSI1" s="5"/>
      <c r="GSJ1" s="5"/>
      <c r="GSK1" s="5"/>
      <c r="GSL1" s="5"/>
      <c r="GSM1" s="5"/>
      <c r="GSN1" s="5"/>
      <c r="GSO1" s="5"/>
      <c r="GSP1" s="5"/>
      <c r="GSQ1" s="5"/>
      <c r="GSR1" s="5"/>
      <c r="GSS1" s="5"/>
      <c r="GST1" s="5"/>
      <c r="GSU1" s="5"/>
      <c r="GSV1" s="5"/>
      <c r="GSW1" s="5"/>
      <c r="GSX1" s="5"/>
      <c r="GSY1" s="5"/>
      <c r="GSZ1" s="5"/>
      <c r="GTA1" s="5"/>
      <c r="GTB1" s="5"/>
      <c r="GTC1" s="5"/>
      <c r="GTD1" s="5"/>
      <c r="GTE1" s="5"/>
      <c r="GTF1" s="5"/>
      <c r="GTG1" s="5"/>
      <c r="GTH1" s="5"/>
      <c r="GTI1" s="5"/>
      <c r="GTJ1" s="5"/>
      <c r="GTK1" s="5"/>
      <c r="GTL1" s="5"/>
      <c r="GTM1" s="5"/>
      <c r="GTN1" s="5"/>
      <c r="GTO1" s="5"/>
      <c r="GTP1" s="5"/>
      <c r="GTQ1" s="5"/>
      <c r="GTR1" s="5"/>
      <c r="GTS1" s="5"/>
      <c r="GTT1" s="5"/>
      <c r="GTU1" s="5"/>
      <c r="GTV1" s="5"/>
      <c r="GTW1" s="5"/>
      <c r="GTX1" s="5"/>
      <c r="GTY1" s="5"/>
      <c r="GTZ1" s="5"/>
      <c r="GUA1" s="5"/>
      <c r="GUB1" s="5"/>
      <c r="GUC1" s="5"/>
      <c r="GUD1" s="5"/>
      <c r="GUE1" s="5"/>
      <c r="GUF1" s="5"/>
      <c r="GUG1" s="5"/>
      <c r="GUH1" s="5"/>
      <c r="GUI1" s="5"/>
      <c r="GUJ1" s="5"/>
      <c r="GUK1" s="5"/>
      <c r="GUL1" s="5"/>
      <c r="GUM1" s="5"/>
      <c r="GUN1" s="5"/>
      <c r="GUO1" s="5"/>
      <c r="GUP1" s="5"/>
      <c r="GUQ1" s="5"/>
      <c r="GUR1" s="5"/>
      <c r="GUS1" s="5"/>
      <c r="GUT1" s="5"/>
      <c r="GUU1" s="5"/>
      <c r="GUV1" s="5"/>
      <c r="GUW1" s="5"/>
      <c r="GUX1" s="5"/>
      <c r="GUY1" s="5"/>
      <c r="GUZ1" s="5"/>
      <c r="GVA1" s="5"/>
      <c r="GVB1" s="5"/>
      <c r="GVC1" s="5"/>
      <c r="GVD1" s="5"/>
      <c r="GVE1" s="5"/>
      <c r="GVF1" s="5"/>
      <c r="GVG1" s="5"/>
      <c r="GVH1" s="5"/>
      <c r="GVI1" s="5"/>
      <c r="GVJ1" s="5"/>
      <c r="GVK1" s="5"/>
      <c r="GVL1" s="5"/>
      <c r="GVM1" s="5"/>
      <c r="GVN1" s="5"/>
      <c r="GVO1" s="5"/>
      <c r="GVP1" s="5"/>
      <c r="GVQ1" s="5"/>
      <c r="GVR1" s="5"/>
      <c r="GVS1" s="5"/>
      <c r="GVT1" s="5"/>
      <c r="GVU1" s="5"/>
      <c r="GVV1" s="5"/>
      <c r="GVW1" s="5"/>
      <c r="GVX1" s="5"/>
      <c r="GVY1" s="5"/>
      <c r="GVZ1" s="5"/>
      <c r="GWA1" s="5"/>
      <c r="GWB1" s="5"/>
      <c r="GWC1" s="5"/>
      <c r="GWD1" s="5"/>
      <c r="GWE1" s="5"/>
      <c r="GWF1" s="5"/>
      <c r="GWG1" s="5"/>
      <c r="GWH1" s="5"/>
      <c r="GWI1" s="5"/>
      <c r="GWJ1" s="5"/>
      <c r="GWK1" s="5"/>
      <c r="GWL1" s="5"/>
      <c r="GWM1" s="5"/>
      <c r="GWN1" s="5"/>
      <c r="GWO1" s="5"/>
      <c r="GWP1" s="5"/>
      <c r="GWQ1" s="5"/>
      <c r="GWR1" s="5"/>
      <c r="GWS1" s="5"/>
      <c r="GWT1" s="5"/>
      <c r="GWU1" s="5"/>
      <c r="GWV1" s="5"/>
      <c r="GWW1" s="5"/>
      <c r="GWX1" s="5"/>
      <c r="GWY1" s="5"/>
      <c r="GWZ1" s="5"/>
      <c r="GXA1" s="5"/>
      <c r="GXB1" s="5"/>
      <c r="GXC1" s="5"/>
      <c r="GXD1" s="5"/>
      <c r="GXE1" s="5"/>
      <c r="GXF1" s="5"/>
      <c r="GXG1" s="5"/>
      <c r="GXH1" s="5"/>
      <c r="GXI1" s="5"/>
      <c r="GXJ1" s="5"/>
      <c r="GXK1" s="5"/>
      <c r="GXL1" s="5"/>
      <c r="GXM1" s="5"/>
      <c r="GXN1" s="5"/>
      <c r="GXO1" s="5"/>
      <c r="GXP1" s="5"/>
      <c r="GXQ1" s="5"/>
      <c r="GXR1" s="5"/>
      <c r="GXS1" s="5"/>
      <c r="GXT1" s="5"/>
      <c r="GXU1" s="5"/>
      <c r="GXV1" s="5"/>
      <c r="GXW1" s="5"/>
      <c r="GXX1" s="5"/>
      <c r="GXY1" s="5"/>
      <c r="GXZ1" s="5"/>
      <c r="GYA1" s="5"/>
      <c r="GYB1" s="5"/>
      <c r="GYC1" s="5"/>
      <c r="GYD1" s="5"/>
      <c r="GYE1" s="5"/>
      <c r="GYF1" s="5"/>
      <c r="GYG1" s="5"/>
      <c r="GYH1" s="5"/>
      <c r="GYI1" s="5"/>
      <c r="GYJ1" s="5"/>
      <c r="GYK1" s="5"/>
      <c r="GYL1" s="5"/>
      <c r="GYM1" s="5"/>
      <c r="GYN1" s="5"/>
      <c r="GYO1" s="5"/>
      <c r="GYP1" s="5"/>
      <c r="GYQ1" s="5"/>
      <c r="GYR1" s="5"/>
      <c r="GYS1" s="5"/>
      <c r="GYT1" s="5"/>
      <c r="GYU1" s="5"/>
      <c r="GYV1" s="5"/>
      <c r="GYW1" s="5"/>
      <c r="GYX1" s="5"/>
      <c r="GYY1" s="5"/>
      <c r="GYZ1" s="5"/>
      <c r="GZA1" s="5"/>
      <c r="GZB1" s="5"/>
      <c r="GZC1" s="5"/>
      <c r="GZD1" s="5"/>
      <c r="GZE1" s="5"/>
      <c r="GZF1" s="5"/>
      <c r="GZG1" s="5"/>
      <c r="GZH1" s="5"/>
      <c r="GZI1" s="5"/>
      <c r="GZJ1" s="5"/>
      <c r="GZK1" s="5"/>
      <c r="GZL1" s="5"/>
      <c r="GZM1" s="5"/>
      <c r="GZN1" s="5"/>
      <c r="GZO1" s="5"/>
      <c r="GZP1" s="5"/>
      <c r="GZQ1" s="5"/>
      <c r="GZR1" s="5"/>
      <c r="GZS1" s="5"/>
      <c r="GZT1" s="5"/>
      <c r="GZU1" s="5"/>
      <c r="GZV1" s="5"/>
      <c r="GZW1" s="5"/>
      <c r="GZX1" s="5"/>
      <c r="GZY1" s="5"/>
      <c r="GZZ1" s="5"/>
      <c r="HAA1" s="5"/>
      <c r="HAB1" s="5"/>
      <c r="HAC1" s="5"/>
      <c r="HAD1" s="5"/>
      <c r="HAE1" s="5"/>
      <c r="HAF1" s="5"/>
      <c r="HAG1" s="5"/>
      <c r="HAH1" s="5"/>
      <c r="HAI1" s="5"/>
      <c r="HAJ1" s="5"/>
      <c r="HAK1" s="5"/>
      <c r="HAL1" s="5"/>
      <c r="HAM1" s="5"/>
      <c r="HAN1" s="5"/>
      <c r="HAO1" s="5"/>
      <c r="HAP1" s="5"/>
      <c r="HAQ1" s="5"/>
      <c r="HAR1" s="5"/>
      <c r="HAS1" s="5"/>
      <c r="HAT1" s="5"/>
      <c r="HAU1" s="5"/>
      <c r="HAV1" s="5"/>
      <c r="HAW1" s="5"/>
      <c r="HAX1" s="5"/>
      <c r="HAY1" s="5"/>
      <c r="HAZ1" s="5"/>
      <c r="HBA1" s="5"/>
      <c r="HBB1" s="5"/>
      <c r="HBC1" s="5"/>
      <c r="HBD1" s="5"/>
      <c r="HBE1" s="5"/>
      <c r="HBF1" s="5"/>
      <c r="HBG1" s="5"/>
      <c r="HBH1" s="5"/>
      <c r="HBI1" s="5"/>
      <c r="HBJ1" s="5"/>
      <c r="HBK1" s="5"/>
      <c r="HBL1" s="5"/>
      <c r="HBM1" s="5"/>
      <c r="HBN1" s="5"/>
      <c r="HBO1" s="5"/>
      <c r="HBP1" s="5"/>
      <c r="HBQ1" s="5"/>
      <c r="HBR1" s="5"/>
      <c r="HBS1" s="5"/>
      <c r="HBT1" s="5"/>
      <c r="HBU1" s="5"/>
      <c r="HBV1" s="5"/>
      <c r="HBW1" s="5"/>
      <c r="HBX1" s="5"/>
      <c r="HBY1" s="5"/>
      <c r="HBZ1" s="5"/>
      <c r="HCA1" s="5"/>
      <c r="HCB1" s="5"/>
      <c r="HCC1" s="5"/>
      <c r="HCD1" s="5"/>
      <c r="HCE1" s="5"/>
      <c r="HCF1" s="5"/>
      <c r="HCG1" s="5"/>
      <c r="HCH1" s="5"/>
      <c r="HCI1" s="5"/>
      <c r="HCJ1" s="5"/>
      <c r="HCK1" s="5"/>
      <c r="HCL1" s="5"/>
      <c r="HCM1" s="5"/>
      <c r="HCN1" s="5"/>
      <c r="HCO1" s="5"/>
      <c r="HCP1" s="5"/>
      <c r="HCQ1" s="5"/>
      <c r="HCR1" s="5"/>
      <c r="HCS1" s="5"/>
      <c r="HCT1" s="5"/>
      <c r="HCU1" s="5"/>
      <c r="HCV1" s="5"/>
      <c r="HCW1" s="5"/>
      <c r="HCX1" s="5"/>
      <c r="HCY1" s="5"/>
      <c r="HCZ1" s="5"/>
      <c r="HDA1" s="5"/>
      <c r="HDB1" s="5"/>
      <c r="HDC1" s="5"/>
      <c r="HDD1" s="5"/>
      <c r="HDE1" s="5"/>
      <c r="HDF1" s="5"/>
      <c r="HDG1" s="5"/>
      <c r="HDH1" s="5"/>
      <c r="HDI1" s="5"/>
      <c r="HDJ1" s="5"/>
      <c r="HDK1" s="5"/>
      <c r="HDL1" s="5"/>
      <c r="HDM1" s="5"/>
      <c r="HDN1" s="5"/>
      <c r="HDO1" s="5"/>
      <c r="HDP1" s="5"/>
      <c r="HDQ1" s="5"/>
      <c r="HDR1" s="5"/>
      <c r="HDS1" s="5"/>
      <c r="HDT1" s="5"/>
      <c r="HDU1" s="5"/>
      <c r="HDV1" s="5"/>
      <c r="HDW1" s="5"/>
      <c r="HDX1" s="5"/>
      <c r="HDY1" s="5"/>
      <c r="HDZ1" s="5"/>
      <c r="HEA1" s="5"/>
      <c r="HEB1" s="5"/>
      <c r="HEC1" s="5"/>
      <c r="HED1" s="5"/>
      <c r="HEE1" s="5"/>
      <c r="HEF1" s="5"/>
      <c r="HEG1" s="5"/>
      <c r="HEH1" s="5"/>
      <c r="HEI1" s="5"/>
      <c r="HEJ1" s="5"/>
      <c r="HEK1" s="5"/>
      <c r="HEL1" s="5"/>
      <c r="HEM1" s="5"/>
      <c r="HEN1" s="5"/>
      <c r="HEO1" s="5"/>
      <c r="HEP1" s="5"/>
      <c r="HEQ1" s="5"/>
      <c r="HER1" s="5"/>
      <c r="HES1" s="5"/>
      <c r="HET1" s="5"/>
      <c r="HEU1" s="5"/>
      <c r="HEV1" s="5"/>
      <c r="HEW1" s="5"/>
      <c r="HEX1" s="5"/>
      <c r="HEY1" s="5"/>
      <c r="HEZ1" s="5"/>
      <c r="HFA1" s="5"/>
      <c r="HFB1" s="5"/>
      <c r="HFC1" s="5"/>
      <c r="HFD1" s="5"/>
      <c r="HFE1" s="5"/>
      <c r="HFF1" s="5"/>
      <c r="HFG1" s="5"/>
      <c r="HFH1" s="5"/>
      <c r="HFI1" s="5"/>
      <c r="HFJ1" s="5"/>
      <c r="HFK1" s="5"/>
      <c r="HFL1" s="5"/>
      <c r="HFM1" s="5"/>
      <c r="HFN1" s="5"/>
      <c r="HFO1" s="5"/>
      <c r="HFP1" s="5"/>
      <c r="HFQ1" s="5"/>
      <c r="HFR1" s="5"/>
      <c r="HFS1" s="5"/>
      <c r="HFT1" s="5"/>
      <c r="HFU1" s="5"/>
      <c r="HFV1" s="5"/>
      <c r="HFW1" s="5"/>
      <c r="HFX1" s="5"/>
      <c r="HFY1" s="5"/>
      <c r="HFZ1" s="5"/>
      <c r="HGA1" s="5"/>
      <c r="HGB1" s="5"/>
      <c r="HGC1" s="5"/>
      <c r="HGD1" s="5"/>
      <c r="HGE1" s="5"/>
      <c r="HGF1" s="5"/>
      <c r="HGG1" s="5"/>
      <c r="HGH1" s="5"/>
      <c r="HGI1" s="5"/>
      <c r="HGJ1" s="5"/>
      <c r="HGK1" s="5"/>
      <c r="HGL1" s="5"/>
      <c r="HGM1" s="5"/>
      <c r="HGN1" s="5"/>
      <c r="HGO1" s="5"/>
      <c r="HGP1" s="5"/>
      <c r="HGQ1" s="5"/>
      <c r="HGR1" s="5"/>
      <c r="HGS1" s="5"/>
      <c r="HGT1" s="5"/>
      <c r="HGU1" s="5"/>
      <c r="HGV1" s="5"/>
      <c r="HGW1" s="5"/>
      <c r="HGX1" s="5"/>
      <c r="HGY1" s="5"/>
      <c r="HGZ1" s="5"/>
      <c r="HHA1" s="5"/>
      <c r="HHB1" s="5"/>
      <c r="HHC1" s="5"/>
      <c r="HHD1" s="5"/>
      <c r="HHE1" s="5"/>
      <c r="HHF1" s="5"/>
      <c r="HHG1" s="5"/>
      <c r="HHH1" s="5"/>
      <c r="HHI1" s="5"/>
      <c r="HHJ1" s="5"/>
      <c r="HHK1" s="5"/>
      <c r="HHL1" s="5"/>
      <c r="HHM1" s="5"/>
      <c r="HHN1" s="5"/>
      <c r="HHO1" s="5"/>
      <c r="HHP1" s="5"/>
      <c r="HHQ1" s="5"/>
      <c r="HHR1" s="5"/>
      <c r="HHS1" s="5"/>
      <c r="HHT1" s="5"/>
      <c r="HHU1" s="5"/>
      <c r="HHV1" s="5"/>
      <c r="HHW1" s="5"/>
      <c r="HHX1" s="5"/>
      <c r="HHY1" s="5"/>
      <c r="HHZ1" s="5"/>
      <c r="HIA1" s="5"/>
      <c r="HIB1" s="5"/>
      <c r="HIC1" s="5"/>
      <c r="HID1" s="5"/>
      <c r="HIE1" s="5"/>
      <c r="HIF1" s="5"/>
      <c r="HIG1" s="5"/>
      <c r="HIH1" s="5"/>
      <c r="HII1" s="5"/>
      <c r="HIJ1" s="5"/>
      <c r="HIK1" s="5"/>
      <c r="HIL1" s="5"/>
      <c r="HIM1" s="5"/>
      <c r="HIN1" s="5"/>
      <c r="HIO1" s="5"/>
      <c r="HIP1" s="5"/>
      <c r="HIQ1" s="5"/>
      <c r="HIR1" s="5"/>
      <c r="HIS1" s="5"/>
      <c r="HIT1" s="5"/>
      <c r="HIU1" s="5"/>
      <c r="HIV1" s="5"/>
      <c r="HIW1" s="5"/>
      <c r="HIX1" s="5"/>
      <c r="HIY1" s="5"/>
      <c r="HIZ1" s="5"/>
      <c r="HJA1" s="5"/>
      <c r="HJB1" s="5"/>
      <c r="HJC1" s="5"/>
      <c r="HJD1" s="5"/>
      <c r="HJE1" s="5"/>
      <c r="HJF1" s="5"/>
      <c r="HJG1" s="5"/>
      <c r="HJH1" s="5"/>
      <c r="HJI1" s="5"/>
      <c r="HJJ1" s="5"/>
      <c r="HJK1" s="5"/>
      <c r="HJL1" s="5"/>
      <c r="HJM1" s="5"/>
      <c r="HJN1" s="5"/>
      <c r="HJO1" s="5"/>
      <c r="HJP1" s="5"/>
      <c r="HJQ1" s="5"/>
      <c r="HJR1" s="5"/>
      <c r="HJS1" s="5"/>
      <c r="HJT1" s="5"/>
      <c r="HJU1" s="5"/>
      <c r="HJV1" s="5"/>
      <c r="HJW1" s="5"/>
      <c r="HJX1" s="5"/>
      <c r="HJY1" s="5"/>
      <c r="HJZ1" s="5"/>
      <c r="HKA1" s="5"/>
      <c r="HKB1" s="5"/>
      <c r="HKC1" s="5"/>
      <c r="HKD1" s="5"/>
      <c r="HKE1" s="5"/>
      <c r="HKF1" s="5"/>
      <c r="HKG1" s="5"/>
      <c r="HKH1" s="5"/>
      <c r="HKI1" s="5"/>
      <c r="HKJ1" s="5"/>
      <c r="HKK1" s="5"/>
      <c r="HKL1" s="5"/>
      <c r="HKM1" s="5"/>
      <c r="HKN1" s="5"/>
      <c r="HKO1" s="5"/>
      <c r="HKP1" s="5"/>
      <c r="HKQ1" s="5"/>
      <c r="HKR1" s="5"/>
      <c r="HKS1" s="5"/>
      <c r="HKT1" s="5"/>
      <c r="HKU1" s="5"/>
      <c r="HKV1" s="5"/>
      <c r="HKW1" s="5"/>
      <c r="HKX1" s="5"/>
      <c r="HKY1" s="5"/>
      <c r="HKZ1" s="5"/>
      <c r="HLA1" s="5"/>
      <c r="HLB1" s="5"/>
      <c r="HLC1" s="5"/>
      <c r="HLD1" s="5"/>
      <c r="HLE1" s="5"/>
      <c r="HLF1" s="5"/>
      <c r="HLG1" s="5"/>
      <c r="HLH1" s="5"/>
      <c r="HLI1" s="5"/>
      <c r="HLJ1" s="5"/>
      <c r="HLK1" s="5"/>
      <c r="HLL1" s="5"/>
      <c r="HLM1" s="5"/>
      <c r="HLN1" s="5"/>
      <c r="HLO1" s="5"/>
      <c r="HLP1" s="5"/>
      <c r="HLQ1" s="5"/>
      <c r="HLR1" s="5"/>
      <c r="HLS1" s="5"/>
      <c r="HLT1" s="5"/>
      <c r="HLU1" s="5"/>
      <c r="HLV1" s="5"/>
      <c r="HLW1" s="5"/>
      <c r="HLX1" s="5"/>
      <c r="HLY1" s="5"/>
      <c r="HLZ1" s="5"/>
      <c r="HMA1" s="5"/>
      <c r="HMB1" s="5"/>
      <c r="HMC1" s="5"/>
      <c r="HMD1" s="5"/>
      <c r="HME1" s="5"/>
      <c r="HMF1" s="5"/>
      <c r="HMG1" s="5"/>
      <c r="HMH1" s="5"/>
      <c r="HMI1" s="5"/>
      <c r="HMJ1" s="5"/>
      <c r="HMK1" s="5"/>
      <c r="HML1" s="5"/>
      <c r="HMM1" s="5"/>
      <c r="HMN1" s="5"/>
      <c r="HMO1" s="5"/>
      <c r="HMP1" s="5"/>
      <c r="HMQ1" s="5"/>
      <c r="HMR1" s="5"/>
      <c r="HMS1" s="5"/>
      <c r="HMT1" s="5"/>
      <c r="HMU1" s="5"/>
      <c r="HMV1" s="5"/>
      <c r="HMW1" s="5"/>
      <c r="HMX1" s="5"/>
      <c r="HMY1" s="5"/>
      <c r="HMZ1" s="5"/>
      <c r="HNA1" s="5"/>
      <c r="HNB1" s="5"/>
      <c r="HNC1" s="5"/>
      <c r="HND1" s="5"/>
      <c r="HNE1" s="5"/>
      <c r="HNF1" s="5"/>
      <c r="HNG1" s="5"/>
      <c r="HNH1" s="5"/>
      <c r="HNI1" s="5"/>
      <c r="HNJ1" s="5"/>
      <c r="HNK1" s="5"/>
      <c r="HNL1" s="5"/>
      <c r="HNM1" s="5"/>
      <c r="HNN1" s="5"/>
      <c r="HNO1" s="5"/>
      <c r="HNP1" s="5"/>
      <c r="HNQ1" s="5"/>
      <c r="HNR1" s="5"/>
      <c r="HNS1" s="5"/>
      <c r="HNT1" s="5"/>
      <c r="HNU1" s="5"/>
      <c r="HNV1" s="5"/>
      <c r="HNW1" s="5"/>
      <c r="HNX1" s="5"/>
      <c r="HNY1" s="5"/>
      <c r="HNZ1" s="5"/>
      <c r="HOA1" s="5"/>
      <c r="HOB1" s="5"/>
      <c r="HOC1" s="5"/>
      <c r="HOD1" s="5"/>
      <c r="HOE1" s="5"/>
      <c r="HOF1" s="5"/>
      <c r="HOG1" s="5"/>
      <c r="HOH1" s="5"/>
      <c r="HOI1" s="5"/>
      <c r="HOJ1" s="5"/>
      <c r="HOK1" s="5"/>
      <c r="HOL1" s="5"/>
      <c r="HOM1" s="5"/>
      <c r="HON1" s="5"/>
      <c r="HOO1" s="5"/>
      <c r="HOP1" s="5"/>
      <c r="HOQ1" s="5"/>
      <c r="HOR1" s="5"/>
      <c r="HOS1" s="5"/>
      <c r="HOT1" s="5"/>
      <c r="HOU1" s="5"/>
      <c r="HOV1" s="5"/>
      <c r="HOW1" s="5"/>
      <c r="HOX1" s="5"/>
      <c r="HOY1" s="5"/>
      <c r="HOZ1" s="5"/>
      <c r="HPA1" s="5"/>
      <c r="HPB1" s="5"/>
      <c r="HPC1" s="5"/>
      <c r="HPD1" s="5"/>
      <c r="HPE1" s="5"/>
      <c r="HPF1" s="5"/>
      <c r="HPG1" s="5"/>
      <c r="HPH1" s="5"/>
      <c r="HPI1" s="5"/>
      <c r="HPJ1" s="5"/>
      <c r="HPK1" s="5"/>
      <c r="HPL1" s="5"/>
      <c r="HPM1" s="5"/>
      <c r="HPN1" s="5"/>
      <c r="HPO1" s="5"/>
      <c r="HPP1" s="5"/>
      <c r="HPQ1" s="5"/>
      <c r="HPR1" s="5"/>
      <c r="HPS1" s="5"/>
      <c r="HPT1" s="5"/>
      <c r="HPU1" s="5"/>
      <c r="HPV1" s="5"/>
      <c r="HPW1" s="5"/>
      <c r="HPX1" s="5"/>
      <c r="HPY1" s="5"/>
      <c r="HPZ1" s="5"/>
      <c r="HQA1" s="5"/>
      <c r="HQB1" s="5"/>
      <c r="HQC1" s="5"/>
      <c r="HQD1" s="5"/>
      <c r="HQE1" s="5"/>
      <c r="HQF1" s="5"/>
      <c r="HQG1" s="5"/>
      <c r="HQH1" s="5"/>
      <c r="HQI1" s="5"/>
      <c r="HQJ1" s="5"/>
      <c r="HQK1" s="5"/>
      <c r="HQL1" s="5"/>
      <c r="HQM1" s="5"/>
      <c r="HQN1" s="5"/>
      <c r="HQO1" s="5"/>
      <c r="HQP1" s="5"/>
      <c r="HQQ1" s="5"/>
      <c r="HQR1" s="5"/>
      <c r="HQS1" s="5"/>
      <c r="HQT1" s="5"/>
      <c r="HQU1" s="5"/>
      <c r="HQV1" s="5"/>
      <c r="HQW1" s="5"/>
      <c r="HQX1" s="5"/>
      <c r="HQY1" s="5"/>
      <c r="HQZ1" s="5"/>
      <c r="HRA1" s="5"/>
      <c r="HRB1" s="5"/>
      <c r="HRC1" s="5"/>
      <c r="HRD1" s="5"/>
      <c r="HRE1" s="5"/>
      <c r="HRF1" s="5"/>
      <c r="HRG1" s="5"/>
      <c r="HRH1" s="5"/>
      <c r="HRI1" s="5"/>
      <c r="HRJ1" s="5"/>
      <c r="HRK1" s="5"/>
      <c r="HRL1" s="5"/>
      <c r="HRM1" s="5"/>
      <c r="HRN1" s="5"/>
      <c r="HRO1" s="5"/>
      <c r="HRP1" s="5"/>
      <c r="HRQ1" s="5"/>
      <c r="HRR1" s="5"/>
      <c r="HRS1" s="5"/>
      <c r="HRT1" s="5"/>
      <c r="HRU1" s="5"/>
      <c r="HRV1" s="5"/>
      <c r="HRW1" s="5"/>
      <c r="HRX1" s="5"/>
      <c r="HRY1" s="5"/>
      <c r="HRZ1" s="5"/>
      <c r="HSA1" s="5"/>
      <c r="HSB1" s="5"/>
      <c r="HSC1" s="5"/>
      <c r="HSD1" s="5"/>
      <c r="HSE1" s="5"/>
      <c r="HSF1" s="5"/>
      <c r="HSG1" s="5"/>
      <c r="HSH1" s="5"/>
      <c r="HSI1" s="5"/>
      <c r="HSJ1" s="5"/>
      <c r="HSK1" s="5"/>
      <c r="HSL1" s="5"/>
      <c r="HSM1" s="5"/>
      <c r="HSN1" s="5"/>
      <c r="HSO1" s="5"/>
      <c r="HSP1" s="5"/>
      <c r="HSQ1" s="5"/>
      <c r="HSR1" s="5"/>
      <c r="HSS1" s="5"/>
      <c r="HST1" s="5"/>
      <c r="HSU1" s="5"/>
      <c r="HSV1" s="5"/>
      <c r="HSW1" s="5"/>
      <c r="HSX1" s="5"/>
      <c r="HSY1" s="5"/>
      <c r="HSZ1" s="5"/>
      <c r="HTA1" s="5"/>
      <c r="HTB1" s="5"/>
      <c r="HTC1" s="5"/>
      <c r="HTD1" s="5"/>
      <c r="HTE1" s="5"/>
      <c r="HTF1" s="5"/>
      <c r="HTG1" s="5"/>
      <c r="HTH1" s="5"/>
      <c r="HTI1" s="5"/>
      <c r="HTJ1" s="5"/>
      <c r="HTK1" s="5"/>
      <c r="HTL1" s="5"/>
      <c r="HTM1" s="5"/>
      <c r="HTN1" s="5"/>
      <c r="HTO1" s="5"/>
      <c r="HTP1" s="5"/>
      <c r="HTQ1" s="5"/>
      <c r="HTR1" s="5"/>
      <c r="HTS1" s="5"/>
      <c r="HTT1" s="5"/>
      <c r="HTU1" s="5"/>
      <c r="HTV1" s="5"/>
      <c r="HTW1" s="5"/>
      <c r="HTX1" s="5"/>
      <c r="HTY1" s="5"/>
      <c r="HTZ1" s="5"/>
      <c r="HUA1" s="5"/>
      <c r="HUB1" s="5"/>
      <c r="HUC1" s="5"/>
      <c r="HUD1" s="5"/>
      <c r="HUE1" s="5"/>
      <c r="HUF1" s="5"/>
      <c r="HUG1" s="5"/>
      <c r="HUH1" s="5"/>
      <c r="HUI1" s="5"/>
      <c r="HUJ1" s="5"/>
      <c r="HUK1" s="5"/>
      <c r="HUL1" s="5"/>
      <c r="HUM1" s="5"/>
      <c r="HUN1" s="5"/>
      <c r="HUO1" s="5"/>
      <c r="HUP1" s="5"/>
      <c r="HUQ1" s="5"/>
      <c r="HUR1" s="5"/>
      <c r="HUS1" s="5"/>
      <c r="HUT1" s="5"/>
      <c r="HUU1" s="5"/>
      <c r="HUV1" s="5"/>
      <c r="HUW1" s="5"/>
      <c r="HUX1" s="5"/>
      <c r="HUY1" s="5"/>
      <c r="HUZ1" s="5"/>
      <c r="HVA1" s="5"/>
      <c r="HVB1" s="5"/>
      <c r="HVC1" s="5"/>
      <c r="HVD1" s="5"/>
      <c r="HVE1" s="5"/>
      <c r="HVF1" s="5"/>
      <c r="HVG1" s="5"/>
      <c r="HVH1" s="5"/>
      <c r="HVI1" s="5"/>
      <c r="HVJ1" s="5"/>
      <c r="HVK1" s="5"/>
      <c r="HVL1" s="5"/>
      <c r="HVM1" s="5"/>
      <c r="HVN1" s="5"/>
      <c r="HVO1" s="5"/>
      <c r="HVP1" s="5"/>
      <c r="HVQ1" s="5"/>
      <c r="HVR1" s="5"/>
      <c r="HVS1" s="5"/>
      <c r="HVT1" s="5"/>
      <c r="HVU1" s="5"/>
      <c r="HVV1" s="5"/>
      <c r="HVW1" s="5"/>
      <c r="HVX1" s="5"/>
      <c r="HVY1" s="5"/>
      <c r="HVZ1" s="5"/>
      <c r="HWA1" s="5"/>
      <c r="HWB1" s="5"/>
      <c r="HWC1" s="5"/>
      <c r="HWD1" s="5"/>
      <c r="HWE1" s="5"/>
      <c r="HWF1" s="5"/>
      <c r="HWG1" s="5"/>
      <c r="HWH1" s="5"/>
      <c r="HWI1" s="5"/>
      <c r="HWJ1" s="5"/>
      <c r="HWK1" s="5"/>
      <c r="HWL1" s="5"/>
      <c r="HWM1" s="5"/>
      <c r="HWN1" s="5"/>
      <c r="HWO1" s="5"/>
      <c r="HWP1" s="5"/>
      <c r="HWQ1" s="5"/>
      <c r="HWR1" s="5"/>
      <c r="HWS1" s="5"/>
      <c r="HWT1" s="5"/>
      <c r="HWU1" s="5"/>
      <c r="HWV1" s="5"/>
      <c r="HWW1" s="5"/>
      <c r="HWX1" s="5"/>
      <c r="HWY1" s="5"/>
      <c r="HWZ1" s="5"/>
      <c r="HXA1" s="5"/>
      <c r="HXB1" s="5"/>
      <c r="HXC1" s="5"/>
      <c r="HXD1" s="5"/>
      <c r="HXE1" s="5"/>
      <c r="HXF1" s="5"/>
      <c r="HXG1" s="5"/>
      <c r="HXH1" s="5"/>
      <c r="HXI1" s="5"/>
      <c r="HXJ1" s="5"/>
      <c r="HXK1" s="5"/>
      <c r="HXL1" s="5"/>
      <c r="HXM1" s="5"/>
      <c r="HXN1" s="5"/>
      <c r="HXO1" s="5"/>
      <c r="HXP1" s="5"/>
      <c r="HXQ1" s="5"/>
      <c r="HXR1" s="5"/>
      <c r="HXS1" s="5"/>
      <c r="HXT1" s="5"/>
      <c r="HXU1" s="5"/>
      <c r="HXV1" s="5"/>
      <c r="HXW1" s="5"/>
      <c r="HXX1" s="5"/>
      <c r="HXY1" s="5"/>
      <c r="HXZ1" s="5"/>
      <c r="HYA1" s="5"/>
      <c r="HYB1" s="5"/>
      <c r="HYC1" s="5"/>
      <c r="HYD1" s="5"/>
      <c r="HYE1" s="5"/>
      <c r="HYF1" s="5"/>
      <c r="HYG1" s="5"/>
      <c r="HYH1" s="5"/>
      <c r="HYI1" s="5"/>
      <c r="HYJ1" s="5"/>
      <c r="HYK1" s="5"/>
      <c r="HYL1" s="5"/>
      <c r="HYM1" s="5"/>
      <c r="HYN1" s="5"/>
      <c r="HYO1" s="5"/>
      <c r="HYP1" s="5"/>
      <c r="HYQ1" s="5"/>
      <c r="HYR1" s="5"/>
      <c r="HYS1" s="5"/>
      <c r="HYT1" s="5"/>
      <c r="HYU1" s="5"/>
      <c r="HYV1" s="5"/>
      <c r="HYW1" s="5"/>
      <c r="HYX1" s="5"/>
      <c r="HYY1" s="5"/>
      <c r="HYZ1" s="5"/>
      <c r="HZA1" s="5"/>
      <c r="HZB1" s="5"/>
      <c r="HZC1" s="5"/>
      <c r="HZD1" s="5"/>
      <c r="HZE1" s="5"/>
      <c r="HZF1" s="5"/>
      <c r="HZG1" s="5"/>
      <c r="HZH1" s="5"/>
      <c r="HZI1" s="5"/>
      <c r="HZJ1" s="5"/>
      <c r="HZK1" s="5"/>
      <c r="HZL1" s="5"/>
      <c r="HZM1" s="5"/>
      <c r="HZN1" s="5"/>
      <c r="HZO1" s="5"/>
      <c r="HZP1" s="5"/>
      <c r="HZQ1" s="5"/>
      <c r="HZR1" s="5"/>
      <c r="HZS1" s="5"/>
      <c r="HZT1" s="5"/>
      <c r="HZU1" s="5"/>
      <c r="HZV1" s="5"/>
      <c r="HZW1" s="5"/>
      <c r="HZX1" s="5"/>
      <c r="HZY1" s="5"/>
      <c r="HZZ1" s="5"/>
      <c r="IAA1" s="5"/>
      <c r="IAB1" s="5"/>
      <c r="IAC1" s="5"/>
      <c r="IAD1" s="5"/>
      <c r="IAE1" s="5"/>
      <c r="IAF1" s="5"/>
      <c r="IAG1" s="5"/>
      <c r="IAH1" s="5"/>
      <c r="IAI1" s="5"/>
      <c r="IAJ1" s="5"/>
      <c r="IAK1" s="5"/>
      <c r="IAL1" s="5"/>
      <c r="IAM1" s="5"/>
      <c r="IAN1" s="5"/>
      <c r="IAO1" s="5"/>
      <c r="IAP1" s="5"/>
      <c r="IAQ1" s="5"/>
      <c r="IAR1" s="5"/>
      <c r="IAS1" s="5"/>
      <c r="IAT1" s="5"/>
      <c r="IAU1" s="5"/>
      <c r="IAV1" s="5"/>
      <c r="IAW1" s="5"/>
      <c r="IAX1" s="5"/>
      <c r="IAY1" s="5"/>
      <c r="IAZ1" s="5"/>
      <c r="IBA1" s="5"/>
      <c r="IBB1" s="5"/>
      <c r="IBC1" s="5"/>
      <c r="IBD1" s="5"/>
      <c r="IBE1" s="5"/>
      <c r="IBF1" s="5"/>
      <c r="IBG1" s="5"/>
      <c r="IBH1" s="5"/>
      <c r="IBI1" s="5"/>
      <c r="IBJ1" s="5"/>
      <c r="IBK1" s="5"/>
      <c r="IBL1" s="5"/>
      <c r="IBM1" s="5"/>
      <c r="IBN1" s="5"/>
      <c r="IBO1" s="5"/>
      <c r="IBP1" s="5"/>
      <c r="IBQ1" s="5"/>
      <c r="IBR1" s="5"/>
      <c r="IBS1" s="5"/>
      <c r="IBT1" s="5"/>
      <c r="IBU1" s="5"/>
      <c r="IBV1" s="5"/>
      <c r="IBW1" s="5"/>
      <c r="IBX1" s="5"/>
      <c r="IBY1" s="5"/>
      <c r="IBZ1" s="5"/>
      <c r="ICA1" s="5"/>
      <c r="ICB1" s="5"/>
      <c r="ICC1" s="5"/>
      <c r="ICD1" s="5"/>
      <c r="ICE1" s="5"/>
      <c r="ICF1" s="5"/>
      <c r="ICG1" s="5"/>
      <c r="ICH1" s="5"/>
      <c r="ICI1" s="5"/>
      <c r="ICJ1" s="5"/>
      <c r="ICK1" s="5"/>
      <c r="ICL1" s="5"/>
      <c r="ICM1" s="5"/>
      <c r="ICN1" s="5"/>
      <c r="ICO1" s="5"/>
      <c r="ICP1" s="5"/>
      <c r="ICQ1" s="5"/>
      <c r="ICR1" s="5"/>
      <c r="ICS1" s="5"/>
      <c r="ICT1" s="5"/>
      <c r="ICU1" s="5"/>
      <c r="ICV1" s="5"/>
      <c r="ICW1" s="5"/>
      <c r="ICX1" s="5"/>
      <c r="ICY1" s="5"/>
      <c r="ICZ1" s="5"/>
      <c r="IDA1" s="5"/>
      <c r="IDB1" s="5"/>
      <c r="IDC1" s="5"/>
      <c r="IDD1" s="5"/>
      <c r="IDE1" s="5"/>
      <c r="IDF1" s="5"/>
      <c r="IDG1" s="5"/>
      <c r="IDH1" s="5"/>
      <c r="IDI1" s="5"/>
      <c r="IDJ1" s="5"/>
      <c r="IDK1" s="5"/>
      <c r="IDL1" s="5"/>
      <c r="IDM1" s="5"/>
      <c r="IDN1" s="5"/>
      <c r="IDO1" s="5"/>
      <c r="IDP1" s="5"/>
      <c r="IDQ1" s="5"/>
      <c r="IDR1" s="5"/>
      <c r="IDS1" s="5"/>
      <c r="IDT1" s="5"/>
      <c r="IDU1" s="5"/>
      <c r="IDV1" s="5"/>
      <c r="IDW1" s="5"/>
      <c r="IDX1" s="5"/>
      <c r="IDY1" s="5"/>
      <c r="IDZ1" s="5"/>
      <c r="IEA1" s="5"/>
      <c r="IEB1" s="5"/>
      <c r="IEC1" s="5"/>
      <c r="IED1" s="5"/>
      <c r="IEE1" s="5"/>
      <c r="IEF1" s="5"/>
      <c r="IEG1" s="5"/>
      <c r="IEH1" s="5"/>
      <c r="IEI1" s="5"/>
      <c r="IEJ1" s="5"/>
      <c r="IEK1" s="5"/>
      <c r="IEL1" s="5"/>
      <c r="IEM1" s="5"/>
      <c r="IEN1" s="5"/>
      <c r="IEO1" s="5"/>
      <c r="IEP1" s="5"/>
      <c r="IEQ1" s="5"/>
      <c r="IER1" s="5"/>
      <c r="IES1" s="5"/>
      <c r="IET1" s="5"/>
      <c r="IEU1" s="5"/>
      <c r="IEV1" s="5"/>
      <c r="IEW1" s="5"/>
      <c r="IEX1" s="5"/>
      <c r="IEY1" s="5"/>
      <c r="IEZ1" s="5"/>
      <c r="IFA1" s="5"/>
      <c r="IFB1" s="5"/>
      <c r="IFC1" s="5"/>
      <c r="IFD1" s="5"/>
      <c r="IFE1" s="5"/>
      <c r="IFF1" s="5"/>
      <c r="IFG1" s="5"/>
      <c r="IFH1" s="5"/>
      <c r="IFI1" s="5"/>
      <c r="IFJ1" s="5"/>
      <c r="IFK1" s="5"/>
      <c r="IFL1" s="5"/>
      <c r="IFM1" s="5"/>
      <c r="IFN1" s="5"/>
      <c r="IFO1" s="5"/>
      <c r="IFP1" s="5"/>
      <c r="IFQ1" s="5"/>
      <c r="IFR1" s="5"/>
      <c r="IFS1" s="5"/>
      <c r="IFT1" s="5"/>
      <c r="IFU1" s="5"/>
      <c r="IFV1" s="5"/>
      <c r="IFW1" s="5"/>
      <c r="IFX1" s="5"/>
      <c r="IFY1" s="5"/>
      <c r="IFZ1" s="5"/>
      <c r="IGA1" s="5"/>
      <c r="IGB1" s="5"/>
      <c r="IGC1" s="5"/>
      <c r="IGD1" s="5"/>
      <c r="IGE1" s="5"/>
      <c r="IGF1" s="5"/>
      <c r="IGG1" s="5"/>
      <c r="IGH1" s="5"/>
      <c r="IGI1" s="5"/>
      <c r="IGJ1" s="5"/>
      <c r="IGK1" s="5"/>
      <c r="IGL1" s="5"/>
      <c r="IGM1" s="5"/>
      <c r="IGN1" s="5"/>
      <c r="IGO1" s="5"/>
      <c r="IGP1" s="5"/>
      <c r="IGQ1" s="5"/>
      <c r="IGR1" s="5"/>
      <c r="IGS1" s="5"/>
      <c r="IGT1" s="5"/>
      <c r="IGU1" s="5"/>
      <c r="IGV1" s="5"/>
      <c r="IGW1" s="5"/>
      <c r="IGX1" s="5"/>
      <c r="IGY1" s="5"/>
      <c r="IGZ1" s="5"/>
      <c r="IHA1" s="5"/>
      <c r="IHB1" s="5"/>
      <c r="IHC1" s="5"/>
      <c r="IHD1" s="5"/>
      <c r="IHE1" s="5"/>
      <c r="IHF1" s="5"/>
      <c r="IHG1" s="5"/>
      <c r="IHH1" s="5"/>
      <c r="IHI1" s="5"/>
      <c r="IHJ1" s="5"/>
      <c r="IHK1" s="5"/>
      <c r="IHL1" s="5"/>
      <c r="IHM1" s="5"/>
      <c r="IHN1" s="5"/>
      <c r="IHO1" s="5"/>
      <c r="IHP1" s="5"/>
      <c r="IHQ1" s="5"/>
      <c r="IHR1" s="5"/>
      <c r="IHS1" s="5"/>
      <c r="IHT1" s="5"/>
      <c r="IHU1" s="5"/>
      <c r="IHV1" s="5"/>
      <c r="IHW1" s="5"/>
      <c r="IHX1" s="5"/>
      <c r="IHY1" s="5"/>
      <c r="IHZ1" s="5"/>
      <c r="IIA1" s="5"/>
      <c r="IIB1" s="5"/>
      <c r="IIC1" s="5"/>
      <c r="IID1" s="5"/>
      <c r="IIE1" s="5"/>
      <c r="IIF1" s="5"/>
      <c r="IIG1" s="5"/>
      <c r="IIH1" s="5"/>
      <c r="III1" s="5"/>
      <c r="IIJ1" s="5"/>
      <c r="IIK1" s="5"/>
      <c r="IIL1" s="5"/>
      <c r="IIM1" s="5"/>
      <c r="IIN1" s="5"/>
      <c r="IIO1" s="5"/>
      <c r="IIP1" s="5"/>
      <c r="IIQ1" s="5"/>
      <c r="IIR1" s="5"/>
      <c r="IIS1" s="5"/>
      <c r="IIT1" s="5"/>
      <c r="IIU1" s="5"/>
      <c r="IIV1" s="5"/>
      <c r="IIW1" s="5"/>
      <c r="IIX1" s="5"/>
      <c r="IIY1" s="5"/>
      <c r="IIZ1" s="5"/>
      <c r="IJA1" s="5"/>
      <c r="IJB1" s="5"/>
      <c r="IJC1" s="5"/>
      <c r="IJD1" s="5"/>
      <c r="IJE1" s="5"/>
      <c r="IJF1" s="5"/>
      <c r="IJG1" s="5"/>
      <c r="IJH1" s="5"/>
      <c r="IJI1" s="5"/>
      <c r="IJJ1" s="5"/>
      <c r="IJK1" s="5"/>
      <c r="IJL1" s="5"/>
      <c r="IJM1" s="5"/>
      <c r="IJN1" s="5"/>
      <c r="IJO1" s="5"/>
      <c r="IJP1" s="5"/>
      <c r="IJQ1" s="5"/>
      <c r="IJR1" s="5"/>
      <c r="IJS1" s="5"/>
      <c r="IJT1" s="5"/>
      <c r="IJU1" s="5"/>
      <c r="IJV1" s="5"/>
      <c r="IJW1" s="5"/>
      <c r="IJX1" s="5"/>
      <c r="IJY1" s="5"/>
      <c r="IJZ1" s="5"/>
      <c r="IKA1" s="5"/>
      <c r="IKB1" s="5"/>
      <c r="IKC1" s="5"/>
      <c r="IKD1" s="5"/>
      <c r="IKE1" s="5"/>
      <c r="IKF1" s="5"/>
      <c r="IKG1" s="5"/>
      <c r="IKH1" s="5"/>
      <c r="IKI1" s="5"/>
      <c r="IKJ1" s="5"/>
      <c r="IKK1" s="5"/>
      <c r="IKL1" s="5"/>
      <c r="IKM1" s="5"/>
      <c r="IKN1" s="5"/>
      <c r="IKO1" s="5"/>
      <c r="IKP1" s="5"/>
      <c r="IKQ1" s="5"/>
      <c r="IKR1" s="5"/>
      <c r="IKS1" s="5"/>
      <c r="IKT1" s="5"/>
      <c r="IKU1" s="5"/>
      <c r="IKV1" s="5"/>
      <c r="IKW1" s="5"/>
      <c r="IKX1" s="5"/>
      <c r="IKY1" s="5"/>
      <c r="IKZ1" s="5"/>
      <c r="ILA1" s="5"/>
      <c r="ILB1" s="5"/>
      <c r="ILC1" s="5"/>
      <c r="ILD1" s="5"/>
      <c r="ILE1" s="5"/>
      <c r="ILF1" s="5"/>
      <c r="ILG1" s="5"/>
      <c r="ILH1" s="5"/>
      <c r="ILI1" s="5"/>
      <c r="ILJ1" s="5"/>
      <c r="ILK1" s="5"/>
      <c r="ILL1" s="5"/>
      <c r="ILM1" s="5"/>
      <c r="ILN1" s="5"/>
      <c r="ILO1" s="5"/>
      <c r="ILP1" s="5"/>
      <c r="ILQ1" s="5"/>
      <c r="ILR1" s="5"/>
      <c r="ILS1" s="5"/>
      <c r="ILT1" s="5"/>
      <c r="ILU1" s="5"/>
      <c r="ILV1" s="5"/>
      <c r="ILW1" s="5"/>
      <c r="ILX1" s="5"/>
      <c r="ILY1" s="5"/>
      <c r="ILZ1" s="5"/>
      <c r="IMA1" s="5"/>
      <c r="IMB1" s="5"/>
      <c r="IMC1" s="5"/>
      <c r="IMD1" s="5"/>
      <c r="IME1" s="5"/>
      <c r="IMF1" s="5"/>
      <c r="IMG1" s="5"/>
      <c r="IMH1" s="5"/>
      <c r="IMI1" s="5"/>
      <c r="IMJ1" s="5"/>
      <c r="IMK1" s="5"/>
      <c r="IML1" s="5"/>
      <c r="IMM1" s="5"/>
      <c r="IMN1" s="5"/>
      <c r="IMO1" s="5"/>
      <c r="IMP1" s="5"/>
      <c r="IMQ1" s="5"/>
      <c r="IMR1" s="5"/>
      <c r="IMS1" s="5"/>
      <c r="IMT1" s="5"/>
      <c r="IMU1" s="5"/>
      <c r="IMV1" s="5"/>
      <c r="IMW1" s="5"/>
      <c r="IMX1" s="5"/>
      <c r="IMY1" s="5"/>
      <c r="IMZ1" s="5"/>
      <c r="INA1" s="5"/>
      <c r="INB1" s="5"/>
      <c r="INC1" s="5"/>
      <c r="IND1" s="5"/>
      <c r="INE1" s="5"/>
      <c r="INF1" s="5"/>
      <c r="ING1" s="5"/>
      <c r="INH1" s="5"/>
      <c r="INI1" s="5"/>
      <c r="INJ1" s="5"/>
      <c r="INK1" s="5"/>
      <c r="INL1" s="5"/>
      <c r="INM1" s="5"/>
      <c r="INN1" s="5"/>
      <c r="INO1" s="5"/>
      <c r="INP1" s="5"/>
      <c r="INQ1" s="5"/>
      <c r="INR1" s="5"/>
      <c r="INS1" s="5"/>
      <c r="INT1" s="5"/>
      <c r="INU1" s="5"/>
      <c r="INV1" s="5"/>
      <c r="INW1" s="5"/>
      <c r="INX1" s="5"/>
      <c r="INY1" s="5"/>
      <c r="INZ1" s="5"/>
      <c r="IOA1" s="5"/>
      <c r="IOB1" s="5"/>
      <c r="IOC1" s="5"/>
      <c r="IOD1" s="5"/>
      <c r="IOE1" s="5"/>
      <c r="IOF1" s="5"/>
      <c r="IOG1" s="5"/>
      <c r="IOH1" s="5"/>
      <c r="IOI1" s="5"/>
      <c r="IOJ1" s="5"/>
      <c r="IOK1" s="5"/>
      <c r="IOL1" s="5"/>
      <c r="IOM1" s="5"/>
      <c r="ION1" s="5"/>
      <c r="IOO1" s="5"/>
      <c r="IOP1" s="5"/>
      <c r="IOQ1" s="5"/>
      <c r="IOR1" s="5"/>
      <c r="IOS1" s="5"/>
      <c r="IOT1" s="5"/>
      <c r="IOU1" s="5"/>
      <c r="IOV1" s="5"/>
      <c r="IOW1" s="5"/>
      <c r="IOX1" s="5"/>
      <c r="IOY1" s="5"/>
      <c r="IOZ1" s="5"/>
      <c r="IPA1" s="5"/>
      <c r="IPB1" s="5"/>
      <c r="IPC1" s="5"/>
      <c r="IPD1" s="5"/>
      <c r="IPE1" s="5"/>
      <c r="IPF1" s="5"/>
      <c r="IPG1" s="5"/>
      <c r="IPH1" s="5"/>
      <c r="IPI1" s="5"/>
      <c r="IPJ1" s="5"/>
      <c r="IPK1" s="5"/>
      <c r="IPL1" s="5"/>
      <c r="IPM1" s="5"/>
      <c r="IPN1" s="5"/>
      <c r="IPO1" s="5"/>
      <c r="IPP1" s="5"/>
      <c r="IPQ1" s="5"/>
      <c r="IPR1" s="5"/>
      <c r="IPS1" s="5"/>
      <c r="IPT1" s="5"/>
      <c r="IPU1" s="5"/>
      <c r="IPV1" s="5"/>
      <c r="IPW1" s="5"/>
      <c r="IPX1" s="5"/>
      <c r="IPY1" s="5"/>
      <c r="IPZ1" s="5"/>
      <c r="IQA1" s="5"/>
      <c r="IQB1" s="5"/>
      <c r="IQC1" s="5"/>
      <c r="IQD1" s="5"/>
      <c r="IQE1" s="5"/>
      <c r="IQF1" s="5"/>
      <c r="IQG1" s="5"/>
      <c r="IQH1" s="5"/>
      <c r="IQI1" s="5"/>
      <c r="IQJ1" s="5"/>
      <c r="IQK1" s="5"/>
      <c r="IQL1" s="5"/>
      <c r="IQM1" s="5"/>
      <c r="IQN1" s="5"/>
      <c r="IQO1" s="5"/>
      <c r="IQP1" s="5"/>
      <c r="IQQ1" s="5"/>
      <c r="IQR1" s="5"/>
      <c r="IQS1" s="5"/>
      <c r="IQT1" s="5"/>
      <c r="IQU1" s="5"/>
      <c r="IQV1" s="5"/>
      <c r="IQW1" s="5"/>
      <c r="IQX1" s="5"/>
      <c r="IQY1" s="5"/>
      <c r="IQZ1" s="5"/>
      <c r="IRA1" s="5"/>
      <c r="IRB1" s="5"/>
      <c r="IRC1" s="5"/>
      <c r="IRD1" s="5"/>
      <c r="IRE1" s="5"/>
      <c r="IRF1" s="5"/>
      <c r="IRG1" s="5"/>
      <c r="IRH1" s="5"/>
      <c r="IRI1" s="5"/>
      <c r="IRJ1" s="5"/>
      <c r="IRK1" s="5"/>
      <c r="IRL1" s="5"/>
      <c r="IRM1" s="5"/>
      <c r="IRN1" s="5"/>
      <c r="IRO1" s="5"/>
      <c r="IRP1" s="5"/>
      <c r="IRQ1" s="5"/>
      <c r="IRR1" s="5"/>
      <c r="IRS1" s="5"/>
      <c r="IRT1" s="5"/>
      <c r="IRU1" s="5"/>
      <c r="IRV1" s="5"/>
      <c r="IRW1" s="5"/>
      <c r="IRX1" s="5"/>
      <c r="IRY1" s="5"/>
      <c r="IRZ1" s="5"/>
      <c r="ISA1" s="5"/>
      <c r="ISB1" s="5"/>
      <c r="ISC1" s="5"/>
      <c r="ISD1" s="5"/>
      <c r="ISE1" s="5"/>
      <c r="ISF1" s="5"/>
      <c r="ISG1" s="5"/>
      <c r="ISH1" s="5"/>
      <c r="ISI1" s="5"/>
      <c r="ISJ1" s="5"/>
      <c r="ISK1" s="5"/>
      <c r="ISL1" s="5"/>
      <c r="ISM1" s="5"/>
      <c r="ISN1" s="5"/>
      <c r="ISO1" s="5"/>
      <c r="ISP1" s="5"/>
      <c r="ISQ1" s="5"/>
      <c r="ISR1" s="5"/>
      <c r="ISS1" s="5"/>
      <c r="IST1" s="5"/>
      <c r="ISU1" s="5"/>
      <c r="ISV1" s="5"/>
      <c r="ISW1" s="5"/>
      <c r="ISX1" s="5"/>
      <c r="ISY1" s="5"/>
      <c r="ISZ1" s="5"/>
      <c r="ITA1" s="5"/>
      <c r="ITB1" s="5"/>
      <c r="ITC1" s="5"/>
      <c r="ITD1" s="5"/>
      <c r="ITE1" s="5"/>
      <c r="ITF1" s="5"/>
      <c r="ITG1" s="5"/>
      <c r="ITH1" s="5"/>
      <c r="ITI1" s="5"/>
      <c r="ITJ1" s="5"/>
      <c r="ITK1" s="5"/>
      <c r="ITL1" s="5"/>
      <c r="ITM1" s="5"/>
      <c r="ITN1" s="5"/>
      <c r="ITO1" s="5"/>
      <c r="ITP1" s="5"/>
      <c r="ITQ1" s="5"/>
      <c r="ITR1" s="5"/>
      <c r="ITS1" s="5"/>
      <c r="ITT1" s="5"/>
      <c r="ITU1" s="5"/>
      <c r="ITV1" s="5"/>
      <c r="ITW1" s="5"/>
      <c r="ITX1" s="5"/>
      <c r="ITY1" s="5"/>
      <c r="ITZ1" s="5"/>
      <c r="IUA1" s="5"/>
      <c r="IUB1" s="5"/>
      <c r="IUC1" s="5"/>
      <c r="IUD1" s="5"/>
      <c r="IUE1" s="5"/>
      <c r="IUF1" s="5"/>
      <c r="IUG1" s="5"/>
      <c r="IUH1" s="5"/>
      <c r="IUI1" s="5"/>
      <c r="IUJ1" s="5"/>
      <c r="IUK1" s="5"/>
      <c r="IUL1" s="5"/>
      <c r="IUM1" s="5"/>
      <c r="IUN1" s="5"/>
      <c r="IUO1" s="5"/>
      <c r="IUP1" s="5"/>
      <c r="IUQ1" s="5"/>
      <c r="IUR1" s="5"/>
      <c r="IUS1" s="5"/>
      <c r="IUT1" s="5"/>
      <c r="IUU1" s="5"/>
      <c r="IUV1" s="5"/>
      <c r="IUW1" s="5"/>
      <c r="IUX1" s="5"/>
      <c r="IUY1" s="5"/>
      <c r="IUZ1" s="5"/>
      <c r="IVA1" s="5"/>
      <c r="IVB1" s="5"/>
      <c r="IVC1" s="5"/>
      <c r="IVD1" s="5"/>
      <c r="IVE1" s="5"/>
      <c r="IVF1" s="5"/>
      <c r="IVG1" s="5"/>
      <c r="IVH1" s="5"/>
      <c r="IVI1" s="5"/>
      <c r="IVJ1" s="5"/>
      <c r="IVK1" s="5"/>
      <c r="IVL1" s="5"/>
      <c r="IVM1" s="5"/>
      <c r="IVN1" s="5"/>
      <c r="IVO1" s="5"/>
      <c r="IVP1" s="5"/>
      <c r="IVQ1" s="5"/>
      <c r="IVR1" s="5"/>
      <c r="IVS1" s="5"/>
      <c r="IVT1" s="5"/>
      <c r="IVU1" s="5"/>
      <c r="IVV1" s="5"/>
      <c r="IVW1" s="5"/>
      <c r="IVX1" s="5"/>
      <c r="IVY1" s="5"/>
      <c r="IVZ1" s="5"/>
      <c r="IWA1" s="5"/>
      <c r="IWB1" s="5"/>
      <c r="IWC1" s="5"/>
      <c r="IWD1" s="5"/>
      <c r="IWE1" s="5"/>
      <c r="IWF1" s="5"/>
      <c r="IWG1" s="5"/>
      <c r="IWH1" s="5"/>
      <c r="IWI1" s="5"/>
      <c r="IWJ1" s="5"/>
      <c r="IWK1" s="5"/>
      <c r="IWL1" s="5"/>
      <c r="IWM1" s="5"/>
      <c r="IWN1" s="5"/>
      <c r="IWO1" s="5"/>
      <c r="IWP1" s="5"/>
      <c r="IWQ1" s="5"/>
      <c r="IWR1" s="5"/>
      <c r="IWS1" s="5"/>
      <c r="IWT1" s="5"/>
      <c r="IWU1" s="5"/>
      <c r="IWV1" s="5"/>
      <c r="IWW1" s="5"/>
      <c r="IWX1" s="5"/>
      <c r="IWY1" s="5"/>
      <c r="IWZ1" s="5"/>
      <c r="IXA1" s="5"/>
      <c r="IXB1" s="5"/>
      <c r="IXC1" s="5"/>
      <c r="IXD1" s="5"/>
      <c r="IXE1" s="5"/>
      <c r="IXF1" s="5"/>
      <c r="IXG1" s="5"/>
      <c r="IXH1" s="5"/>
      <c r="IXI1" s="5"/>
      <c r="IXJ1" s="5"/>
      <c r="IXK1" s="5"/>
      <c r="IXL1" s="5"/>
      <c r="IXM1" s="5"/>
      <c r="IXN1" s="5"/>
      <c r="IXO1" s="5"/>
      <c r="IXP1" s="5"/>
      <c r="IXQ1" s="5"/>
      <c r="IXR1" s="5"/>
      <c r="IXS1" s="5"/>
      <c r="IXT1" s="5"/>
      <c r="IXU1" s="5"/>
      <c r="IXV1" s="5"/>
      <c r="IXW1" s="5"/>
      <c r="IXX1" s="5"/>
      <c r="IXY1" s="5"/>
      <c r="IXZ1" s="5"/>
      <c r="IYA1" s="5"/>
      <c r="IYB1" s="5"/>
      <c r="IYC1" s="5"/>
      <c r="IYD1" s="5"/>
      <c r="IYE1" s="5"/>
      <c r="IYF1" s="5"/>
      <c r="IYG1" s="5"/>
      <c r="IYH1" s="5"/>
      <c r="IYI1" s="5"/>
      <c r="IYJ1" s="5"/>
      <c r="IYK1" s="5"/>
      <c r="IYL1" s="5"/>
      <c r="IYM1" s="5"/>
      <c r="IYN1" s="5"/>
      <c r="IYO1" s="5"/>
      <c r="IYP1" s="5"/>
      <c r="IYQ1" s="5"/>
      <c r="IYR1" s="5"/>
      <c r="IYS1" s="5"/>
      <c r="IYT1" s="5"/>
      <c r="IYU1" s="5"/>
      <c r="IYV1" s="5"/>
      <c r="IYW1" s="5"/>
      <c r="IYX1" s="5"/>
      <c r="IYY1" s="5"/>
      <c r="IYZ1" s="5"/>
      <c r="IZA1" s="5"/>
      <c r="IZB1" s="5"/>
      <c r="IZC1" s="5"/>
      <c r="IZD1" s="5"/>
      <c r="IZE1" s="5"/>
      <c r="IZF1" s="5"/>
      <c r="IZG1" s="5"/>
      <c r="IZH1" s="5"/>
      <c r="IZI1" s="5"/>
      <c r="IZJ1" s="5"/>
      <c r="IZK1" s="5"/>
      <c r="IZL1" s="5"/>
      <c r="IZM1" s="5"/>
      <c r="IZN1" s="5"/>
      <c r="IZO1" s="5"/>
      <c r="IZP1" s="5"/>
      <c r="IZQ1" s="5"/>
      <c r="IZR1" s="5"/>
      <c r="IZS1" s="5"/>
      <c r="IZT1" s="5"/>
      <c r="IZU1" s="5"/>
      <c r="IZV1" s="5"/>
      <c r="IZW1" s="5"/>
      <c r="IZX1" s="5"/>
      <c r="IZY1" s="5"/>
      <c r="IZZ1" s="5"/>
      <c r="JAA1" s="5"/>
      <c r="JAB1" s="5"/>
      <c r="JAC1" s="5"/>
      <c r="JAD1" s="5"/>
      <c r="JAE1" s="5"/>
      <c r="JAF1" s="5"/>
      <c r="JAG1" s="5"/>
      <c r="JAH1" s="5"/>
      <c r="JAI1" s="5"/>
      <c r="JAJ1" s="5"/>
      <c r="JAK1" s="5"/>
      <c r="JAL1" s="5"/>
      <c r="JAM1" s="5"/>
      <c r="JAN1" s="5"/>
      <c r="JAO1" s="5"/>
      <c r="JAP1" s="5"/>
      <c r="JAQ1" s="5"/>
      <c r="JAR1" s="5"/>
      <c r="JAS1" s="5"/>
      <c r="JAT1" s="5"/>
      <c r="JAU1" s="5"/>
      <c r="JAV1" s="5"/>
      <c r="JAW1" s="5"/>
      <c r="JAX1" s="5"/>
      <c r="JAY1" s="5"/>
      <c r="JAZ1" s="5"/>
      <c r="JBA1" s="5"/>
      <c r="JBB1" s="5"/>
      <c r="JBC1" s="5"/>
      <c r="JBD1" s="5"/>
      <c r="JBE1" s="5"/>
      <c r="JBF1" s="5"/>
      <c r="JBG1" s="5"/>
      <c r="JBH1" s="5"/>
      <c r="JBI1" s="5"/>
      <c r="JBJ1" s="5"/>
      <c r="JBK1" s="5"/>
      <c r="JBL1" s="5"/>
      <c r="JBM1" s="5"/>
      <c r="JBN1" s="5"/>
      <c r="JBO1" s="5"/>
      <c r="JBP1" s="5"/>
      <c r="JBQ1" s="5"/>
      <c r="JBR1" s="5"/>
      <c r="JBS1" s="5"/>
      <c r="JBT1" s="5"/>
      <c r="JBU1" s="5"/>
      <c r="JBV1" s="5"/>
      <c r="JBW1" s="5"/>
      <c r="JBX1" s="5"/>
      <c r="JBY1" s="5"/>
      <c r="JBZ1" s="5"/>
      <c r="JCA1" s="5"/>
      <c r="JCB1" s="5"/>
      <c r="JCC1" s="5"/>
      <c r="JCD1" s="5"/>
      <c r="JCE1" s="5"/>
      <c r="JCF1" s="5"/>
      <c r="JCG1" s="5"/>
      <c r="JCH1" s="5"/>
      <c r="JCI1" s="5"/>
      <c r="JCJ1" s="5"/>
      <c r="JCK1" s="5"/>
      <c r="JCL1" s="5"/>
      <c r="JCM1" s="5"/>
      <c r="JCN1" s="5"/>
      <c r="JCO1" s="5"/>
      <c r="JCP1" s="5"/>
      <c r="JCQ1" s="5"/>
      <c r="JCR1" s="5"/>
      <c r="JCS1" s="5"/>
      <c r="JCT1" s="5"/>
      <c r="JCU1" s="5"/>
      <c r="JCV1" s="5"/>
      <c r="JCW1" s="5"/>
      <c r="JCX1" s="5"/>
      <c r="JCY1" s="5"/>
      <c r="JCZ1" s="5"/>
      <c r="JDA1" s="5"/>
      <c r="JDB1" s="5"/>
      <c r="JDC1" s="5"/>
      <c r="JDD1" s="5"/>
      <c r="JDE1" s="5"/>
      <c r="JDF1" s="5"/>
      <c r="JDG1" s="5"/>
      <c r="JDH1" s="5"/>
      <c r="JDI1" s="5"/>
      <c r="JDJ1" s="5"/>
      <c r="JDK1" s="5"/>
      <c r="JDL1" s="5"/>
      <c r="JDM1" s="5"/>
      <c r="JDN1" s="5"/>
      <c r="JDO1" s="5"/>
      <c r="JDP1" s="5"/>
      <c r="JDQ1" s="5"/>
      <c r="JDR1" s="5"/>
      <c r="JDS1" s="5"/>
      <c r="JDT1" s="5"/>
      <c r="JDU1" s="5"/>
      <c r="JDV1" s="5"/>
      <c r="JDW1" s="5"/>
      <c r="JDX1" s="5"/>
      <c r="JDY1" s="5"/>
      <c r="JDZ1" s="5"/>
      <c r="JEA1" s="5"/>
      <c r="JEB1" s="5"/>
      <c r="JEC1" s="5"/>
      <c r="JED1" s="5"/>
      <c r="JEE1" s="5"/>
      <c r="JEF1" s="5"/>
      <c r="JEG1" s="5"/>
      <c r="JEH1" s="5"/>
      <c r="JEI1" s="5"/>
      <c r="JEJ1" s="5"/>
      <c r="JEK1" s="5"/>
      <c r="JEL1" s="5"/>
      <c r="JEM1" s="5"/>
      <c r="JEN1" s="5"/>
      <c r="JEO1" s="5"/>
      <c r="JEP1" s="5"/>
      <c r="JEQ1" s="5"/>
      <c r="JER1" s="5"/>
      <c r="JES1" s="5"/>
      <c r="JET1" s="5"/>
      <c r="JEU1" s="5"/>
      <c r="JEV1" s="5"/>
      <c r="JEW1" s="5"/>
      <c r="JEX1" s="5"/>
      <c r="JEY1" s="5"/>
      <c r="JEZ1" s="5"/>
      <c r="JFA1" s="5"/>
      <c r="JFB1" s="5"/>
      <c r="JFC1" s="5"/>
      <c r="JFD1" s="5"/>
      <c r="JFE1" s="5"/>
      <c r="JFF1" s="5"/>
      <c r="JFG1" s="5"/>
      <c r="JFH1" s="5"/>
      <c r="JFI1" s="5"/>
      <c r="JFJ1" s="5"/>
      <c r="JFK1" s="5"/>
      <c r="JFL1" s="5"/>
      <c r="JFM1" s="5"/>
      <c r="JFN1" s="5"/>
      <c r="JFO1" s="5"/>
      <c r="JFP1" s="5"/>
      <c r="JFQ1" s="5"/>
      <c r="JFR1" s="5"/>
      <c r="JFS1" s="5"/>
      <c r="JFT1" s="5"/>
      <c r="JFU1" s="5"/>
      <c r="JFV1" s="5"/>
      <c r="JFW1" s="5"/>
      <c r="JFX1" s="5"/>
      <c r="JFY1" s="5"/>
      <c r="JFZ1" s="5"/>
      <c r="JGA1" s="5"/>
      <c r="JGB1" s="5"/>
      <c r="JGC1" s="5"/>
      <c r="JGD1" s="5"/>
      <c r="JGE1" s="5"/>
      <c r="JGF1" s="5"/>
      <c r="JGG1" s="5"/>
      <c r="JGH1" s="5"/>
      <c r="JGI1" s="5"/>
      <c r="JGJ1" s="5"/>
      <c r="JGK1" s="5"/>
      <c r="JGL1" s="5"/>
      <c r="JGM1" s="5"/>
      <c r="JGN1" s="5"/>
      <c r="JGO1" s="5"/>
      <c r="JGP1" s="5"/>
      <c r="JGQ1" s="5"/>
      <c r="JGR1" s="5"/>
      <c r="JGS1" s="5"/>
      <c r="JGT1" s="5"/>
      <c r="JGU1" s="5"/>
      <c r="JGV1" s="5"/>
      <c r="JGW1" s="5"/>
      <c r="JGX1" s="5"/>
      <c r="JGY1" s="5"/>
      <c r="JGZ1" s="5"/>
      <c r="JHA1" s="5"/>
      <c r="JHB1" s="5"/>
      <c r="JHC1" s="5"/>
      <c r="JHD1" s="5"/>
      <c r="JHE1" s="5"/>
      <c r="JHF1" s="5"/>
      <c r="JHG1" s="5"/>
      <c r="JHH1" s="5"/>
      <c r="JHI1" s="5"/>
      <c r="JHJ1" s="5"/>
      <c r="JHK1" s="5"/>
      <c r="JHL1" s="5"/>
      <c r="JHM1" s="5"/>
      <c r="JHN1" s="5"/>
      <c r="JHO1" s="5"/>
      <c r="JHP1" s="5"/>
      <c r="JHQ1" s="5"/>
      <c r="JHR1" s="5"/>
      <c r="JHS1" s="5"/>
      <c r="JHT1" s="5"/>
      <c r="JHU1" s="5"/>
      <c r="JHV1" s="5"/>
      <c r="JHW1" s="5"/>
      <c r="JHX1" s="5"/>
      <c r="JHY1" s="5"/>
      <c r="JHZ1" s="5"/>
      <c r="JIA1" s="5"/>
      <c r="JIB1" s="5"/>
      <c r="JIC1" s="5"/>
      <c r="JID1" s="5"/>
      <c r="JIE1" s="5"/>
      <c r="JIF1" s="5"/>
      <c r="JIG1" s="5"/>
      <c r="JIH1" s="5"/>
      <c r="JII1" s="5"/>
      <c r="JIJ1" s="5"/>
      <c r="JIK1" s="5"/>
      <c r="JIL1" s="5"/>
      <c r="JIM1" s="5"/>
      <c r="JIN1" s="5"/>
      <c r="JIO1" s="5"/>
      <c r="JIP1" s="5"/>
      <c r="JIQ1" s="5"/>
      <c r="JIR1" s="5"/>
      <c r="JIS1" s="5"/>
      <c r="JIT1" s="5"/>
      <c r="JIU1" s="5"/>
      <c r="JIV1" s="5"/>
      <c r="JIW1" s="5"/>
      <c r="JIX1" s="5"/>
      <c r="JIY1" s="5"/>
      <c r="JIZ1" s="5"/>
      <c r="JJA1" s="5"/>
      <c r="JJB1" s="5"/>
      <c r="JJC1" s="5"/>
      <c r="JJD1" s="5"/>
      <c r="JJE1" s="5"/>
      <c r="JJF1" s="5"/>
      <c r="JJG1" s="5"/>
      <c r="JJH1" s="5"/>
      <c r="JJI1" s="5"/>
      <c r="JJJ1" s="5"/>
      <c r="JJK1" s="5"/>
      <c r="JJL1" s="5"/>
      <c r="JJM1" s="5"/>
      <c r="JJN1" s="5"/>
      <c r="JJO1" s="5"/>
      <c r="JJP1" s="5"/>
      <c r="JJQ1" s="5"/>
      <c r="JJR1" s="5"/>
      <c r="JJS1" s="5"/>
      <c r="JJT1" s="5"/>
      <c r="JJU1" s="5"/>
      <c r="JJV1" s="5"/>
      <c r="JJW1" s="5"/>
      <c r="JJX1" s="5"/>
      <c r="JJY1" s="5"/>
      <c r="JJZ1" s="5"/>
      <c r="JKA1" s="5"/>
      <c r="JKB1" s="5"/>
      <c r="JKC1" s="5"/>
      <c r="JKD1" s="5"/>
      <c r="JKE1" s="5"/>
      <c r="JKF1" s="5"/>
      <c r="JKG1" s="5"/>
      <c r="JKH1" s="5"/>
      <c r="JKI1" s="5"/>
      <c r="JKJ1" s="5"/>
      <c r="JKK1" s="5"/>
      <c r="JKL1" s="5"/>
      <c r="JKM1" s="5"/>
      <c r="JKN1" s="5"/>
      <c r="JKO1" s="5"/>
      <c r="JKP1" s="5"/>
      <c r="JKQ1" s="5"/>
      <c r="JKR1" s="5"/>
      <c r="JKS1" s="5"/>
      <c r="JKT1" s="5"/>
      <c r="JKU1" s="5"/>
      <c r="JKV1" s="5"/>
      <c r="JKW1" s="5"/>
      <c r="JKX1" s="5"/>
      <c r="JKY1" s="5"/>
      <c r="JKZ1" s="5"/>
      <c r="JLA1" s="5"/>
      <c r="JLB1" s="5"/>
      <c r="JLC1" s="5"/>
      <c r="JLD1" s="5"/>
      <c r="JLE1" s="5"/>
      <c r="JLF1" s="5"/>
      <c r="JLG1" s="5"/>
      <c r="JLH1" s="5"/>
      <c r="JLI1" s="5"/>
      <c r="JLJ1" s="5"/>
      <c r="JLK1" s="5"/>
      <c r="JLL1" s="5"/>
      <c r="JLM1" s="5"/>
      <c r="JLN1" s="5"/>
      <c r="JLO1" s="5"/>
      <c r="JLP1" s="5"/>
      <c r="JLQ1" s="5"/>
      <c r="JLR1" s="5"/>
      <c r="JLS1" s="5"/>
      <c r="JLT1" s="5"/>
      <c r="JLU1" s="5"/>
      <c r="JLV1" s="5"/>
      <c r="JLW1" s="5"/>
      <c r="JLX1" s="5"/>
      <c r="JLY1" s="5"/>
      <c r="JLZ1" s="5"/>
      <c r="JMA1" s="5"/>
      <c r="JMB1" s="5"/>
      <c r="JMC1" s="5"/>
      <c r="JMD1" s="5"/>
      <c r="JME1" s="5"/>
      <c r="JMF1" s="5"/>
      <c r="JMG1" s="5"/>
      <c r="JMH1" s="5"/>
      <c r="JMI1" s="5"/>
      <c r="JMJ1" s="5"/>
      <c r="JMK1" s="5"/>
      <c r="JML1" s="5"/>
      <c r="JMM1" s="5"/>
      <c r="JMN1" s="5"/>
      <c r="JMO1" s="5"/>
      <c r="JMP1" s="5"/>
      <c r="JMQ1" s="5"/>
      <c r="JMR1" s="5"/>
      <c r="JMS1" s="5"/>
      <c r="JMT1" s="5"/>
      <c r="JMU1" s="5"/>
      <c r="JMV1" s="5"/>
      <c r="JMW1" s="5"/>
      <c r="JMX1" s="5"/>
      <c r="JMY1" s="5"/>
      <c r="JMZ1" s="5"/>
      <c r="JNA1" s="5"/>
      <c r="JNB1" s="5"/>
      <c r="JNC1" s="5"/>
      <c r="JND1" s="5"/>
      <c r="JNE1" s="5"/>
      <c r="JNF1" s="5"/>
      <c r="JNG1" s="5"/>
      <c r="JNH1" s="5"/>
      <c r="JNI1" s="5"/>
      <c r="JNJ1" s="5"/>
      <c r="JNK1" s="5"/>
      <c r="JNL1" s="5"/>
      <c r="JNM1" s="5"/>
      <c r="JNN1" s="5"/>
      <c r="JNO1" s="5"/>
      <c r="JNP1" s="5"/>
      <c r="JNQ1" s="5"/>
      <c r="JNR1" s="5"/>
      <c r="JNS1" s="5"/>
      <c r="JNT1" s="5"/>
      <c r="JNU1" s="5"/>
      <c r="JNV1" s="5"/>
      <c r="JNW1" s="5"/>
      <c r="JNX1" s="5"/>
      <c r="JNY1" s="5"/>
      <c r="JNZ1" s="5"/>
      <c r="JOA1" s="5"/>
      <c r="JOB1" s="5"/>
      <c r="JOC1" s="5"/>
      <c r="JOD1" s="5"/>
      <c r="JOE1" s="5"/>
      <c r="JOF1" s="5"/>
      <c r="JOG1" s="5"/>
      <c r="JOH1" s="5"/>
      <c r="JOI1" s="5"/>
      <c r="JOJ1" s="5"/>
      <c r="JOK1" s="5"/>
      <c r="JOL1" s="5"/>
      <c r="JOM1" s="5"/>
      <c r="JON1" s="5"/>
      <c r="JOO1" s="5"/>
      <c r="JOP1" s="5"/>
      <c r="JOQ1" s="5"/>
      <c r="JOR1" s="5"/>
      <c r="JOS1" s="5"/>
      <c r="JOT1" s="5"/>
      <c r="JOU1" s="5"/>
      <c r="JOV1" s="5"/>
      <c r="JOW1" s="5"/>
      <c r="JOX1" s="5"/>
      <c r="JOY1" s="5"/>
      <c r="JOZ1" s="5"/>
      <c r="JPA1" s="5"/>
      <c r="JPB1" s="5"/>
      <c r="JPC1" s="5"/>
      <c r="JPD1" s="5"/>
      <c r="JPE1" s="5"/>
      <c r="JPF1" s="5"/>
      <c r="JPG1" s="5"/>
      <c r="JPH1" s="5"/>
      <c r="JPI1" s="5"/>
      <c r="JPJ1" s="5"/>
      <c r="JPK1" s="5"/>
      <c r="JPL1" s="5"/>
      <c r="JPM1" s="5"/>
      <c r="JPN1" s="5"/>
      <c r="JPO1" s="5"/>
      <c r="JPP1" s="5"/>
      <c r="JPQ1" s="5"/>
      <c r="JPR1" s="5"/>
      <c r="JPS1" s="5"/>
      <c r="JPT1" s="5"/>
      <c r="JPU1" s="5"/>
      <c r="JPV1" s="5"/>
      <c r="JPW1" s="5"/>
      <c r="JPX1" s="5"/>
      <c r="JPY1" s="5"/>
      <c r="JPZ1" s="5"/>
      <c r="JQA1" s="5"/>
      <c r="JQB1" s="5"/>
      <c r="JQC1" s="5"/>
      <c r="JQD1" s="5"/>
      <c r="JQE1" s="5"/>
      <c r="JQF1" s="5"/>
      <c r="JQG1" s="5"/>
      <c r="JQH1" s="5"/>
      <c r="JQI1" s="5"/>
      <c r="JQJ1" s="5"/>
      <c r="JQK1" s="5"/>
      <c r="JQL1" s="5"/>
      <c r="JQM1" s="5"/>
      <c r="JQN1" s="5"/>
      <c r="JQO1" s="5"/>
      <c r="JQP1" s="5"/>
      <c r="JQQ1" s="5"/>
      <c r="JQR1" s="5"/>
      <c r="JQS1" s="5"/>
      <c r="JQT1" s="5"/>
      <c r="JQU1" s="5"/>
      <c r="JQV1" s="5"/>
      <c r="JQW1" s="5"/>
      <c r="JQX1" s="5"/>
      <c r="JQY1" s="5"/>
      <c r="JQZ1" s="5"/>
      <c r="JRA1" s="5"/>
      <c r="JRB1" s="5"/>
      <c r="JRC1" s="5"/>
      <c r="JRD1" s="5"/>
      <c r="JRE1" s="5"/>
      <c r="JRF1" s="5"/>
      <c r="JRG1" s="5"/>
      <c r="JRH1" s="5"/>
      <c r="JRI1" s="5"/>
      <c r="JRJ1" s="5"/>
      <c r="JRK1" s="5"/>
      <c r="JRL1" s="5"/>
      <c r="JRM1" s="5"/>
      <c r="JRN1" s="5"/>
      <c r="JRO1" s="5"/>
      <c r="JRP1" s="5"/>
      <c r="JRQ1" s="5"/>
      <c r="JRR1" s="5"/>
      <c r="JRS1" s="5"/>
      <c r="JRT1" s="5"/>
      <c r="JRU1" s="5"/>
      <c r="JRV1" s="5"/>
      <c r="JRW1" s="5"/>
      <c r="JRX1" s="5"/>
      <c r="JRY1" s="5"/>
      <c r="JRZ1" s="5"/>
      <c r="JSA1" s="5"/>
      <c r="JSB1" s="5"/>
      <c r="JSC1" s="5"/>
      <c r="JSD1" s="5"/>
      <c r="JSE1" s="5"/>
      <c r="JSF1" s="5"/>
      <c r="JSG1" s="5"/>
      <c r="JSH1" s="5"/>
      <c r="JSI1" s="5"/>
      <c r="JSJ1" s="5"/>
      <c r="JSK1" s="5"/>
      <c r="JSL1" s="5"/>
      <c r="JSM1" s="5"/>
      <c r="JSN1" s="5"/>
      <c r="JSO1" s="5"/>
      <c r="JSP1" s="5"/>
      <c r="JSQ1" s="5"/>
      <c r="JSR1" s="5"/>
      <c r="JSS1" s="5"/>
      <c r="JST1" s="5"/>
      <c r="JSU1" s="5"/>
      <c r="JSV1" s="5"/>
      <c r="JSW1" s="5"/>
      <c r="JSX1" s="5"/>
      <c r="JSY1" s="5"/>
      <c r="JSZ1" s="5"/>
      <c r="JTA1" s="5"/>
      <c r="JTB1" s="5"/>
      <c r="JTC1" s="5"/>
      <c r="JTD1" s="5"/>
      <c r="JTE1" s="5"/>
      <c r="JTF1" s="5"/>
      <c r="JTG1" s="5"/>
      <c r="JTH1" s="5"/>
      <c r="JTI1" s="5"/>
      <c r="JTJ1" s="5"/>
      <c r="JTK1" s="5"/>
      <c r="JTL1" s="5"/>
      <c r="JTM1" s="5"/>
      <c r="JTN1" s="5"/>
      <c r="JTO1" s="5"/>
      <c r="JTP1" s="5"/>
      <c r="JTQ1" s="5"/>
      <c r="JTR1" s="5"/>
      <c r="JTS1" s="5"/>
      <c r="JTT1" s="5"/>
      <c r="JTU1" s="5"/>
      <c r="JTV1" s="5"/>
      <c r="JTW1" s="5"/>
      <c r="JTX1" s="5"/>
      <c r="JTY1" s="5"/>
      <c r="JTZ1" s="5"/>
      <c r="JUA1" s="5"/>
      <c r="JUB1" s="5"/>
      <c r="JUC1" s="5"/>
      <c r="JUD1" s="5"/>
      <c r="JUE1" s="5"/>
      <c r="JUF1" s="5"/>
      <c r="JUG1" s="5"/>
      <c r="JUH1" s="5"/>
      <c r="JUI1" s="5"/>
      <c r="JUJ1" s="5"/>
      <c r="JUK1" s="5"/>
      <c r="JUL1" s="5"/>
      <c r="JUM1" s="5"/>
      <c r="JUN1" s="5"/>
      <c r="JUO1" s="5"/>
      <c r="JUP1" s="5"/>
      <c r="JUQ1" s="5"/>
      <c r="JUR1" s="5"/>
      <c r="JUS1" s="5"/>
      <c r="JUT1" s="5"/>
      <c r="JUU1" s="5"/>
      <c r="JUV1" s="5"/>
      <c r="JUW1" s="5"/>
      <c r="JUX1" s="5"/>
      <c r="JUY1" s="5"/>
      <c r="JUZ1" s="5"/>
      <c r="JVA1" s="5"/>
      <c r="JVB1" s="5"/>
      <c r="JVC1" s="5"/>
      <c r="JVD1" s="5"/>
      <c r="JVE1" s="5"/>
      <c r="JVF1" s="5"/>
      <c r="JVG1" s="5"/>
      <c r="JVH1" s="5"/>
      <c r="JVI1" s="5"/>
      <c r="JVJ1" s="5"/>
      <c r="JVK1" s="5"/>
      <c r="JVL1" s="5"/>
      <c r="JVM1" s="5"/>
      <c r="JVN1" s="5"/>
      <c r="JVO1" s="5"/>
      <c r="JVP1" s="5"/>
      <c r="JVQ1" s="5"/>
      <c r="JVR1" s="5"/>
      <c r="JVS1" s="5"/>
      <c r="JVT1" s="5"/>
      <c r="JVU1" s="5"/>
      <c r="JVV1" s="5"/>
      <c r="JVW1" s="5"/>
      <c r="JVX1" s="5"/>
      <c r="JVY1" s="5"/>
      <c r="JVZ1" s="5"/>
      <c r="JWA1" s="5"/>
      <c r="JWB1" s="5"/>
      <c r="JWC1" s="5"/>
      <c r="JWD1" s="5"/>
      <c r="JWE1" s="5"/>
      <c r="JWF1" s="5"/>
      <c r="JWG1" s="5"/>
      <c r="JWH1" s="5"/>
      <c r="JWI1" s="5"/>
      <c r="JWJ1" s="5"/>
      <c r="JWK1" s="5"/>
      <c r="JWL1" s="5"/>
      <c r="JWM1" s="5"/>
      <c r="JWN1" s="5"/>
      <c r="JWO1" s="5"/>
      <c r="JWP1" s="5"/>
      <c r="JWQ1" s="5"/>
      <c r="JWR1" s="5"/>
      <c r="JWS1" s="5"/>
      <c r="JWT1" s="5"/>
      <c r="JWU1" s="5"/>
      <c r="JWV1" s="5"/>
      <c r="JWW1" s="5"/>
      <c r="JWX1" s="5"/>
      <c r="JWY1" s="5"/>
      <c r="JWZ1" s="5"/>
      <c r="JXA1" s="5"/>
      <c r="JXB1" s="5"/>
      <c r="JXC1" s="5"/>
      <c r="JXD1" s="5"/>
      <c r="JXE1" s="5"/>
      <c r="JXF1" s="5"/>
      <c r="JXG1" s="5"/>
      <c r="JXH1" s="5"/>
      <c r="JXI1" s="5"/>
      <c r="JXJ1" s="5"/>
      <c r="JXK1" s="5"/>
      <c r="JXL1" s="5"/>
      <c r="JXM1" s="5"/>
      <c r="JXN1" s="5"/>
      <c r="JXO1" s="5"/>
      <c r="JXP1" s="5"/>
      <c r="JXQ1" s="5"/>
      <c r="JXR1" s="5"/>
      <c r="JXS1" s="5"/>
      <c r="JXT1" s="5"/>
      <c r="JXU1" s="5"/>
      <c r="JXV1" s="5"/>
      <c r="JXW1" s="5"/>
      <c r="JXX1" s="5"/>
      <c r="JXY1" s="5"/>
      <c r="JXZ1" s="5"/>
      <c r="JYA1" s="5"/>
      <c r="JYB1" s="5"/>
      <c r="JYC1" s="5"/>
      <c r="JYD1" s="5"/>
      <c r="JYE1" s="5"/>
      <c r="JYF1" s="5"/>
      <c r="JYG1" s="5"/>
      <c r="JYH1" s="5"/>
      <c r="JYI1" s="5"/>
      <c r="JYJ1" s="5"/>
      <c r="JYK1" s="5"/>
      <c r="JYL1" s="5"/>
      <c r="JYM1" s="5"/>
      <c r="JYN1" s="5"/>
      <c r="JYO1" s="5"/>
      <c r="JYP1" s="5"/>
      <c r="JYQ1" s="5"/>
      <c r="JYR1" s="5"/>
      <c r="JYS1" s="5"/>
      <c r="JYT1" s="5"/>
      <c r="JYU1" s="5"/>
      <c r="JYV1" s="5"/>
      <c r="JYW1" s="5"/>
      <c r="JYX1" s="5"/>
      <c r="JYY1" s="5"/>
      <c r="JYZ1" s="5"/>
      <c r="JZA1" s="5"/>
      <c r="JZB1" s="5"/>
      <c r="JZC1" s="5"/>
      <c r="JZD1" s="5"/>
      <c r="JZE1" s="5"/>
      <c r="JZF1" s="5"/>
      <c r="JZG1" s="5"/>
      <c r="JZH1" s="5"/>
      <c r="JZI1" s="5"/>
      <c r="JZJ1" s="5"/>
      <c r="JZK1" s="5"/>
      <c r="JZL1" s="5"/>
      <c r="JZM1" s="5"/>
      <c r="JZN1" s="5"/>
      <c r="JZO1" s="5"/>
      <c r="JZP1" s="5"/>
      <c r="JZQ1" s="5"/>
      <c r="JZR1" s="5"/>
      <c r="JZS1" s="5"/>
      <c r="JZT1" s="5"/>
      <c r="JZU1" s="5"/>
      <c r="JZV1" s="5"/>
      <c r="JZW1" s="5"/>
      <c r="JZX1" s="5"/>
      <c r="JZY1" s="5"/>
      <c r="JZZ1" s="5"/>
      <c r="KAA1" s="5"/>
      <c r="KAB1" s="5"/>
      <c r="KAC1" s="5"/>
      <c r="KAD1" s="5"/>
      <c r="KAE1" s="5"/>
      <c r="KAF1" s="5"/>
      <c r="KAG1" s="5"/>
      <c r="KAH1" s="5"/>
      <c r="KAI1" s="5"/>
      <c r="KAJ1" s="5"/>
      <c r="KAK1" s="5"/>
      <c r="KAL1" s="5"/>
      <c r="KAM1" s="5"/>
      <c r="KAN1" s="5"/>
      <c r="KAO1" s="5"/>
      <c r="KAP1" s="5"/>
      <c r="KAQ1" s="5"/>
      <c r="KAR1" s="5"/>
      <c r="KAS1" s="5"/>
      <c r="KAT1" s="5"/>
      <c r="KAU1" s="5"/>
      <c r="KAV1" s="5"/>
      <c r="KAW1" s="5"/>
      <c r="KAX1" s="5"/>
      <c r="KAY1" s="5"/>
      <c r="KAZ1" s="5"/>
      <c r="KBA1" s="5"/>
      <c r="KBB1" s="5"/>
      <c r="KBC1" s="5"/>
      <c r="KBD1" s="5"/>
      <c r="KBE1" s="5"/>
      <c r="KBF1" s="5"/>
      <c r="KBG1" s="5"/>
      <c r="KBH1" s="5"/>
      <c r="KBI1" s="5"/>
      <c r="KBJ1" s="5"/>
      <c r="KBK1" s="5"/>
      <c r="KBL1" s="5"/>
      <c r="KBM1" s="5"/>
      <c r="KBN1" s="5"/>
      <c r="KBO1" s="5"/>
      <c r="KBP1" s="5"/>
      <c r="KBQ1" s="5"/>
      <c r="KBR1" s="5"/>
      <c r="KBS1" s="5"/>
      <c r="KBT1" s="5"/>
      <c r="KBU1" s="5"/>
      <c r="KBV1" s="5"/>
      <c r="KBW1" s="5"/>
      <c r="KBX1" s="5"/>
      <c r="KBY1" s="5"/>
      <c r="KBZ1" s="5"/>
      <c r="KCA1" s="5"/>
      <c r="KCB1" s="5"/>
      <c r="KCC1" s="5"/>
      <c r="KCD1" s="5"/>
      <c r="KCE1" s="5"/>
      <c r="KCF1" s="5"/>
      <c r="KCG1" s="5"/>
      <c r="KCH1" s="5"/>
      <c r="KCI1" s="5"/>
      <c r="KCJ1" s="5"/>
      <c r="KCK1" s="5"/>
      <c r="KCL1" s="5"/>
      <c r="KCM1" s="5"/>
      <c r="KCN1" s="5"/>
      <c r="KCO1" s="5"/>
      <c r="KCP1" s="5"/>
      <c r="KCQ1" s="5"/>
      <c r="KCR1" s="5"/>
      <c r="KCS1" s="5"/>
      <c r="KCT1" s="5"/>
      <c r="KCU1" s="5"/>
      <c r="KCV1" s="5"/>
      <c r="KCW1" s="5"/>
      <c r="KCX1" s="5"/>
      <c r="KCY1" s="5"/>
      <c r="KCZ1" s="5"/>
      <c r="KDA1" s="5"/>
      <c r="KDB1" s="5"/>
      <c r="KDC1" s="5"/>
      <c r="KDD1" s="5"/>
      <c r="KDE1" s="5"/>
      <c r="KDF1" s="5"/>
      <c r="KDG1" s="5"/>
      <c r="KDH1" s="5"/>
      <c r="KDI1" s="5"/>
      <c r="KDJ1" s="5"/>
      <c r="KDK1" s="5"/>
      <c r="KDL1" s="5"/>
      <c r="KDM1" s="5"/>
      <c r="KDN1" s="5"/>
      <c r="KDO1" s="5"/>
      <c r="KDP1" s="5"/>
      <c r="KDQ1" s="5"/>
      <c r="KDR1" s="5"/>
      <c r="KDS1" s="5"/>
      <c r="KDT1" s="5"/>
      <c r="KDU1" s="5"/>
      <c r="KDV1" s="5"/>
      <c r="KDW1" s="5"/>
      <c r="KDX1" s="5"/>
      <c r="KDY1" s="5"/>
      <c r="KDZ1" s="5"/>
      <c r="KEA1" s="5"/>
      <c r="KEB1" s="5"/>
      <c r="KEC1" s="5"/>
      <c r="KED1" s="5"/>
      <c r="KEE1" s="5"/>
      <c r="KEF1" s="5"/>
      <c r="KEG1" s="5"/>
      <c r="KEH1" s="5"/>
      <c r="KEI1" s="5"/>
      <c r="KEJ1" s="5"/>
      <c r="KEK1" s="5"/>
      <c r="KEL1" s="5"/>
      <c r="KEM1" s="5"/>
      <c r="KEN1" s="5"/>
      <c r="KEO1" s="5"/>
      <c r="KEP1" s="5"/>
      <c r="KEQ1" s="5"/>
      <c r="KER1" s="5"/>
      <c r="KES1" s="5"/>
      <c r="KET1" s="5"/>
      <c r="KEU1" s="5"/>
      <c r="KEV1" s="5"/>
      <c r="KEW1" s="5"/>
      <c r="KEX1" s="5"/>
      <c r="KEY1" s="5"/>
      <c r="KEZ1" s="5"/>
      <c r="KFA1" s="5"/>
      <c r="KFB1" s="5"/>
      <c r="KFC1" s="5"/>
      <c r="KFD1" s="5"/>
      <c r="KFE1" s="5"/>
      <c r="KFF1" s="5"/>
      <c r="KFG1" s="5"/>
      <c r="KFH1" s="5"/>
      <c r="KFI1" s="5"/>
      <c r="KFJ1" s="5"/>
      <c r="KFK1" s="5"/>
      <c r="KFL1" s="5"/>
      <c r="KFM1" s="5"/>
      <c r="KFN1" s="5"/>
      <c r="KFO1" s="5"/>
      <c r="KFP1" s="5"/>
      <c r="KFQ1" s="5"/>
      <c r="KFR1" s="5"/>
      <c r="KFS1" s="5"/>
      <c r="KFT1" s="5"/>
      <c r="KFU1" s="5"/>
      <c r="KFV1" s="5"/>
      <c r="KFW1" s="5"/>
      <c r="KFX1" s="5"/>
      <c r="KFY1" s="5"/>
      <c r="KFZ1" s="5"/>
      <c r="KGA1" s="5"/>
      <c r="KGB1" s="5"/>
      <c r="KGC1" s="5"/>
      <c r="KGD1" s="5"/>
      <c r="KGE1" s="5"/>
      <c r="KGF1" s="5"/>
      <c r="KGG1" s="5"/>
      <c r="KGH1" s="5"/>
      <c r="KGI1" s="5"/>
      <c r="KGJ1" s="5"/>
      <c r="KGK1" s="5"/>
      <c r="KGL1" s="5"/>
      <c r="KGM1" s="5"/>
      <c r="KGN1" s="5"/>
      <c r="KGO1" s="5"/>
      <c r="KGP1" s="5"/>
      <c r="KGQ1" s="5"/>
      <c r="KGR1" s="5"/>
      <c r="KGS1" s="5"/>
      <c r="KGT1" s="5"/>
      <c r="KGU1" s="5"/>
      <c r="KGV1" s="5"/>
      <c r="KGW1" s="5"/>
      <c r="KGX1" s="5"/>
      <c r="KGY1" s="5"/>
      <c r="KGZ1" s="5"/>
      <c r="KHA1" s="5"/>
      <c r="KHB1" s="5"/>
      <c r="KHC1" s="5"/>
      <c r="KHD1" s="5"/>
      <c r="KHE1" s="5"/>
      <c r="KHF1" s="5"/>
      <c r="KHG1" s="5"/>
      <c r="KHH1" s="5"/>
      <c r="KHI1" s="5"/>
      <c r="KHJ1" s="5"/>
      <c r="KHK1" s="5"/>
      <c r="KHL1" s="5"/>
      <c r="KHM1" s="5"/>
      <c r="KHN1" s="5"/>
      <c r="KHO1" s="5"/>
      <c r="KHP1" s="5"/>
      <c r="KHQ1" s="5"/>
      <c r="KHR1" s="5"/>
      <c r="KHS1" s="5"/>
      <c r="KHT1" s="5"/>
      <c r="KHU1" s="5"/>
      <c r="KHV1" s="5"/>
      <c r="KHW1" s="5"/>
      <c r="KHX1" s="5"/>
      <c r="KHY1" s="5"/>
      <c r="KHZ1" s="5"/>
      <c r="KIA1" s="5"/>
      <c r="KIB1" s="5"/>
      <c r="KIC1" s="5"/>
      <c r="KID1" s="5"/>
      <c r="KIE1" s="5"/>
      <c r="KIF1" s="5"/>
      <c r="KIG1" s="5"/>
      <c r="KIH1" s="5"/>
      <c r="KII1" s="5"/>
      <c r="KIJ1" s="5"/>
      <c r="KIK1" s="5"/>
      <c r="KIL1" s="5"/>
      <c r="KIM1" s="5"/>
      <c r="KIN1" s="5"/>
      <c r="KIO1" s="5"/>
      <c r="KIP1" s="5"/>
      <c r="KIQ1" s="5"/>
      <c r="KIR1" s="5"/>
      <c r="KIS1" s="5"/>
      <c r="KIT1" s="5"/>
      <c r="KIU1" s="5"/>
      <c r="KIV1" s="5"/>
      <c r="KIW1" s="5"/>
      <c r="KIX1" s="5"/>
      <c r="KIY1" s="5"/>
      <c r="KIZ1" s="5"/>
      <c r="KJA1" s="5"/>
      <c r="KJB1" s="5"/>
      <c r="KJC1" s="5"/>
      <c r="KJD1" s="5"/>
      <c r="KJE1" s="5"/>
      <c r="KJF1" s="5"/>
      <c r="KJG1" s="5"/>
      <c r="KJH1" s="5"/>
      <c r="KJI1" s="5"/>
      <c r="KJJ1" s="5"/>
      <c r="KJK1" s="5"/>
      <c r="KJL1" s="5"/>
      <c r="KJM1" s="5"/>
      <c r="KJN1" s="5"/>
      <c r="KJO1" s="5"/>
      <c r="KJP1" s="5"/>
      <c r="KJQ1" s="5"/>
      <c r="KJR1" s="5"/>
      <c r="KJS1" s="5"/>
      <c r="KJT1" s="5"/>
      <c r="KJU1" s="5"/>
      <c r="KJV1" s="5"/>
      <c r="KJW1" s="5"/>
      <c r="KJX1" s="5"/>
      <c r="KJY1" s="5"/>
      <c r="KJZ1" s="5"/>
      <c r="KKA1" s="5"/>
      <c r="KKB1" s="5"/>
      <c r="KKC1" s="5"/>
      <c r="KKD1" s="5"/>
      <c r="KKE1" s="5"/>
      <c r="KKF1" s="5"/>
      <c r="KKG1" s="5"/>
      <c r="KKH1" s="5"/>
      <c r="KKI1" s="5"/>
      <c r="KKJ1" s="5"/>
      <c r="KKK1" s="5"/>
      <c r="KKL1" s="5"/>
      <c r="KKM1" s="5"/>
      <c r="KKN1" s="5"/>
      <c r="KKO1" s="5"/>
      <c r="KKP1" s="5"/>
      <c r="KKQ1" s="5"/>
      <c r="KKR1" s="5"/>
      <c r="KKS1" s="5"/>
      <c r="KKT1" s="5"/>
      <c r="KKU1" s="5"/>
      <c r="KKV1" s="5"/>
      <c r="KKW1" s="5"/>
      <c r="KKX1" s="5"/>
      <c r="KKY1" s="5"/>
      <c r="KKZ1" s="5"/>
      <c r="KLA1" s="5"/>
      <c r="KLB1" s="5"/>
      <c r="KLC1" s="5"/>
      <c r="KLD1" s="5"/>
      <c r="KLE1" s="5"/>
      <c r="KLF1" s="5"/>
      <c r="KLG1" s="5"/>
      <c r="KLH1" s="5"/>
      <c r="KLI1" s="5"/>
      <c r="KLJ1" s="5"/>
      <c r="KLK1" s="5"/>
      <c r="KLL1" s="5"/>
      <c r="KLM1" s="5"/>
      <c r="KLN1" s="5"/>
      <c r="KLO1" s="5"/>
      <c r="KLP1" s="5"/>
      <c r="KLQ1" s="5"/>
      <c r="KLR1" s="5"/>
      <c r="KLS1" s="5"/>
      <c r="KLT1" s="5"/>
      <c r="KLU1" s="5"/>
      <c r="KLV1" s="5"/>
      <c r="KLW1" s="5"/>
      <c r="KLX1" s="5"/>
      <c r="KLY1" s="5"/>
      <c r="KLZ1" s="5"/>
      <c r="KMA1" s="5"/>
      <c r="KMB1" s="5"/>
      <c r="KMC1" s="5"/>
      <c r="KMD1" s="5"/>
      <c r="KME1" s="5"/>
      <c r="KMF1" s="5"/>
      <c r="KMG1" s="5"/>
      <c r="KMH1" s="5"/>
      <c r="KMI1" s="5"/>
      <c r="KMJ1" s="5"/>
      <c r="KMK1" s="5"/>
      <c r="KML1" s="5"/>
      <c r="KMM1" s="5"/>
      <c r="KMN1" s="5"/>
      <c r="KMO1" s="5"/>
      <c r="KMP1" s="5"/>
      <c r="KMQ1" s="5"/>
      <c r="KMR1" s="5"/>
      <c r="KMS1" s="5"/>
      <c r="KMT1" s="5"/>
      <c r="KMU1" s="5"/>
      <c r="KMV1" s="5"/>
      <c r="KMW1" s="5"/>
      <c r="KMX1" s="5"/>
      <c r="KMY1" s="5"/>
      <c r="KMZ1" s="5"/>
      <c r="KNA1" s="5"/>
      <c r="KNB1" s="5"/>
      <c r="KNC1" s="5"/>
      <c r="KND1" s="5"/>
      <c r="KNE1" s="5"/>
      <c r="KNF1" s="5"/>
      <c r="KNG1" s="5"/>
      <c r="KNH1" s="5"/>
      <c r="KNI1" s="5"/>
      <c r="KNJ1" s="5"/>
      <c r="KNK1" s="5"/>
      <c r="KNL1" s="5"/>
      <c r="KNM1" s="5"/>
      <c r="KNN1" s="5"/>
      <c r="KNO1" s="5"/>
      <c r="KNP1" s="5"/>
      <c r="KNQ1" s="5"/>
      <c r="KNR1" s="5"/>
      <c r="KNS1" s="5"/>
      <c r="KNT1" s="5"/>
      <c r="KNU1" s="5"/>
      <c r="KNV1" s="5"/>
      <c r="KNW1" s="5"/>
      <c r="KNX1" s="5"/>
      <c r="KNY1" s="5"/>
      <c r="KNZ1" s="5"/>
      <c r="KOA1" s="5"/>
      <c r="KOB1" s="5"/>
      <c r="KOC1" s="5"/>
      <c r="KOD1" s="5"/>
      <c r="KOE1" s="5"/>
      <c r="KOF1" s="5"/>
      <c r="KOG1" s="5"/>
      <c r="KOH1" s="5"/>
      <c r="KOI1" s="5"/>
      <c r="KOJ1" s="5"/>
      <c r="KOK1" s="5"/>
      <c r="KOL1" s="5"/>
      <c r="KOM1" s="5"/>
      <c r="KON1" s="5"/>
      <c r="KOO1" s="5"/>
      <c r="KOP1" s="5"/>
      <c r="KOQ1" s="5"/>
      <c r="KOR1" s="5"/>
      <c r="KOS1" s="5"/>
      <c r="KOT1" s="5"/>
      <c r="KOU1" s="5"/>
      <c r="KOV1" s="5"/>
      <c r="KOW1" s="5"/>
      <c r="KOX1" s="5"/>
      <c r="KOY1" s="5"/>
      <c r="KOZ1" s="5"/>
      <c r="KPA1" s="5"/>
      <c r="KPB1" s="5"/>
      <c r="KPC1" s="5"/>
      <c r="KPD1" s="5"/>
      <c r="KPE1" s="5"/>
      <c r="KPF1" s="5"/>
      <c r="KPG1" s="5"/>
      <c r="KPH1" s="5"/>
      <c r="KPI1" s="5"/>
      <c r="KPJ1" s="5"/>
      <c r="KPK1" s="5"/>
      <c r="KPL1" s="5"/>
      <c r="KPM1" s="5"/>
      <c r="KPN1" s="5"/>
      <c r="KPO1" s="5"/>
      <c r="KPP1" s="5"/>
      <c r="KPQ1" s="5"/>
      <c r="KPR1" s="5"/>
      <c r="KPS1" s="5"/>
      <c r="KPT1" s="5"/>
      <c r="KPU1" s="5"/>
      <c r="KPV1" s="5"/>
      <c r="KPW1" s="5"/>
      <c r="KPX1" s="5"/>
      <c r="KPY1" s="5"/>
      <c r="KPZ1" s="5"/>
      <c r="KQA1" s="5"/>
      <c r="KQB1" s="5"/>
      <c r="KQC1" s="5"/>
      <c r="KQD1" s="5"/>
      <c r="KQE1" s="5"/>
      <c r="KQF1" s="5"/>
      <c r="KQG1" s="5"/>
      <c r="KQH1" s="5"/>
      <c r="KQI1" s="5"/>
      <c r="KQJ1" s="5"/>
      <c r="KQK1" s="5"/>
      <c r="KQL1" s="5"/>
      <c r="KQM1" s="5"/>
      <c r="KQN1" s="5"/>
      <c r="KQO1" s="5"/>
      <c r="KQP1" s="5"/>
      <c r="KQQ1" s="5"/>
      <c r="KQR1" s="5"/>
      <c r="KQS1" s="5"/>
      <c r="KQT1" s="5"/>
      <c r="KQU1" s="5"/>
      <c r="KQV1" s="5"/>
      <c r="KQW1" s="5"/>
      <c r="KQX1" s="5"/>
      <c r="KQY1" s="5"/>
      <c r="KQZ1" s="5"/>
      <c r="KRA1" s="5"/>
      <c r="KRB1" s="5"/>
      <c r="KRC1" s="5"/>
      <c r="KRD1" s="5"/>
      <c r="KRE1" s="5"/>
      <c r="KRF1" s="5"/>
      <c r="KRG1" s="5"/>
      <c r="KRH1" s="5"/>
      <c r="KRI1" s="5"/>
      <c r="KRJ1" s="5"/>
      <c r="KRK1" s="5"/>
      <c r="KRL1" s="5"/>
      <c r="KRM1" s="5"/>
      <c r="KRN1" s="5"/>
      <c r="KRO1" s="5"/>
      <c r="KRP1" s="5"/>
      <c r="KRQ1" s="5"/>
      <c r="KRR1" s="5"/>
      <c r="KRS1" s="5"/>
      <c r="KRT1" s="5"/>
      <c r="KRU1" s="5"/>
      <c r="KRV1" s="5"/>
      <c r="KRW1" s="5"/>
      <c r="KRX1" s="5"/>
      <c r="KRY1" s="5"/>
      <c r="KRZ1" s="5"/>
      <c r="KSA1" s="5"/>
      <c r="KSB1" s="5"/>
      <c r="KSC1" s="5"/>
      <c r="KSD1" s="5"/>
      <c r="KSE1" s="5"/>
      <c r="KSF1" s="5"/>
      <c r="KSG1" s="5"/>
      <c r="KSH1" s="5"/>
      <c r="KSI1" s="5"/>
      <c r="KSJ1" s="5"/>
      <c r="KSK1" s="5"/>
      <c r="KSL1" s="5"/>
      <c r="KSM1" s="5"/>
      <c r="KSN1" s="5"/>
      <c r="KSO1" s="5"/>
      <c r="KSP1" s="5"/>
      <c r="KSQ1" s="5"/>
      <c r="KSR1" s="5"/>
      <c r="KSS1" s="5"/>
      <c r="KST1" s="5"/>
      <c r="KSU1" s="5"/>
      <c r="KSV1" s="5"/>
      <c r="KSW1" s="5"/>
      <c r="KSX1" s="5"/>
      <c r="KSY1" s="5"/>
      <c r="KSZ1" s="5"/>
      <c r="KTA1" s="5"/>
      <c r="KTB1" s="5"/>
      <c r="KTC1" s="5"/>
      <c r="KTD1" s="5"/>
      <c r="KTE1" s="5"/>
      <c r="KTF1" s="5"/>
      <c r="KTG1" s="5"/>
      <c r="KTH1" s="5"/>
      <c r="KTI1" s="5"/>
      <c r="KTJ1" s="5"/>
      <c r="KTK1" s="5"/>
      <c r="KTL1" s="5"/>
      <c r="KTM1" s="5"/>
      <c r="KTN1" s="5"/>
      <c r="KTO1" s="5"/>
      <c r="KTP1" s="5"/>
      <c r="KTQ1" s="5"/>
      <c r="KTR1" s="5"/>
      <c r="KTS1" s="5"/>
      <c r="KTT1" s="5"/>
      <c r="KTU1" s="5"/>
      <c r="KTV1" s="5"/>
      <c r="KTW1" s="5"/>
      <c r="KTX1" s="5"/>
      <c r="KTY1" s="5"/>
      <c r="KTZ1" s="5"/>
      <c r="KUA1" s="5"/>
      <c r="KUB1" s="5"/>
      <c r="KUC1" s="5"/>
      <c r="KUD1" s="5"/>
      <c r="KUE1" s="5"/>
      <c r="KUF1" s="5"/>
      <c r="KUG1" s="5"/>
      <c r="KUH1" s="5"/>
      <c r="KUI1" s="5"/>
      <c r="KUJ1" s="5"/>
      <c r="KUK1" s="5"/>
      <c r="KUL1" s="5"/>
      <c r="KUM1" s="5"/>
      <c r="KUN1" s="5"/>
      <c r="KUO1" s="5"/>
      <c r="KUP1" s="5"/>
      <c r="KUQ1" s="5"/>
      <c r="KUR1" s="5"/>
      <c r="KUS1" s="5"/>
      <c r="KUT1" s="5"/>
      <c r="KUU1" s="5"/>
      <c r="KUV1" s="5"/>
      <c r="KUW1" s="5"/>
      <c r="KUX1" s="5"/>
      <c r="KUY1" s="5"/>
      <c r="KUZ1" s="5"/>
      <c r="KVA1" s="5"/>
      <c r="KVB1" s="5"/>
      <c r="KVC1" s="5"/>
      <c r="KVD1" s="5"/>
      <c r="KVE1" s="5"/>
      <c r="KVF1" s="5"/>
      <c r="KVG1" s="5"/>
      <c r="KVH1" s="5"/>
      <c r="KVI1" s="5"/>
      <c r="KVJ1" s="5"/>
      <c r="KVK1" s="5"/>
      <c r="KVL1" s="5"/>
      <c r="KVM1" s="5"/>
      <c r="KVN1" s="5"/>
      <c r="KVO1" s="5"/>
      <c r="KVP1" s="5"/>
      <c r="KVQ1" s="5"/>
      <c r="KVR1" s="5"/>
      <c r="KVS1" s="5"/>
      <c r="KVT1" s="5"/>
      <c r="KVU1" s="5"/>
      <c r="KVV1" s="5"/>
      <c r="KVW1" s="5"/>
      <c r="KVX1" s="5"/>
      <c r="KVY1" s="5"/>
      <c r="KVZ1" s="5"/>
      <c r="KWA1" s="5"/>
      <c r="KWB1" s="5"/>
      <c r="KWC1" s="5"/>
      <c r="KWD1" s="5"/>
      <c r="KWE1" s="5"/>
      <c r="KWF1" s="5"/>
      <c r="KWG1" s="5"/>
      <c r="KWH1" s="5"/>
      <c r="KWI1" s="5"/>
      <c r="KWJ1" s="5"/>
      <c r="KWK1" s="5"/>
      <c r="KWL1" s="5"/>
      <c r="KWM1" s="5"/>
      <c r="KWN1" s="5"/>
      <c r="KWO1" s="5"/>
      <c r="KWP1" s="5"/>
      <c r="KWQ1" s="5"/>
      <c r="KWR1" s="5"/>
      <c r="KWS1" s="5"/>
      <c r="KWT1" s="5"/>
      <c r="KWU1" s="5"/>
      <c r="KWV1" s="5"/>
      <c r="KWW1" s="5"/>
      <c r="KWX1" s="5"/>
      <c r="KWY1" s="5"/>
      <c r="KWZ1" s="5"/>
      <c r="KXA1" s="5"/>
      <c r="KXB1" s="5"/>
      <c r="KXC1" s="5"/>
      <c r="KXD1" s="5"/>
      <c r="KXE1" s="5"/>
      <c r="KXF1" s="5"/>
      <c r="KXG1" s="5"/>
      <c r="KXH1" s="5"/>
      <c r="KXI1" s="5"/>
      <c r="KXJ1" s="5"/>
      <c r="KXK1" s="5"/>
      <c r="KXL1" s="5"/>
      <c r="KXM1" s="5"/>
      <c r="KXN1" s="5"/>
      <c r="KXO1" s="5"/>
      <c r="KXP1" s="5"/>
      <c r="KXQ1" s="5"/>
      <c r="KXR1" s="5"/>
      <c r="KXS1" s="5"/>
      <c r="KXT1" s="5"/>
      <c r="KXU1" s="5"/>
      <c r="KXV1" s="5"/>
      <c r="KXW1" s="5"/>
      <c r="KXX1" s="5"/>
      <c r="KXY1" s="5"/>
      <c r="KXZ1" s="5"/>
      <c r="KYA1" s="5"/>
      <c r="KYB1" s="5"/>
      <c r="KYC1" s="5"/>
      <c r="KYD1" s="5"/>
      <c r="KYE1" s="5"/>
      <c r="KYF1" s="5"/>
      <c r="KYG1" s="5"/>
      <c r="KYH1" s="5"/>
      <c r="KYI1" s="5"/>
      <c r="KYJ1" s="5"/>
      <c r="KYK1" s="5"/>
      <c r="KYL1" s="5"/>
      <c r="KYM1" s="5"/>
      <c r="KYN1" s="5"/>
      <c r="KYO1" s="5"/>
      <c r="KYP1" s="5"/>
      <c r="KYQ1" s="5"/>
      <c r="KYR1" s="5"/>
      <c r="KYS1" s="5"/>
      <c r="KYT1" s="5"/>
      <c r="KYU1" s="5"/>
      <c r="KYV1" s="5"/>
      <c r="KYW1" s="5"/>
      <c r="KYX1" s="5"/>
      <c r="KYY1" s="5"/>
      <c r="KYZ1" s="5"/>
      <c r="KZA1" s="5"/>
      <c r="KZB1" s="5"/>
      <c r="KZC1" s="5"/>
      <c r="KZD1" s="5"/>
      <c r="KZE1" s="5"/>
      <c r="KZF1" s="5"/>
      <c r="KZG1" s="5"/>
      <c r="KZH1" s="5"/>
      <c r="KZI1" s="5"/>
      <c r="KZJ1" s="5"/>
      <c r="KZK1" s="5"/>
      <c r="KZL1" s="5"/>
      <c r="KZM1" s="5"/>
      <c r="KZN1" s="5"/>
      <c r="KZO1" s="5"/>
      <c r="KZP1" s="5"/>
      <c r="KZQ1" s="5"/>
      <c r="KZR1" s="5"/>
      <c r="KZS1" s="5"/>
      <c r="KZT1" s="5"/>
      <c r="KZU1" s="5"/>
      <c r="KZV1" s="5"/>
      <c r="KZW1" s="5"/>
      <c r="KZX1" s="5"/>
      <c r="KZY1" s="5"/>
      <c r="KZZ1" s="5"/>
      <c r="LAA1" s="5"/>
      <c r="LAB1" s="5"/>
      <c r="LAC1" s="5"/>
      <c r="LAD1" s="5"/>
      <c r="LAE1" s="5"/>
      <c r="LAF1" s="5"/>
      <c r="LAG1" s="5"/>
      <c r="LAH1" s="5"/>
      <c r="LAI1" s="5"/>
      <c r="LAJ1" s="5"/>
      <c r="LAK1" s="5"/>
      <c r="LAL1" s="5"/>
      <c r="LAM1" s="5"/>
      <c r="LAN1" s="5"/>
      <c r="LAO1" s="5"/>
      <c r="LAP1" s="5"/>
      <c r="LAQ1" s="5"/>
      <c r="LAR1" s="5"/>
      <c r="LAS1" s="5"/>
      <c r="LAT1" s="5"/>
      <c r="LAU1" s="5"/>
      <c r="LAV1" s="5"/>
      <c r="LAW1" s="5"/>
      <c r="LAX1" s="5"/>
      <c r="LAY1" s="5"/>
      <c r="LAZ1" s="5"/>
      <c r="LBA1" s="5"/>
      <c r="LBB1" s="5"/>
      <c r="LBC1" s="5"/>
      <c r="LBD1" s="5"/>
      <c r="LBE1" s="5"/>
      <c r="LBF1" s="5"/>
      <c r="LBG1" s="5"/>
      <c r="LBH1" s="5"/>
      <c r="LBI1" s="5"/>
      <c r="LBJ1" s="5"/>
      <c r="LBK1" s="5"/>
      <c r="LBL1" s="5"/>
      <c r="LBM1" s="5"/>
      <c r="LBN1" s="5"/>
      <c r="LBO1" s="5"/>
      <c r="LBP1" s="5"/>
      <c r="LBQ1" s="5"/>
      <c r="LBR1" s="5"/>
      <c r="LBS1" s="5"/>
      <c r="LBT1" s="5"/>
      <c r="LBU1" s="5"/>
      <c r="LBV1" s="5"/>
      <c r="LBW1" s="5"/>
      <c r="LBX1" s="5"/>
      <c r="LBY1" s="5"/>
      <c r="LBZ1" s="5"/>
      <c r="LCA1" s="5"/>
      <c r="LCB1" s="5"/>
      <c r="LCC1" s="5"/>
      <c r="LCD1" s="5"/>
      <c r="LCE1" s="5"/>
      <c r="LCF1" s="5"/>
      <c r="LCG1" s="5"/>
      <c r="LCH1" s="5"/>
      <c r="LCI1" s="5"/>
      <c r="LCJ1" s="5"/>
      <c r="LCK1" s="5"/>
      <c r="LCL1" s="5"/>
      <c r="LCM1" s="5"/>
      <c r="LCN1" s="5"/>
      <c r="LCO1" s="5"/>
      <c r="LCP1" s="5"/>
      <c r="LCQ1" s="5"/>
      <c r="LCR1" s="5"/>
      <c r="LCS1" s="5"/>
      <c r="LCT1" s="5"/>
      <c r="LCU1" s="5"/>
      <c r="LCV1" s="5"/>
      <c r="LCW1" s="5"/>
      <c r="LCX1" s="5"/>
      <c r="LCY1" s="5"/>
      <c r="LCZ1" s="5"/>
      <c r="LDA1" s="5"/>
      <c r="LDB1" s="5"/>
      <c r="LDC1" s="5"/>
      <c r="LDD1" s="5"/>
      <c r="LDE1" s="5"/>
      <c r="LDF1" s="5"/>
      <c r="LDG1" s="5"/>
      <c r="LDH1" s="5"/>
      <c r="LDI1" s="5"/>
      <c r="LDJ1" s="5"/>
      <c r="LDK1" s="5"/>
      <c r="LDL1" s="5"/>
      <c r="LDM1" s="5"/>
      <c r="LDN1" s="5"/>
      <c r="LDO1" s="5"/>
      <c r="LDP1" s="5"/>
      <c r="LDQ1" s="5"/>
      <c r="LDR1" s="5"/>
      <c r="LDS1" s="5"/>
      <c r="LDT1" s="5"/>
      <c r="LDU1" s="5"/>
      <c r="LDV1" s="5"/>
      <c r="LDW1" s="5"/>
      <c r="LDX1" s="5"/>
      <c r="LDY1" s="5"/>
      <c r="LDZ1" s="5"/>
      <c r="LEA1" s="5"/>
      <c r="LEB1" s="5"/>
      <c r="LEC1" s="5"/>
      <c r="LED1" s="5"/>
      <c r="LEE1" s="5"/>
      <c r="LEF1" s="5"/>
      <c r="LEG1" s="5"/>
      <c r="LEH1" s="5"/>
      <c r="LEI1" s="5"/>
      <c r="LEJ1" s="5"/>
      <c r="LEK1" s="5"/>
      <c r="LEL1" s="5"/>
      <c r="LEM1" s="5"/>
      <c r="LEN1" s="5"/>
      <c r="LEO1" s="5"/>
      <c r="LEP1" s="5"/>
      <c r="LEQ1" s="5"/>
      <c r="LER1" s="5"/>
      <c r="LES1" s="5"/>
      <c r="LET1" s="5"/>
      <c r="LEU1" s="5"/>
      <c r="LEV1" s="5"/>
      <c r="LEW1" s="5"/>
      <c r="LEX1" s="5"/>
      <c r="LEY1" s="5"/>
      <c r="LEZ1" s="5"/>
      <c r="LFA1" s="5"/>
      <c r="LFB1" s="5"/>
      <c r="LFC1" s="5"/>
      <c r="LFD1" s="5"/>
      <c r="LFE1" s="5"/>
      <c r="LFF1" s="5"/>
      <c r="LFG1" s="5"/>
      <c r="LFH1" s="5"/>
      <c r="LFI1" s="5"/>
      <c r="LFJ1" s="5"/>
      <c r="LFK1" s="5"/>
      <c r="LFL1" s="5"/>
      <c r="LFM1" s="5"/>
      <c r="LFN1" s="5"/>
      <c r="LFO1" s="5"/>
      <c r="LFP1" s="5"/>
      <c r="LFQ1" s="5"/>
      <c r="LFR1" s="5"/>
      <c r="LFS1" s="5"/>
      <c r="LFT1" s="5"/>
      <c r="LFU1" s="5"/>
      <c r="LFV1" s="5"/>
      <c r="LFW1" s="5"/>
      <c r="LFX1" s="5"/>
      <c r="LFY1" s="5"/>
      <c r="LFZ1" s="5"/>
      <c r="LGA1" s="5"/>
      <c r="LGB1" s="5"/>
      <c r="LGC1" s="5"/>
      <c r="LGD1" s="5"/>
      <c r="LGE1" s="5"/>
      <c r="LGF1" s="5"/>
      <c r="LGG1" s="5"/>
      <c r="LGH1" s="5"/>
      <c r="LGI1" s="5"/>
      <c r="LGJ1" s="5"/>
      <c r="LGK1" s="5"/>
      <c r="LGL1" s="5"/>
      <c r="LGM1" s="5"/>
      <c r="LGN1" s="5"/>
      <c r="LGO1" s="5"/>
      <c r="LGP1" s="5"/>
      <c r="LGQ1" s="5"/>
      <c r="LGR1" s="5"/>
      <c r="LGS1" s="5"/>
      <c r="LGT1" s="5"/>
      <c r="LGU1" s="5"/>
      <c r="LGV1" s="5"/>
      <c r="LGW1" s="5"/>
      <c r="LGX1" s="5"/>
      <c r="LGY1" s="5"/>
      <c r="LGZ1" s="5"/>
      <c r="LHA1" s="5"/>
      <c r="LHB1" s="5"/>
      <c r="LHC1" s="5"/>
      <c r="LHD1" s="5"/>
      <c r="LHE1" s="5"/>
      <c r="LHF1" s="5"/>
      <c r="LHG1" s="5"/>
      <c r="LHH1" s="5"/>
      <c r="LHI1" s="5"/>
      <c r="LHJ1" s="5"/>
      <c r="LHK1" s="5"/>
      <c r="LHL1" s="5"/>
      <c r="LHM1" s="5"/>
      <c r="LHN1" s="5"/>
      <c r="LHO1" s="5"/>
      <c r="LHP1" s="5"/>
      <c r="LHQ1" s="5"/>
      <c r="LHR1" s="5"/>
      <c r="LHS1" s="5"/>
      <c r="LHT1" s="5"/>
      <c r="LHU1" s="5"/>
      <c r="LHV1" s="5"/>
      <c r="LHW1" s="5"/>
      <c r="LHX1" s="5"/>
      <c r="LHY1" s="5"/>
      <c r="LHZ1" s="5"/>
      <c r="LIA1" s="5"/>
      <c r="LIB1" s="5"/>
      <c r="LIC1" s="5"/>
      <c r="LID1" s="5"/>
      <c r="LIE1" s="5"/>
      <c r="LIF1" s="5"/>
      <c r="LIG1" s="5"/>
      <c r="LIH1" s="5"/>
      <c r="LII1" s="5"/>
      <c r="LIJ1" s="5"/>
      <c r="LIK1" s="5"/>
      <c r="LIL1" s="5"/>
      <c r="LIM1" s="5"/>
      <c r="LIN1" s="5"/>
      <c r="LIO1" s="5"/>
      <c r="LIP1" s="5"/>
      <c r="LIQ1" s="5"/>
      <c r="LIR1" s="5"/>
      <c r="LIS1" s="5"/>
      <c r="LIT1" s="5"/>
      <c r="LIU1" s="5"/>
      <c r="LIV1" s="5"/>
      <c r="LIW1" s="5"/>
      <c r="LIX1" s="5"/>
      <c r="LIY1" s="5"/>
      <c r="LIZ1" s="5"/>
      <c r="LJA1" s="5"/>
      <c r="LJB1" s="5"/>
      <c r="LJC1" s="5"/>
      <c r="LJD1" s="5"/>
      <c r="LJE1" s="5"/>
      <c r="LJF1" s="5"/>
      <c r="LJG1" s="5"/>
      <c r="LJH1" s="5"/>
      <c r="LJI1" s="5"/>
      <c r="LJJ1" s="5"/>
      <c r="LJK1" s="5"/>
      <c r="LJL1" s="5"/>
      <c r="LJM1" s="5"/>
      <c r="LJN1" s="5"/>
      <c r="LJO1" s="5"/>
      <c r="LJP1" s="5"/>
      <c r="LJQ1" s="5"/>
      <c r="LJR1" s="5"/>
      <c r="LJS1" s="5"/>
      <c r="LJT1" s="5"/>
      <c r="LJU1" s="5"/>
      <c r="LJV1" s="5"/>
      <c r="LJW1" s="5"/>
      <c r="LJX1" s="5"/>
      <c r="LJY1" s="5"/>
      <c r="LJZ1" s="5"/>
      <c r="LKA1" s="5"/>
      <c r="LKB1" s="5"/>
      <c r="LKC1" s="5"/>
      <c r="LKD1" s="5"/>
      <c r="LKE1" s="5"/>
      <c r="LKF1" s="5"/>
      <c r="LKG1" s="5"/>
      <c r="LKH1" s="5"/>
      <c r="LKI1" s="5"/>
      <c r="LKJ1" s="5"/>
      <c r="LKK1" s="5"/>
      <c r="LKL1" s="5"/>
      <c r="LKM1" s="5"/>
      <c r="LKN1" s="5"/>
      <c r="LKO1" s="5"/>
      <c r="LKP1" s="5"/>
      <c r="LKQ1" s="5"/>
      <c r="LKR1" s="5"/>
      <c r="LKS1" s="5"/>
      <c r="LKT1" s="5"/>
      <c r="LKU1" s="5"/>
      <c r="LKV1" s="5"/>
      <c r="LKW1" s="5"/>
      <c r="LKX1" s="5"/>
      <c r="LKY1" s="5"/>
      <c r="LKZ1" s="5"/>
      <c r="LLA1" s="5"/>
      <c r="LLB1" s="5"/>
      <c r="LLC1" s="5"/>
      <c r="LLD1" s="5"/>
      <c r="LLE1" s="5"/>
      <c r="LLF1" s="5"/>
      <c r="LLG1" s="5"/>
      <c r="LLH1" s="5"/>
      <c r="LLI1" s="5"/>
      <c r="LLJ1" s="5"/>
      <c r="LLK1" s="5"/>
      <c r="LLL1" s="5"/>
      <c r="LLM1" s="5"/>
      <c r="LLN1" s="5"/>
      <c r="LLO1" s="5"/>
      <c r="LLP1" s="5"/>
      <c r="LLQ1" s="5"/>
      <c r="LLR1" s="5"/>
      <c r="LLS1" s="5"/>
      <c r="LLT1" s="5"/>
      <c r="LLU1" s="5"/>
      <c r="LLV1" s="5"/>
      <c r="LLW1" s="5"/>
      <c r="LLX1" s="5"/>
      <c r="LLY1" s="5"/>
      <c r="LLZ1" s="5"/>
      <c r="LMA1" s="5"/>
      <c r="LMB1" s="5"/>
      <c r="LMC1" s="5"/>
      <c r="LMD1" s="5"/>
      <c r="LME1" s="5"/>
      <c r="LMF1" s="5"/>
      <c r="LMG1" s="5"/>
      <c r="LMH1" s="5"/>
      <c r="LMI1" s="5"/>
      <c r="LMJ1" s="5"/>
      <c r="LMK1" s="5"/>
      <c r="LML1" s="5"/>
      <c r="LMM1" s="5"/>
      <c r="LMN1" s="5"/>
      <c r="LMO1" s="5"/>
      <c r="LMP1" s="5"/>
      <c r="LMQ1" s="5"/>
      <c r="LMR1" s="5"/>
      <c r="LMS1" s="5"/>
      <c r="LMT1" s="5"/>
      <c r="LMU1" s="5"/>
      <c r="LMV1" s="5"/>
      <c r="LMW1" s="5"/>
      <c r="LMX1" s="5"/>
      <c r="LMY1" s="5"/>
      <c r="LMZ1" s="5"/>
      <c r="LNA1" s="5"/>
      <c r="LNB1" s="5"/>
      <c r="LNC1" s="5"/>
      <c r="LND1" s="5"/>
      <c r="LNE1" s="5"/>
      <c r="LNF1" s="5"/>
      <c r="LNG1" s="5"/>
      <c r="LNH1" s="5"/>
      <c r="LNI1" s="5"/>
      <c r="LNJ1" s="5"/>
      <c r="LNK1" s="5"/>
      <c r="LNL1" s="5"/>
      <c r="LNM1" s="5"/>
      <c r="LNN1" s="5"/>
      <c r="LNO1" s="5"/>
      <c r="LNP1" s="5"/>
      <c r="LNQ1" s="5"/>
      <c r="LNR1" s="5"/>
      <c r="LNS1" s="5"/>
      <c r="LNT1" s="5"/>
      <c r="LNU1" s="5"/>
      <c r="LNV1" s="5"/>
      <c r="LNW1" s="5"/>
      <c r="LNX1" s="5"/>
      <c r="LNY1" s="5"/>
      <c r="LNZ1" s="5"/>
      <c r="LOA1" s="5"/>
      <c r="LOB1" s="5"/>
      <c r="LOC1" s="5"/>
      <c r="LOD1" s="5"/>
      <c r="LOE1" s="5"/>
      <c r="LOF1" s="5"/>
      <c r="LOG1" s="5"/>
      <c r="LOH1" s="5"/>
      <c r="LOI1" s="5"/>
      <c r="LOJ1" s="5"/>
      <c r="LOK1" s="5"/>
      <c r="LOL1" s="5"/>
      <c r="LOM1" s="5"/>
      <c r="LON1" s="5"/>
      <c r="LOO1" s="5"/>
      <c r="LOP1" s="5"/>
      <c r="LOQ1" s="5"/>
      <c r="LOR1" s="5"/>
      <c r="LOS1" s="5"/>
      <c r="LOT1" s="5"/>
      <c r="LOU1" s="5"/>
      <c r="LOV1" s="5"/>
      <c r="LOW1" s="5"/>
      <c r="LOX1" s="5"/>
      <c r="LOY1" s="5"/>
      <c r="LOZ1" s="5"/>
      <c r="LPA1" s="5"/>
      <c r="LPB1" s="5"/>
      <c r="LPC1" s="5"/>
      <c r="LPD1" s="5"/>
      <c r="LPE1" s="5"/>
      <c r="LPF1" s="5"/>
      <c r="LPG1" s="5"/>
      <c r="LPH1" s="5"/>
      <c r="LPI1" s="5"/>
      <c r="LPJ1" s="5"/>
      <c r="LPK1" s="5"/>
      <c r="LPL1" s="5"/>
      <c r="LPM1" s="5"/>
      <c r="LPN1" s="5"/>
      <c r="LPO1" s="5"/>
      <c r="LPP1" s="5"/>
      <c r="LPQ1" s="5"/>
      <c r="LPR1" s="5"/>
      <c r="LPS1" s="5"/>
      <c r="LPT1" s="5"/>
      <c r="LPU1" s="5"/>
      <c r="LPV1" s="5"/>
      <c r="LPW1" s="5"/>
      <c r="LPX1" s="5"/>
      <c r="LPY1" s="5"/>
      <c r="LPZ1" s="5"/>
      <c r="LQA1" s="5"/>
      <c r="LQB1" s="5"/>
      <c r="LQC1" s="5"/>
      <c r="LQD1" s="5"/>
      <c r="LQE1" s="5"/>
      <c r="LQF1" s="5"/>
      <c r="LQG1" s="5"/>
      <c r="LQH1" s="5"/>
      <c r="LQI1" s="5"/>
      <c r="LQJ1" s="5"/>
      <c r="LQK1" s="5"/>
      <c r="LQL1" s="5"/>
      <c r="LQM1" s="5"/>
      <c r="LQN1" s="5"/>
      <c r="LQO1" s="5"/>
      <c r="LQP1" s="5"/>
      <c r="LQQ1" s="5"/>
      <c r="LQR1" s="5"/>
      <c r="LQS1" s="5"/>
      <c r="LQT1" s="5"/>
      <c r="LQU1" s="5"/>
      <c r="LQV1" s="5"/>
      <c r="LQW1" s="5"/>
      <c r="LQX1" s="5"/>
      <c r="LQY1" s="5"/>
      <c r="LQZ1" s="5"/>
      <c r="LRA1" s="5"/>
      <c r="LRB1" s="5"/>
      <c r="LRC1" s="5"/>
      <c r="LRD1" s="5"/>
      <c r="LRE1" s="5"/>
      <c r="LRF1" s="5"/>
      <c r="LRG1" s="5"/>
      <c r="LRH1" s="5"/>
      <c r="LRI1" s="5"/>
      <c r="LRJ1" s="5"/>
      <c r="LRK1" s="5"/>
      <c r="LRL1" s="5"/>
      <c r="LRM1" s="5"/>
      <c r="LRN1" s="5"/>
      <c r="LRO1" s="5"/>
      <c r="LRP1" s="5"/>
      <c r="LRQ1" s="5"/>
      <c r="LRR1" s="5"/>
      <c r="LRS1" s="5"/>
      <c r="LRT1" s="5"/>
      <c r="LRU1" s="5"/>
      <c r="LRV1" s="5"/>
      <c r="LRW1" s="5"/>
      <c r="LRX1" s="5"/>
      <c r="LRY1" s="5"/>
      <c r="LRZ1" s="5"/>
      <c r="LSA1" s="5"/>
      <c r="LSB1" s="5"/>
      <c r="LSC1" s="5"/>
      <c r="LSD1" s="5"/>
      <c r="LSE1" s="5"/>
      <c r="LSF1" s="5"/>
      <c r="LSG1" s="5"/>
      <c r="LSH1" s="5"/>
      <c r="LSI1" s="5"/>
      <c r="LSJ1" s="5"/>
      <c r="LSK1" s="5"/>
      <c r="LSL1" s="5"/>
      <c r="LSM1" s="5"/>
      <c r="LSN1" s="5"/>
      <c r="LSO1" s="5"/>
      <c r="LSP1" s="5"/>
      <c r="LSQ1" s="5"/>
      <c r="LSR1" s="5"/>
      <c r="LSS1" s="5"/>
      <c r="LST1" s="5"/>
      <c r="LSU1" s="5"/>
      <c r="LSV1" s="5"/>
      <c r="LSW1" s="5"/>
      <c r="LSX1" s="5"/>
      <c r="LSY1" s="5"/>
      <c r="LSZ1" s="5"/>
      <c r="LTA1" s="5"/>
      <c r="LTB1" s="5"/>
      <c r="LTC1" s="5"/>
      <c r="LTD1" s="5"/>
      <c r="LTE1" s="5"/>
      <c r="LTF1" s="5"/>
      <c r="LTG1" s="5"/>
      <c r="LTH1" s="5"/>
      <c r="LTI1" s="5"/>
      <c r="LTJ1" s="5"/>
      <c r="LTK1" s="5"/>
      <c r="LTL1" s="5"/>
      <c r="LTM1" s="5"/>
      <c r="LTN1" s="5"/>
      <c r="LTO1" s="5"/>
      <c r="LTP1" s="5"/>
      <c r="LTQ1" s="5"/>
      <c r="LTR1" s="5"/>
      <c r="LTS1" s="5"/>
      <c r="LTT1" s="5"/>
      <c r="LTU1" s="5"/>
      <c r="LTV1" s="5"/>
      <c r="LTW1" s="5"/>
      <c r="LTX1" s="5"/>
      <c r="LTY1" s="5"/>
      <c r="LTZ1" s="5"/>
      <c r="LUA1" s="5"/>
      <c r="LUB1" s="5"/>
      <c r="LUC1" s="5"/>
      <c r="LUD1" s="5"/>
      <c r="LUE1" s="5"/>
      <c r="LUF1" s="5"/>
      <c r="LUG1" s="5"/>
      <c r="LUH1" s="5"/>
      <c r="LUI1" s="5"/>
      <c r="LUJ1" s="5"/>
      <c r="LUK1" s="5"/>
      <c r="LUL1" s="5"/>
      <c r="LUM1" s="5"/>
      <c r="LUN1" s="5"/>
      <c r="LUO1" s="5"/>
      <c r="LUP1" s="5"/>
      <c r="LUQ1" s="5"/>
      <c r="LUR1" s="5"/>
      <c r="LUS1" s="5"/>
      <c r="LUT1" s="5"/>
      <c r="LUU1" s="5"/>
      <c r="LUV1" s="5"/>
      <c r="LUW1" s="5"/>
      <c r="LUX1" s="5"/>
      <c r="LUY1" s="5"/>
      <c r="LUZ1" s="5"/>
      <c r="LVA1" s="5"/>
      <c r="LVB1" s="5"/>
      <c r="LVC1" s="5"/>
      <c r="LVD1" s="5"/>
      <c r="LVE1" s="5"/>
      <c r="LVF1" s="5"/>
      <c r="LVG1" s="5"/>
      <c r="LVH1" s="5"/>
      <c r="LVI1" s="5"/>
      <c r="LVJ1" s="5"/>
      <c r="LVK1" s="5"/>
      <c r="LVL1" s="5"/>
      <c r="LVM1" s="5"/>
      <c r="LVN1" s="5"/>
      <c r="LVO1" s="5"/>
      <c r="LVP1" s="5"/>
      <c r="LVQ1" s="5"/>
      <c r="LVR1" s="5"/>
      <c r="LVS1" s="5"/>
      <c r="LVT1" s="5"/>
      <c r="LVU1" s="5"/>
      <c r="LVV1" s="5"/>
      <c r="LVW1" s="5"/>
      <c r="LVX1" s="5"/>
      <c r="LVY1" s="5"/>
      <c r="LVZ1" s="5"/>
      <c r="LWA1" s="5"/>
      <c r="LWB1" s="5"/>
      <c r="LWC1" s="5"/>
      <c r="LWD1" s="5"/>
      <c r="LWE1" s="5"/>
      <c r="LWF1" s="5"/>
      <c r="LWG1" s="5"/>
      <c r="LWH1" s="5"/>
      <c r="LWI1" s="5"/>
      <c r="LWJ1" s="5"/>
      <c r="LWK1" s="5"/>
      <c r="LWL1" s="5"/>
      <c r="LWM1" s="5"/>
      <c r="LWN1" s="5"/>
      <c r="LWO1" s="5"/>
      <c r="LWP1" s="5"/>
      <c r="LWQ1" s="5"/>
      <c r="LWR1" s="5"/>
      <c r="LWS1" s="5"/>
      <c r="LWT1" s="5"/>
      <c r="LWU1" s="5"/>
      <c r="LWV1" s="5"/>
      <c r="LWW1" s="5"/>
      <c r="LWX1" s="5"/>
      <c r="LWY1" s="5"/>
      <c r="LWZ1" s="5"/>
      <c r="LXA1" s="5"/>
      <c r="LXB1" s="5"/>
      <c r="LXC1" s="5"/>
      <c r="LXD1" s="5"/>
      <c r="LXE1" s="5"/>
      <c r="LXF1" s="5"/>
      <c r="LXG1" s="5"/>
      <c r="LXH1" s="5"/>
      <c r="LXI1" s="5"/>
      <c r="LXJ1" s="5"/>
      <c r="LXK1" s="5"/>
      <c r="LXL1" s="5"/>
      <c r="LXM1" s="5"/>
      <c r="LXN1" s="5"/>
      <c r="LXO1" s="5"/>
      <c r="LXP1" s="5"/>
      <c r="LXQ1" s="5"/>
      <c r="LXR1" s="5"/>
      <c r="LXS1" s="5"/>
      <c r="LXT1" s="5"/>
      <c r="LXU1" s="5"/>
      <c r="LXV1" s="5"/>
      <c r="LXW1" s="5"/>
      <c r="LXX1" s="5"/>
      <c r="LXY1" s="5"/>
      <c r="LXZ1" s="5"/>
      <c r="LYA1" s="5"/>
      <c r="LYB1" s="5"/>
      <c r="LYC1" s="5"/>
      <c r="LYD1" s="5"/>
      <c r="LYE1" s="5"/>
      <c r="LYF1" s="5"/>
      <c r="LYG1" s="5"/>
      <c r="LYH1" s="5"/>
      <c r="LYI1" s="5"/>
      <c r="LYJ1" s="5"/>
      <c r="LYK1" s="5"/>
      <c r="LYL1" s="5"/>
      <c r="LYM1" s="5"/>
      <c r="LYN1" s="5"/>
      <c r="LYO1" s="5"/>
      <c r="LYP1" s="5"/>
      <c r="LYQ1" s="5"/>
      <c r="LYR1" s="5"/>
      <c r="LYS1" s="5"/>
      <c r="LYT1" s="5"/>
      <c r="LYU1" s="5"/>
      <c r="LYV1" s="5"/>
      <c r="LYW1" s="5"/>
      <c r="LYX1" s="5"/>
      <c r="LYY1" s="5"/>
      <c r="LYZ1" s="5"/>
      <c r="LZA1" s="5"/>
      <c r="LZB1" s="5"/>
      <c r="LZC1" s="5"/>
      <c r="LZD1" s="5"/>
      <c r="LZE1" s="5"/>
      <c r="LZF1" s="5"/>
      <c r="LZG1" s="5"/>
      <c r="LZH1" s="5"/>
      <c r="LZI1" s="5"/>
      <c r="LZJ1" s="5"/>
      <c r="LZK1" s="5"/>
      <c r="LZL1" s="5"/>
      <c r="LZM1" s="5"/>
      <c r="LZN1" s="5"/>
      <c r="LZO1" s="5"/>
      <c r="LZP1" s="5"/>
      <c r="LZQ1" s="5"/>
      <c r="LZR1" s="5"/>
      <c r="LZS1" s="5"/>
      <c r="LZT1" s="5"/>
      <c r="LZU1" s="5"/>
      <c r="LZV1" s="5"/>
      <c r="LZW1" s="5"/>
      <c r="LZX1" s="5"/>
      <c r="LZY1" s="5"/>
      <c r="LZZ1" s="5"/>
      <c r="MAA1" s="5"/>
      <c r="MAB1" s="5"/>
      <c r="MAC1" s="5"/>
      <c r="MAD1" s="5"/>
      <c r="MAE1" s="5"/>
      <c r="MAF1" s="5"/>
      <c r="MAG1" s="5"/>
      <c r="MAH1" s="5"/>
      <c r="MAI1" s="5"/>
      <c r="MAJ1" s="5"/>
      <c r="MAK1" s="5"/>
      <c r="MAL1" s="5"/>
      <c r="MAM1" s="5"/>
      <c r="MAN1" s="5"/>
      <c r="MAO1" s="5"/>
      <c r="MAP1" s="5"/>
      <c r="MAQ1" s="5"/>
      <c r="MAR1" s="5"/>
      <c r="MAS1" s="5"/>
      <c r="MAT1" s="5"/>
      <c r="MAU1" s="5"/>
      <c r="MAV1" s="5"/>
      <c r="MAW1" s="5"/>
      <c r="MAX1" s="5"/>
      <c r="MAY1" s="5"/>
      <c r="MAZ1" s="5"/>
      <c r="MBA1" s="5"/>
      <c r="MBB1" s="5"/>
      <c r="MBC1" s="5"/>
      <c r="MBD1" s="5"/>
      <c r="MBE1" s="5"/>
      <c r="MBF1" s="5"/>
      <c r="MBG1" s="5"/>
      <c r="MBH1" s="5"/>
      <c r="MBI1" s="5"/>
      <c r="MBJ1" s="5"/>
      <c r="MBK1" s="5"/>
      <c r="MBL1" s="5"/>
      <c r="MBM1" s="5"/>
      <c r="MBN1" s="5"/>
      <c r="MBO1" s="5"/>
      <c r="MBP1" s="5"/>
      <c r="MBQ1" s="5"/>
      <c r="MBR1" s="5"/>
      <c r="MBS1" s="5"/>
      <c r="MBT1" s="5"/>
      <c r="MBU1" s="5"/>
      <c r="MBV1" s="5"/>
      <c r="MBW1" s="5"/>
      <c r="MBX1" s="5"/>
      <c r="MBY1" s="5"/>
      <c r="MBZ1" s="5"/>
      <c r="MCA1" s="5"/>
      <c r="MCB1" s="5"/>
      <c r="MCC1" s="5"/>
      <c r="MCD1" s="5"/>
      <c r="MCE1" s="5"/>
      <c r="MCF1" s="5"/>
      <c r="MCG1" s="5"/>
      <c r="MCH1" s="5"/>
      <c r="MCI1" s="5"/>
      <c r="MCJ1" s="5"/>
      <c r="MCK1" s="5"/>
      <c r="MCL1" s="5"/>
      <c r="MCM1" s="5"/>
      <c r="MCN1" s="5"/>
      <c r="MCO1" s="5"/>
      <c r="MCP1" s="5"/>
      <c r="MCQ1" s="5"/>
      <c r="MCR1" s="5"/>
      <c r="MCS1" s="5"/>
      <c r="MCT1" s="5"/>
      <c r="MCU1" s="5"/>
      <c r="MCV1" s="5"/>
      <c r="MCW1" s="5"/>
      <c r="MCX1" s="5"/>
      <c r="MCY1" s="5"/>
      <c r="MCZ1" s="5"/>
      <c r="MDA1" s="5"/>
      <c r="MDB1" s="5"/>
      <c r="MDC1" s="5"/>
      <c r="MDD1" s="5"/>
      <c r="MDE1" s="5"/>
      <c r="MDF1" s="5"/>
      <c r="MDG1" s="5"/>
      <c r="MDH1" s="5"/>
      <c r="MDI1" s="5"/>
      <c r="MDJ1" s="5"/>
      <c r="MDK1" s="5"/>
      <c r="MDL1" s="5"/>
      <c r="MDM1" s="5"/>
      <c r="MDN1" s="5"/>
      <c r="MDO1" s="5"/>
      <c r="MDP1" s="5"/>
      <c r="MDQ1" s="5"/>
      <c r="MDR1" s="5"/>
      <c r="MDS1" s="5"/>
      <c r="MDT1" s="5"/>
      <c r="MDU1" s="5"/>
      <c r="MDV1" s="5"/>
      <c r="MDW1" s="5"/>
      <c r="MDX1" s="5"/>
      <c r="MDY1" s="5"/>
      <c r="MDZ1" s="5"/>
      <c r="MEA1" s="5"/>
      <c r="MEB1" s="5"/>
      <c r="MEC1" s="5"/>
      <c r="MED1" s="5"/>
      <c r="MEE1" s="5"/>
      <c r="MEF1" s="5"/>
      <c r="MEG1" s="5"/>
      <c r="MEH1" s="5"/>
      <c r="MEI1" s="5"/>
      <c r="MEJ1" s="5"/>
      <c r="MEK1" s="5"/>
      <c r="MEL1" s="5"/>
      <c r="MEM1" s="5"/>
      <c r="MEN1" s="5"/>
      <c r="MEO1" s="5"/>
      <c r="MEP1" s="5"/>
      <c r="MEQ1" s="5"/>
      <c r="MER1" s="5"/>
      <c r="MES1" s="5"/>
      <c r="MET1" s="5"/>
      <c r="MEU1" s="5"/>
      <c r="MEV1" s="5"/>
      <c r="MEW1" s="5"/>
      <c r="MEX1" s="5"/>
      <c r="MEY1" s="5"/>
      <c r="MEZ1" s="5"/>
      <c r="MFA1" s="5"/>
      <c r="MFB1" s="5"/>
      <c r="MFC1" s="5"/>
      <c r="MFD1" s="5"/>
      <c r="MFE1" s="5"/>
      <c r="MFF1" s="5"/>
      <c r="MFG1" s="5"/>
      <c r="MFH1" s="5"/>
      <c r="MFI1" s="5"/>
      <c r="MFJ1" s="5"/>
      <c r="MFK1" s="5"/>
      <c r="MFL1" s="5"/>
      <c r="MFM1" s="5"/>
      <c r="MFN1" s="5"/>
      <c r="MFO1" s="5"/>
      <c r="MFP1" s="5"/>
      <c r="MFQ1" s="5"/>
      <c r="MFR1" s="5"/>
      <c r="MFS1" s="5"/>
      <c r="MFT1" s="5"/>
      <c r="MFU1" s="5"/>
      <c r="MFV1" s="5"/>
      <c r="MFW1" s="5"/>
      <c r="MFX1" s="5"/>
      <c r="MFY1" s="5"/>
      <c r="MFZ1" s="5"/>
      <c r="MGA1" s="5"/>
      <c r="MGB1" s="5"/>
      <c r="MGC1" s="5"/>
      <c r="MGD1" s="5"/>
      <c r="MGE1" s="5"/>
      <c r="MGF1" s="5"/>
      <c r="MGG1" s="5"/>
      <c r="MGH1" s="5"/>
      <c r="MGI1" s="5"/>
      <c r="MGJ1" s="5"/>
      <c r="MGK1" s="5"/>
      <c r="MGL1" s="5"/>
      <c r="MGM1" s="5"/>
      <c r="MGN1" s="5"/>
      <c r="MGO1" s="5"/>
      <c r="MGP1" s="5"/>
      <c r="MGQ1" s="5"/>
      <c r="MGR1" s="5"/>
      <c r="MGS1" s="5"/>
      <c r="MGT1" s="5"/>
      <c r="MGU1" s="5"/>
      <c r="MGV1" s="5"/>
      <c r="MGW1" s="5"/>
      <c r="MGX1" s="5"/>
      <c r="MGY1" s="5"/>
      <c r="MGZ1" s="5"/>
      <c r="MHA1" s="5"/>
      <c r="MHB1" s="5"/>
      <c r="MHC1" s="5"/>
      <c r="MHD1" s="5"/>
      <c r="MHE1" s="5"/>
      <c r="MHF1" s="5"/>
      <c r="MHG1" s="5"/>
      <c r="MHH1" s="5"/>
      <c r="MHI1" s="5"/>
      <c r="MHJ1" s="5"/>
      <c r="MHK1" s="5"/>
      <c r="MHL1" s="5"/>
      <c r="MHM1" s="5"/>
      <c r="MHN1" s="5"/>
      <c r="MHO1" s="5"/>
      <c r="MHP1" s="5"/>
      <c r="MHQ1" s="5"/>
      <c r="MHR1" s="5"/>
      <c r="MHS1" s="5"/>
      <c r="MHT1" s="5"/>
      <c r="MHU1" s="5"/>
      <c r="MHV1" s="5"/>
      <c r="MHW1" s="5"/>
      <c r="MHX1" s="5"/>
      <c r="MHY1" s="5"/>
      <c r="MHZ1" s="5"/>
      <c r="MIA1" s="5"/>
      <c r="MIB1" s="5"/>
      <c r="MIC1" s="5"/>
      <c r="MID1" s="5"/>
      <c r="MIE1" s="5"/>
      <c r="MIF1" s="5"/>
      <c r="MIG1" s="5"/>
      <c r="MIH1" s="5"/>
      <c r="MII1" s="5"/>
      <c r="MIJ1" s="5"/>
      <c r="MIK1" s="5"/>
      <c r="MIL1" s="5"/>
      <c r="MIM1" s="5"/>
      <c r="MIN1" s="5"/>
      <c r="MIO1" s="5"/>
      <c r="MIP1" s="5"/>
      <c r="MIQ1" s="5"/>
      <c r="MIR1" s="5"/>
      <c r="MIS1" s="5"/>
      <c r="MIT1" s="5"/>
      <c r="MIU1" s="5"/>
      <c r="MIV1" s="5"/>
      <c r="MIW1" s="5"/>
      <c r="MIX1" s="5"/>
      <c r="MIY1" s="5"/>
      <c r="MIZ1" s="5"/>
      <c r="MJA1" s="5"/>
      <c r="MJB1" s="5"/>
      <c r="MJC1" s="5"/>
      <c r="MJD1" s="5"/>
      <c r="MJE1" s="5"/>
      <c r="MJF1" s="5"/>
      <c r="MJG1" s="5"/>
      <c r="MJH1" s="5"/>
      <c r="MJI1" s="5"/>
      <c r="MJJ1" s="5"/>
      <c r="MJK1" s="5"/>
      <c r="MJL1" s="5"/>
      <c r="MJM1" s="5"/>
      <c r="MJN1" s="5"/>
      <c r="MJO1" s="5"/>
      <c r="MJP1" s="5"/>
      <c r="MJQ1" s="5"/>
      <c r="MJR1" s="5"/>
      <c r="MJS1" s="5"/>
      <c r="MJT1" s="5"/>
      <c r="MJU1" s="5"/>
      <c r="MJV1" s="5"/>
      <c r="MJW1" s="5"/>
      <c r="MJX1" s="5"/>
      <c r="MJY1" s="5"/>
      <c r="MJZ1" s="5"/>
      <c r="MKA1" s="5"/>
      <c r="MKB1" s="5"/>
      <c r="MKC1" s="5"/>
      <c r="MKD1" s="5"/>
      <c r="MKE1" s="5"/>
      <c r="MKF1" s="5"/>
      <c r="MKG1" s="5"/>
      <c r="MKH1" s="5"/>
      <c r="MKI1" s="5"/>
      <c r="MKJ1" s="5"/>
      <c r="MKK1" s="5"/>
      <c r="MKL1" s="5"/>
      <c r="MKM1" s="5"/>
      <c r="MKN1" s="5"/>
      <c r="MKO1" s="5"/>
      <c r="MKP1" s="5"/>
      <c r="MKQ1" s="5"/>
      <c r="MKR1" s="5"/>
      <c r="MKS1" s="5"/>
      <c r="MKT1" s="5"/>
      <c r="MKU1" s="5"/>
      <c r="MKV1" s="5"/>
      <c r="MKW1" s="5"/>
      <c r="MKX1" s="5"/>
      <c r="MKY1" s="5"/>
      <c r="MKZ1" s="5"/>
      <c r="MLA1" s="5"/>
      <c r="MLB1" s="5"/>
      <c r="MLC1" s="5"/>
      <c r="MLD1" s="5"/>
      <c r="MLE1" s="5"/>
      <c r="MLF1" s="5"/>
      <c r="MLG1" s="5"/>
      <c r="MLH1" s="5"/>
      <c r="MLI1" s="5"/>
      <c r="MLJ1" s="5"/>
      <c r="MLK1" s="5"/>
      <c r="MLL1" s="5"/>
      <c r="MLM1" s="5"/>
      <c r="MLN1" s="5"/>
      <c r="MLO1" s="5"/>
      <c r="MLP1" s="5"/>
      <c r="MLQ1" s="5"/>
      <c r="MLR1" s="5"/>
      <c r="MLS1" s="5"/>
      <c r="MLT1" s="5"/>
      <c r="MLU1" s="5"/>
      <c r="MLV1" s="5"/>
      <c r="MLW1" s="5"/>
      <c r="MLX1" s="5"/>
      <c r="MLY1" s="5"/>
      <c r="MLZ1" s="5"/>
      <c r="MMA1" s="5"/>
      <c r="MMB1" s="5"/>
      <c r="MMC1" s="5"/>
      <c r="MMD1" s="5"/>
      <c r="MME1" s="5"/>
      <c r="MMF1" s="5"/>
      <c r="MMG1" s="5"/>
      <c r="MMH1" s="5"/>
      <c r="MMI1" s="5"/>
      <c r="MMJ1" s="5"/>
      <c r="MMK1" s="5"/>
      <c r="MML1" s="5"/>
      <c r="MMM1" s="5"/>
      <c r="MMN1" s="5"/>
      <c r="MMO1" s="5"/>
      <c r="MMP1" s="5"/>
      <c r="MMQ1" s="5"/>
      <c r="MMR1" s="5"/>
      <c r="MMS1" s="5"/>
      <c r="MMT1" s="5"/>
      <c r="MMU1" s="5"/>
      <c r="MMV1" s="5"/>
      <c r="MMW1" s="5"/>
      <c r="MMX1" s="5"/>
      <c r="MMY1" s="5"/>
      <c r="MMZ1" s="5"/>
      <c r="MNA1" s="5"/>
      <c r="MNB1" s="5"/>
      <c r="MNC1" s="5"/>
      <c r="MND1" s="5"/>
      <c r="MNE1" s="5"/>
      <c r="MNF1" s="5"/>
      <c r="MNG1" s="5"/>
      <c r="MNH1" s="5"/>
      <c r="MNI1" s="5"/>
      <c r="MNJ1" s="5"/>
      <c r="MNK1" s="5"/>
      <c r="MNL1" s="5"/>
      <c r="MNM1" s="5"/>
      <c r="MNN1" s="5"/>
      <c r="MNO1" s="5"/>
      <c r="MNP1" s="5"/>
      <c r="MNQ1" s="5"/>
      <c r="MNR1" s="5"/>
      <c r="MNS1" s="5"/>
      <c r="MNT1" s="5"/>
      <c r="MNU1" s="5"/>
      <c r="MNV1" s="5"/>
      <c r="MNW1" s="5"/>
      <c r="MNX1" s="5"/>
      <c r="MNY1" s="5"/>
      <c r="MNZ1" s="5"/>
      <c r="MOA1" s="5"/>
      <c r="MOB1" s="5"/>
      <c r="MOC1" s="5"/>
      <c r="MOD1" s="5"/>
      <c r="MOE1" s="5"/>
      <c r="MOF1" s="5"/>
      <c r="MOG1" s="5"/>
      <c r="MOH1" s="5"/>
      <c r="MOI1" s="5"/>
      <c r="MOJ1" s="5"/>
      <c r="MOK1" s="5"/>
      <c r="MOL1" s="5"/>
      <c r="MOM1" s="5"/>
      <c r="MON1" s="5"/>
      <c r="MOO1" s="5"/>
      <c r="MOP1" s="5"/>
      <c r="MOQ1" s="5"/>
      <c r="MOR1" s="5"/>
      <c r="MOS1" s="5"/>
      <c r="MOT1" s="5"/>
      <c r="MOU1" s="5"/>
      <c r="MOV1" s="5"/>
      <c r="MOW1" s="5"/>
      <c r="MOX1" s="5"/>
      <c r="MOY1" s="5"/>
      <c r="MOZ1" s="5"/>
      <c r="MPA1" s="5"/>
      <c r="MPB1" s="5"/>
      <c r="MPC1" s="5"/>
      <c r="MPD1" s="5"/>
      <c r="MPE1" s="5"/>
      <c r="MPF1" s="5"/>
      <c r="MPG1" s="5"/>
      <c r="MPH1" s="5"/>
      <c r="MPI1" s="5"/>
      <c r="MPJ1" s="5"/>
      <c r="MPK1" s="5"/>
      <c r="MPL1" s="5"/>
      <c r="MPM1" s="5"/>
      <c r="MPN1" s="5"/>
      <c r="MPO1" s="5"/>
      <c r="MPP1" s="5"/>
      <c r="MPQ1" s="5"/>
      <c r="MPR1" s="5"/>
      <c r="MPS1" s="5"/>
      <c r="MPT1" s="5"/>
      <c r="MPU1" s="5"/>
      <c r="MPV1" s="5"/>
      <c r="MPW1" s="5"/>
      <c r="MPX1" s="5"/>
      <c r="MPY1" s="5"/>
      <c r="MPZ1" s="5"/>
      <c r="MQA1" s="5"/>
      <c r="MQB1" s="5"/>
      <c r="MQC1" s="5"/>
      <c r="MQD1" s="5"/>
      <c r="MQE1" s="5"/>
      <c r="MQF1" s="5"/>
      <c r="MQG1" s="5"/>
      <c r="MQH1" s="5"/>
      <c r="MQI1" s="5"/>
      <c r="MQJ1" s="5"/>
      <c r="MQK1" s="5"/>
      <c r="MQL1" s="5"/>
      <c r="MQM1" s="5"/>
      <c r="MQN1" s="5"/>
      <c r="MQO1" s="5"/>
      <c r="MQP1" s="5"/>
      <c r="MQQ1" s="5"/>
      <c r="MQR1" s="5"/>
      <c r="MQS1" s="5"/>
      <c r="MQT1" s="5"/>
      <c r="MQU1" s="5"/>
      <c r="MQV1" s="5"/>
      <c r="MQW1" s="5"/>
      <c r="MQX1" s="5"/>
      <c r="MQY1" s="5"/>
      <c r="MQZ1" s="5"/>
      <c r="MRA1" s="5"/>
      <c r="MRB1" s="5"/>
      <c r="MRC1" s="5"/>
      <c r="MRD1" s="5"/>
      <c r="MRE1" s="5"/>
      <c r="MRF1" s="5"/>
      <c r="MRG1" s="5"/>
      <c r="MRH1" s="5"/>
      <c r="MRI1" s="5"/>
      <c r="MRJ1" s="5"/>
      <c r="MRK1" s="5"/>
      <c r="MRL1" s="5"/>
      <c r="MRM1" s="5"/>
      <c r="MRN1" s="5"/>
      <c r="MRO1" s="5"/>
      <c r="MRP1" s="5"/>
      <c r="MRQ1" s="5"/>
      <c r="MRR1" s="5"/>
      <c r="MRS1" s="5"/>
      <c r="MRT1" s="5"/>
      <c r="MRU1" s="5"/>
      <c r="MRV1" s="5"/>
      <c r="MRW1" s="5"/>
      <c r="MRX1" s="5"/>
      <c r="MRY1" s="5"/>
      <c r="MRZ1" s="5"/>
      <c r="MSA1" s="5"/>
      <c r="MSB1" s="5"/>
      <c r="MSC1" s="5"/>
      <c r="MSD1" s="5"/>
      <c r="MSE1" s="5"/>
      <c r="MSF1" s="5"/>
      <c r="MSG1" s="5"/>
      <c r="MSH1" s="5"/>
      <c r="MSI1" s="5"/>
      <c r="MSJ1" s="5"/>
      <c r="MSK1" s="5"/>
      <c r="MSL1" s="5"/>
      <c r="MSM1" s="5"/>
      <c r="MSN1" s="5"/>
      <c r="MSO1" s="5"/>
      <c r="MSP1" s="5"/>
      <c r="MSQ1" s="5"/>
      <c r="MSR1" s="5"/>
      <c r="MSS1" s="5"/>
      <c r="MST1" s="5"/>
      <c r="MSU1" s="5"/>
      <c r="MSV1" s="5"/>
      <c r="MSW1" s="5"/>
      <c r="MSX1" s="5"/>
      <c r="MSY1" s="5"/>
      <c r="MSZ1" s="5"/>
      <c r="MTA1" s="5"/>
      <c r="MTB1" s="5"/>
      <c r="MTC1" s="5"/>
      <c r="MTD1" s="5"/>
      <c r="MTE1" s="5"/>
      <c r="MTF1" s="5"/>
      <c r="MTG1" s="5"/>
      <c r="MTH1" s="5"/>
      <c r="MTI1" s="5"/>
      <c r="MTJ1" s="5"/>
      <c r="MTK1" s="5"/>
      <c r="MTL1" s="5"/>
      <c r="MTM1" s="5"/>
      <c r="MTN1" s="5"/>
      <c r="MTO1" s="5"/>
      <c r="MTP1" s="5"/>
      <c r="MTQ1" s="5"/>
      <c r="MTR1" s="5"/>
      <c r="MTS1" s="5"/>
      <c r="MTT1" s="5"/>
      <c r="MTU1" s="5"/>
      <c r="MTV1" s="5"/>
      <c r="MTW1" s="5"/>
      <c r="MTX1" s="5"/>
      <c r="MTY1" s="5"/>
      <c r="MTZ1" s="5"/>
      <c r="MUA1" s="5"/>
      <c r="MUB1" s="5"/>
      <c r="MUC1" s="5"/>
      <c r="MUD1" s="5"/>
      <c r="MUE1" s="5"/>
      <c r="MUF1" s="5"/>
      <c r="MUG1" s="5"/>
      <c r="MUH1" s="5"/>
      <c r="MUI1" s="5"/>
      <c r="MUJ1" s="5"/>
      <c r="MUK1" s="5"/>
      <c r="MUL1" s="5"/>
      <c r="MUM1" s="5"/>
      <c r="MUN1" s="5"/>
      <c r="MUO1" s="5"/>
      <c r="MUP1" s="5"/>
      <c r="MUQ1" s="5"/>
      <c r="MUR1" s="5"/>
      <c r="MUS1" s="5"/>
      <c r="MUT1" s="5"/>
      <c r="MUU1" s="5"/>
      <c r="MUV1" s="5"/>
      <c r="MUW1" s="5"/>
      <c r="MUX1" s="5"/>
      <c r="MUY1" s="5"/>
      <c r="MUZ1" s="5"/>
      <c r="MVA1" s="5"/>
      <c r="MVB1" s="5"/>
      <c r="MVC1" s="5"/>
      <c r="MVD1" s="5"/>
      <c r="MVE1" s="5"/>
      <c r="MVF1" s="5"/>
      <c r="MVG1" s="5"/>
      <c r="MVH1" s="5"/>
      <c r="MVI1" s="5"/>
      <c r="MVJ1" s="5"/>
      <c r="MVK1" s="5"/>
      <c r="MVL1" s="5"/>
      <c r="MVM1" s="5"/>
      <c r="MVN1" s="5"/>
      <c r="MVO1" s="5"/>
      <c r="MVP1" s="5"/>
      <c r="MVQ1" s="5"/>
      <c r="MVR1" s="5"/>
      <c r="MVS1" s="5"/>
      <c r="MVT1" s="5"/>
      <c r="MVU1" s="5"/>
      <c r="MVV1" s="5"/>
      <c r="MVW1" s="5"/>
      <c r="MVX1" s="5"/>
      <c r="MVY1" s="5"/>
      <c r="MVZ1" s="5"/>
      <c r="MWA1" s="5"/>
      <c r="MWB1" s="5"/>
      <c r="MWC1" s="5"/>
      <c r="MWD1" s="5"/>
      <c r="MWE1" s="5"/>
      <c r="MWF1" s="5"/>
      <c r="MWG1" s="5"/>
      <c r="MWH1" s="5"/>
      <c r="MWI1" s="5"/>
      <c r="MWJ1" s="5"/>
      <c r="MWK1" s="5"/>
      <c r="MWL1" s="5"/>
      <c r="MWM1" s="5"/>
      <c r="MWN1" s="5"/>
      <c r="MWO1" s="5"/>
      <c r="MWP1" s="5"/>
      <c r="MWQ1" s="5"/>
      <c r="MWR1" s="5"/>
      <c r="MWS1" s="5"/>
      <c r="MWT1" s="5"/>
      <c r="MWU1" s="5"/>
      <c r="MWV1" s="5"/>
      <c r="MWW1" s="5"/>
      <c r="MWX1" s="5"/>
      <c r="MWY1" s="5"/>
      <c r="MWZ1" s="5"/>
      <c r="MXA1" s="5"/>
      <c r="MXB1" s="5"/>
      <c r="MXC1" s="5"/>
      <c r="MXD1" s="5"/>
      <c r="MXE1" s="5"/>
      <c r="MXF1" s="5"/>
      <c r="MXG1" s="5"/>
      <c r="MXH1" s="5"/>
      <c r="MXI1" s="5"/>
      <c r="MXJ1" s="5"/>
      <c r="MXK1" s="5"/>
      <c r="MXL1" s="5"/>
      <c r="MXM1" s="5"/>
      <c r="MXN1" s="5"/>
      <c r="MXO1" s="5"/>
      <c r="MXP1" s="5"/>
      <c r="MXQ1" s="5"/>
      <c r="MXR1" s="5"/>
      <c r="MXS1" s="5"/>
      <c r="MXT1" s="5"/>
      <c r="MXU1" s="5"/>
      <c r="MXV1" s="5"/>
      <c r="MXW1" s="5"/>
      <c r="MXX1" s="5"/>
      <c r="MXY1" s="5"/>
      <c r="MXZ1" s="5"/>
      <c r="MYA1" s="5"/>
      <c r="MYB1" s="5"/>
      <c r="MYC1" s="5"/>
      <c r="MYD1" s="5"/>
      <c r="MYE1" s="5"/>
      <c r="MYF1" s="5"/>
      <c r="MYG1" s="5"/>
      <c r="MYH1" s="5"/>
      <c r="MYI1" s="5"/>
      <c r="MYJ1" s="5"/>
      <c r="MYK1" s="5"/>
      <c r="MYL1" s="5"/>
      <c r="MYM1" s="5"/>
      <c r="MYN1" s="5"/>
      <c r="MYO1" s="5"/>
      <c r="MYP1" s="5"/>
      <c r="MYQ1" s="5"/>
      <c r="MYR1" s="5"/>
      <c r="MYS1" s="5"/>
      <c r="MYT1" s="5"/>
      <c r="MYU1" s="5"/>
      <c r="MYV1" s="5"/>
      <c r="MYW1" s="5"/>
      <c r="MYX1" s="5"/>
      <c r="MYY1" s="5"/>
      <c r="MYZ1" s="5"/>
      <c r="MZA1" s="5"/>
      <c r="MZB1" s="5"/>
      <c r="MZC1" s="5"/>
      <c r="MZD1" s="5"/>
      <c r="MZE1" s="5"/>
      <c r="MZF1" s="5"/>
      <c r="MZG1" s="5"/>
      <c r="MZH1" s="5"/>
      <c r="MZI1" s="5"/>
      <c r="MZJ1" s="5"/>
      <c r="MZK1" s="5"/>
      <c r="MZL1" s="5"/>
      <c r="MZM1" s="5"/>
      <c r="MZN1" s="5"/>
      <c r="MZO1" s="5"/>
      <c r="MZP1" s="5"/>
      <c r="MZQ1" s="5"/>
      <c r="MZR1" s="5"/>
      <c r="MZS1" s="5"/>
      <c r="MZT1" s="5"/>
      <c r="MZU1" s="5"/>
      <c r="MZV1" s="5"/>
      <c r="MZW1" s="5"/>
      <c r="MZX1" s="5"/>
      <c r="MZY1" s="5"/>
      <c r="MZZ1" s="5"/>
      <c r="NAA1" s="5"/>
      <c r="NAB1" s="5"/>
      <c r="NAC1" s="5"/>
      <c r="NAD1" s="5"/>
      <c r="NAE1" s="5"/>
      <c r="NAF1" s="5"/>
      <c r="NAG1" s="5"/>
      <c r="NAH1" s="5"/>
      <c r="NAI1" s="5"/>
      <c r="NAJ1" s="5"/>
      <c r="NAK1" s="5"/>
      <c r="NAL1" s="5"/>
      <c r="NAM1" s="5"/>
      <c r="NAN1" s="5"/>
      <c r="NAO1" s="5"/>
      <c r="NAP1" s="5"/>
      <c r="NAQ1" s="5"/>
      <c r="NAR1" s="5"/>
      <c r="NAS1" s="5"/>
      <c r="NAT1" s="5"/>
      <c r="NAU1" s="5"/>
      <c r="NAV1" s="5"/>
      <c r="NAW1" s="5"/>
      <c r="NAX1" s="5"/>
      <c r="NAY1" s="5"/>
      <c r="NAZ1" s="5"/>
      <c r="NBA1" s="5"/>
      <c r="NBB1" s="5"/>
      <c r="NBC1" s="5"/>
      <c r="NBD1" s="5"/>
      <c r="NBE1" s="5"/>
      <c r="NBF1" s="5"/>
      <c r="NBG1" s="5"/>
      <c r="NBH1" s="5"/>
      <c r="NBI1" s="5"/>
      <c r="NBJ1" s="5"/>
      <c r="NBK1" s="5"/>
      <c r="NBL1" s="5"/>
      <c r="NBM1" s="5"/>
      <c r="NBN1" s="5"/>
      <c r="NBO1" s="5"/>
      <c r="NBP1" s="5"/>
      <c r="NBQ1" s="5"/>
      <c r="NBR1" s="5"/>
      <c r="NBS1" s="5"/>
      <c r="NBT1" s="5"/>
      <c r="NBU1" s="5"/>
      <c r="NBV1" s="5"/>
      <c r="NBW1" s="5"/>
      <c r="NBX1" s="5"/>
      <c r="NBY1" s="5"/>
      <c r="NBZ1" s="5"/>
      <c r="NCA1" s="5"/>
      <c r="NCB1" s="5"/>
      <c r="NCC1" s="5"/>
      <c r="NCD1" s="5"/>
      <c r="NCE1" s="5"/>
      <c r="NCF1" s="5"/>
      <c r="NCG1" s="5"/>
      <c r="NCH1" s="5"/>
      <c r="NCI1" s="5"/>
      <c r="NCJ1" s="5"/>
      <c r="NCK1" s="5"/>
      <c r="NCL1" s="5"/>
      <c r="NCM1" s="5"/>
      <c r="NCN1" s="5"/>
      <c r="NCO1" s="5"/>
      <c r="NCP1" s="5"/>
      <c r="NCQ1" s="5"/>
      <c r="NCR1" s="5"/>
      <c r="NCS1" s="5"/>
      <c r="NCT1" s="5"/>
      <c r="NCU1" s="5"/>
      <c r="NCV1" s="5"/>
      <c r="NCW1" s="5"/>
      <c r="NCX1" s="5"/>
      <c r="NCY1" s="5"/>
      <c r="NCZ1" s="5"/>
      <c r="NDA1" s="5"/>
      <c r="NDB1" s="5"/>
      <c r="NDC1" s="5"/>
      <c r="NDD1" s="5"/>
      <c r="NDE1" s="5"/>
      <c r="NDF1" s="5"/>
      <c r="NDG1" s="5"/>
      <c r="NDH1" s="5"/>
      <c r="NDI1" s="5"/>
      <c r="NDJ1" s="5"/>
      <c r="NDK1" s="5"/>
      <c r="NDL1" s="5"/>
      <c r="NDM1" s="5"/>
      <c r="NDN1" s="5"/>
      <c r="NDO1" s="5"/>
      <c r="NDP1" s="5"/>
      <c r="NDQ1" s="5"/>
      <c r="NDR1" s="5"/>
      <c r="NDS1" s="5"/>
      <c r="NDT1" s="5"/>
      <c r="NDU1" s="5"/>
      <c r="NDV1" s="5"/>
      <c r="NDW1" s="5"/>
      <c r="NDX1" s="5"/>
      <c r="NDY1" s="5"/>
      <c r="NDZ1" s="5"/>
      <c r="NEA1" s="5"/>
      <c r="NEB1" s="5"/>
      <c r="NEC1" s="5"/>
      <c r="NED1" s="5"/>
      <c r="NEE1" s="5"/>
      <c r="NEF1" s="5"/>
      <c r="NEG1" s="5"/>
      <c r="NEH1" s="5"/>
      <c r="NEI1" s="5"/>
      <c r="NEJ1" s="5"/>
      <c r="NEK1" s="5"/>
      <c r="NEL1" s="5"/>
      <c r="NEM1" s="5"/>
      <c r="NEN1" s="5"/>
      <c r="NEO1" s="5"/>
      <c r="NEP1" s="5"/>
      <c r="NEQ1" s="5"/>
      <c r="NER1" s="5"/>
      <c r="NES1" s="5"/>
      <c r="NET1" s="5"/>
      <c r="NEU1" s="5"/>
      <c r="NEV1" s="5"/>
      <c r="NEW1" s="5"/>
      <c r="NEX1" s="5"/>
      <c r="NEY1" s="5"/>
      <c r="NEZ1" s="5"/>
      <c r="NFA1" s="5"/>
      <c r="NFB1" s="5"/>
      <c r="NFC1" s="5"/>
      <c r="NFD1" s="5"/>
      <c r="NFE1" s="5"/>
      <c r="NFF1" s="5"/>
      <c r="NFG1" s="5"/>
      <c r="NFH1" s="5"/>
      <c r="NFI1" s="5"/>
      <c r="NFJ1" s="5"/>
      <c r="NFK1" s="5"/>
      <c r="NFL1" s="5"/>
      <c r="NFM1" s="5"/>
      <c r="NFN1" s="5"/>
      <c r="NFO1" s="5"/>
      <c r="NFP1" s="5"/>
      <c r="NFQ1" s="5"/>
      <c r="NFR1" s="5"/>
      <c r="NFS1" s="5"/>
      <c r="NFT1" s="5"/>
      <c r="NFU1" s="5"/>
      <c r="NFV1" s="5"/>
      <c r="NFW1" s="5"/>
      <c r="NFX1" s="5"/>
      <c r="NFY1" s="5"/>
      <c r="NFZ1" s="5"/>
      <c r="NGA1" s="5"/>
      <c r="NGB1" s="5"/>
      <c r="NGC1" s="5"/>
      <c r="NGD1" s="5"/>
      <c r="NGE1" s="5"/>
      <c r="NGF1" s="5"/>
      <c r="NGG1" s="5"/>
      <c r="NGH1" s="5"/>
      <c r="NGI1" s="5"/>
      <c r="NGJ1" s="5"/>
      <c r="NGK1" s="5"/>
      <c r="NGL1" s="5"/>
      <c r="NGM1" s="5"/>
      <c r="NGN1" s="5"/>
      <c r="NGO1" s="5"/>
      <c r="NGP1" s="5"/>
      <c r="NGQ1" s="5"/>
      <c r="NGR1" s="5"/>
      <c r="NGS1" s="5"/>
      <c r="NGT1" s="5"/>
      <c r="NGU1" s="5"/>
      <c r="NGV1" s="5"/>
      <c r="NGW1" s="5"/>
      <c r="NGX1" s="5"/>
      <c r="NGY1" s="5"/>
      <c r="NGZ1" s="5"/>
      <c r="NHA1" s="5"/>
      <c r="NHB1" s="5"/>
      <c r="NHC1" s="5"/>
      <c r="NHD1" s="5"/>
      <c r="NHE1" s="5"/>
      <c r="NHF1" s="5"/>
      <c r="NHG1" s="5"/>
      <c r="NHH1" s="5"/>
      <c r="NHI1" s="5"/>
      <c r="NHJ1" s="5"/>
      <c r="NHK1" s="5"/>
      <c r="NHL1" s="5"/>
      <c r="NHM1" s="5"/>
      <c r="NHN1" s="5"/>
      <c r="NHO1" s="5"/>
      <c r="NHP1" s="5"/>
      <c r="NHQ1" s="5"/>
      <c r="NHR1" s="5"/>
      <c r="NHS1" s="5"/>
      <c r="NHT1" s="5"/>
      <c r="NHU1" s="5"/>
      <c r="NHV1" s="5"/>
      <c r="NHW1" s="5"/>
      <c r="NHX1" s="5"/>
      <c r="NHY1" s="5"/>
      <c r="NHZ1" s="5"/>
      <c r="NIA1" s="5"/>
      <c r="NIB1" s="5"/>
      <c r="NIC1" s="5"/>
      <c r="NID1" s="5"/>
      <c r="NIE1" s="5"/>
      <c r="NIF1" s="5"/>
      <c r="NIG1" s="5"/>
      <c r="NIH1" s="5"/>
      <c r="NII1" s="5"/>
      <c r="NIJ1" s="5"/>
      <c r="NIK1" s="5"/>
      <c r="NIL1" s="5"/>
      <c r="NIM1" s="5"/>
      <c r="NIN1" s="5"/>
      <c r="NIO1" s="5"/>
      <c r="NIP1" s="5"/>
      <c r="NIQ1" s="5"/>
      <c r="NIR1" s="5"/>
      <c r="NIS1" s="5"/>
      <c r="NIT1" s="5"/>
      <c r="NIU1" s="5"/>
      <c r="NIV1" s="5"/>
      <c r="NIW1" s="5"/>
      <c r="NIX1" s="5"/>
      <c r="NIY1" s="5"/>
      <c r="NIZ1" s="5"/>
      <c r="NJA1" s="5"/>
      <c r="NJB1" s="5"/>
      <c r="NJC1" s="5"/>
      <c r="NJD1" s="5"/>
      <c r="NJE1" s="5"/>
      <c r="NJF1" s="5"/>
      <c r="NJG1" s="5"/>
      <c r="NJH1" s="5"/>
      <c r="NJI1" s="5"/>
      <c r="NJJ1" s="5"/>
      <c r="NJK1" s="5"/>
      <c r="NJL1" s="5"/>
      <c r="NJM1" s="5"/>
      <c r="NJN1" s="5"/>
      <c r="NJO1" s="5"/>
      <c r="NJP1" s="5"/>
      <c r="NJQ1" s="5"/>
      <c r="NJR1" s="5"/>
      <c r="NJS1" s="5"/>
      <c r="NJT1" s="5"/>
      <c r="NJU1" s="5"/>
      <c r="NJV1" s="5"/>
      <c r="NJW1" s="5"/>
      <c r="NJX1" s="5"/>
      <c r="NJY1" s="5"/>
      <c r="NJZ1" s="5"/>
      <c r="NKA1" s="5"/>
      <c r="NKB1" s="5"/>
      <c r="NKC1" s="5"/>
      <c r="NKD1" s="5"/>
      <c r="NKE1" s="5"/>
      <c r="NKF1" s="5"/>
      <c r="NKG1" s="5"/>
      <c r="NKH1" s="5"/>
      <c r="NKI1" s="5"/>
      <c r="NKJ1" s="5"/>
      <c r="NKK1" s="5"/>
      <c r="NKL1" s="5"/>
      <c r="NKM1" s="5"/>
      <c r="NKN1" s="5"/>
      <c r="NKO1" s="5"/>
      <c r="NKP1" s="5"/>
      <c r="NKQ1" s="5"/>
      <c r="NKR1" s="5"/>
      <c r="NKS1" s="5"/>
      <c r="NKT1" s="5"/>
      <c r="NKU1" s="5"/>
      <c r="NKV1" s="5"/>
      <c r="NKW1" s="5"/>
      <c r="NKX1" s="5"/>
      <c r="NKY1" s="5"/>
      <c r="NKZ1" s="5"/>
      <c r="NLA1" s="5"/>
      <c r="NLB1" s="5"/>
      <c r="NLC1" s="5"/>
      <c r="NLD1" s="5"/>
      <c r="NLE1" s="5"/>
      <c r="NLF1" s="5"/>
      <c r="NLG1" s="5"/>
      <c r="NLH1" s="5"/>
      <c r="NLI1" s="5"/>
      <c r="NLJ1" s="5"/>
      <c r="NLK1" s="5"/>
      <c r="NLL1" s="5"/>
      <c r="NLM1" s="5"/>
      <c r="NLN1" s="5"/>
      <c r="NLO1" s="5"/>
      <c r="NLP1" s="5"/>
      <c r="NLQ1" s="5"/>
      <c r="NLR1" s="5"/>
      <c r="NLS1" s="5"/>
      <c r="NLT1" s="5"/>
      <c r="NLU1" s="5"/>
      <c r="NLV1" s="5"/>
      <c r="NLW1" s="5"/>
      <c r="NLX1" s="5"/>
      <c r="NLY1" s="5"/>
      <c r="NLZ1" s="5"/>
      <c r="NMA1" s="5"/>
      <c r="NMB1" s="5"/>
      <c r="NMC1" s="5"/>
      <c r="NMD1" s="5"/>
      <c r="NME1" s="5"/>
      <c r="NMF1" s="5"/>
      <c r="NMG1" s="5"/>
      <c r="NMH1" s="5"/>
      <c r="NMI1" s="5"/>
      <c r="NMJ1" s="5"/>
      <c r="NMK1" s="5"/>
      <c r="NML1" s="5"/>
      <c r="NMM1" s="5"/>
      <c r="NMN1" s="5"/>
      <c r="NMO1" s="5"/>
      <c r="NMP1" s="5"/>
      <c r="NMQ1" s="5"/>
      <c r="NMR1" s="5"/>
      <c r="NMS1" s="5"/>
      <c r="NMT1" s="5"/>
      <c r="NMU1" s="5"/>
      <c r="NMV1" s="5"/>
      <c r="NMW1" s="5"/>
      <c r="NMX1" s="5"/>
      <c r="NMY1" s="5"/>
      <c r="NMZ1" s="5"/>
      <c r="NNA1" s="5"/>
      <c r="NNB1" s="5"/>
      <c r="NNC1" s="5"/>
      <c r="NND1" s="5"/>
      <c r="NNE1" s="5"/>
      <c r="NNF1" s="5"/>
      <c r="NNG1" s="5"/>
      <c r="NNH1" s="5"/>
      <c r="NNI1" s="5"/>
      <c r="NNJ1" s="5"/>
      <c r="NNK1" s="5"/>
      <c r="NNL1" s="5"/>
      <c r="NNM1" s="5"/>
      <c r="NNN1" s="5"/>
      <c r="NNO1" s="5"/>
      <c r="NNP1" s="5"/>
      <c r="NNQ1" s="5"/>
      <c r="NNR1" s="5"/>
      <c r="NNS1" s="5"/>
      <c r="NNT1" s="5"/>
      <c r="NNU1" s="5"/>
      <c r="NNV1" s="5"/>
      <c r="NNW1" s="5"/>
      <c r="NNX1" s="5"/>
      <c r="NNY1" s="5"/>
      <c r="NNZ1" s="5"/>
      <c r="NOA1" s="5"/>
      <c r="NOB1" s="5"/>
      <c r="NOC1" s="5"/>
      <c r="NOD1" s="5"/>
      <c r="NOE1" s="5"/>
      <c r="NOF1" s="5"/>
      <c r="NOG1" s="5"/>
      <c r="NOH1" s="5"/>
      <c r="NOI1" s="5"/>
      <c r="NOJ1" s="5"/>
      <c r="NOK1" s="5"/>
      <c r="NOL1" s="5"/>
      <c r="NOM1" s="5"/>
      <c r="NON1" s="5"/>
      <c r="NOO1" s="5"/>
      <c r="NOP1" s="5"/>
      <c r="NOQ1" s="5"/>
      <c r="NOR1" s="5"/>
      <c r="NOS1" s="5"/>
      <c r="NOT1" s="5"/>
      <c r="NOU1" s="5"/>
      <c r="NOV1" s="5"/>
      <c r="NOW1" s="5"/>
      <c r="NOX1" s="5"/>
      <c r="NOY1" s="5"/>
      <c r="NOZ1" s="5"/>
      <c r="NPA1" s="5"/>
      <c r="NPB1" s="5"/>
      <c r="NPC1" s="5"/>
      <c r="NPD1" s="5"/>
      <c r="NPE1" s="5"/>
      <c r="NPF1" s="5"/>
      <c r="NPG1" s="5"/>
      <c r="NPH1" s="5"/>
      <c r="NPI1" s="5"/>
      <c r="NPJ1" s="5"/>
      <c r="NPK1" s="5"/>
      <c r="NPL1" s="5"/>
      <c r="NPM1" s="5"/>
      <c r="NPN1" s="5"/>
      <c r="NPO1" s="5"/>
      <c r="NPP1" s="5"/>
      <c r="NPQ1" s="5"/>
      <c r="NPR1" s="5"/>
      <c r="NPS1" s="5"/>
      <c r="NPT1" s="5"/>
      <c r="NPU1" s="5"/>
      <c r="NPV1" s="5"/>
      <c r="NPW1" s="5"/>
      <c r="NPX1" s="5"/>
      <c r="NPY1" s="5"/>
      <c r="NPZ1" s="5"/>
      <c r="NQA1" s="5"/>
      <c r="NQB1" s="5"/>
      <c r="NQC1" s="5"/>
      <c r="NQD1" s="5"/>
      <c r="NQE1" s="5"/>
      <c r="NQF1" s="5"/>
      <c r="NQG1" s="5"/>
      <c r="NQH1" s="5"/>
      <c r="NQI1" s="5"/>
      <c r="NQJ1" s="5"/>
      <c r="NQK1" s="5"/>
      <c r="NQL1" s="5"/>
      <c r="NQM1" s="5"/>
      <c r="NQN1" s="5"/>
      <c r="NQO1" s="5"/>
      <c r="NQP1" s="5"/>
      <c r="NQQ1" s="5"/>
      <c r="NQR1" s="5"/>
      <c r="NQS1" s="5"/>
      <c r="NQT1" s="5"/>
      <c r="NQU1" s="5"/>
      <c r="NQV1" s="5"/>
      <c r="NQW1" s="5"/>
      <c r="NQX1" s="5"/>
      <c r="NQY1" s="5"/>
      <c r="NQZ1" s="5"/>
      <c r="NRA1" s="5"/>
      <c r="NRB1" s="5"/>
      <c r="NRC1" s="5"/>
      <c r="NRD1" s="5"/>
      <c r="NRE1" s="5"/>
      <c r="NRF1" s="5"/>
      <c r="NRG1" s="5"/>
      <c r="NRH1" s="5"/>
      <c r="NRI1" s="5"/>
      <c r="NRJ1" s="5"/>
      <c r="NRK1" s="5"/>
      <c r="NRL1" s="5"/>
      <c r="NRM1" s="5"/>
      <c r="NRN1" s="5"/>
      <c r="NRO1" s="5"/>
      <c r="NRP1" s="5"/>
      <c r="NRQ1" s="5"/>
      <c r="NRR1" s="5"/>
      <c r="NRS1" s="5"/>
      <c r="NRT1" s="5"/>
      <c r="NRU1" s="5"/>
      <c r="NRV1" s="5"/>
      <c r="NRW1" s="5"/>
      <c r="NRX1" s="5"/>
      <c r="NRY1" s="5"/>
      <c r="NRZ1" s="5"/>
      <c r="NSA1" s="5"/>
      <c r="NSB1" s="5"/>
      <c r="NSC1" s="5"/>
      <c r="NSD1" s="5"/>
      <c r="NSE1" s="5"/>
      <c r="NSF1" s="5"/>
      <c r="NSG1" s="5"/>
      <c r="NSH1" s="5"/>
      <c r="NSI1" s="5"/>
      <c r="NSJ1" s="5"/>
      <c r="NSK1" s="5"/>
      <c r="NSL1" s="5"/>
      <c r="NSM1" s="5"/>
      <c r="NSN1" s="5"/>
      <c r="NSO1" s="5"/>
      <c r="NSP1" s="5"/>
      <c r="NSQ1" s="5"/>
      <c r="NSR1" s="5"/>
      <c r="NSS1" s="5"/>
      <c r="NST1" s="5"/>
      <c r="NSU1" s="5"/>
      <c r="NSV1" s="5"/>
      <c r="NSW1" s="5"/>
      <c r="NSX1" s="5"/>
      <c r="NSY1" s="5"/>
      <c r="NSZ1" s="5"/>
      <c r="NTA1" s="5"/>
      <c r="NTB1" s="5"/>
      <c r="NTC1" s="5"/>
      <c r="NTD1" s="5"/>
      <c r="NTE1" s="5"/>
      <c r="NTF1" s="5"/>
      <c r="NTG1" s="5"/>
      <c r="NTH1" s="5"/>
      <c r="NTI1" s="5"/>
      <c r="NTJ1" s="5"/>
      <c r="NTK1" s="5"/>
      <c r="NTL1" s="5"/>
      <c r="NTM1" s="5"/>
      <c r="NTN1" s="5"/>
      <c r="NTO1" s="5"/>
      <c r="NTP1" s="5"/>
      <c r="NTQ1" s="5"/>
      <c r="NTR1" s="5"/>
      <c r="NTS1" s="5"/>
      <c r="NTT1" s="5"/>
      <c r="NTU1" s="5"/>
      <c r="NTV1" s="5"/>
      <c r="NTW1" s="5"/>
      <c r="NTX1" s="5"/>
      <c r="NTY1" s="5"/>
      <c r="NTZ1" s="5"/>
      <c r="NUA1" s="5"/>
      <c r="NUB1" s="5"/>
      <c r="NUC1" s="5"/>
      <c r="NUD1" s="5"/>
      <c r="NUE1" s="5"/>
      <c r="NUF1" s="5"/>
      <c r="NUG1" s="5"/>
      <c r="NUH1" s="5"/>
      <c r="NUI1" s="5"/>
      <c r="NUJ1" s="5"/>
      <c r="NUK1" s="5"/>
      <c r="NUL1" s="5"/>
      <c r="NUM1" s="5"/>
      <c r="NUN1" s="5"/>
      <c r="NUO1" s="5"/>
      <c r="NUP1" s="5"/>
      <c r="NUQ1" s="5"/>
      <c r="NUR1" s="5"/>
      <c r="NUS1" s="5"/>
      <c r="NUT1" s="5"/>
      <c r="NUU1" s="5"/>
      <c r="NUV1" s="5"/>
      <c r="NUW1" s="5"/>
      <c r="NUX1" s="5"/>
      <c r="NUY1" s="5"/>
      <c r="NUZ1" s="5"/>
      <c r="NVA1" s="5"/>
      <c r="NVB1" s="5"/>
      <c r="NVC1" s="5"/>
      <c r="NVD1" s="5"/>
      <c r="NVE1" s="5"/>
      <c r="NVF1" s="5"/>
      <c r="NVG1" s="5"/>
      <c r="NVH1" s="5"/>
      <c r="NVI1" s="5"/>
      <c r="NVJ1" s="5"/>
      <c r="NVK1" s="5"/>
      <c r="NVL1" s="5"/>
      <c r="NVM1" s="5"/>
      <c r="NVN1" s="5"/>
      <c r="NVO1" s="5"/>
      <c r="NVP1" s="5"/>
      <c r="NVQ1" s="5"/>
      <c r="NVR1" s="5"/>
      <c r="NVS1" s="5"/>
      <c r="NVT1" s="5"/>
      <c r="NVU1" s="5"/>
      <c r="NVV1" s="5"/>
      <c r="NVW1" s="5"/>
      <c r="NVX1" s="5"/>
      <c r="NVY1" s="5"/>
      <c r="NVZ1" s="5"/>
      <c r="NWA1" s="5"/>
      <c r="NWB1" s="5"/>
      <c r="NWC1" s="5"/>
      <c r="NWD1" s="5"/>
      <c r="NWE1" s="5"/>
      <c r="NWF1" s="5"/>
      <c r="NWG1" s="5"/>
      <c r="NWH1" s="5"/>
      <c r="NWI1" s="5"/>
      <c r="NWJ1" s="5"/>
      <c r="NWK1" s="5"/>
      <c r="NWL1" s="5"/>
      <c r="NWM1" s="5"/>
      <c r="NWN1" s="5"/>
      <c r="NWO1" s="5"/>
      <c r="NWP1" s="5"/>
      <c r="NWQ1" s="5"/>
      <c r="NWR1" s="5"/>
      <c r="NWS1" s="5"/>
      <c r="NWT1" s="5"/>
      <c r="NWU1" s="5"/>
      <c r="NWV1" s="5"/>
      <c r="NWW1" s="5"/>
      <c r="NWX1" s="5"/>
      <c r="NWY1" s="5"/>
      <c r="NWZ1" s="5"/>
      <c r="NXA1" s="5"/>
      <c r="NXB1" s="5"/>
      <c r="NXC1" s="5"/>
      <c r="NXD1" s="5"/>
      <c r="NXE1" s="5"/>
      <c r="NXF1" s="5"/>
      <c r="NXG1" s="5"/>
      <c r="NXH1" s="5"/>
      <c r="NXI1" s="5"/>
      <c r="NXJ1" s="5"/>
      <c r="NXK1" s="5"/>
      <c r="NXL1" s="5"/>
      <c r="NXM1" s="5"/>
      <c r="NXN1" s="5"/>
      <c r="NXO1" s="5"/>
      <c r="NXP1" s="5"/>
      <c r="NXQ1" s="5"/>
      <c r="NXR1" s="5"/>
      <c r="NXS1" s="5"/>
      <c r="NXT1" s="5"/>
      <c r="NXU1" s="5"/>
      <c r="NXV1" s="5"/>
      <c r="NXW1" s="5"/>
      <c r="NXX1" s="5"/>
      <c r="NXY1" s="5"/>
      <c r="NXZ1" s="5"/>
      <c r="NYA1" s="5"/>
      <c r="NYB1" s="5"/>
      <c r="NYC1" s="5"/>
      <c r="NYD1" s="5"/>
      <c r="NYE1" s="5"/>
      <c r="NYF1" s="5"/>
      <c r="NYG1" s="5"/>
      <c r="NYH1" s="5"/>
      <c r="NYI1" s="5"/>
      <c r="NYJ1" s="5"/>
      <c r="NYK1" s="5"/>
      <c r="NYL1" s="5"/>
      <c r="NYM1" s="5"/>
      <c r="NYN1" s="5"/>
      <c r="NYO1" s="5"/>
      <c r="NYP1" s="5"/>
      <c r="NYQ1" s="5"/>
      <c r="NYR1" s="5"/>
      <c r="NYS1" s="5"/>
      <c r="NYT1" s="5"/>
      <c r="NYU1" s="5"/>
      <c r="NYV1" s="5"/>
      <c r="NYW1" s="5"/>
      <c r="NYX1" s="5"/>
      <c r="NYY1" s="5"/>
      <c r="NYZ1" s="5"/>
      <c r="NZA1" s="5"/>
      <c r="NZB1" s="5"/>
      <c r="NZC1" s="5"/>
      <c r="NZD1" s="5"/>
      <c r="NZE1" s="5"/>
      <c r="NZF1" s="5"/>
      <c r="NZG1" s="5"/>
      <c r="NZH1" s="5"/>
      <c r="NZI1" s="5"/>
      <c r="NZJ1" s="5"/>
      <c r="NZK1" s="5"/>
      <c r="NZL1" s="5"/>
      <c r="NZM1" s="5"/>
      <c r="NZN1" s="5"/>
      <c r="NZO1" s="5"/>
      <c r="NZP1" s="5"/>
      <c r="NZQ1" s="5"/>
      <c r="NZR1" s="5"/>
      <c r="NZS1" s="5"/>
      <c r="NZT1" s="5"/>
      <c r="NZU1" s="5"/>
      <c r="NZV1" s="5"/>
      <c r="NZW1" s="5"/>
      <c r="NZX1" s="5"/>
      <c r="NZY1" s="5"/>
      <c r="NZZ1" s="5"/>
      <c r="OAA1" s="5"/>
      <c r="OAB1" s="5"/>
      <c r="OAC1" s="5"/>
      <c r="OAD1" s="5"/>
      <c r="OAE1" s="5"/>
      <c r="OAF1" s="5"/>
      <c r="OAG1" s="5"/>
      <c r="OAH1" s="5"/>
      <c r="OAI1" s="5"/>
      <c r="OAJ1" s="5"/>
      <c r="OAK1" s="5"/>
      <c r="OAL1" s="5"/>
      <c r="OAM1" s="5"/>
      <c r="OAN1" s="5"/>
      <c r="OAO1" s="5"/>
      <c r="OAP1" s="5"/>
      <c r="OAQ1" s="5"/>
      <c r="OAR1" s="5"/>
      <c r="OAS1" s="5"/>
      <c r="OAT1" s="5"/>
      <c r="OAU1" s="5"/>
      <c r="OAV1" s="5"/>
      <c r="OAW1" s="5"/>
      <c r="OAX1" s="5"/>
      <c r="OAY1" s="5"/>
      <c r="OAZ1" s="5"/>
      <c r="OBA1" s="5"/>
      <c r="OBB1" s="5"/>
      <c r="OBC1" s="5"/>
      <c r="OBD1" s="5"/>
      <c r="OBE1" s="5"/>
      <c r="OBF1" s="5"/>
      <c r="OBG1" s="5"/>
      <c r="OBH1" s="5"/>
      <c r="OBI1" s="5"/>
      <c r="OBJ1" s="5"/>
      <c r="OBK1" s="5"/>
      <c r="OBL1" s="5"/>
      <c r="OBM1" s="5"/>
      <c r="OBN1" s="5"/>
      <c r="OBO1" s="5"/>
      <c r="OBP1" s="5"/>
      <c r="OBQ1" s="5"/>
      <c r="OBR1" s="5"/>
      <c r="OBS1" s="5"/>
      <c r="OBT1" s="5"/>
      <c r="OBU1" s="5"/>
      <c r="OBV1" s="5"/>
      <c r="OBW1" s="5"/>
      <c r="OBX1" s="5"/>
      <c r="OBY1" s="5"/>
      <c r="OBZ1" s="5"/>
      <c r="OCA1" s="5"/>
      <c r="OCB1" s="5"/>
      <c r="OCC1" s="5"/>
      <c r="OCD1" s="5"/>
      <c r="OCE1" s="5"/>
      <c r="OCF1" s="5"/>
      <c r="OCG1" s="5"/>
      <c r="OCH1" s="5"/>
      <c r="OCI1" s="5"/>
      <c r="OCJ1" s="5"/>
      <c r="OCK1" s="5"/>
      <c r="OCL1" s="5"/>
      <c r="OCM1" s="5"/>
      <c r="OCN1" s="5"/>
      <c r="OCO1" s="5"/>
      <c r="OCP1" s="5"/>
      <c r="OCQ1" s="5"/>
      <c r="OCR1" s="5"/>
      <c r="OCS1" s="5"/>
      <c r="OCT1" s="5"/>
      <c r="OCU1" s="5"/>
      <c r="OCV1" s="5"/>
      <c r="OCW1" s="5"/>
      <c r="OCX1" s="5"/>
      <c r="OCY1" s="5"/>
      <c r="OCZ1" s="5"/>
      <c r="ODA1" s="5"/>
      <c r="ODB1" s="5"/>
      <c r="ODC1" s="5"/>
      <c r="ODD1" s="5"/>
      <c r="ODE1" s="5"/>
      <c r="ODF1" s="5"/>
      <c r="ODG1" s="5"/>
      <c r="ODH1" s="5"/>
      <c r="ODI1" s="5"/>
      <c r="ODJ1" s="5"/>
      <c r="ODK1" s="5"/>
      <c r="ODL1" s="5"/>
      <c r="ODM1" s="5"/>
      <c r="ODN1" s="5"/>
      <c r="ODO1" s="5"/>
      <c r="ODP1" s="5"/>
      <c r="ODQ1" s="5"/>
      <c r="ODR1" s="5"/>
      <c r="ODS1" s="5"/>
      <c r="ODT1" s="5"/>
      <c r="ODU1" s="5"/>
      <c r="ODV1" s="5"/>
      <c r="ODW1" s="5"/>
      <c r="ODX1" s="5"/>
      <c r="ODY1" s="5"/>
      <c r="ODZ1" s="5"/>
      <c r="OEA1" s="5"/>
      <c r="OEB1" s="5"/>
      <c r="OEC1" s="5"/>
      <c r="OED1" s="5"/>
      <c r="OEE1" s="5"/>
      <c r="OEF1" s="5"/>
      <c r="OEG1" s="5"/>
      <c r="OEH1" s="5"/>
      <c r="OEI1" s="5"/>
      <c r="OEJ1" s="5"/>
      <c r="OEK1" s="5"/>
      <c r="OEL1" s="5"/>
      <c r="OEM1" s="5"/>
      <c r="OEN1" s="5"/>
      <c r="OEO1" s="5"/>
      <c r="OEP1" s="5"/>
      <c r="OEQ1" s="5"/>
      <c r="OER1" s="5"/>
      <c r="OES1" s="5"/>
      <c r="OET1" s="5"/>
      <c r="OEU1" s="5"/>
      <c r="OEV1" s="5"/>
      <c r="OEW1" s="5"/>
      <c r="OEX1" s="5"/>
      <c r="OEY1" s="5"/>
      <c r="OEZ1" s="5"/>
      <c r="OFA1" s="5"/>
      <c r="OFB1" s="5"/>
      <c r="OFC1" s="5"/>
      <c r="OFD1" s="5"/>
      <c r="OFE1" s="5"/>
      <c r="OFF1" s="5"/>
      <c r="OFG1" s="5"/>
      <c r="OFH1" s="5"/>
      <c r="OFI1" s="5"/>
      <c r="OFJ1" s="5"/>
      <c r="OFK1" s="5"/>
      <c r="OFL1" s="5"/>
      <c r="OFM1" s="5"/>
      <c r="OFN1" s="5"/>
      <c r="OFO1" s="5"/>
      <c r="OFP1" s="5"/>
      <c r="OFQ1" s="5"/>
      <c r="OFR1" s="5"/>
      <c r="OFS1" s="5"/>
      <c r="OFT1" s="5"/>
      <c r="OFU1" s="5"/>
      <c r="OFV1" s="5"/>
      <c r="OFW1" s="5"/>
      <c r="OFX1" s="5"/>
      <c r="OFY1" s="5"/>
      <c r="OFZ1" s="5"/>
      <c r="OGA1" s="5"/>
      <c r="OGB1" s="5"/>
      <c r="OGC1" s="5"/>
      <c r="OGD1" s="5"/>
      <c r="OGE1" s="5"/>
      <c r="OGF1" s="5"/>
      <c r="OGG1" s="5"/>
      <c r="OGH1" s="5"/>
      <c r="OGI1" s="5"/>
      <c r="OGJ1" s="5"/>
      <c r="OGK1" s="5"/>
      <c r="OGL1" s="5"/>
      <c r="OGM1" s="5"/>
      <c r="OGN1" s="5"/>
      <c r="OGO1" s="5"/>
      <c r="OGP1" s="5"/>
      <c r="OGQ1" s="5"/>
      <c r="OGR1" s="5"/>
      <c r="OGS1" s="5"/>
      <c r="OGT1" s="5"/>
      <c r="OGU1" s="5"/>
      <c r="OGV1" s="5"/>
      <c r="OGW1" s="5"/>
      <c r="OGX1" s="5"/>
      <c r="OGY1" s="5"/>
      <c r="OGZ1" s="5"/>
      <c r="OHA1" s="5"/>
      <c r="OHB1" s="5"/>
      <c r="OHC1" s="5"/>
      <c r="OHD1" s="5"/>
      <c r="OHE1" s="5"/>
      <c r="OHF1" s="5"/>
      <c r="OHG1" s="5"/>
      <c r="OHH1" s="5"/>
      <c r="OHI1" s="5"/>
      <c r="OHJ1" s="5"/>
      <c r="OHK1" s="5"/>
      <c r="OHL1" s="5"/>
      <c r="OHM1" s="5"/>
      <c r="OHN1" s="5"/>
      <c r="OHO1" s="5"/>
      <c r="OHP1" s="5"/>
      <c r="OHQ1" s="5"/>
      <c r="OHR1" s="5"/>
      <c r="OHS1" s="5"/>
      <c r="OHT1" s="5"/>
      <c r="OHU1" s="5"/>
      <c r="OHV1" s="5"/>
      <c r="OHW1" s="5"/>
      <c r="OHX1" s="5"/>
      <c r="OHY1" s="5"/>
      <c r="OHZ1" s="5"/>
      <c r="OIA1" s="5"/>
      <c r="OIB1" s="5"/>
      <c r="OIC1" s="5"/>
      <c r="OID1" s="5"/>
      <c r="OIE1" s="5"/>
      <c r="OIF1" s="5"/>
      <c r="OIG1" s="5"/>
      <c r="OIH1" s="5"/>
      <c r="OII1" s="5"/>
      <c r="OIJ1" s="5"/>
      <c r="OIK1" s="5"/>
      <c r="OIL1" s="5"/>
      <c r="OIM1" s="5"/>
      <c r="OIN1" s="5"/>
      <c r="OIO1" s="5"/>
      <c r="OIP1" s="5"/>
      <c r="OIQ1" s="5"/>
      <c r="OIR1" s="5"/>
      <c r="OIS1" s="5"/>
      <c r="OIT1" s="5"/>
      <c r="OIU1" s="5"/>
      <c r="OIV1" s="5"/>
      <c r="OIW1" s="5"/>
      <c r="OIX1" s="5"/>
      <c r="OIY1" s="5"/>
      <c r="OIZ1" s="5"/>
      <c r="OJA1" s="5"/>
      <c r="OJB1" s="5"/>
      <c r="OJC1" s="5"/>
      <c r="OJD1" s="5"/>
      <c r="OJE1" s="5"/>
      <c r="OJF1" s="5"/>
      <c r="OJG1" s="5"/>
      <c r="OJH1" s="5"/>
      <c r="OJI1" s="5"/>
      <c r="OJJ1" s="5"/>
      <c r="OJK1" s="5"/>
      <c r="OJL1" s="5"/>
      <c r="OJM1" s="5"/>
      <c r="OJN1" s="5"/>
      <c r="OJO1" s="5"/>
      <c r="OJP1" s="5"/>
      <c r="OJQ1" s="5"/>
      <c r="OJR1" s="5"/>
      <c r="OJS1" s="5"/>
      <c r="OJT1" s="5"/>
      <c r="OJU1" s="5"/>
      <c r="OJV1" s="5"/>
      <c r="OJW1" s="5"/>
      <c r="OJX1" s="5"/>
      <c r="OJY1" s="5"/>
      <c r="OJZ1" s="5"/>
      <c r="OKA1" s="5"/>
      <c r="OKB1" s="5"/>
      <c r="OKC1" s="5"/>
      <c r="OKD1" s="5"/>
      <c r="OKE1" s="5"/>
      <c r="OKF1" s="5"/>
      <c r="OKG1" s="5"/>
      <c r="OKH1" s="5"/>
      <c r="OKI1" s="5"/>
      <c r="OKJ1" s="5"/>
      <c r="OKK1" s="5"/>
      <c r="OKL1" s="5"/>
      <c r="OKM1" s="5"/>
      <c r="OKN1" s="5"/>
      <c r="OKO1" s="5"/>
      <c r="OKP1" s="5"/>
      <c r="OKQ1" s="5"/>
      <c r="OKR1" s="5"/>
      <c r="OKS1" s="5"/>
      <c r="OKT1" s="5"/>
      <c r="OKU1" s="5"/>
      <c r="OKV1" s="5"/>
      <c r="OKW1" s="5"/>
      <c r="OKX1" s="5"/>
      <c r="OKY1" s="5"/>
      <c r="OKZ1" s="5"/>
      <c r="OLA1" s="5"/>
      <c r="OLB1" s="5"/>
      <c r="OLC1" s="5"/>
      <c r="OLD1" s="5"/>
      <c r="OLE1" s="5"/>
      <c r="OLF1" s="5"/>
      <c r="OLG1" s="5"/>
      <c r="OLH1" s="5"/>
      <c r="OLI1" s="5"/>
      <c r="OLJ1" s="5"/>
      <c r="OLK1" s="5"/>
      <c r="OLL1" s="5"/>
      <c r="OLM1" s="5"/>
      <c r="OLN1" s="5"/>
      <c r="OLO1" s="5"/>
      <c r="OLP1" s="5"/>
      <c r="OLQ1" s="5"/>
      <c r="OLR1" s="5"/>
      <c r="OLS1" s="5"/>
      <c r="OLT1" s="5"/>
      <c r="OLU1" s="5"/>
      <c r="OLV1" s="5"/>
      <c r="OLW1" s="5"/>
      <c r="OLX1" s="5"/>
      <c r="OLY1" s="5"/>
      <c r="OLZ1" s="5"/>
      <c r="OMA1" s="5"/>
      <c r="OMB1" s="5"/>
      <c r="OMC1" s="5"/>
      <c r="OMD1" s="5"/>
      <c r="OME1" s="5"/>
      <c r="OMF1" s="5"/>
      <c r="OMG1" s="5"/>
      <c r="OMH1" s="5"/>
      <c r="OMI1" s="5"/>
      <c r="OMJ1" s="5"/>
      <c r="OMK1" s="5"/>
      <c r="OML1" s="5"/>
      <c r="OMM1" s="5"/>
      <c r="OMN1" s="5"/>
      <c r="OMO1" s="5"/>
      <c r="OMP1" s="5"/>
      <c r="OMQ1" s="5"/>
      <c r="OMR1" s="5"/>
      <c r="OMS1" s="5"/>
      <c r="OMT1" s="5"/>
      <c r="OMU1" s="5"/>
      <c r="OMV1" s="5"/>
      <c r="OMW1" s="5"/>
      <c r="OMX1" s="5"/>
      <c r="OMY1" s="5"/>
      <c r="OMZ1" s="5"/>
      <c r="ONA1" s="5"/>
      <c r="ONB1" s="5"/>
      <c r="ONC1" s="5"/>
      <c r="OND1" s="5"/>
      <c r="ONE1" s="5"/>
      <c r="ONF1" s="5"/>
      <c r="ONG1" s="5"/>
      <c r="ONH1" s="5"/>
      <c r="ONI1" s="5"/>
      <c r="ONJ1" s="5"/>
      <c r="ONK1" s="5"/>
      <c r="ONL1" s="5"/>
      <c r="ONM1" s="5"/>
      <c r="ONN1" s="5"/>
      <c r="ONO1" s="5"/>
      <c r="ONP1" s="5"/>
      <c r="ONQ1" s="5"/>
      <c r="ONR1" s="5"/>
      <c r="ONS1" s="5"/>
      <c r="ONT1" s="5"/>
      <c r="ONU1" s="5"/>
      <c r="ONV1" s="5"/>
      <c r="ONW1" s="5"/>
      <c r="ONX1" s="5"/>
      <c r="ONY1" s="5"/>
      <c r="ONZ1" s="5"/>
      <c r="OOA1" s="5"/>
      <c r="OOB1" s="5"/>
      <c r="OOC1" s="5"/>
      <c r="OOD1" s="5"/>
      <c r="OOE1" s="5"/>
      <c r="OOF1" s="5"/>
      <c r="OOG1" s="5"/>
      <c r="OOH1" s="5"/>
      <c r="OOI1" s="5"/>
      <c r="OOJ1" s="5"/>
      <c r="OOK1" s="5"/>
      <c r="OOL1" s="5"/>
      <c r="OOM1" s="5"/>
      <c r="OON1" s="5"/>
      <c r="OOO1" s="5"/>
      <c r="OOP1" s="5"/>
      <c r="OOQ1" s="5"/>
      <c r="OOR1" s="5"/>
      <c r="OOS1" s="5"/>
      <c r="OOT1" s="5"/>
      <c r="OOU1" s="5"/>
      <c r="OOV1" s="5"/>
      <c r="OOW1" s="5"/>
      <c r="OOX1" s="5"/>
      <c r="OOY1" s="5"/>
      <c r="OOZ1" s="5"/>
      <c r="OPA1" s="5"/>
      <c r="OPB1" s="5"/>
      <c r="OPC1" s="5"/>
      <c r="OPD1" s="5"/>
      <c r="OPE1" s="5"/>
      <c r="OPF1" s="5"/>
      <c r="OPG1" s="5"/>
      <c r="OPH1" s="5"/>
      <c r="OPI1" s="5"/>
      <c r="OPJ1" s="5"/>
      <c r="OPK1" s="5"/>
      <c r="OPL1" s="5"/>
      <c r="OPM1" s="5"/>
      <c r="OPN1" s="5"/>
      <c r="OPO1" s="5"/>
      <c r="OPP1" s="5"/>
      <c r="OPQ1" s="5"/>
      <c r="OPR1" s="5"/>
      <c r="OPS1" s="5"/>
      <c r="OPT1" s="5"/>
      <c r="OPU1" s="5"/>
      <c r="OPV1" s="5"/>
      <c r="OPW1" s="5"/>
      <c r="OPX1" s="5"/>
      <c r="OPY1" s="5"/>
      <c r="OPZ1" s="5"/>
      <c r="OQA1" s="5"/>
      <c r="OQB1" s="5"/>
      <c r="OQC1" s="5"/>
      <c r="OQD1" s="5"/>
      <c r="OQE1" s="5"/>
      <c r="OQF1" s="5"/>
      <c r="OQG1" s="5"/>
      <c r="OQH1" s="5"/>
      <c r="OQI1" s="5"/>
      <c r="OQJ1" s="5"/>
      <c r="OQK1" s="5"/>
      <c r="OQL1" s="5"/>
      <c r="OQM1" s="5"/>
      <c r="OQN1" s="5"/>
      <c r="OQO1" s="5"/>
      <c r="OQP1" s="5"/>
      <c r="OQQ1" s="5"/>
      <c r="OQR1" s="5"/>
      <c r="OQS1" s="5"/>
      <c r="OQT1" s="5"/>
      <c r="OQU1" s="5"/>
      <c r="OQV1" s="5"/>
      <c r="OQW1" s="5"/>
      <c r="OQX1" s="5"/>
      <c r="OQY1" s="5"/>
      <c r="OQZ1" s="5"/>
      <c r="ORA1" s="5"/>
      <c r="ORB1" s="5"/>
      <c r="ORC1" s="5"/>
      <c r="ORD1" s="5"/>
      <c r="ORE1" s="5"/>
      <c r="ORF1" s="5"/>
      <c r="ORG1" s="5"/>
      <c r="ORH1" s="5"/>
      <c r="ORI1" s="5"/>
      <c r="ORJ1" s="5"/>
      <c r="ORK1" s="5"/>
      <c r="ORL1" s="5"/>
      <c r="ORM1" s="5"/>
      <c r="ORN1" s="5"/>
      <c r="ORO1" s="5"/>
      <c r="ORP1" s="5"/>
      <c r="ORQ1" s="5"/>
      <c r="ORR1" s="5"/>
      <c r="ORS1" s="5"/>
      <c r="ORT1" s="5"/>
      <c r="ORU1" s="5"/>
      <c r="ORV1" s="5"/>
      <c r="ORW1" s="5"/>
      <c r="ORX1" s="5"/>
      <c r="ORY1" s="5"/>
      <c r="ORZ1" s="5"/>
      <c r="OSA1" s="5"/>
      <c r="OSB1" s="5"/>
      <c r="OSC1" s="5"/>
      <c r="OSD1" s="5"/>
      <c r="OSE1" s="5"/>
      <c r="OSF1" s="5"/>
      <c r="OSG1" s="5"/>
      <c r="OSH1" s="5"/>
      <c r="OSI1" s="5"/>
      <c r="OSJ1" s="5"/>
      <c r="OSK1" s="5"/>
      <c r="OSL1" s="5"/>
      <c r="OSM1" s="5"/>
      <c r="OSN1" s="5"/>
      <c r="OSO1" s="5"/>
      <c r="OSP1" s="5"/>
      <c r="OSQ1" s="5"/>
      <c r="OSR1" s="5"/>
      <c r="OSS1" s="5"/>
      <c r="OST1" s="5"/>
      <c r="OSU1" s="5"/>
      <c r="OSV1" s="5"/>
      <c r="OSW1" s="5"/>
      <c r="OSX1" s="5"/>
      <c r="OSY1" s="5"/>
      <c r="OSZ1" s="5"/>
      <c r="OTA1" s="5"/>
      <c r="OTB1" s="5"/>
      <c r="OTC1" s="5"/>
      <c r="OTD1" s="5"/>
      <c r="OTE1" s="5"/>
      <c r="OTF1" s="5"/>
      <c r="OTG1" s="5"/>
      <c r="OTH1" s="5"/>
      <c r="OTI1" s="5"/>
      <c r="OTJ1" s="5"/>
      <c r="OTK1" s="5"/>
      <c r="OTL1" s="5"/>
      <c r="OTM1" s="5"/>
      <c r="OTN1" s="5"/>
      <c r="OTO1" s="5"/>
      <c r="OTP1" s="5"/>
      <c r="OTQ1" s="5"/>
      <c r="OTR1" s="5"/>
      <c r="OTS1" s="5"/>
      <c r="OTT1" s="5"/>
      <c r="OTU1" s="5"/>
      <c r="OTV1" s="5"/>
      <c r="OTW1" s="5"/>
      <c r="OTX1" s="5"/>
      <c r="OTY1" s="5"/>
      <c r="OTZ1" s="5"/>
      <c r="OUA1" s="5"/>
      <c r="OUB1" s="5"/>
      <c r="OUC1" s="5"/>
      <c r="OUD1" s="5"/>
      <c r="OUE1" s="5"/>
      <c r="OUF1" s="5"/>
      <c r="OUG1" s="5"/>
      <c r="OUH1" s="5"/>
      <c r="OUI1" s="5"/>
      <c r="OUJ1" s="5"/>
      <c r="OUK1" s="5"/>
      <c r="OUL1" s="5"/>
      <c r="OUM1" s="5"/>
      <c r="OUN1" s="5"/>
      <c r="OUO1" s="5"/>
      <c r="OUP1" s="5"/>
      <c r="OUQ1" s="5"/>
      <c r="OUR1" s="5"/>
      <c r="OUS1" s="5"/>
      <c r="OUT1" s="5"/>
      <c r="OUU1" s="5"/>
      <c r="OUV1" s="5"/>
      <c r="OUW1" s="5"/>
      <c r="OUX1" s="5"/>
      <c r="OUY1" s="5"/>
      <c r="OUZ1" s="5"/>
      <c r="OVA1" s="5"/>
      <c r="OVB1" s="5"/>
      <c r="OVC1" s="5"/>
      <c r="OVD1" s="5"/>
      <c r="OVE1" s="5"/>
      <c r="OVF1" s="5"/>
      <c r="OVG1" s="5"/>
      <c r="OVH1" s="5"/>
      <c r="OVI1" s="5"/>
      <c r="OVJ1" s="5"/>
      <c r="OVK1" s="5"/>
      <c r="OVL1" s="5"/>
      <c r="OVM1" s="5"/>
      <c r="OVN1" s="5"/>
      <c r="OVO1" s="5"/>
      <c r="OVP1" s="5"/>
      <c r="OVQ1" s="5"/>
      <c r="OVR1" s="5"/>
      <c r="OVS1" s="5"/>
      <c r="OVT1" s="5"/>
      <c r="OVU1" s="5"/>
      <c r="OVV1" s="5"/>
      <c r="OVW1" s="5"/>
      <c r="OVX1" s="5"/>
      <c r="OVY1" s="5"/>
      <c r="OVZ1" s="5"/>
      <c r="OWA1" s="5"/>
      <c r="OWB1" s="5"/>
      <c r="OWC1" s="5"/>
      <c r="OWD1" s="5"/>
      <c r="OWE1" s="5"/>
      <c r="OWF1" s="5"/>
      <c r="OWG1" s="5"/>
      <c r="OWH1" s="5"/>
      <c r="OWI1" s="5"/>
      <c r="OWJ1" s="5"/>
      <c r="OWK1" s="5"/>
      <c r="OWL1" s="5"/>
      <c r="OWM1" s="5"/>
      <c r="OWN1" s="5"/>
      <c r="OWO1" s="5"/>
      <c r="OWP1" s="5"/>
      <c r="OWQ1" s="5"/>
      <c r="OWR1" s="5"/>
      <c r="OWS1" s="5"/>
      <c r="OWT1" s="5"/>
      <c r="OWU1" s="5"/>
      <c r="OWV1" s="5"/>
      <c r="OWW1" s="5"/>
      <c r="OWX1" s="5"/>
      <c r="OWY1" s="5"/>
      <c r="OWZ1" s="5"/>
      <c r="OXA1" s="5"/>
      <c r="OXB1" s="5"/>
      <c r="OXC1" s="5"/>
      <c r="OXD1" s="5"/>
      <c r="OXE1" s="5"/>
      <c r="OXF1" s="5"/>
      <c r="OXG1" s="5"/>
      <c r="OXH1" s="5"/>
      <c r="OXI1" s="5"/>
      <c r="OXJ1" s="5"/>
      <c r="OXK1" s="5"/>
      <c r="OXL1" s="5"/>
      <c r="OXM1" s="5"/>
      <c r="OXN1" s="5"/>
      <c r="OXO1" s="5"/>
      <c r="OXP1" s="5"/>
      <c r="OXQ1" s="5"/>
      <c r="OXR1" s="5"/>
      <c r="OXS1" s="5"/>
      <c r="OXT1" s="5"/>
      <c r="OXU1" s="5"/>
      <c r="OXV1" s="5"/>
      <c r="OXW1" s="5"/>
      <c r="OXX1" s="5"/>
      <c r="OXY1" s="5"/>
      <c r="OXZ1" s="5"/>
      <c r="OYA1" s="5"/>
      <c r="OYB1" s="5"/>
      <c r="OYC1" s="5"/>
      <c r="OYD1" s="5"/>
      <c r="OYE1" s="5"/>
      <c r="OYF1" s="5"/>
      <c r="OYG1" s="5"/>
      <c r="OYH1" s="5"/>
      <c r="OYI1" s="5"/>
      <c r="OYJ1" s="5"/>
      <c r="OYK1" s="5"/>
      <c r="OYL1" s="5"/>
      <c r="OYM1" s="5"/>
      <c r="OYN1" s="5"/>
      <c r="OYO1" s="5"/>
      <c r="OYP1" s="5"/>
      <c r="OYQ1" s="5"/>
      <c r="OYR1" s="5"/>
      <c r="OYS1" s="5"/>
      <c r="OYT1" s="5"/>
      <c r="OYU1" s="5"/>
      <c r="OYV1" s="5"/>
      <c r="OYW1" s="5"/>
      <c r="OYX1" s="5"/>
      <c r="OYY1" s="5"/>
      <c r="OYZ1" s="5"/>
      <c r="OZA1" s="5"/>
      <c r="OZB1" s="5"/>
      <c r="OZC1" s="5"/>
      <c r="OZD1" s="5"/>
      <c r="OZE1" s="5"/>
      <c r="OZF1" s="5"/>
      <c r="OZG1" s="5"/>
      <c r="OZH1" s="5"/>
      <c r="OZI1" s="5"/>
      <c r="OZJ1" s="5"/>
      <c r="OZK1" s="5"/>
      <c r="OZL1" s="5"/>
      <c r="OZM1" s="5"/>
      <c r="OZN1" s="5"/>
      <c r="OZO1" s="5"/>
      <c r="OZP1" s="5"/>
      <c r="OZQ1" s="5"/>
      <c r="OZR1" s="5"/>
      <c r="OZS1" s="5"/>
      <c r="OZT1" s="5"/>
      <c r="OZU1" s="5"/>
      <c r="OZV1" s="5"/>
      <c r="OZW1" s="5"/>
      <c r="OZX1" s="5"/>
      <c r="OZY1" s="5"/>
      <c r="OZZ1" s="5"/>
      <c r="PAA1" s="5"/>
      <c r="PAB1" s="5"/>
      <c r="PAC1" s="5"/>
      <c r="PAD1" s="5"/>
      <c r="PAE1" s="5"/>
      <c r="PAF1" s="5"/>
      <c r="PAG1" s="5"/>
      <c r="PAH1" s="5"/>
      <c r="PAI1" s="5"/>
      <c r="PAJ1" s="5"/>
      <c r="PAK1" s="5"/>
      <c r="PAL1" s="5"/>
      <c r="PAM1" s="5"/>
      <c r="PAN1" s="5"/>
      <c r="PAO1" s="5"/>
      <c r="PAP1" s="5"/>
      <c r="PAQ1" s="5"/>
      <c r="PAR1" s="5"/>
      <c r="PAS1" s="5"/>
      <c r="PAT1" s="5"/>
      <c r="PAU1" s="5"/>
      <c r="PAV1" s="5"/>
      <c r="PAW1" s="5"/>
      <c r="PAX1" s="5"/>
      <c r="PAY1" s="5"/>
      <c r="PAZ1" s="5"/>
      <c r="PBA1" s="5"/>
      <c r="PBB1" s="5"/>
      <c r="PBC1" s="5"/>
      <c r="PBD1" s="5"/>
      <c r="PBE1" s="5"/>
      <c r="PBF1" s="5"/>
      <c r="PBG1" s="5"/>
      <c r="PBH1" s="5"/>
      <c r="PBI1" s="5"/>
      <c r="PBJ1" s="5"/>
      <c r="PBK1" s="5"/>
      <c r="PBL1" s="5"/>
      <c r="PBM1" s="5"/>
      <c r="PBN1" s="5"/>
      <c r="PBO1" s="5"/>
      <c r="PBP1" s="5"/>
      <c r="PBQ1" s="5"/>
      <c r="PBR1" s="5"/>
      <c r="PBS1" s="5"/>
      <c r="PBT1" s="5"/>
      <c r="PBU1" s="5"/>
      <c r="PBV1" s="5"/>
      <c r="PBW1" s="5"/>
      <c r="PBX1" s="5"/>
      <c r="PBY1" s="5"/>
      <c r="PBZ1" s="5"/>
      <c r="PCA1" s="5"/>
      <c r="PCB1" s="5"/>
      <c r="PCC1" s="5"/>
      <c r="PCD1" s="5"/>
      <c r="PCE1" s="5"/>
      <c r="PCF1" s="5"/>
      <c r="PCG1" s="5"/>
      <c r="PCH1" s="5"/>
      <c r="PCI1" s="5"/>
      <c r="PCJ1" s="5"/>
      <c r="PCK1" s="5"/>
      <c r="PCL1" s="5"/>
      <c r="PCM1" s="5"/>
      <c r="PCN1" s="5"/>
      <c r="PCO1" s="5"/>
      <c r="PCP1" s="5"/>
      <c r="PCQ1" s="5"/>
      <c r="PCR1" s="5"/>
      <c r="PCS1" s="5"/>
      <c r="PCT1" s="5"/>
      <c r="PCU1" s="5"/>
      <c r="PCV1" s="5"/>
      <c r="PCW1" s="5"/>
      <c r="PCX1" s="5"/>
      <c r="PCY1" s="5"/>
      <c r="PCZ1" s="5"/>
      <c r="PDA1" s="5"/>
      <c r="PDB1" s="5"/>
      <c r="PDC1" s="5"/>
      <c r="PDD1" s="5"/>
      <c r="PDE1" s="5"/>
      <c r="PDF1" s="5"/>
      <c r="PDG1" s="5"/>
      <c r="PDH1" s="5"/>
      <c r="PDI1" s="5"/>
      <c r="PDJ1" s="5"/>
      <c r="PDK1" s="5"/>
      <c r="PDL1" s="5"/>
      <c r="PDM1" s="5"/>
      <c r="PDN1" s="5"/>
      <c r="PDO1" s="5"/>
      <c r="PDP1" s="5"/>
      <c r="PDQ1" s="5"/>
      <c r="PDR1" s="5"/>
      <c r="PDS1" s="5"/>
      <c r="PDT1" s="5"/>
      <c r="PDU1" s="5"/>
      <c r="PDV1" s="5"/>
      <c r="PDW1" s="5"/>
      <c r="PDX1" s="5"/>
      <c r="PDY1" s="5"/>
      <c r="PDZ1" s="5"/>
      <c r="PEA1" s="5"/>
      <c r="PEB1" s="5"/>
      <c r="PEC1" s="5"/>
      <c r="PED1" s="5"/>
      <c r="PEE1" s="5"/>
      <c r="PEF1" s="5"/>
      <c r="PEG1" s="5"/>
      <c r="PEH1" s="5"/>
      <c r="PEI1" s="5"/>
      <c r="PEJ1" s="5"/>
      <c r="PEK1" s="5"/>
      <c r="PEL1" s="5"/>
      <c r="PEM1" s="5"/>
      <c r="PEN1" s="5"/>
      <c r="PEO1" s="5"/>
      <c r="PEP1" s="5"/>
      <c r="PEQ1" s="5"/>
      <c r="PER1" s="5"/>
      <c r="PES1" s="5"/>
      <c r="PET1" s="5"/>
      <c r="PEU1" s="5"/>
      <c r="PEV1" s="5"/>
      <c r="PEW1" s="5"/>
      <c r="PEX1" s="5"/>
      <c r="PEY1" s="5"/>
      <c r="PEZ1" s="5"/>
      <c r="PFA1" s="5"/>
      <c r="PFB1" s="5"/>
      <c r="PFC1" s="5"/>
      <c r="PFD1" s="5"/>
      <c r="PFE1" s="5"/>
      <c r="PFF1" s="5"/>
      <c r="PFG1" s="5"/>
      <c r="PFH1" s="5"/>
      <c r="PFI1" s="5"/>
      <c r="PFJ1" s="5"/>
      <c r="PFK1" s="5"/>
      <c r="PFL1" s="5"/>
      <c r="PFM1" s="5"/>
      <c r="PFN1" s="5"/>
      <c r="PFO1" s="5"/>
      <c r="PFP1" s="5"/>
      <c r="PFQ1" s="5"/>
      <c r="PFR1" s="5"/>
      <c r="PFS1" s="5"/>
      <c r="PFT1" s="5"/>
      <c r="PFU1" s="5"/>
      <c r="PFV1" s="5"/>
      <c r="PFW1" s="5"/>
      <c r="PFX1" s="5"/>
      <c r="PFY1" s="5"/>
      <c r="PFZ1" s="5"/>
      <c r="PGA1" s="5"/>
      <c r="PGB1" s="5"/>
      <c r="PGC1" s="5"/>
      <c r="PGD1" s="5"/>
      <c r="PGE1" s="5"/>
      <c r="PGF1" s="5"/>
      <c r="PGG1" s="5"/>
      <c r="PGH1" s="5"/>
      <c r="PGI1" s="5"/>
      <c r="PGJ1" s="5"/>
      <c r="PGK1" s="5"/>
      <c r="PGL1" s="5"/>
      <c r="PGM1" s="5"/>
      <c r="PGN1" s="5"/>
      <c r="PGO1" s="5"/>
      <c r="PGP1" s="5"/>
      <c r="PGQ1" s="5"/>
      <c r="PGR1" s="5"/>
      <c r="PGS1" s="5"/>
      <c r="PGT1" s="5"/>
      <c r="PGU1" s="5"/>
      <c r="PGV1" s="5"/>
      <c r="PGW1" s="5"/>
      <c r="PGX1" s="5"/>
      <c r="PGY1" s="5"/>
      <c r="PGZ1" s="5"/>
      <c r="PHA1" s="5"/>
      <c r="PHB1" s="5"/>
      <c r="PHC1" s="5"/>
      <c r="PHD1" s="5"/>
      <c r="PHE1" s="5"/>
      <c r="PHF1" s="5"/>
      <c r="PHG1" s="5"/>
      <c r="PHH1" s="5"/>
      <c r="PHI1" s="5"/>
      <c r="PHJ1" s="5"/>
      <c r="PHK1" s="5"/>
      <c r="PHL1" s="5"/>
      <c r="PHM1" s="5"/>
      <c r="PHN1" s="5"/>
      <c r="PHO1" s="5"/>
      <c r="PHP1" s="5"/>
      <c r="PHQ1" s="5"/>
      <c r="PHR1" s="5"/>
      <c r="PHS1" s="5"/>
      <c r="PHT1" s="5"/>
      <c r="PHU1" s="5"/>
      <c r="PHV1" s="5"/>
      <c r="PHW1" s="5"/>
      <c r="PHX1" s="5"/>
      <c r="PHY1" s="5"/>
      <c r="PHZ1" s="5"/>
      <c r="PIA1" s="5"/>
      <c r="PIB1" s="5"/>
      <c r="PIC1" s="5"/>
      <c r="PID1" s="5"/>
      <c r="PIE1" s="5"/>
      <c r="PIF1" s="5"/>
      <c r="PIG1" s="5"/>
      <c r="PIH1" s="5"/>
      <c r="PII1" s="5"/>
      <c r="PIJ1" s="5"/>
      <c r="PIK1" s="5"/>
      <c r="PIL1" s="5"/>
      <c r="PIM1" s="5"/>
      <c r="PIN1" s="5"/>
      <c r="PIO1" s="5"/>
      <c r="PIP1" s="5"/>
      <c r="PIQ1" s="5"/>
      <c r="PIR1" s="5"/>
      <c r="PIS1" s="5"/>
      <c r="PIT1" s="5"/>
      <c r="PIU1" s="5"/>
      <c r="PIV1" s="5"/>
      <c r="PIW1" s="5"/>
      <c r="PIX1" s="5"/>
      <c r="PIY1" s="5"/>
      <c r="PIZ1" s="5"/>
      <c r="PJA1" s="5"/>
      <c r="PJB1" s="5"/>
      <c r="PJC1" s="5"/>
      <c r="PJD1" s="5"/>
      <c r="PJE1" s="5"/>
      <c r="PJF1" s="5"/>
      <c r="PJG1" s="5"/>
      <c r="PJH1" s="5"/>
      <c r="PJI1" s="5"/>
      <c r="PJJ1" s="5"/>
      <c r="PJK1" s="5"/>
      <c r="PJL1" s="5"/>
      <c r="PJM1" s="5"/>
      <c r="PJN1" s="5"/>
      <c r="PJO1" s="5"/>
      <c r="PJP1" s="5"/>
      <c r="PJQ1" s="5"/>
      <c r="PJR1" s="5"/>
      <c r="PJS1" s="5"/>
      <c r="PJT1" s="5"/>
      <c r="PJU1" s="5"/>
      <c r="PJV1" s="5"/>
      <c r="PJW1" s="5"/>
      <c r="PJX1" s="5"/>
      <c r="PJY1" s="5"/>
      <c r="PJZ1" s="5"/>
      <c r="PKA1" s="5"/>
      <c r="PKB1" s="5"/>
      <c r="PKC1" s="5"/>
      <c r="PKD1" s="5"/>
      <c r="PKE1" s="5"/>
      <c r="PKF1" s="5"/>
      <c r="PKG1" s="5"/>
      <c r="PKH1" s="5"/>
      <c r="PKI1" s="5"/>
      <c r="PKJ1" s="5"/>
      <c r="PKK1" s="5"/>
      <c r="PKL1" s="5"/>
      <c r="PKM1" s="5"/>
      <c r="PKN1" s="5"/>
      <c r="PKO1" s="5"/>
      <c r="PKP1" s="5"/>
      <c r="PKQ1" s="5"/>
      <c r="PKR1" s="5"/>
      <c r="PKS1" s="5"/>
      <c r="PKT1" s="5"/>
      <c r="PKU1" s="5"/>
      <c r="PKV1" s="5"/>
      <c r="PKW1" s="5"/>
      <c r="PKX1" s="5"/>
      <c r="PKY1" s="5"/>
      <c r="PKZ1" s="5"/>
      <c r="PLA1" s="5"/>
      <c r="PLB1" s="5"/>
      <c r="PLC1" s="5"/>
      <c r="PLD1" s="5"/>
      <c r="PLE1" s="5"/>
      <c r="PLF1" s="5"/>
      <c r="PLG1" s="5"/>
      <c r="PLH1" s="5"/>
      <c r="PLI1" s="5"/>
      <c r="PLJ1" s="5"/>
      <c r="PLK1" s="5"/>
      <c r="PLL1" s="5"/>
      <c r="PLM1" s="5"/>
      <c r="PLN1" s="5"/>
      <c r="PLO1" s="5"/>
      <c r="PLP1" s="5"/>
      <c r="PLQ1" s="5"/>
      <c r="PLR1" s="5"/>
      <c r="PLS1" s="5"/>
      <c r="PLT1" s="5"/>
      <c r="PLU1" s="5"/>
      <c r="PLV1" s="5"/>
      <c r="PLW1" s="5"/>
      <c r="PLX1" s="5"/>
      <c r="PLY1" s="5"/>
      <c r="PLZ1" s="5"/>
      <c r="PMA1" s="5"/>
      <c r="PMB1" s="5"/>
      <c r="PMC1" s="5"/>
      <c r="PMD1" s="5"/>
      <c r="PME1" s="5"/>
      <c r="PMF1" s="5"/>
      <c r="PMG1" s="5"/>
      <c r="PMH1" s="5"/>
      <c r="PMI1" s="5"/>
      <c r="PMJ1" s="5"/>
      <c r="PMK1" s="5"/>
      <c r="PML1" s="5"/>
      <c r="PMM1" s="5"/>
      <c r="PMN1" s="5"/>
      <c r="PMO1" s="5"/>
      <c r="PMP1" s="5"/>
      <c r="PMQ1" s="5"/>
      <c r="PMR1" s="5"/>
      <c r="PMS1" s="5"/>
      <c r="PMT1" s="5"/>
      <c r="PMU1" s="5"/>
      <c r="PMV1" s="5"/>
      <c r="PMW1" s="5"/>
      <c r="PMX1" s="5"/>
      <c r="PMY1" s="5"/>
      <c r="PMZ1" s="5"/>
      <c r="PNA1" s="5"/>
      <c r="PNB1" s="5"/>
      <c r="PNC1" s="5"/>
      <c r="PND1" s="5"/>
      <c r="PNE1" s="5"/>
      <c r="PNF1" s="5"/>
      <c r="PNG1" s="5"/>
      <c r="PNH1" s="5"/>
      <c r="PNI1" s="5"/>
      <c r="PNJ1" s="5"/>
      <c r="PNK1" s="5"/>
      <c r="PNL1" s="5"/>
      <c r="PNM1" s="5"/>
      <c r="PNN1" s="5"/>
      <c r="PNO1" s="5"/>
      <c r="PNP1" s="5"/>
      <c r="PNQ1" s="5"/>
      <c r="PNR1" s="5"/>
      <c r="PNS1" s="5"/>
      <c r="PNT1" s="5"/>
      <c r="PNU1" s="5"/>
      <c r="PNV1" s="5"/>
      <c r="PNW1" s="5"/>
      <c r="PNX1" s="5"/>
      <c r="PNY1" s="5"/>
      <c r="PNZ1" s="5"/>
      <c r="POA1" s="5"/>
      <c r="POB1" s="5"/>
      <c r="POC1" s="5"/>
      <c r="POD1" s="5"/>
      <c r="POE1" s="5"/>
      <c r="POF1" s="5"/>
      <c r="POG1" s="5"/>
      <c r="POH1" s="5"/>
      <c r="POI1" s="5"/>
      <c r="POJ1" s="5"/>
      <c r="POK1" s="5"/>
      <c r="POL1" s="5"/>
      <c r="POM1" s="5"/>
      <c r="PON1" s="5"/>
      <c r="POO1" s="5"/>
      <c r="POP1" s="5"/>
      <c r="POQ1" s="5"/>
      <c r="POR1" s="5"/>
      <c r="POS1" s="5"/>
      <c r="POT1" s="5"/>
      <c r="POU1" s="5"/>
      <c r="POV1" s="5"/>
      <c r="POW1" s="5"/>
      <c r="POX1" s="5"/>
      <c r="POY1" s="5"/>
      <c r="POZ1" s="5"/>
      <c r="PPA1" s="5"/>
      <c r="PPB1" s="5"/>
      <c r="PPC1" s="5"/>
      <c r="PPD1" s="5"/>
      <c r="PPE1" s="5"/>
      <c r="PPF1" s="5"/>
      <c r="PPG1" s="5"/>
      <c r="PPH1" s="5"/>
      <c r="PPI1" s="5"/>
      <c r="PPJ1" s="5"/>
      <c r="PPK1" s="5"/>
      <c r="PPL1" s="5"/>
      <c r="PPM1" s="5"/>
      <c r="PPN1" s="5"/>
      <c r="PPO1" s="5"/>
      <c r="PPP1" s="5"/>
      <c r="PPQ1" s="5"/>
      <c r="PPR1" s="5"/>
      <c r="PPS1" s="5"/>
      <c r="PPT1" s="5"/>
      <c r="PPU1" s="5"/>
      <c r="PPV1" s="5"/>
      <c r="PPW1" s="5"/>
      <c r="PPX1" s="5"/>
      <c r="PPY1" s="5"/>
      <c r="PPZ1" s="5"/>
      <c r="PQA1" s="5"/>
      <c r="PQB1" s="5"/>
      <c r="PQC1" s="5"/>
      <c r="PQD1" s="5"/>
      <c r="PQE1" s="5"/>
      <c r="PQF1" s="5"/>
      <c r="PQG1" s="5"/>
      <c r="PQH1" s="5"/>
      <c r="PQI1" s="5"/>
      <c r="PQJ1" s="5"/>
      <c r="PQK1" s="5"/>
      <c r="PQL1" s="5"/>
      <c r="PQM1" s="5"/>
      <c r="PQN1" s="5"/>
      <c r="PQO1" s="5"/>
      <c r="PQP1" s="5"/>
      <c r="PQQ1" s="5"/>
      <c r="PQR1" s="5"/>
      <c r="PQS1" s="5"/>
      <c r="PQT1" s="5"/>
      <c r="PQU1" s="5"/>
      <c r="PQV1" s="5"/>
      <c r="PQW1" s="5"/>
      <c r="PQX1" s="5"/>
      <c r="PQY1" s="5"/>
      <c r="PQZ1" s="5"/>
      <c r="PRA1" s="5"/>
      <c r="PRB1" s="5"/>
      <c r="PRC1" s="5"/>
      <c r="PRD1" s="5"/>
      <c r="PRE1" s="5"/>
      <c r="PRF1" s="5"/>
      <c r="PRG1" s="5"/>
      <c r="PRH1" s="5"/>
      <c r="PRI1" s="5"/>
      <c r="PRJ1" s="5"/>
      <c r="PRK1" s="5"/>
      <c r="PRL1" s="5"/>
      <c r="PRM1" s="5"/>
      <c r="PRN1" s="5"/>
      <c r="PRO1" s="5"/>
      <c r="PRP1" s="5"/>
      <c r="PRQ1" s="5"/>
      <c r="PRR1" s="5"/>
      <c r="PRS1" s="5"/>
      <c r="PRT1" s="5"/>
      <c r="PRU1" s="5"/>
      <c r="PRV1" s="5"/>
      <c r="PRW1" s="5"/>
      <c r="PRX1" s="5"/>
      <c r="PRY1" s="5"/>
      <c r="PRZ1" s="5"/>
      <c r="PSA1" s="5"/>
      <c r="PSB1" s="5"/>
      <c r="PSC1" s="5"/>
      <c r="PSD1" s="5"/>
      <c r="PSE1" s="5"/>
      <c r="PSF1" s="5"/>
      <c r="PSG1" s="5"/>
      <c r="PSH1" s="5"/>
      <c r="PSI1" s="5"/>
      <c r="PSJ1" s="5"/>
      <c r="PSK1" s="5"/>
      <c r="PSL1" s="5"/>
      <c r="PSM1" s="5"/>
      <c r="PSN1" s="5"/>
      <c r="PSO1" s="5"/>
      <c r="PSP1" s="5"/>
      <c r="PSQ1" s="5"/>
      <c r="PSR1" s="5"/>
      <c r="PSS1" s="5"/>
      <c r="PST1" s="5"/>
      <c r="PSU1" s="5"/>
      <c r="PSV1" s="5"/>
      <c r="PSW1" s="5"/>
      <c r="PSX1" s="5"/>
      <c r="PSY1" s="5"/>
      <c r="PSZ1" s="5"/>
      <c r="PTA1" s="5"/>
      <c r="PTB1" s="5"/>
      <c r="PTC1" s="5"/>
      <c r="PTD1" s="5"/>
      <c r="PTE1" s="5"/>
      <c r="PTF1" s="5"/>
      <c r="PTG1" s="5"/>
      <c r="PTH1" s="5"/>
      <c r="PTI1" s="5"/>
      <c r="PTJ1" s="5"/>
      <c r="PTK1" s="5"/>
      <c r="PTL1" s="5"/>
      <c r="PTM1" s="5"/>
      <c r="PTN1" s="5"/>
      <c r="PTO1" s="5"/>
      <c r="PTP1" s="5"/>
      <c r="PTQ1" s="5"/>
      <c r="PTR1" s="5"/>
      <c r="PTS1" s="5"/>
      <c r="PTT1" s="5"/>
      <c r="PTU1" s="5"/>
      <c r="PTV1" s="5"/>
      <c r="PTW1" s="5"/>
      <c r="PTX1" s="5"/>
      <c r="PTY1" s="5"/>
      <c r="PTZ1" s="5"/>
      <c r="PUA1" s="5"/>
      <c r="PUB1" s="5"/>
      <c r="PUC1" s="5"/>
      <c r="PUD1" s="5"/>
      <c r="PUE1" s="5"/>
      <c r="PUF1" s="5"/>
      <c r="PUG1" s="5"/>
      <c r="PUH1" s="5"/>
      <c r="PUI1" s="5"/>
      <c r="PUJ1" s="5"/>
      <c r="PUK1" s="5"/>
      <c r="PUL1" s="5"/>
      <c r="PUM1" s="5"/>
      <c r="PUN1" s="5"/>
      <c r="PUO1" s="5"/>
      <c r="PUP1" s="5"/>
      <c r="PUQ1" s="5"/>
      <c r="PUR1" s="5"/>
      <c r="PUS1" s="5"/>
      <c r="PUT1" s="5"/>
      <c r="PUU1" s="5"/>
      <c r="PUV1" s="5"/>
      <c r="PUW1" s="5"/>
      <c r="PUX1" s="5"/>
      <c r="PUY1" s="5"/>
      <c r="PUZ1" s="5"/>
      <c r="PVA1" s="5"/>
      <c r="PVB1" s="5"/>
      <c r="PVC1" s="5"/>
      <c r="PVD1" s="5"/>
      <c r="PVE1" s="5"/>
      <c r="PVF1" s="5"/>
      <c r="PVG1" s="5"/>
      <c r="PVH1" s="5"/>
      <c r="PVI1" s="5"/>
      <c r="PVJ1" s="5"/>
      <c r="PVK1" s="5"/>
      <c r="PVL1" s="5"/>
      <c r="PVM1" s="5"/>
      <c r="PVN1" s="5"/>
      <c r="PVO1" s="5"/>
      <c r="PVP1" s="5"/>
      <c r="PVQ1" s="5"/>
      <c r="PVR1" s="5"/>
      <c r="PVS1" s="5"/>
      <c r="PVT1" s="5"/>
      <c r="PVU1" s="5"/>
      <c r="PVV1" s="5"/>
      <c r="PVW1" s="5"/>
      <c r="PVX1" s="5"/>
      <c r="PVY1" s="5"/>
      <c r="PVZ1" s="5"/>
      <c r="PWA1" s="5"/>
      <c r="PWB1" s="5"/>
      <c r="PWC1" s="5"/>
      <c r="PWD1" s="5"/>
      <c r="PWE1" s="5"/>
      <c r="PWF1" s="5"/>
      <c r="PWG1" s="5"/>
      <c r="PWH1" s="5"/>
      <c r="PWI1" s="5"/>
      <c r="PWJ1" s="5"/>
      <c r="PWK1" s="5"/>
      <c r="PWL1" s="5"/>
      <c r="PWM1" s="5"/>
      <c r="PWN1" s="5"/>
      <c r="PWO1" s="5"/>
      <c r="PWP1" s="5"/>
      <c r="PWQ1" s="5"/>
      <c r="PWR1" s="5"/>
      <c r="PWS1" s="5"/>
      <c r="PWT1" s="5"/>
      <c r="PWU1" s="5"/>
      <c r="PWV1" s="5"/>
      <c r="PWW1" s="5"/>
      <c r="PWX1" s="5"/>
      <c r="PWY1" s="5"/>
      <c r="PWZ1" s="5"/>
      <c r="PXA1" s="5"/>
      <c r="PXB1" s="5"/>
      <c r="PXC1" s="5"/>
      <c r="PXD1" s="5"/>
      <c r="PXE1" s="5"/>
      <c r="PXF1" s="5"/>
      <c r="PXG1" s="5"/>
      <c r="PXH1" s="5"/>
      <c r="PXI1" s="5"/>
      <c r="PXJ1" s="5"/>
      <c r="PXK1" s="5"/>
      <c r="PXL1" s="5"/>
      <c r="PXM1" s="5"/>
      <c r="PXN1" s="5"/>
      <c r="PXO1" s="5"/>
      <c r="PXP1" s="5"/>
      <c r="PXQ1" s="5"/>
      <c r="PXR1" s="5"/>
      <c r="PXS1" s="5"/>
      <c r="PXT1" s="5"/>
      <c r="PXU1" s="5"/>
      <c r="PXV1" s="5"/>
      <c r="PXW1" s="5"/>
      <c r="PXX1" s="5"/>
      <c r="PXY1" s="5"/>
      <c r="PXZ1" s="5"/>
      <c r="PYA1" s="5"/>
      <c r="PYB1" s="5"/>
      <c r="PYC1" s="5"/>
      <c r="PYD1" s="5"/>
      <c r="PYE1" s="5"/>
      <c r="PYF1" s="5"/>
      <c r="PYG1" s="5"/>
      <c r="PYH1" s="5"/>
      <c r="PYI1" s="5"/>
      <c r="PYJ1" s="5"/>
      <c r="PYK1" s="5"/>
      <c r="PYL1" s="5"/>
      <c r="PYM1" s="5"/>
      <c r="PYN1" s="5"/>
      <c r="PYO1" s="5"/>
      <c r="PYP1" s="5"/>
      <c r="PYQ1" s="5"/>
      <c r="PYR1" s="5"/>
      <c r="PYS1" s="5"/>
      <c r="PYT1" s="5"/>
      <c r="PYU1" s="5"/>
      <c r="PYV1" s="5"/>
      <c r="PYW1" s="5"/>
      <c r="PYX1" s="5"/>
      <c r="PYY1" s="5"/>
      <c r="PYZ1" s="5"/>
      <c r="PZA1" s="5"/>
      <c r="PZB1" s="5"/>
      <c r="PZC1" s="5"/>
      <c r="PZD1" s="5"/>
      <c r="PZE1" s="5"/>
      <c r="PZF1" s="5"/>
      <c r="PZG1" s="5"/>
      <c r="PZH1" s="5"/>
      <c r="PZI1" s="5"/>
      <c r="PZJ1" s="5"/>
      <c r="PZK1" s="5"/>
      <c r="PZL1" s="5"/>
      <c r="PZM1" s="5"/>
      <c r="PZN1" s="5"/>
      <c r="PZO1" s="5"/>
      <c r="PZP1" s="5"/>
      <c r="PZQ1" s="5"/>
      <c r="PZR1" s="5"/>
      <c r="PZS1" s="5"/>
      <c r="PZT1" s="5"/>
      <c r="PZU1" s="5"/>
      <c r="PZV1" s="5"/>
      <c r="PZW1" s="5"/>
      <c r="PZX1" s="5"/>
      <c r="PZY1" s="5"/>
      <c r="PZZ1" s="5"/>
      <c r="QAA1" s="5"/>
      <c r="QAB1" s="5"/>
      <c r="QAC1" s="5"/>
      <c r="QAD1" s="5"/>
      <c r="QAE1" s="5"/>
      <c r="QAF1" s="5"/>
      <c r="QAG1" s="5"/>
      <c r="QAH1" s="5"/>
      <c r="QAI1" s="5"/>
      <c r="QAJ1" s="5"/>
      <c r="QAK1" s="5"/>
      <c r="QAL1" s="5"/>
      <c r="QAM1" s="5"/>
      <c r="QAN1" s="5"/>
      <c r="QAO1" s="5"/>
      <c r="QAP1" s="5"/>
      <c r="QAQ1" s="5"/>
      <c r="QAR1" s="5"/>
      <c r="QAS1" s="5"/>
      <c r="QAT1" s="5"/>
      <c r="QAU1" s="5"/>
      <c r="QAV1" s="5"/>
      <c r="QAW1" s="5"/>
      <c r="QAX1" s="5"/>
      <c r="QAY1" s="5"/>
      <c r="QAZ1" s="5"/>
      <c r="QBA1" s="5"/>
      <c r="QBB1" s="5"/>
      <c r="QBC1" s="5"/>
      <c r="QBD1" s="5"/>
      <c r="QBE1" s="5"/>
      <c r="QBF1" s="5"/>
      <c r="QBG1" s="5"/>
      <c r="QBH1" s="5"/>
      <c r="QBI1" s="5"/>
      <c r="QBJ1" s="5"/>
      <c r="QBK1" s="5"/>
      <c r="QBL1" s="5"/>
      <c r="QBM1" s="5"/>
      <c r="QBN1" s="5"/>
      <c r="QBO1" s="5"/>
      <c r="QBP1" s="5"/>
      <c r="QBQ1" s="5"/>
      <c r="QBR1" s="5"/>
      <c r="QBS1" s="5"/>
      <c r="QBT1" s="5"/>
      <c r="QBU1" s="5"/>
      <c r="QBV1" s="5"/>
      <c r="QBW1" s="5"/>
      <c r="QBX1" s="5"/>
      <c r="QBY1" s="5"/>
      <c r="QBZ1" s="5"/>
      <c r="QCA1" s="5"/>
      <c r="QCB1" s="5"/>
      <c r="QCC1" s="5"/>
      <c r="QCD1" s="5"/>
      <c r="QCE1" s="5"/>
      <c r="QCF1" s="5"/>
      <c r="QCG1" s="5"/>
      <c r="QCH1" s="5"/>
      <c r="QCI1" s="5"/>
      <c r="QCJ1" s="5"/>
      <c r="QCK1" s="5"/>
      <c r="QCL1" s="5"/>
      <c r="QCM1" s="5"/>
      <c r="QCN1" s="5"/>
      <c r="QCO1" s="5"/>
      <c r="QCP1" s="5"/>
      <c r="QCQ1" s="5"/>
      <c r="QCR1" s="5"/>
      <c r="QCS1" s="5"/>
      <c r="QCT1" s="5"/>
      <c r="QCU1" s="5"/>
      <c r="QCV1" s="5"/>
      <c r="QCW1" s="5"/>
      <c r="QCX1" s="5"/>
      <c r="QCY1" s="5"/>
      <c r="QCZ1" s="5"/>
      <c r="QDA1" s="5"/>
      <c r="QDB1" s="5"/>
      <c r="QDC1" s="5"/>
      <c r="QDD1" s="5"/>
      <c r="QDE1" s="5"/>
      <c r="QDF1" s="5"/>
      <c r="QDG1" s="5"/>
      <c r="QDH1" s="5"/>
      <c r="QDI1" s="5"/>
      <c r="QDJ1" s="5"/>
      <c r="QDK1" s="5"/>
      <c r="QDL1" s="5"/>
      <c r="QDM1" s="5"/>
      <c r="QDN1" s="5"/>
      <c r="QDO1" s="5"/>
      <c r="QDP1" s="5"/>
      <c r="QDQ1" s="5"/>
      <c r="QDR1" s="5"/>
      <c r="QDS1" s="5"/>
      <c r="QDT1" s="5"/>
      <c r="QDU1" s="5"/>
      <c r="QDV1" s="5"/>
      <c r="QDW1" s="5"/>
      <c r="QDX1" s="5"/>
      <c r="QDY1" s="5"/>
      <c r="QDZ1" s="5"/>
      <c r="QEA1" s="5"/>
      <c r="QEB1" s="5"/>
      <c r="QEC1" s="5"/>
      <c r="QED1" s="5"/>
      <c r="QEE1" s="5"/>
      <c r="QEF1" s="5"/>
      <c r="QEG1" s="5"/>
      <c r="QEH1" s="5"/>
      <c r="QEI1" s="5"/>
      <c r="QEJ1" s="5"/>
      <c r="QEK1" s="5"/>
      <c r="QEL1" s="5"/>
      <c r="QEM1" s="5"/>
      <c r="QEN1" s="5"/>
      <c r="QEO1" s="5"/>
      <c r="QEP1" s="5"/>
      <c r="QEQ1" s="5"/>
      <c r="QER1" s="5"/>
      <c r="QES1" s="5"/>
      <c r="QET1" s="5"/>
      <c r="QEU1" s="5"/>
      <c r="QEV1" s="5"/>
      <c r="QEW1" s="5"/>
      <c r="QEX1" s="5"/>
      <c r="QEY1" s="5"/>
      <c r="QEZ1" s="5"/>
      <c r="QFA1" s="5"/>
      <c r="QFB1" s="5"/>
      <c r="QFC1" s="5"/>
      <c r="QFD1" s="5"/>
      <c r="QFE1" s="5"/>
      <c r="QFF1" s="5"/>
      <c r="QFG1" s="5"/>
      <c r="QFH1" s="5"/>
      <c r="QFI1" s="5"/>
      <c r="QFJ1" s="5"/>
      <c r="QFK1" s="5"/>
      <c r="QFL1" s="5"/>
      <c r="QFM1" s="5"/>
      <c r="QFN1" s="5"/>
      <c r="QFO1" s="5"/>
      <c r="QFP1" s="5"/>
      <c r="QFQ1" s="5"/>
      <c r="QFR1" s="5"/>
      <c r="QFS1" s="5"/>
      <c r="QFT1" s="5"/>
      <c r="QFU1" s="5"/>
      <c r="QFV1" s="5"/>
      <c r="QFW1" s="5"/>
      <c r="QFX1" s="5"/>
      <c r="QFY1" s="5"/>
      <c r="QFZ1" s="5"/>
      <c r="QGA1" s="5"/>
      <c r="QGB1" s="5"/>
      <c r="QGC1" s="5"/>
      <c r="QGD1" s="5"/>
      <c r="QGE1" s="5"/>
      <c r="QGF1" s="5"/>
      <c r="QGG1" s="5"/>
      <c r="QGH1" s="5"/>
      <c r="QGI1" s="5"/>
      <c r="QGJ1" s="5"/>
      <c r="QGK1" s="5"/>
      <c r="QGL1" s="5"/>
      <c r="QGM1" s="5"/>
      <c r="QGN1" s="5"/>
      <c r="QGO1" s="5"/>
      <c r="QGP1" s="5"/>
      <c r="QGQ1" s="5"/>
      <c r="QGR1" s="5"/>
      <c r="QGS1" s="5"/>
      <c r="QGT1" s="5"/>
      <c r="QGU1" s="5"/>
      <c r="QGV1" s="5"/>
      <c r="QGW1" s="5"/>
      <c r="QGX1" s="5"/>
      <c r="QGY1" s="5"/>
      <c r="QGZ1" s="5"/>
      <c r="QHA1" s="5"/>
      <c r="QHB1" s="5"/>
      <c r="QHC1" s="5"/>
      <c r="QHD1" s="5"/>
      <c r="QHE1" s="5"/>
      <c r="QHF1" s="5"/>
      <c r="QHG1" s="5"/>
      <c r="QHH1" s="5"/>
      <c r="QHI1" s="5"/>
      <c r="QHJ1" s="5"/>
      <c r="QHK1" s="5"/>
      <c r="QHL1" s="5"/>
      <c r="QHM1" s="5"/>
      <c r="QHN1" s="5"/>
      <c r="QHO1" s="5"/>
      <c r="QHP1" s="5"/>
      <c r="QHQ1" s="5"/>
      <c r="QHR1" s="5"/>
      <c r="QHS1" s="5"/>
      <c r="QHT1" s="5"/>
      <c r="QHU1" s="5"/>
      <c r="QHV1" s="5"/>
      <c r="QHW1" s="5"/>
      <c r="QHX1" s="5"/>
      <c r="QHY1" s="5"/>
      <c r="QHZ1" s="5"/>
      <c r="QIA1" s="5"/>
      <c r="QIB1" s="5"/>
      <c r="QIC1" s="5"/>
      <c r="QID1" s="5"/>
      <c r="QIE1" s="5"/>
      <c r="QIF1" s="5"/>
      <c r="QIG1" s="5"/>
      <c r="QIH1" s="5"/>
      <c r="QII1" s="5"/>
      <c r="QIJ1" s="5"/>
      <c r="QIK1" s="5"/>
      <c r="QIL1" s="5"/>
      <c r="QIM1" s="5"/>
      <c r="QIN1" s="5"/>
      <c r="QIO1" s="5"/>
      <c r="QIP1" s="5"/>
      <c r="QIQ1" s="5"/>
      <c r="QIR1" s="5"/>
      <c r="QIS1" s="5"/>
      <c r="QIT1" s="5"/>
      <c r="QIU1" s="5"/>
      <c r="QIV1" s="5"/>
      <c r="QIW1" s="5"/>
      <c r="QIX1" s="5"/>
      <c r="QIY1" s="5"/>
      <c r="QIZ1" s="5"/>
      <c r="QJA1" s="5"/>
      <c r="QJB1" s="5"/>
      <c r="QJC1" s="5"/>
      <c r="QJD1" s="5"/>
      <c r="QJE1" s="5"/>
      <c r="QJF1" s="5"/>
      <c r="QJG1" s="5"/>
      <c r="QJH1" s="5"/>
      <c r="QJI1" s="5"/>
      <c r="QJJ1" s="5"/>
      <c r="QJK1" s="5"/>
      <c r="QJL1" s="5"/>
      <c r="QJM1" s="5"/>
      <c r="QJN1" s="5"/>
      <c r="QJO1" s="5"/>
      <c r="QJP1" s="5"/>
      <c r="QJQ1" s="5"/>
      <c r="QJR1" s="5"/>
      <c r="QJS1" s="5"/>
      <c r="QJT1" s="5"/>
      <c r="QJU1" s="5"/>
      <c r="QJV1" s="5"/>
      <c r="QJW1" s="5"/>
      <c r="QJX1" s="5"/>
      <c r="QJY1" s="5"/>
      <c r="QJZ1" s="5"/>
      <c r="QKA1" s="5"/>
      <c r="QKB1" s="5"/>
      <c r="QKC1" s="5"/>
      <c r="QKD1" s="5"/>
      <c r="QKE1" s="5"/>
      <c r="QKF1" s="5"/>
      <c r="QKG1" s="5"/>
      <c r="QKH1" s="5"/>
      <c r="QKI1" s="5"/>
      <c r="QKJ1" s="5"/>
      <c r="QKK1" s="5"/>
      <c r="QKL1" s="5"/>
      <c r="QKM1" s="5"/>
      <c r="QKN1" s="5"/>
      <c r="QKO1" s="5"/>
      <c r="QKP1" s="5"/>
      <c r="QKQ1" s="5"/>
      <c r="QKR1" s="5"/>
      <c r="QKS1" s="5"/>
      <c r="QKT1" s="5"/>
      <c r="QKU1" s="5"/>
      <c r="QKV1" s="5"/>
      <c r="QKW1" s="5"/>
      <c r="QKX1" s="5"/>
      <c r="QKY1" s="5"/>
      <c r="QKZ1" s="5"/>
      <c r="QLA1" s="5"/>
      <c r="QLB1" s="5"/>
      <c r="QLC1" s="5"/>
      <c r="QLD1" s="5"/>
      <c r="QLE1" s="5"/>
      <c r="QLF1" s="5"/>
      <c r="QLG1" s="5"/>
      <c r="QLH1" s="5"/>
      <c r="QLI1" s="5"/>
      <c r="QLJ1" s="5"/>
      <c r="QLK1" s="5"/>
      <c r="QLL1" s="5"/>
      <c r="QLM1" s="5"/>
      <c r="QLN1" s="5"/>
      <c r="QLO1" s="5"/>
      <c r="QLP1" s="5"/>
      <c r="QLQ1" s="5"/>
      <c r="QLR1" s="5"/>
      <c r="QLS1" s="5"/>
      <c r="QLT1" s="5"/>
      <c r="QLU1" s="5"/>
      <c r="QLV1" s="5"/>
      <c r="QLW1" s="5"/>
      <c r="QLX1" s="5"/>
      <c r="QLY1" s="5"/>
      <c r="QLZ1" s="5"/>
      <c r="QMA1" s="5"/>
      <c r="QMB1" s="5"/>
      <c r="QMC1" s="5"/>
      <c r="QMD1" s="5"/>
      <c r="QME1" s="5"/>
      <c r="QMF1" s="5"/>
      <c r="QMG1" s="5"/>
      <c r="QMH1" s="5"/>
      <c r="QMI1" s="5"/>
      <c r="QMJ1" s="5"/>
      <c r="QMK1" s="5"/>
      <c r="QML1" s="5"/>
      <c r="QMM1" s="5"/>
      <c r="QMN1" s="5"/>
      <c r="QMO1" s="5"/>
      <c r="QMP1" s="5"/>
      <c r="QMQ1" s="5"/>
      <c r="QMR1" s="5"/>
      <c r="QMS1" s="5"/>
      <c r="QMT1" s="5"/>
      <c r="QMU1" s="5"/>
      <c r="QMV1" s="5"/>
      <c r="QMW1" s="5"/>
      <c r="QMX1" s="5"/>
      <c r="QMY1" s="5"/>
      <c r="QMZ1" s="5"/>
      <c r="QNA1" s="5"/>
      <c r="QNB1" s="5"/>
      <c r="QNC1" s="5"/>
      <c r="QND1" s="5"/>
      <c r="QNE1" s="5"/>
      <c r="QNF1" s="5"/>
      <c r="QNG1" s="5"/>
      <c r="QNH1" s="5"/>
      <c r="QNI1" s="5"/>
      <c r="QNJ1" s="5"/>
      <c r="QNK1" s="5"/>
      <c r="QNL1" s="5"/>
      <c r="QNM1" s="5"/>
      <c r="QNN1" s="5"/>
      <c r="QNO1" s="5"/>
      <c r="QNP1" s="5"/>
      <c r="QNQ1" s="5"/>
      <c r="QNR1" s="5"/>
      <c r="QNS1" s="5"/>
      <c r="QNT1" s="5"/>
      <c r="QNU1" s="5"/>
      <c r="QNV1" s="5"/>
      <c r="QNW1" s="5"/>
      <c r="QNX1" s="5"/>
      <c r="QNY1" s="5"/>
      <c r="QNZ1" s="5"/>
      <c r="QOA1" s="5"/>
      <c r="QOB1" s="5"/>
      <c r="QOC1" s="5"/>
      <c r="QOD1" s="5"/>
      <c r="QOE1" s="5"/>
      <c r="QOF1" s="5"/>
      <c r="QOG1" s="5"/>
      <c r="QOH1" s="5"/>
      <c r="QOI1" s="5"/>
      <c r="QOJ1" s="5"/>
      <c r="QOK1" s="5"/>
      <c r="QOL1" s="5"/>
      <c r="QOM1" s="5"/>
      <c r="QON1" s="5"/>
      <c r="QOO1" s="5"/>
      <c r="QOP1" s="5"/>
      <c r="QOQ1" s="5"/>
      <c r="QOR1" s="5"/>
      <c r="QOS1" s="5"/>
      <c r="QOT1" s="5"/>
      <c r="QOU1" s="5"/>
      <c r="QOV1" s="5"/>
      <c r="QOW1" s="5"/>
      <c r="QOX1" s="5"/>
      <c r="QOY1" s="5"/>
      <c r="QOZ1" s="5"/>
      <c r="QPA1" s="5"/>
      <c r="QPB1" s="5"/>
      <c r="QPC1" s="5"/>
      <c r="QPD1" s="5"/>
      <c r="QPE1" s="5"/>
      <c r="QPF1" s="5"/>
      <c r="QPG1" s="5"/>
      <c r="QPH1" s="5"/>
      <c r="QPI1" s="5"/>
      <c r="QPJ1" s="5"/>
      <c r="QPK1" s="5"/>
      <c r="QPL1" s="5"/>
      <c r="QPM1" s="5"/>
      <c r="QPN1" s="5"/>
      <c r="QPO1" s="5"/>
      <c r="QPP1" s="5"/>
      <c r="QPQ1" s="5"/>
      <c r="QPR1" s="5"/>
      <c r="QPS1" s="5"/>
      <c r="QPT1" s="5"/>
      <c r="QPU1" s="5"/>
      <c r="QPV1" s="5"/>
      <c r="QPW1" s="5"/>
      <c r="QPX1" s="5"/>
      <c r="QPY1" s="5"/>
      <c r="QPZ1" s="5"/>
      <c r="QQA1" s="5"/>
      <c r="QQB1" s="5"/>
      <c r="QQC1" s="5"/>
      <c r="QQD1" s="5"/>
      <c r="QQE1" s="5"/>
      <c r="QQF1" s="5"/>
      <c r="QQG1" s="5"/>
      <c r="QQH1" s="5"/>
      <c r="QQI1" s="5"/>
      <c r="QQJ1" s="5"/>
      <c r="QQK1" s="5"/>
      <c r="QQL1" s="5"/>
      <c r="QQM1" s="5"/>
      <c r="QQN1" s="5"/>
      <c r="QQO1" s="5"/>
      <c r="QQP1" s="5"/>
      <c r="QQQ1" s="5"/>
      <c r="QQR1" s="5"/>
      <c r="QQS1" s="5"/>
      <c r="QQT1" s="5"/>
      <c r="QQU1" s="5"/>
      <c r="QQV1" s="5"/>
      <c r="QQW1" s="5"/>
      <c r="QQX1" s="5"/>
      <c r="QQY1" s="5"/>
      <c r="QQZ1" s="5"/>
      <c r="QRA1" s="5"/>
      <c r="QRB1" s="5"/>
      <c r="QRC1" s="5"/>
      <c r="QRD1" s="5"/>
      <c r="QRE1" s="5"/>
      <c r="QRF1" s="5"/>
      <c r="QRG1" s="5"/>
      <c r="QRH1" s="5"/>
      <c r="QRI1" s="5"/>
      <c r="QRJ1" s="5"/>
      <c r="QRK1" s="5"/>
      <c r="QRL1" s="5"/>
      <c r="QRM1" s="5"/>
      <c r="QRN1" s="5"/>
      <c r="QRO1" s="5"/>
      <c r="QRP1" s="5"/>
      <c r="QRQ1" s="5"/>
      <c r="QRR1" s="5"/>
      <c r="QRS1" s="5"/>
      <c r="QRT1" s="5"/>
      <c r="QRU1" s="5"/>
      <c r="QRV1" s="5"/>
      <c r="QRW1" s="5"/>
      <c r="QRX1" s="5"/>
      <c r="QRY1" s="5"/>
      <c r="QRZ1" s="5"/>
      <c r="QSA1" s="5"/>
      <c r="QSB1" s="5"/>
      <c r="QSC1" s="5"/>
      <c r="QSD1" s="5"/>
      <c r="QSE1" s="5"/>
      <c r="QSF1" s="5"/>
      <c r="QSG1" s="5"/>
      <c r="QSH1" s="5"/>
      <c r="QSI1" s="5"/>
      <c r="QSJ1" s="5"/>
      <c r="QSK1" s="5"/>
      <c r="QSL1" s="5"/>
      <c r="QSM1" s="5"/>
      <c r="QSN1" s="5"/>
      <c r="QSO1" s="5"/>
      <c r="QSP1" s="5"/>
      <c r="QSQ1" s="5"/>
      <c r="QSR1" s="5"/>
      <c r="QSS1" s="5"/>
      <c r="QST1" s="5"/>
      <c r="QSU1" s="5"/>
      <c r="QSV1" s="5"/>
      <c r="QSW1" s="5"/>
      <c r="QSX1" s="5"/>
      <c r="QSY1" s="5"/>
      <c r="QSZ1" s="5"/>
      <c r="QTA1" s="5"/>
      <c r="QTB1" s="5"/>
      <c r="QTC1" s="5"/>
      <c r="QTD1" s="5"/>
      <c r="QTE1" s="5"/>
      <c r="QTF1" s="5"/>
      <c r="QTG1" s="5"/>
      <c r="QTH1" s="5"/>
      <c r="QTI1" s="5"/>
      <c r="QTJ1" s="5"/>
      <c r="QTK1" s="5"/>
      <c r="QTL1" s="5"/>
      <c r="QTM1" s="5"/>
      <c r="QTN1" s="5"/>
      <c r="QTO1" s="5"/>
      <c r="QTP1" s="5"/>
      <c r="QTQ1" s="5"/>
      <c r="QTR1" s="5"/>
      <c r="QTS1" s="5"/>
      <c r="QTT1" s="5"/>
      <c r="QTU1" s="5"/>
      <c r="QTV1" s="5"/>
      <c r="QTW1" s="5"/>
      <c r="QTX1" s="5"/>
      <c r="QTY1" s="5"/>
      <c r="QTZ1" s="5"/>
      <c r="QUA1" s="5"/>
      <c r="QUB1" s="5"/>
      <c r="QUC1" s="5"/>
      <c r="QUD1" s="5"/>
      <c r="QUE1" s="5"/>
      <c r="QUF1" s="5"/>
      <c r="QUG1" s="5"/>
      <c r="QUH1" s="5"/>
      <c r="QUI1" s="5"/>
      <c r="QUJ1" s="5"/>
      <c r="QUK1" s="5"/>
      <c r="QUL1" s="5"/>
      <c r="QUM1" s="5"/>
      <c r="QUN1" s="5"/>
      <c r="QUO1" s="5"/>
      <c r="QUP1" s="5"/>
      <c r="QUQ1" s="5"/>
      <c r="QUR1" s="5"/>
      <c r="QUS1" s="5"/>
      <c r="QUT1" s="5"/>
      <c r="QUU1" s="5"/>
      <c r="QUV1" s="5"/>
      <c r="QUW1" s="5"/>
      <c r="QUX1" s="5"/>
      <c r="QUY1" s="5"/>
      <c r="QUZ1" s="5"/>
      <c r="QVA1" s="5"/>
      <c r="QVB1" s="5"/>
      <c r="QVC1" s="5"/>
      <c r="QVD1" s="5"/>
      <c r="QVE1" s="5"/>
      <c r="QVF1" s="5"/>
      <c r="QVG1" s="5"/>
      <c r="QVH1" s="5"/>
      <c r="QVI1" s="5"/>
      <c r="QVJ1" s="5"/>
      <c r="QVK1" s="5"/>
      <c r="QVL1" s="5"/>
      <c r="QVM1" s="5"/>
      <c r="QVN1" s="5"/>
      <c r="QVO1" s="5"/>
      <c r="QVP1" s="5"/>
      <c r="QVQ1" s="5"/>
      <c r="QVR1" s="5"/>
      <c r="QVS1" s="5"/>
      <c r="QVT1" s="5"/>
      <c r="QVU1" s="5"/>
      <c r="QVV1" s="5"/>
      <c r="QVW1" s="5"/>
      <c r="QVX1" s="5"/>
      <c r="QVY1" s="5"/>
      <c r="QVZ1" s="5"/>
      <c r="QWA1" s="5"/>
      <c r="QWB1" s="5"/>
      <c r="QWC1" s="5"/>
      <c r="QWD1" s="5"/>
      <c r="QWE1" s="5"/>
      <c r="QWF1" s="5"/>
      <c r="QWG1" s="5"/>
      <c r="QWH1" s="5"/>
      <c r="QWI1" s="5"/>
      <c r="QWJ1" s="5"/>
      <c r="QWK1" s="5"/>
      <c r="QWL1" s="5"/>
      <c r="QWM1" s="5"/>
      <c r="QWN1" s="5"/>
      <c r="QWO1" s="5"/>
      <c r="QWP1" s="5"/>
      <c r="QWQ1" s="5"/>
      <c r="QWR1" s="5"/>
      <c r="QWS1" s="5"/>
      <c r="QWT1" s="5"/>
      <c r="QWU1" s="5"/>
      <c r="QWV1" s="5"/>
      <c r="QWW1" s="5"/>
      <c r="QWX1" s="5"/>
      <c r="QWY1" s="5"/>
      <c r="QWZ1" s="5"/>
      <c r="QXA1" s="5"/>
      <c r="QXB1" s="5"/>
      <c r="QXC1" s="5"/>
      <c r="QXD1" s="5"/>
      <c r="QXE1" s="5"/>
      <c r="QXF1" s="5"/>
      <c r="QXG1" s="5"/>
      <c r="QXH1" s="5"/>
      <c r="QXI1" s="5"/>
      <c r="QXJ1" s="5"/>
      <c r="QXK1" s="5"/>
      <c r="QXL1" s="5"/>
      <c r="QXM1" s="5"/>
      <c r="QXN1" s="5"/>
      <c r="QXO1" s="5"/>
      <c r="QXP1" s="5"/>
      <c r="QXQ1" s="5"/>
      <c r="QXR1" s="5"/>
      <c r="QXS1" s="5"/>
      <c r="QXT1" s="5"/>
      <c r="QXU1" s="5"/>
      <c r="QXV1" s="5"/>
      <c r="QXW1" s="5"/>
      <c r="QXX1" s="5"/>
      <c r="QXY1" s="5"/>
      <c r="QXZ1" s="5"/>
      <c r="QYA1" s="5"/>
      <c r="QYB1" s="5"/>
      <c r="QYC1" s="5"/>
      <c r="QYD1" s="5"/>
      <c r="QYE1" s="5"/>
      <c r="QYF1" s="5"/>
      <c r="QYG1" s="5"/>
      <c r="QYH1" s="5"/>
      <c r="QYI1" s="5"/>
      <c r="QYJ1" s="5"/>
      <c r="QYK1" s="5"/>
      <c r="QYL1" s="5"/>
      <c r="QYM1" s="5"/>
      <c r="QYN1" s="5"/>
      <c r="QYO1" s="5"/>
      <c r="QYP1" s="5"/>
      <c r="QYQ1" s="5"/>
      <c r="QYR1" s="5"/>
      <c r="QYS1" s="5"/>
      <c r="QYT1" s="5"/>
      <c r="QYU1" s="5"/>
      <c r="QYV1" s="5"/>
      <c r="QYW1" s="5"/>
      <c r="QYX1" s="5"/>
      <c r="QYY1" s="5"/>
      <c r="QYZ1" s="5"/>
      <c r="QZA1" s="5"/>
      <c r="QZB1" s="5"/>
      <c r="QZC1" s="5"/>
      <c r="QZD1" s="5"/>
      <c r="QZE1" s="5"/>
      <c r="QZF1" s="5"/>
      <c r="QZG1" s="5"/>
      <c r="QZH1" s="5"/>
      <c r="QZI1" s="5"/>
      <c r="QZJ1" s="5"/>
      <c r="QZK1" s="5"/>
      <c r="QZL1" s="5"/>
      <c r="QZM1" s="5"/>
      <c r="QZN1" s="5"/>
      <c r="QZO1" s="5"/>
      <c r="QZP1" s="5"/>
      <c r="QZQ1" s="5"/>
      <c r="QZR1" s="5"/>
      <c r="QZS1" s="5"/>
      <c r="QZT1" s="5"/>
      <c r="QZU1" s="5"/>
      <c r="QZV1" s="5"/>
      <c r="QZW1" s="5"/>
      <c r="QZX1" s="5"/>
      <c r="QZY1" s="5"/>
      <c r="QZZ1" s="5"/>
      <c r="RAA1" s="5"/>
      <c r="RAB1" s="5"/>
      <c r="RAC1" s="5"/>
      <c r="RAD1" s="5"/>
      <c r="RAE1" s="5"/>
      <c r="RAF1" s="5"/>
      <c r="RAG1" s="5"/>
      <c r="RAH1" s="5"/>
      <c r="RAI1" s="5"/>
      <c r="RAJ1" s="5"/>
      <c r="RAK1" s="5"/>
      <c r="RAL1" s="5"/>
      <c r="RAM1" s="5"/>
      <c r="RAN1" s="5"/>
      <c r="RAO1" s="5"/>
      <c r="RAP1" s="5"/>
      <c r="RAQ1" s="5"/>
      <c r="RAR1" s="5"/>
      <c r="RAS1" s="5"/>
      <c r="RAT1" s="5"/>
      <c r="RAU1" s="5"/>
      <c r="RAV1" s="5"/>
      <c r="RAW1" s="5"/>
      <c r="RAX1" s="5"/>
      <c r="RAY1" s="5"/>
      <c r="RAZ1" s="5"/>
      <c r="RBA1" s="5"/>
      <c r="RBB1" s="5"/>
      <c r="RBC1" s="5"/>
      <c r="RBD1" s="5"/>
      <c r="RBE1" s="5"/>
      <c r="RBF1" s="5"/>
      <c r="RBG1" s="5"/>
      <c r="RBH1" s="5"/>
      <c r="RBI1" s="5"/>
      <c r="RBJ1" s="5"/>
      <c r="RBK1" s="5"/>
      <c r="RBL1" s="5"/>
      <c r="RBM1" s="5"/>
      <c r="RBN1" s="5"/>
      <c r="RBO1" s="5"/>
      <c r="RBP1" s="5"/>
      <c r="RBQ1" s="5"/>
      <c r="RBR1" s="5"/>
      <c r="RBS1" s="5"/>
      <c r="RBT1" s="5"/>
      <c r="RBU1" s="5"/>
      <c r="RBV1" s="5"/>
      <c r="RBW1" s="5"/>
      <c r="RBX1" s="5"/>
      <c r="RBY1" s="5"/>
      <c r="RBZ1" s="5"/>
      <c r="RCA1" s="5"/>
      <c r="RCB1" s="5"/>
      <c r="RCC1" s="5"/>
      <c r="RCD1" s="5"/>
      <c r="RCE1" s="5"/>
      <c r="RCF1" s="5"/>
      <c r="RCG1" s="5"/>
      <c r="RCH1" s="5"/>
      <c r="RCI1" s="5"/>
      <c r="RCJ1" s="5"/>
      <c r="RCK1" s="5"/>
      <c r="RCL1" s="5"/>
      <c r="RCM1" s="5"/>
      <c r="RCN1" s="5"/>
      <c r="RCO1" s="5"/>
      <c r="RCP1" s="5"/>
      <c r="RCQ1" s="5"/>
      <c r="RCR1" s="5"/>
      <c r="RCS1" s="5"/>
      <c r="RCT1" s="5"/>
      <c r="RCU1" s="5"/>
      <c r="RCV1" s="5"/>
      <c r="RCW1" s="5"/>
      <c r="RCX1" s="5"/>
      <c r="RCY1" s="5"/>
      <c r="RCZ1" s="5"/>
      <c r="RDA1" s="5"/>
      <c r="RDB1" s="5"/>
      <c r="RDC1" s="5"/>
      <c r="RDD1" s="5"/>
      <c r="RDE1" s="5"/>
      <c r="RDF1" s="5"/>
      <c r="RDG1" s="5"/>
      <c r="RDH1" s="5"/>
      <c r="RDI1" s="5"/>
      <c r="RDJ1" s="5"/>
      <c r="RDK1" s="5"/>
      <c r="RDL1" s="5"/>
      <c r="RDM1" s="5"/>
      <c r="RDN1" s="5"/>
      <c r="RDO1" s="5"/>
      <c r="RDP1" s="5"/>
      <c r="RDQ1" s="5"/>
      <c r="RDR1" s="5"/>
      <c r="RDS1" s="5"/>
      <c r="RDT1" s="5"/>
      <c r="RDU1" s="5"/>
      <c r="RDV1" s="5"/>
      <c r="RDW1" s="5"/>
      <c r="RDX1" s="5"/>
      <c r="RDY1" s="5"/>
      <c r="RDZ1" s="5"/>
      <c r="REA1" s="5"/>
      <c r="REB1" s="5"/>
      <c r="REC1" s="5"/>
      <c r="RED1" s="5"/>
      <c r="REE1" s="5"/>
      <c r="REF1" s="5"/>
      <c r="REG1" s="5"/>
      <c r="REH1" s="5"/>
      <c r="REI1" s="5"/>
      <c r="REJ1" s="5"/>
      <c r="REK1" s="5"/>
      <c r="REL1" s="5"/>
      <c r="REM1" s="5"/>
      <c r="REN1" s="5"/>
      <c r="REO1" s="5"/>
      <c r="REP1" s="5"/>
      <c r="REQ1" s="5"/>
      <c r="RER1" s="5"/>
      <c r="RES1" s="5"/>
      <c r="RET1" s="5"/>
      <c r="REU1" s="5"/>
      <c r="REV1" s="5"/>
      <c r="REW1" s="5"/>
      <c r="REX1" s="5"/>
      <c r="REY1" s="5"/>
      <c r="REZ1" s="5"/>
      <c r="RFA1" s="5"/>
      <c r="RFB1" s="5"/>
      <c r="RFC1" s="5"/>
      <c r="RFD1" s="5"/>
      <c r="RFE1" s="5"/>
      <c r="RFF1" s="5"/>
      <c r="RFG1" s="5"/>
      <c r="RFH1" s="5"/>
      <c r="RFI1" s="5"/>
      <c r="RFJ1" s="5"/>
      <c r="RFK1" s="5"/>
      <c r="RFL1" s="5"/>
      <c r="RFM1" s="5"/>
      <c r="RFN1" s="5"/>
      <c r="RFO1" s="5"/>
      <c r="RFP1" s="5"/>
      <c r="RFQ1" s="5"/>
      <c r="RFR1" s="5"/>
      <c r="RFS1" s="5"/>
      <c r="RFT1" s="5"/>
      <c r="RFU1" s="5"/>
      <c r="RFV1" s="5"/>
      <c r="RFW1" s="5"/>
      <c r="RFX1" s="5"/>
      <c r="RFY1" s="5"/>
      <c r="RFZ1" s="5"/>
      <c r="RGA1" s="5"/>
      <c r="RGB1" s="5"/>
      <c r="RGC1" s="5"/>
      <c r="RGD1" s="5"/>
      <c r="RGE1" s="5"/>
      <c r="RGF1" s="5"/>
      <c r="RGG1" s="5"/>
      <c r="RGH1" s="5"/>
      <c r="RGI1" s="5"/>
      <c r="RGJ1" s="5"/>
      <c r="RGK1" s="5"/>
      <c r="RGL1" s="5"/>
      <c r="RGM1" s="5"/>
      <c r="RGN1" s="5"/>
      <c r="RGO1" s="5"/>
      <c r="RGP1" s="5"/>
      <c r="RGQ1" s="5"/>
      <c r="RGR1" s="5"/>
      <c r="RGS1" s="5"/>
      <c r="RGT1" s="5"/>
      <c r="RGU1" s="5"/>
      <c r="RGV1" s="5"/>
      <c r="RGW1" s="5"/>
      <c r="RGX1" s="5"/>
      <c r="RGY1" s="5"/>
      <c r="RGZ1" s="5"/>
      <c r="RHA1" s="5"/>
      <c r="RHB1" s="5"/>
      <c r="RHC1" s="5"/>
      <c r="RHD1" s="5"/>
      <c r="RHE1" s="5"/>
      <c r="RHF1" s="5"/>
      <c r="RHG1" s="5"/>
      <c r="RHH1" s="5"/>
      <c r="RHI1" s="5"/>
      <c r="RHJ1" s="5"/>
      <c r="RHK1" s="5"/>
      <c r="RHL1" s="5"/>
      <c r="RHM1" s="5"/>
      <c r="RHN1" s="5"/>
      <c r="RHO1" s="5"/>
      <c r="RHP1" s="5"/>
      <c r="RHQ1" s="5"/>
      <c r="RHR1" s="5"/>
      <c r="RHS1" s="5"/>
      <c r="RHT1" s="5"/>
      <c r="RHU1" s="5"/>
      <c r="RHV1" s="5"/>
      <c r="RHW1" s="5"/>
      <c r="RHX1" s="5"/>
      <c r="RHY1" s="5"/>
      <c r="RHZ1" s="5"/>
      <c r="RIA1" s="5"/>
      <c r="RIB1" s="5"/>
      <c r="RIC1" s="5"/>
      <c r="RID1" s="5"/>
      <c r="RIE1" s="5"/>
      <c r="RIF1" s="5"/>
      <c r="RIG1" s="5"/>
      <c r="RIH1" s="5"/>
      <c r="RII1" s="5"/>
      <c r="RIJ1" s="5"/>
      <c r="RIK1" s="5"/>
      <c r="RIL1" s="5"/>
      <c r="RIM1" s="5"/>
      <c r="RIN1" s="5"/>
      <c r="RIO1" s="5"/>
      <c r="RIP1" s="5"/>
      <c r="RIQ1" s="5"/>
      <c r="RIR1" s="5"/>
      <c r="RIS1" s="5"/>
      <c r="RIT1" s="5"/>
      <c r="RIU1" s="5"/>
      <c r="RIV1" s="5"/>
      <c r="RIW1" s="5"/>
      <c r="RIX1" s="5"/>
      <c r="RIY1" s="5"/>
      <c r="RIZ1" s="5"/>
      <c r="RJA1" s="5"/>
      <c r="RJB1" s="5"/>
      <c r="RJC1" s="5"/>
      <c r="RJD1" s="5"/>
      <c r="RJE1" s="5"/>
      <c r="RJF1" s="5"/>
      <c r="RJG1" s="5"/>
      <c r="RJH1" s="5"/>
      <c r="RJI1" s="5"/>
      <c r="RJJ1" s="5"/>
      <c r="RJK1" s="5"/>
      <c r="RJL1" s="5"/>
      <c r="RJM1" s="5"/>
      <c r="RJN1" s="5"/>
      <c r="RJO1" s="5"/>
      <c r="RJP1" s="5"/>
      <c r="RJQ1" s="5"/>
      <c r="RJR1" s="5"/>
      <c r="RJS1" s="5"/>
      <c r="RJT1" s="5"/>
      <c r="RJU1" s="5"/>
      <c r="RJV1" s="5"/>
      <c r="RJW1" s="5"/>
      <c r="RJX1" s="5"/>
      <c r="RJY1" s="5"/>
      <c r="RJZ1" s="5"/>
      <c r="RKA1" s="5"/>
      <c r="RKB1" s="5"/>
      <c r="RKC1" s="5"/>
      <c r="RKD1" s="5"/>
      <c r="RKE1" s="5"/>
      <c r="RKF1" s="5"/>
      <c r="RKG1" s="5"/>
      <c r="RKH1" s="5"/>
      <c r="RKI1" s="5"/>
      <c r="RKJ1" s="5"/>
      <c r="RKK1" s="5"/>
      <c r="RKL1" s="5"/>
      <c r="RKM1" s="5"/>
      <c r="RKN1" s="5"/>
      <c r="RKO1" s="5"/>
      <c r="RKP1" s="5"/>
      <c r="RKQ1" s="5"/>
      <c r="RKR1" s="5"/>
      <c r="RKS1" s="5"/>
      <c r="RKT1" s="5"/>
      <c r="RKU1" s="5"/>
      <c r="RKV1" s="5"/>
      <c r="RKW1" s="5"/>
      <c r="RKX1" s="5"/>
      <c r="RKY1" s="5"/>
      <c r="RKZ1" s="5"/>
      <c r="RLA1" s="5"/>
      <c r="RLB1" s="5"/>
      <c r="RLC1" s="5"/>
      <c r="RLD1" s="5"/>
      <c r="RLE1" s="5"/>
      <c r="RLF1" s="5"/>
      <c r="RLG1" s="5"/>
      <c r="RLH1" s="5"/>
      <c r="RLI1" s="5"/>
      <c r="RLJ1" s="5"/>
      <c r="RLK1" s="5"/>
      <c r="RLL1" s="5"/>
      <c r="RLM1" s="5"/>
      <c r="RLN1" s="5"/>
      <c r="RLO1" s="5"/>
      <c r="RLP1" s="5"/>
      <c r="RLQ1" s="5"/>
      <c r="RLR1" s="5"/>
      <c r="RLS1" s="5"/>
      <c r="RLT1" s="5"/>
      <c r="RLU1" s="5"/>
      <c r="RLV1" s="5"/>
      <c r="RLW1" s="5"/>
      <c r="RLX1" s="5"/>
      <c r="RLY1" s="5"/>
      <c r="RLZ1" s="5"/>
      <c r="RMA1" s="5"/>
      <c r="RMB1" s="5"/>
      <c r="RMC1" s="5"/>
      <c r="RMD1" s="5"/>
      <c r="RME1" s="5"/>
      <c r="RMF1" s="5"/>
      <c r="RMG1" s="5"/>
      <c r="RMH1" s="5"/>
      <c r="RMI1" s="5"/>
      <c r="RMJ1" s="5"/>
      <c r="RMK1" s="5"/>
      <c r="RML1" s="5"/>
      <c r="RMM1" s="5"/>
      <c r="RMN1" s="5"/>
      <c r="RMO1" s="5"/>
      <c r="RMP1" s="5"/>
      <c r="RMQ1" s="5"/>
      <c r="RMR1" s="5"/>
      <c r="RMS1" s="5"/>
      <c r="RMT1" s="5"/>
      <c r="RMU1" s="5"/>
      <c r="RMV1" s="5"/>
      <c r="RMW1" s="5"/>
      <c r="RMX1" s="5"/>
      <c r="RMY1" s="5"/>
      <c r="RMZ1" s="5"/>
      <c r="RNA1" s="5"/>
      <c r="RNB1" s="5"/>
      <c r="RNC1" s="5"/>
      <c r="RND1" s="5"/>
      <c r="RNE1" s="5"/>
      <c r="RNF1" s="5"/>
      <c r="RNG1" s="5"/>
      <c r="RNH1" s="5"/>
      <c r="RNI1" s="5"/>
      <c r="RNJ1" s="5"/>
      <c r="RNK1" s="5"/>
      <c r="RNL1" s="5"/>
      <c r="RNM1" s="5"/>
      <c r="RNN1" s="5"/>
      <c r="RNO1" s="5"/>
      <c r="RNP1" s="5"/>
      <c r="RNQ1" s="5"/>
      <c r="RNR1" s="5"/>
      <c r="RNS1" s="5"/>
      <c r="RNT1" s="5"/>
      <c r="RNU1" s="5"/>
      <c r="RNV1" s="5"/>
      <c r="RNW1" s="5"/>
      <c r="RNX1" s="5"/>
      <c r="RNY1" s="5"/>
      <c r="RNZ1" s="5"/>
      <c r="ROA1" s="5"/>
      <c r="ROB1" s="5"/>
      <c r="ROC1" s="5"/>
      <c r="ROD1" s="5"/>
      <c r="ROE1" s="5"/>
      <c r="ROF1" s="5"/>
      <c r="ROG1" s="5"/>
      <c r="ROH1" s="5"/>
      <c r="ROI1" s="5"/>
      <c r="ROJ1" s="5"/>
      <c r="ROK1" s="5"/>
      <c r="ROL1" s="5"/>
      <c r="ROM1" s="5"/>
      <c r="RON1" s="5"/>
      <c r="ROO1" s="5"/>
      <c r="ROP1" s="5"/>
      <c r="ROQ1" s="5"/>
      <c r="ROR1" s="5"/>
      <c r="ROS1" s="5"/>
      <c r="ROT1" s="5"/>
      <c r="ROU1" s="5"/>
      <c r="ROV1" s="5"/>
      <c r="ROW1" s="5"/>
      <c r="ROX1" s="5"/>
      <c r="ROY1" s="5"/>
      <c r="ROZ1" s="5"/>
      <c r="RPA1" s="5"/>
      <c r="RPB1" s="5"/>
      <c r="RPC1" s="5"/>
      <c r="RPD1" s="5"/>
      <c r="RPE1" s="5"/>
      <c r="RPF1" s="5"/>
      <c r="RPG1" s="5"/>
      <c r="RPH1" s="5"/>
      <c r="RPI1" s="5"/>
      <c r="RPJ1" s="5"/>
      <c r="RPK1" s="5"/>
      <c r="RPL1" s="5"/>
      <c r="RPM1" s="5"/>
      <c r="RPN1" s="5"/>
      <c r="RPO1" s="5"/>
      <c r="RPP1" s="5"/>
      <c r="RPQ1" s="5"/>
      <c r="RPR1" s="5"/>
      <c r="RPS1" s="5"/>
      <c r="RPT1" s="5"/>
      <c r="RPU1" s="5"/>
      <c r="RPV1" s="5"/>
      <c r="RPW1" s="5"/>
      <c r="RPX1" s="5"/>
      <c r="RPY1" s="5"/>
      <c r="RPZ1" s="5"/>
      <c r="RQA1" s="5"/>
      <c r="RQB1" s="5"/>
      <c r="RQC1" s="5"/>
      <c r="RQD1" s="5"/>
      <c r="RQE1" s="5"/>
      <c r="RQF1" s="5"/>
      <c r="RQG1" s="5"/>
      <c r="RQH1" s="5"/>
      <c r="RQI1" s="5"/>
      <c r="RQJ1" s="5"/>
      <c r="RQK1" s="5"/>
      <c r="RQL1" s="5"/>
      <c r="RQM1" s="5"/>
      <c r="RQN1" s="5"/>
      <c r="RQO1" s="5"/>
      <c r="RQP1" s="5"/>
      <c r="RQQ1" s="5"/>
      <c r="RQR1" s="5"/>
      <c r="RQS1" s="5"/>
      <c r="RQT1" s="5"/>
      <c r="RQU1" s="5"/>
      <c r="RQV1" s="5"/>
      <c r="RQW1" s="5"/>
      <c r="RQX1" s="5"/>
      <c r="RQY1" s="5"/>
      <c r="RQZ1" s="5"/>
      <c r="RRA1" s="5"/>
      <c r="RRB1" s="5"/>
      <c r="RRC1" s="5"/>
      <c r="RRD1" s="5"/>
      <c r="RRE1" s="5"/>
      <c r="RRF1" s="5"/>
      <c r="RRG1" s="5"/>
      <c r="RRH1" s="5"/>
      <c r="RRI1" s="5"/>
      <c r="RRJ1" s="5"/>
      <c r="RRK1" s="5"/>
      <c r="RRL1" s="5"/>
      <c r="RRM1" s="5"/>
      <c r="RRN1" s="5"/>
      <c r="RRO1" s="5"/>
      <c r="RRP1" s="5"/>
      <c r="RRQ1" s="5"/>
      <c r="RRR1" s="5"/>
      <c r="RRS1" s="5"/>
      <c r="RRT1" s="5"/>
      <c r="RRU1" s="5"/>
      <c r="RRV1" s="5"/>
      <c r="RRW1" s="5"/>
      <c r="RRX1" s="5"/>
      <c r="RRY1" s="5"/>
      <c r="RRZ1" s="5"/>
      <c r="RSA1" s="5"/>
      <c r="RSB1" s="5"/>
      <c r="RSC1" s="5"/>
      <c r="RSD1" s="5"/>
      <c r="RSE1" s="5"/>
      <c r="RSF1" s="5"/>
      <c r="RSG1" s="5"/>
      <c r="RSH1" s="5"/>
      <c r="RSI1" s="5"/>
      <c r="RSJ1" s="5"/>
      <c r="RSK1" s="5"/>
      <c r="RSL1" s="5"/>
      <c r="RSM1" s="5"/>
      <c r="RSN1" s="5"/>
      <c r="RSO1" s="5"/>
      <c r="RSP1" s="5"/>
      <c r="RSQ1" s="5"/>
      <c r="RSR1" s="5"/>
      <c r="RSS1" s="5"/>
      <c r="RST1" s="5"/>
      <c r="RSU1" s="5"/>
      <c r="RSV1" s="5"/>
      <c r="RSW1" s="5"/>
      <c r="RSX1" s="5"/>
      <c r="RSY1" s="5"/>
      <c r="RSZ1" s="5"/>
      <c r="RTA1" s="5"/>
      <c r="RTB1" s="5"/>
      <c r="RTC1" s="5"/>
      <c r="RTD1" s="5"/>
      <c r="RTE1" s="5"/>
      <c r="RTF1" s="5"/>
      <c r="RTG1" s="5"/>
      <c r="RTH1" s="5"/>
      <c r="RTI1" s="5"/>
      <c r="RTJ1" s="5"/>
      <c r="RTK1" s="5"/>
      <c r="RTL1" s="5"/>
      <c r="RTM1" s="5"/>
      <c r="RTN1" s="5"/>
      <c r="RTO1" s="5"/>
      <c r="RTP1" s="5"/>
      <c r="RTQ1" s="5"/>
      <c r="RTR1" s="5"/>
      <c r="RTS1" s="5"/>
      <c r="RTT1" s="5"/>
      <c r="RTU1" s="5"/>
      <c r="RTV1" s="5"/>
      <c r="RTW1" s="5"/>
      <c r="RTX1" s="5"/>
      <c r="RTY1" s="5"/>
      <c r="RTZ1" s="5"/>
      <c r="RUA1" s="5"/>
      <c r="RUB1" s="5"/>
      <c r="RUC1" s="5"/>
      <c r="RUD1" s="5"/>
      <c r="RUE1" s="5"/>
      <c r="RUF1" s="5"/>
      <c r="RUG1" s="5"/>
      <c r="RUH1" s="5"/>
      <c r="RUI1" s="5"/>
      <c r="RUJ1" s="5"/>
      <c r="RUK1" s="5"/>
      <c r="RUL1" s="5"/>
      <c r="RUM1" s="5"/>
      <c r="RUN1" s="5"/>
      <c r="RUO1" s="5"/>
      <c r="RUP1" s="5"/>
      <c r="RUQ1" s="5"/>
      <c r="RUR1" s="5"/>
      <c r="RUS1" s="5"/>
      <c r="RUT1" s="5"/>
      <c r="RUU1" s="5"/>
      <c r="RUV1" s="5"/>
      <c r="RUW1" s="5"/>
      <c r="RUX1" s="5"/>
      <c r="RUY1" s="5"/>
      <c r="RUZ1" s="5"/>
      <c r="RVA1" s="5"/>
      <c r="RVB1" s="5"/>
      <c r="RVC1" s="5"/>
      <c r="RVD1" s="5"/>
      <c r="RVE1" s="5"/>
      <c r="RVF1" s="5"/>
      <c r="RVG1" s="5"/>
      <c r="RVH1" s="5"/>
      <c r="RVI1" s="5"/>
      <c r="RVJ1" s="5"/>
      <c r="RVK1" s="5"/>
      <c r="RVL1" s="5"/>
      <c r="RVM1" s="5"/>
      <c r="RVN1" s="5"/>
      <c r="RVO1" s="5"/>
      <c r="RVP1" s="5"/>
      <c r="RVQ1" s="5"/>
      <c r="RVR1" s="5"/>
      <c r="RVS1" s="5"/>
      <c r="RVT1" s="5"/>
      <c r="RVU1" s="5"/>
      <c r="RVV1" s="5"/>
      <c r="RVW1" s="5"/>
      <c r="RVX1" s="5"/>
      <c r="RVY1" s="5"/>
      <c r="RVZ1" s="5"/>
      <c r="RWA1" s="5"/>
      <c r="RWB1" s="5"/>
      <c r="RWC1" s="5"/>
      <c r="RWD1" s="5"/>
      <c r="RWE1" s="5"/>
      <c r="RWF1" s="5"/>
      <c r="RWG1" s="5"/>
      <c r="RWH1" s="5"/>
      <c r="RWI1" s="5"/>
      <c r="RWJ1" s="5"/>
      <c r="RWK1" s="5"/>
      <c r="RWL1" s="5"/>
      <c r="RWM1" s="5"/>
      <c r="RWN1" s="5"/>
      <c r="RWO1" s="5"/>
      <c r="RWP1" s="5"/>
      <c r="RWQ1" s="5"/>
      <c r="RWR1" s="5"/>
      <c r="RWS1" s="5"/>
      <c r="RWT1" s="5"/>
      <c r="RWU1" s="5"/>
      <c r="RWV1" s="5"/>
      <c r="RWW1" s="5"/>
      <c r="RWX1" s="5"/>
      <c r="RWY1" s="5"/>
      <c r="RWZ1" s="5"/>
      <c r="RXA1" s="5"/>
      <c r="RXB1" s="5"/>
      <c r="RXC1" s="5"/>
      <c r="RXD1" s="5"/>
      <c r="RXE1" s="5"/>
      <c r="RXF1" s="5"/>
      <c r="RXG1" s="5"/>
      <c r="RXH1" s="5"/>
      <c r="RXI1" s="5"/>
      <c r="RXJ1" s="5"/>
      <c r="RXK1" s="5"/>
      <c r="RXL1" s="5"/>
      <c r="RXM1" s="5"/>
      <c r="RXN1" s="5"/>
      <c r="RXO1" s="5"/>
      <c r="RXP1" s="5"/>
      <c r="RXQ1" s="5"/>
      <c r="RXR1" s="5"/>
      <c r="RXS1" s="5"/>
      <c r="RXT1" s="5"/>
      <c r="RXU1" s="5"/>
      <c r="RXV1" s="5"/>
      <c r="RXW1" s="5"/>
      <c r="RXX1" s="5"/>
      <c r="RXY1" s="5"/>
      <c r="RXZ1" s="5"/>
      <c r="RYA1" s="5"/>
      <c r="RYB1" s="5"/>
      <c r="RYC1" s="5"/>
      <c r="RYD1" s="5"/>
      <c r="RYE1" s="5"/>
      <c r="RYF1" s="5"/>
      <c r="RYG1" s="5"/>
      <c r="RYH1" s="5"/>
      <c r="RYI1" s="5"/>
      <c r="RYJ1" s="5"/>
      <c r="RYK1" s="5"/>
      <c r="RYL1" s="5"/>
      <c r="RYM1" s="5"/>
      <c r="RYN1" s="5"/>
      <c r="RYO1" s="5"/>
      <c r="RYP1" s="5"/>
      <c r="RYQ1" s="5"/>
      <c r="RYR1" s="5"/>
      <c r="RYS1" s="5"/>
      <c r="RYT1" s="5"/>
      <c r="RYU1" s="5"/>
      <c r="RYV1" s="5"/>
      <c r="RYW1" s="5"/>
      <c r="RYX1" s="5"/>
      <c r="RYY1" s="5"/>
      <c r="RYZ1" s="5"/>
      <c r="RZA1" s="5"/>
      <c r="RZB1" s="5"/>
      <c r="RZC1" s="5"/>
      <c r="RZD1" s="5"/>
      <c r="RZE1" s="5"/>
      <c r="RZF1" s="5"/>
      <c r="RZG1" s="5"/>
      <c r="RZH1" s="5"/>
      <c r="RZI1" s="5"/>
      <c r="RZJ1" s="5"/>
      <c r="RZK1" s="5"/>
      <c r="RZL1" s="5"/>
      <c r="RZM1" s="5"/>
      <c r="RZN1" s="5"/>
      <c r="RZO1" s="5"/>
      <c r="RZP1" s="5"/>
      <c r="RZQ1" s="5"/>
      <c r="RZR1" s="5"/>
      <c r="RZS1" s="5"/>
      <c r="RZT1" s="5"/>
      <c r="RZU1" s="5"/>
      <c r="RZV1" s="5"/>
      <c r="RZW1" s="5"/>
      <c r="RZX1" s="5"/>
      <c r="RZY1" s="5"/>
      <c r="RZZ1" s="5"/>
      <c r="SAA1" s="5"/>
      <c r="SAB1" s="5"/>
      <c r="SAC1" s="5"/>
      <c r="SAD1" s="5"/>
      <c r="SAE1" s="5"/>
      <c r="SAF1" s="5"/>
      <c r="SAG1" s="5"/>
      <c r="SAH1" s="5"/>
      <c r="SAI1" s="5"/>
      <c r="SAJ1" s="5"/>
      <c r="SAK1" s="5"/>
      <c r="SAL1" s="5"/>
      <c r="SAM1" s="5"/>
      <c r="SAN1" s="5"/>
      <c r="SAO1" s="5"/>
      <c r="SAP1" s="5"/>
      <c r="SAQ1" s="5"/>
      <c r="SAR1" s="5"/>
      <c r="SAS1" s="5"/>
      <c r="SAT1" s="5"/>
      <c r="SAU1" s="5"/>
      <c r="SAV1" s="5"/>
      <c r="SAW1" s="5"/>
      <c r="SAX1" s="5"/>
      <c r="SAY1" s="5"/>
      <c r="SAZ1" s="5"/>
      <c r="SBA1" s="5"/>
      <c r="SBB1" s="5"/>
      <c r="SBC1" s="5"/>
      <c r="SBD1" s="5"/>
      <c r="SBE1" s="5"/>
      <c r="SBF1" s="5"/>
      <c r="SBG1" s="5"/>
      <c r="SBH1" s="5"/>
      <c r="SBI1" s="5"/>
      <c r="SBJ1" s="5"/>
      <c r="SBK1" s="5"/>
      <c r="SBL1" s="5"/>
      <c r="SBM1" s="5"/>
      <c r="SBN1" s="5"/>
      <c r="SBO1" s="5"/>
      <c r="SBP1" s="5"/>
      <c r="SBQ1" s="5"/>
      <c r="SBR1" s="5"/>
      <c r="SBS1" s="5"/>
      <c r="SBT1" s="5"/>
      <c r="SBU1" s="5"/>
      <c r="SBV1" s="5"/>
      <c r="SBW1" s="5"/>
      <c r="SBX1" s="5"/>
      <c r="SBY1" s="5"/>
      <c r="SBZ1" s="5"/>
      <c r="SCA1" s="5"/>
      <c r="SCB1" s="5"/>
      <c r="SCC1" s="5"/>
      <c r="SCD1" s="5"/>
      <c r="SCE1" s="5"/>
      <c r="SCF1" s="5"/>
      <c r="SCG1" s="5"/>
      <c r="SCH1" s="5"/>
      <c r="SCI1" s="5"/>
      <c r="SCJ1" s="5"/>
      <c r="SCK1" s="5"/>
      <c r="SCL1" s="5"/>
      <c r="SCM1" s="5"/>
      <c r="SCN1" s="5"/>
      <c r="SCO1" s="5"/>
      <c r="SCP1" s="5"/>
      <c r="SCQ1" s="5"/>
      <c r="SCR1" s="5"/>
      <c r="SCS1" s="5"/>
      <c r="SCT1" s="5"/>
      <c r="SCU1" s="5"/>
      <c r="SCV1" s="5"/>
      <c r="SCW1" s="5"/>
      <c r="SCX1" s="5"/>
      <c r="SCY1" s="5"/>
      <c r="SCZ1" s="5"/>
      <c r="SDA1" s="5"/>
      <c r="SDB1" s="5"/>
      <c r="SDC1" s="5"/>
      <c r="SDD1" s="5"/>
      <c r="SDE1" s="5"/>
      <c r="SDF1" s="5"/>
      <c r="SDG1" s="5"/>
      <c r="SDH1" s="5"/>
      <c r="SDI1" s="5"/>
      <c r="SDJ1" s="5"/>
      <c r="SDK1" s="5"/>
      <c r="SDL1" s="5"/>
      <c r="SDM1" s="5"/>
      <c r="SDN1" s="5"/>
      <c r="SDO1" s="5"/>
      <c r="SDP1" s="5"/>
      <c r="SDQ1" s="5"/>
      <c r="SDR1" s="5"/>
      <c r="SDS1" s="5"/>
      <c r="SDT1" s="5"/>
      <c r="SDU1" s="5"/>
      <c r="SDV1" s="5"/>
      <c r="SDW1" s="5"/>
      <c r="SDX1" s="5"/>
      <c r="SDY1" s="5"/>
      <c r="SDZ1" s="5"/>
      <c r="SEA1" s="5"/>
      <c r="SEB1" s="5"/>
      <c r="SEC1" s="5"/>
      <c r="SED1" s="5"/>
      <c r="SEE1" s="5"/>
      <c r="SEF1" s="5"/>
      <c r="SEG1" s="5"/>
      <c r="SEH1" s="5"/>
      <c r="SEI1" s="5"/>
      <c r="SEJ1" s="5"/>
      <c r="SEK1" s="5"/>
      <c r="SEL1" s="5"/>
      <c r="SEM1" s="5"/>
      <c r="SEN1" s="5"/>
      <c r="SEO1" s="5"/>
      <c r="SEP1" s="5"/>
      <c r="SEQ1" s="5"/>
      <c r="SER1" s="5"/>
      <c r="SES1" s="5"/>
      <c r="SET1" s="5"/>
      <c r="SEU1" s="5"/>
      <c r="SEV1" s="5"/>
      <c r="SEW1" s="5"/>
      <c r="SEX1" s="5"/>
      <c r="SEY1" s="5"/>
      <c r="SEZ1" s="5"/>
      <c r="SFA1" s="5"/>
      <c r="SFB1" s="5"/>
      <c r="SFC1" s="5"/>
      <c r="SFD1" s="5"/>
      <c r="SFE1" s="5"/>
      <c r="SFF1" s="5"/>
      <c r="SFG1" s="5"/>
      <c r="SFH1" s="5"/>
      <c r="SFI1" s="5"/>
      <c r="SFJ1" s="5"/>
      <c r="SFK1" s="5"/>
      <c r="SFL1" s="5"/>
      <c r="SFM1" s="5"/>
      <c r="SFN1" s="5"/>
      <c r="SFO1" s="5"/>
      <c r="SFP1" s="5"/>
      <c r="SFQ1" s="5"/>
      <c r="SFR1" s="5"/>
      <c r="SFS1" s="5"/>
      <c r="SFT1" s="5"/>
      <c r="SFU1" s="5"/>
      <c r="SFV1" s="5"/>
      <c r="SFW1" s="5"/>
      <c r="SFX1" s="5"/>
      <c r="SFY1" s="5"/>
      <c r="SFZ1" s="5"/>
      <c r="SGA1" s="5"/>
      <c r="SGB1" s="5"/>
      <c r="SGC1" s="5"/>
      <c r="SGD1" s="5"/>
      <c r="SGE1" s="5"/>
      <c r="SGF1" s="5"/>
      <c r="SGG1" s="5"/>
      <c r="SGH1" s="5"/>
      <c r="SGI1" s="5"/>
      <c r="SGJ1" s="5"/>
      <c r="SGK1" s="5"/>
      <c r="SGL1" s="5"/>
      <c r="SGM1" s="5"/>
      <c r="SGN1" s="5"/>
      <c r="SGO1" s="5"/>
      <c r="SGP1" s="5"/>
      <c r="SGQ1" s="5"/>
      <c r="SGR1" s="5"/>
      <c r="SGS1" s="5"/>
      <c r="SGT1" s="5"/>
      <c r="SGU1" s="5"/>
      <c r="SGV1" s="5"/>
      <c r="SGW1" s="5"/>
      <c r="SGX1" s="5"/>
      <c r="SGY1" s="5"/>
      <c r="SGZ1" s="5"/>
      <c r="SHA1" s="5"/>
      <c r="SHB1" s="5"/>
      <c r="SHC1" s="5"/>
      <c r="SHD1" s="5"/>
      <c r="SHE1" s="5"/>
      <c r="SHF1" s="5"/>
      <c r="SHG1" s="5"/>
      <c r="SHH1" s="5"/>
      <c r="SHI1" s="5"/>
      <c r="SHJ1" s="5"/>
      <c r="SHK1" s="5"/>
      <c r="SHL1" s="5"/>
      <c r="SHM1" s="5"/>
      <c r="SHN1" s="5"/>
      <c r="SHO1" s="5"/>
      <c r="SHP1" s="5"/>
      <c r="SHQ1" s="5"/>
      <c r="SHR1" s="5"/>
      <c r="SHS1" s="5"/>
      <c r="SHT1" s="5"/>
      <c r="SHU1" s="5"/>
      <c r="SHV1" s="5"/>
      <c r="SHW1" s="5"/>
      <c r="SHX1" s="5"/>
      <c r="SHY1" s="5"/>
      <c r="SHZ1" s="5"/>
      <c r="SIA1" s="5"/>
      <c r="SIB1" s="5"/>
      <c r="SIC1" s="5"/>
      <c r="SID1" s="5"/>
      <c r="SIE1" s="5"/>
      <c r="SIF1" s="5"/>
      <c r="SIG1" s="5"/>
      <c r="SIH1" s="5"/>
      <c r="SII1" s="5"/>
      <c r="SIJ1" s="5"/>
      <c r="SIK1" s="5"/>
      <c r="SIL1" s="5"/>
      <c r="SIM1" s="5"/>
      <c r="SIN1" s="5"/>
      <c r="SIO1" s="5"/>
      <c r="SIP1" s="5"/>
      <c r="SIQ1" s="5"/>
      <c r="SIR1" s="5"/>
      <c r="SIS1" s="5"/>
      <c r="SIT1" s="5"/>
      <c r="SIU1" s="5"/>
      <c r="SIV1" s="5"/>
      <c r="SIW1" s="5"/>
      <c r="SIX1" s="5"/>
      <c r="SIY1" s="5"/>
      <c r="SIZ1" s="5"/>
      <c r="SJA1" s="5"/>
      <c r="SJB1" s="5"/>
      <c r="SJC1" s="5"/>
      <c r="SJD1" s="5"/>
      <c r="SJE1" s="5"/>
      <c r="SJF1" s="5"/>
      <c r="SJG1" s="5"/>
      <c r="SJH1" s="5"/>
      <c r="SJI1" s="5"/>
      <c r="SJJ1" s="5"/>
      <c r="SJK1" s="5"/>
      <c r="SJL1" s="5"/>
      <c r="SJM1" s="5"/>
      <c r="SJN1" s="5"/>
      <c r="SJO1" s="5"/>
      <c r="SJP1" s="5"/>
      <c r="SJQ1" s="5"/>
      <c r="SJR1" s="5"/>
      <c r="SJS1" s="5"/>
      <c r="SJT1" s="5"/>
      <c r="SJU1" s="5"/>
      <c r="SJV1" s="5"/>
      <c r="SJW1" s="5"/>
      <c r="SJX1" s="5"/>
      <c r="SJY1" s="5"/>
      <c r="SJZ1" s="5"/>
      <c r="SKA1" s="5"/>
      <c r="SKB1" s="5"/>
      <c r="SKC1" s="5"/>
      <c r="SKD1" s="5"/>
      <c r="SKE1" s="5"/>
      <c r="SKF1" s="5"/>
      <c r="SKG1" s="5"/>
      <c r="SKH1" s="5"/>
      <c r="SKI1" s="5"/>
      <c r="SKJ1" s="5"/>
      <c r="SKK1" s="5"/>
      <c r="SKL1" s="5"/>
      <c r="SKM1" s="5"/>
      <c r="SKN1" s="5"/>
      <c r="SKO1" s="5"/>
      <c r="SKP1" s="5"/>
      <c r="SKQ1" s="5"/>
      <c r="SKR1" s="5"/>
      <c r="SKS1" s="5"/>
      <c r="SKT1" s="5"/>
      <c r="SKU1" s="5"/>
      <c r="SKV1" s="5"/>
      <c r="SKW1" s="5"/>
      <c r="SKX1" s="5"/>
      <c r="SKY1" s="5"/>
      <c r="SKZ1" s="5"/>
      <c r="SLA1" s="5"/>
      <c r="SLB1" s="5"/>
      <c r="SLC1" s="5"/>
      <c r="SLD1" s="5"/>
      <c r="SLE1" s="5"/>
      <c r="SLF1" s="5"/>
      <c r="SLG1" s="5"/>
      <c r="SLH1" s="5"/>
      <c r="SLI1" s="5"/>
      <c r="SLJ1" s="5"/>
      <c r="SLK1" s="5"/>
      <c r="SLL1" s="5"/>
      <c r="SLM1" s="5"/>
      <c r="SLN1" s="5"/>
      <c r="SLO1" s="5"/>
      <c r="SLP1" s="5"/>
      <c r="SLQ1" s="5"/>
      <c r="SLR1" s="5"/>
      <c r="SLS1" s="5"/>
      <c r="SLT1" s="5"/>
      <c r="SLU1" s="5"/>
      <c r="SLV1" s="5"/>
      <c r="SLW1" s="5"/>
      <c r="SLX1" s="5"/>
      <c r="SLY1" s="5"/>
      <c r="SLZ1" s="5"/>
      <c r="SMA1" s="5"/>
      <c r="SMB1" s="5"/>
      <c r="SMC1" s="5"/>
      <c r="SMD1" s="5"/>
      <c r="SME1" s="5"/>
      <c r="SMF1" s="5"/>
      <c r="SMG1" s="5"/>
      <c r="SMH1" s="5"/>
      <c r="SMI1" s="5"/>
      <c r="SMJ1" s="5"/>
      <c r="SMK1" s="5"/>
      <c r="SML1" s="5"/>
      <c r="SMM1" s="5"/>
      <c r="SMN1" s="5"/>
      <c r="SMO1" s="5"/>
      <c r="SMP1" s="5"/>
      <c r="SMQ1" s="5"/>
      <c r="SMR1" s="5"/>
      <c r="SMS1" s="5"/>
      <c r="SMT1" s="5"/>
      <c r="SMU1" s="5"/>
      <c r="SMV1" s="5"/>
      <c r="SMW1" s="5"/>
      <c r="SMX1" s="5"/>
      <c r="SMY1" s="5"/>
      <c r="SMZ1" s="5"/>
      <c r="SNA1" s="5"/>
      <c r="SNB1" s="5"/>
      <c r="SNC1" s="5"/>
      <c r="SND1" s="5"/>
      <c r="SNE1" s="5"/>
      <c r="SNF1" s="5"/>
      <c r="SNG1" s="5"/>
      <c r="SNH1" s="5"/>
      <c r="SNI1" s="5"/>
      <c r="SNJ1" s="5"/>
      <c r="SNK1" s="5"/>
      <c r="SNL1" s="5"/>
      <c r="SNM1" s="5"/>
      <c r="SNN1" s="5"/>
      <c r="SNO1" s="5"/>
      <c r="SNP1" s="5"/>
      <c r="SNQ1" s="5"/>
      <c r="SNR1" s="5"/>
      <c r="SNS1" s="5"/>
      <c r="SNT1" s="5"/>
      <c r="SNU1" s="5"/>
      <c r="SNV1" s="5"/>
      <c r="SNW1" s="5"/>
      <c r="SNX1" s="5"/>
      <c r="SNY1" s="5"/>
      <c r="SNZ1" s="5"/>
      <c r="SOA1" s="5"/>
      <c r="SOB1" s="5"/>
      <c r="SOC1" s="5"/>
      <c r="SOD1" s="5"/>
      <c r="SOE1" s="5"/>
      <c r="SOF1" s="5"/>
      <c r="SOG1" s="5"/>
      <c r="SOH1" s="5"/>
      <c r="SOI1" s="5"/>
      <c r="SOJ1" s="5"/>
      <c r="SOK1" s="5"/>
      <c r="SOL1" s="5"/>
      <c r="SOM1" s="5"/>
      <c r="SON1" s="5"/>
      <c r="SOO1" s="5"/>
      <c r="SOP1" s="5"/>
      <c r="SOQ1" s="5"/>
      <c r="SOR1" s="5"/>
      <c r="SOS1" s="5"/>
      <c r="SOT1" s="5"/>
      <c r="SOU1" s="5"/>
      <c r="SOV1" s="5"/>
      <c r="SOW1" s="5"/>
      <c r="SOX1" s="5"/>
      <c r="SOY1" s="5"/>
      <c r="SOZ1" s="5"/>
      <c r="SPA1" s="5"/>
      <c r="SPB1" s="5"/>
      <c r="SPC1" s="5"/>
      <c r="SPD1" s="5"/>
      <c r="SPE1" s="5"/>
      <c r="SPF1" s="5"/>
      <c r="SPG1" s="5"/>
      <c r="SPH1" s="5"/>
      <c r="SPI1" s="5"/>
      <c r="SPJ1" s="5"/>
      <c r="SPK1" s="5"/>
      <c r="SPL1" s="5"/>
      <c r="SPM1" s="5"/>
      <c r="SPN1" s="5"/>
      <c r="SPO1" s="5"/>
      <c r="SPP1" s="5"/>
      <c r="SPQ1" s="5"/>
      <c r="SPR1" s="5"/>
      <c r="SPS1" s="5"/>
      <c r="SPT1" s="5"/>
      <c r="SPU1" s="5"/>
      <c r="SPV1" s="5"/>
      <c r="SPW1" s="5"/>
      <c r="SPX1" s="5"/>
      <c r="SPY1" s="5"/>
      <c r="SPZ1" s="5"/>
      <c r="SQA1" s="5"/>
      <c r="SQB1" s="5"/>
      <c r="SQC1" s="5"/>
      <c r="SQD1" s="5"/>
      <c r="SQE1" s="5"/>
      <c r="SQF1" s="5"/>
      <c r="SQG1" s="5"/>
      <c r="SQH1" s="5"/>
      <c r="SQI1" s="5"/>
      <c r="SQJ1" s="5"/>
      <c r="SQK1" s="5"/>
      <c r="SQL1" s="5"/>
      <c r="SQM1" s="5"/>
      <c r="SQN1" s="5"/>
      <c r="SQO1" s="5"/>
      <c r="SQP1" s="5"/>
      <c r="SQQ1" s="5"/>
      <c r="SQR1" s="5"/>
      <c r="SQS1" s="5"/>
      <c r="SQT1" s="5"/>
      <c r="SQU1" s="5"/>
      <c r="SQV1" s="5"/>
      <c r="SQW1" s="5"/>
      <c r="SQX1" s="5"/>
      <c r="SQY1" s="5"/>
      <c r="SQZ1" s="5"/>
      <c r="SRA1" s="5"/>
      <c r="SRB1" s="5"/>
      <c r="SRC1" s="5"/>
      <c r="SRD1" s="5"/>
      <c r="SRE1" s="5"/>
      <c r="SRF1" s="5"/>
      <c r="SRG1" s="5"/>
      <c r="SRH1" s="5"/>
      <c r="SRI1" s="5"/>
      <c r="SRJ1" s="5"/>
      <c r="SRK1" s="5"/>
      <c r="SRL1" s="5"/>
      <c r="SRM1" s="5"/>
      <c r="SRN1" s="5"/>
      <c r="SRO1" s="5"/>
      <c r="SRP1" s="5"/>
      <c r="SRQ1" s="5"/>
      <c r="SRR1" s="5"/>
      <c r="SRS1" s="5"/>
      <c r="SRT1" s="5"/>
      <c r="SRU1" s="5"/>
      <c r="SRV1" s="5"/>
      <c r="SRW1" s="5"/>
      <c r="SRX1" s="5"/>
      <c r="SRY1" s="5"/>
      <c r="SRZ1" s="5"/>
      <c r="SSA1" s="5"/>
      <c r="SSB1" s="5"/>
      <c r="SSC1" s="5"/>
      <c r="SSD1" s="5"/>
      <c r="SSE1" s="5"/>
      <c r="SSF1" s="5"/>
      <c r="SSG1" s="5"/>
      <c r="SSH1" s="5"/>
      <c r="SSI1" s="5"/>
      <c r="SSJ1" s="5"/>
      <c r="SSK1" s="5"/>
      <c r="SSL1" s="5"/>
      <c r="SSM1" s="5"/>
      <c r="SSN1" s="5"/>
      <c r="SSO1" s="5"/>
      <c r="SSP1" s="5"/>
      <c r="SSQ1" s="5"/>
      <c r="SSR1" s="5"/>
      <c r="SSS1" s="5"/>
      <c r="SST1" s="5"/>
      <c r="SSU1" s="5"/>
      <c r="SSV1" s="5"/>
      <c r="SSW1" s="5"/>
      <c r="SSX1" s="5"/>
      <c r="SSY1" s="5"/>
      <c r="SSZ1" s="5"/>
      <c r="STA1" s="5"/>
      <c r="STB1" s="5"/>
      <c r="STC1" s="5"/>
      <c r="STD1" s="5"/>
      <c r="STE1" s="5"/>
      <c r="STF1" s="5"/>
      <c r="STG1" s="5"/>
      <c r="STH1" s="5"/>
      <c r="STI1" s="5"/>
      <c r="STJ1" s="5"/>
      <c r="STK1" s="5"/>
      <c r="STL1" s="5"/>
      <c r="STM1" s="5"/>
      <c r="STN1" s="5"/>
      <c r="STO1" s="5"/>
      <c r="STP1" s="5"/>
      <c r="STQ1" s="5"/>
      <c r="STR1" s="5"/>
      <c r="STS1" s="5"/>
      <c r="STT1" s="5"/>
      <c r="STU1" s="5"/>
      <c r="STV1" s="5"/>
      <c r="STW1" s="5"/>
      <c r="STX1" s="5"/>
      <c r="STY1" s="5"/>
      <c r="STZ1" s="5"/>
      <c r="SUA1" s="5"/>
      <c r="SUB1" s="5"/>
      <c r="SUC1" s="5"/>
      <c r="SUD1" s="5"/>
      <c r="SUE1" s="5"/>
      <c r="SUF1" s="5"/>
      <c r="SUG1" s="5"/>
      <c r="SUH1" s="5"/>
      <c r="SUI1" s="5"/>
      <c r="SUJ1" s="5"/>
      <c r="SUK1" s="5"/>
      <c r="SUL1" s="5"/>
      <c r="SUM1" s="5"/>
      <c r="SUN1" s="5"/>
      <c r="SUO1" s="5"/>
      <c r="SUP1" s="5"/>
      <c r="SUQ1" s="5"/>
      <c r="SUR1" s="5"/>
      <c r="SUS1" s="5"/>
      <c r="SUT1" s="5"/>
      <c r="SUU1" s="5"/>
      <c r="SUV1" s="5"/>
      <c r="SUW1" s="5"/>
      <c r="SUX1" s="5"/>
      <c r="SUY1" s="5"/>
      <c r="SUZ1" s="5"/>
      <c r="SVA1" s="5"/>
      <c r="SVB1" s="5"/>
      <c r="SVC1" s="5"/>
      <c r="SVD1" s="5"/>
      <c r="SVE1" s="5"/>
      <c r="SVF1" s="5"/>
      <c r="SVG1" s="5"/>
      <c r="SVH1" s="5"/>
      <c r="SVI1" s="5"/>
      <c r="SVJ1" s="5"/>
      <c r="SVK1" s="5"/>
      <c r="SVL1" s="5"/>
      <c r="SVM1" s="5"/>
      <c r="SVN1" s="5"/>
      <c r="SVO1" s="5"/>
      <c r="SVP1" s="5"/>
      <c r="SVQ1" s="5"/>
      <c r="SVR1" s="5"/>
      <c r="SVS1" s="5"/>
      <c r="SVT1" s="5"/>
      <c r="SVU1" s="5"/>
      <c r="SVV1" s="5"/>
      <c r="SVW1" s="5"/>
      <c r="SVX1" s="5"/>
      <c r="SVY1" s="5"/>
      <c r="SVZ1" s="5"/>
      <c r="SWA1" s="5"/>
      <c r="SWB1" s="5"/>
      <c r="SWC1" s="5"/>
      <c r="SWD1" s="5"/>
      <c r="SWE1" s="5"/>
      <c r="SWF1" s="5"/>
      <c r="SWG1" s="5"/>
      <c r="SWH1" s="5"/>
      <c r="SWI1" s="5"/>
      <c r="SWJ1" s="5"/>
      <c r="SWK1" s="5"/>
      <c r="SWL1" s="5"/>
      <c r="SWM1" s="5"/>
      <c r="SWN1" s="5"/>
      <c r="SWO1" s="5"/>
      <c r="SWP1" s="5"/>
      <c r="SWQ1" s="5"/>
      <c r="SWR1" s="5"/>
      <c r="SWS1" s="5"/>
      <c r="SWT1" s="5"/>
      <c r="SWU1" s="5"/>
      <c r="SWV1" s="5"/>
      <c r="SWW1" s="5"/>
      <c r="SWX1" s="5"/>
      <c r="SWY1" s="5"/>
      <c r="SWZ1" s="5"/>
      <c r="SXA1" s="5"/>
      <c r="SXB1" s="5"/>
      <c r="SXC1" s="5"/>
      <c r="SXD1" s="5"/>
      <c r="SXE1" s="5"/>
      <c r="SXF1" s="5"/>
      <c r="SXG1" s="5"/>
      <c r="SXH1" s="5"/>
      <c r="SXI1" s="5"/>
      <c r="SXJ1" s="5"/>
      <c r="SXK1" s="5"/>
      <c r="SXL1" s="5"/>
      <c r="SXM1" s="5"/>
      <c r="SXN1" s="5"/>
      <c r="SXO1" s="5"/>
      <c r="SXP1" s="5"/>
      <c r="SXQ1" s="5"/>
      <c r="SXR1" s="5"/>
      <c r="SXS1" s="5"/>
      <c r="SXT1" s="5"/>
      <c r="SXU1" s="5"/>
      <c r="SXV1" s="5"/>
      <c r="SXW1" s="5"/>
      <c r="SXX1" s="5"/>
      <c r="SXY1" s="5"/>
      <c r="SXZ1" s="5"/>
      <c r="SYA1" s="5"/>
      <c r="SYB1" s="5"/>
      <c r="SYC1" s="5"/>
      <c r="SYD1" s="5"/>
      <c r="SYE1" s="5"/>
      <c r="SYF1" s="5"/>
      <c r="SYG1" s="5"/>
      <c r="SYH1" s="5"/>
      <c r="SYI1" s="5"/>
      <c r="SYJ1" s="5"/>
      <c r="SYK1" s="5"/>
      <c r="SYL1" s="5"/>
      <c r="SYM1" s="5"/>
      <c r="SYN1" s="5"/>
      <c r="SYO1" s="5"/>
      <c r="SYP1" s="5"/>
      <c r="SYQ1" s="5"/>
      <c r="SYR1" s="5"/>
      <c r="SYS1" s="5"/>
      <c r="SYT1" s="5"/>
      <c r="SYU1" s="5"/>
      <c r="SYV1" s="5"/>
      <c r="SYW1" s="5"/>
      <c r="SYX1" s="5"/>
      <c r="SYY1" s="5"/>
      <c r="SYZ1" s="5"/>
      <c r="SZA1" s="5"/>
      <c r="SZB1" s="5"/>
      <c r="SZC1" s="5"/>
      <c r="SZD1" s="5"/>
      <c r="SZE1" s="5"/>
      <c r="SZF1" s="5"/>
      <c r="SZG1" s="5"/>
      <c r="SZH1" s="5"/>
      <c r="SZI1" s="5"/>
      <c r="SZJ1" s="5"/>
      <c r="SZK1" s="5"/>
      <c r="SZL1" s="5"/>
      <c r="SZM1" s="5"/>
      <c r="SZN1" s="5"/>
      <c r="SZO1" s="5"/>
      <c r="SZP1" s="5"/>
      <c r="SZQ1" s="5"/>
      <c r="SZR1" s="5"/>
      <c r="SZS1" s="5"/>
      <c r="SZT1" s="5"/>
      <c r="SZU1" s="5"/>
      <c r="SZV1" s="5"/>
      <c r="SZW1" s="5"/>
      <c r="SZX1" s="5"/>
      <c r="SZY1" s="5"/>
      <c r="SZZ1" s="5"/>
      <c r="TAA1" s="5"/>
      <c r="TAB1" s="5"/>
      <c r="TAC1" s="5"/>
      <c r="TAD1" s="5"/>
      <c r="TAE1" s="5"/>
      <c r="TAF1" s="5"/>
      <c r="TAG1" s="5"/>
      <c r="TAH1" s="5"/>
      <c r="TAI1" s="5"/>
      <c r="TAJ1" s="5"/>
      <c r="TAK1" s="5"/>
      <c r="TAL1" s="5"/>
      <c r="TAM1" s="5"/>
      <c r="TAN1" s="5"/>
      <c r="TAO1" s="5"/>
      <c r="TAP1" s="5"/>
      <c r="TAQ1" s="5"/>
      <c r="TAR1" s="5"/>
      <c r="TAS1" s="5"/>
      <c r="TAT1" s="5"/>
      <c r="TAU1" s="5"/>
      <c r="TAV1" s="5"/>
      <c r="TAW1" s="5"/>
      <c r="TAX1" s="5"/>
      <c r="TAY1" s="5"/>
      <c r="TAZ1" s="5"/>
      <c r="TBA1" s="5"/>
      <c r="TBB1" s="5"/>
      <c r="TBC1" s="5"/>
      <c r="TBD1" s="5"/>
      <c r="TBE1" s="5"/>
      <c r="TBF1" s="5"/>
      <c r="TBG1" s="5"/>
      <c r="TBH1" s="5"/>
      <c r="TBI1" s="5"/>
      <c r="TBJ1" s="5"/>
      <c r="TBK1" s="5"/>
      <c r="TBL1" s="5"/>
      <c r="TBM1" s="5"/>
      <c r="TBN1" s="5"/>
      <c r="TBO1" s="5"/>
      <c r="TBP1" s="5"/>
      <c r="TBQ1" s="5"/>
      <c r="TBR1" s="5"/>
      <c r="TBS1" s="5"/>
      <c r="TBT1" s="5"/>
      <c r="TBU1" s="5"/>
      <c r="TBV1" s="5"/>
      <c r="TBW1" s="5"/>
      <c r="TBX1" s="5"/>
      <c r="TBY1" s="5"/>
      <c r="TBZ1" s="5"/>
      <c r="TCA1" s="5"/>
      <c r="TCB1" s="5"/>
      <c r="TCC1" s="5"/>
      <c r="TCD1" s="5"/>
      <c r="TCE1" s="5"/>
      <c r="TCF1" s="5"/>
      <c r="TCG1" s="5"/>
      <c r="TCH1" s="5"/>
      <c r="TCI1" s="5"/>
      <c r="TCJ1" s="5"/>
      <c r="TCK1" s="5"/>
      <c r="TCL1" s="5"/>
      <c r="TCM1" s="5"/>
      <c r="TCN1" s="5"/>
      <c r="TCO1" s="5"/>
      <c r="TCP1" s="5"/>
      <c r="TCQ1" s="5"/>
      <c r="TCR1" s="5"/>
      <c r="TCS1" s="5"/>
      <c r="TCT1" s="5"/>
      <c r="TCU1" s="5"/>
      <c r="TCV1" s="5"/>
      <c r="TCW1" s="5"/>
      <c r="TCX1" s="5"/>
      <c r="TCY1" s="5"/>
      <c r="TCZ1" s="5"/>
      <c r="TDA1" s="5"/>
      <c r="TDB1" s="5"/>
      <c r="TDC1" s="5"/>
      <c r="TDD1" s="5"/>
      <c r="TDE1" s="5"/>
      <c r="TDF1" s="5"/>
      <c r="TDG1" s="5"/>
      <c r="TDH1" s="5"/>
      <c r="TDI1" s="5"/>
      <c r="TDJ1" s="5"/>
      <c r="TDK1" s="5"/>
      <c r="TDL1" s="5"/>
      <c r="TDM1" s="5"/>
      <c r="TDN1" s="5"/>
      <c r="TDO1" s="5"/>
      <c r="TDP1" s="5"/>
      <c r="TDQ1" s="5"/>
      <c r="TDR1" s="5"/>
      <c r="TDS1" s="5"/>
      <c r="TDT1" s="5"/>
      <c r="TDU1" s="5"/>
      <c r="TDV1" s="5"/>
      <c r="TDW1" s="5"/>
      <c r="TDX1" s="5"/>
      <c r="TDY1" s="5"/>
      <c r="TDZ1" s="5"/>
      <c r="TEA1" s="5"/>
      <c r="TEB1" s="5"/>
      <c r="TEC1" s="5"/>
      <c r="TED1" s="5"/>
      <c r="TEE1" s="5"/>
      <c r="TEF1" s="5"/>
      <c r="TEG1" s="5"/>
      <c r="TEH1" s="5"/>
      <c r="TEI1" s="5"/>
      <c r="TEJ1" s="5"/>
      <c r="TEK1" s="5"/>
      <c r="TEL1" s="5"/>
      <c r="TEM1" s="5"/>
      <c r="TEN1" s="5"/>
      <c r="TEO1" s="5"/>
      <c r="TEP1" s="5"/>
      <c r="TEQ1" s="5"/>
      <c r="TER1" s="5"/>
      <c r="TES1" s="5"/>
      <c r="TET1" s="5"/>
      <c r="TEU1" s="5"/>
      <c r="TEV1" s="5"/>
      <c r="TEW1" s="5"/>
      <c r="TEX1" s="5"/>
      <c r="TEY1" s="5"/>
      <c r="TEZ1" s="5"/>
      <c r="TFA1" s="5"/>
      <c r="TFB1" s="5"/>
      <c r="TFC1" s="5"/>
      <c r="TFD1" s="5"/>
      <c r="TFE1" s="5"/>
      <c r="TFF1" s="5"/>
      <c r="TFG1" s="5"/>
      <c r="TFH1" s="5"/>
      <c r="TFI1" s="5"/>
      <c r="TFJ1" s="5"/>
      <c r="TFK1" s="5"/>
      <c r="TFL1" s="5"/>
      <c r="TFM1" s="5"/>
      <c r="TFN1" s="5"/>
      <c r="TFO1" s="5"/>
      <c r="TFP1" s="5"/>
      <c r="TFQ1" s="5"/>
      <c r="TFR1" s="5"/>
      <c r="TFS1" s="5"/>
      <c r="TFT1" s="5"/>
      <c r="TFU1" s="5"/>
      <c r="TFV1" s="5"/>
      <c r="TFW1" s="5"/>
      <c r="TFX1" s="5"/>
      <c r="TFY1" s="5"/>
      <c r="TFZ1" s="5"/>
      <c r="TGA1" s="5"/>
      <c r="TGB1" s="5"/>
      <c r="TGC1" s="5"/>
      <c r="TGD1" s="5"/>
      <c r="TGE1" s="5"/>
      <c r="TGF1" s="5"/>
      <c r="TGG1" s="5"/>
      <c r="TGH1" s="5"/>
      <c r="TGI1" s="5"/>
      <c r="TGJ1" s="5"/>
      <c r="TGK1" s="5"/>
      <c r="TGL1" s="5"/>
      <c r="TGM1" s="5"/>
      <c r="TGN1" s="5"/>
      <c r="TGO1" s="5"/>
      <c r="TGP1" s="5"/>
      <c r="TGQ1" s="5"/>
      <c r="TGR1" s="5"/>
      <c r="TGS1" s="5"/>
      <c r="TGT1" s="5"/>
      <c r="TGU1" s="5"/>
      <c r="TGV1" s="5"/>
      <c r="TGW1" s="5"/>
      <c r="TGX1" s="5"/>
      <c r="TGY1" s="5"/>
      <c r="TGZ1" s="5"/>
      <c r="THA1" s="5"/>
      <c r="THB1" s="5"/>
      <c r="THC1" s="5"/>
      <c r="THD1" s="5"/>
      <c r="THE1" s="5"/>
      <c r="THF1" s="5"/>
      <c r="THG1" s="5"/>
      <c r="THH1" s="5"/>
      <c r="THI1" s="5"/>
      <c r="THJ1" s="5"/>
      <c r="THK1" s="5"/>
      <c r="THL1" s="5"/>
      <c r="THM1" s="5"/>
      <c r="THN1" s="5"/>
      <c r="THO1" s="5"/>
      <c r="THP1" s="5"/>
      <c r="THQ1" s="5"/>
      <c r="THR1" s="5"/>
      <c r="THS1" s="5"/>
      <c r="THT1" s="5"/>
      <c r="THU1" s="5"/>
      <c r="THV1" s="5"/>
      <c r="THW1" s="5"/>
      <c r="THX1" s="5"/>
      <c r="THY1" s="5"/>
      <c r="THZ1" s="5"/>
      <c r="TIA1" s="5"/>
      <c r="TIB1" s="5"/>
      <c r="TIC1" s="5"/>
      <c r="TID1" s="5"/>
      <c r="TIE1" s="5"/>
      <c r="TIF1" s="5"/>
      <c r="TIG1" s="5"/>
      <c r="TIH1" s="5"/>
      <c r="TII1" s="5"/>
      <c r="TIJ1" s="5"/>
      <c r="TIK1" s="5"/>
      <c r="TIL1" s="5"/>
      <c r="TIM1" s="5"/>
      <c r="TIN1" s="5"/>
      <c r="TIO1" s="5"/>
      <c r="TIP1" s="5"/>
      <c r="TIQ1" s="5"/>
      <c r="TIR1" s="5"/>
      <c r="TIS1" s="5"/>
      <c r="TIT1" s="5"/>
      <c r="TIU1" s="5"/>
      <c r="TIV1" s="5"/>
      <c r="TIW1" s="5"/>
      <c r="TIX1" s="5"/>
      <c r="TIY1" s="5"/>
      <c r="TIZ1" s="5"/>
      <c r="TJA1" s="5"/>
      <c r="TJB1" s="5"/>
      <c r="TJC1" s="5"/>
      <c r="TJD1" s="5"/>
      <c r="TJE1" s="5"/>
      <c r="TJF1" s="5"/>
      <c r="TJG1" s="5"/>
      <c r="TJH1" s="5"/>
      <c r="TJI1" s="5"/>
      <c r="TJJ1" s="5"/>
      <c r="TJK1" s="5"/>
      <c r="TJL1" s="5"/>
      <c r="TJM1" s="5"/>
      <c r="TJN1" s="5"/>
      <c r="TJO1" s="5"/>
      <c r="TJP1" s="5"/>
      <c r="TJQ1" s="5"/>
      <c r="TJR1" s="5"/>
      <c r="TJS1" s="5"/>
      <c r="TJT1" s="5"/>
      <c r="TJU1" s="5"/>
      <c r="TJV1" s="5"/>
      <c r="TJW1" s="5"/>
      <c r="TJX1" s="5"/>
      <c r="TJY1" s="5"/>
      <c r="TJZ1" s="5"/>
      <c r="TKA1" s="5"/>
      <c r="TKB1" s="5"/>
      <c r="TKC1" s="5"/>
      <c r="TKD1" s="5"/>
      <c r="TKE1" s="5"/>
      <c r="TKF1" s="5"/>
      <c r="TKG1" s="5"/>
      <c r="TKH1" s="5"/>
      <c r="TKI1" s="5"/>
      <c r="TKJ1" s="5"/>
      <c r="TKK1" s="5"/>
      <c r="TKL1" s="5"/>
      <c r="TKM1" s="5"/>
      <c r="TKN1" s="5"/>
      <c r="TKO1" s="5"/>
      <c r="TKP1" s="5"/>
      <c r="TKQ1" s="5"/>
      <c r="TKR1" s="5"/>
      <c r="TKS1" s="5"/>
      <c r="TKT1" s="5"/>
      <c r="TKU1" s="5"/>
      <c r="TKV1" s="5"/>
      <c r="TKW1" s="5"/>
      <c r="TKX1" s="5"/>
      <c r="TKY1" s="5"/>
      <c r="TKZ1" s="5"/>
      <c r="TLA1" s="5"/>
      <c r="TLB1" s="5"/>
      <c r="TLC1" s="5"/>
      <c r="TLD1" s="5"/>
      <c r="TLE1" s="5"/>
      <c r="TLF1" s="5"/>
      <c r="TLG1" s="5"/>
      <c r="TLH1" s="5"/>
      <c r="TLI1" s="5"/>
      <c r="TLJ1" s="5"/>
      <c r="TLK1" s="5"/>
      <c r="TLL1" s="5"/>
      <c r="TLM1" s="5"/>
      <c r="TLN1" s="5"/>
      <c r="TLO1" s="5"/>
      <c r="TLP1" s="5"/>
      <c r="TLQ1" s="5"/>
      <c r="TLR1" s="5"/>
      <c r="TLS1" s="5"/>
      <c r="TLT1" s="5"/>
      <c r="TLU1" s="5"/>
      <c r="TLV1" s="5"/>
      <c r="TLW1" s="5"/>
      <c r="TLX1" s="5"/>
      <c r="TLY1" s="5"/>
      <c r="TLZ1" s="5"/>
      <c r="TMA1" s="5"/>
      <c r="TMB1" s="5"/>
      <c r="TMC1" s="5"/>
      <c r="TMD1" s="5"/>
      <c r="TME1" s="5"/>
      <c r="TMF1" s="5"/>
      <c r="TMG1" s="5"/>
      <c r="TMH1" s="5"/>
      <c r="TMI1" s="5"/>
      <c r="TMJ1" s="5"/>
      <c r="TMK1" s="5"/>
      <c r="TML1" s="5"/>
      <c r="TMM1" s="5"/>
      <c r="TMN1" s="5"/>
      <c r="TMO1" s="5"/>
      <c r="TMP1" s="5"/>
      <c r="TMQ1" s="5"/>
      <c r="TMR1" s="5"/>
      <c r="TMS1" s="5"/>
      <c r="TMT1" s="5"/>
      <c r="TMU1" s="5"/>
      <c r="TMV1" s="5"/>
      <c r="TMW1" s="5"/>
      <c r="TMX1" s="5"/>
      <c r="TMY1" s="5"/>
      <c r="TMZ1" s="5"/>
      <c r="TNA1" s="5"/>
      <c r="TNB1" s="5"/>
      <c r="TNC1" s="5"/>
      <c r="TND1" s="5"/>
      <c r="TNE1" s="5"/>
      <c r="TNF1" s="5"/>
      <c r="TNG1" s="5"/>
      <c r="TNH1" s="5"/>
      <c r="TNI1" s="5"/>
      <c r="TNJ1" s="5"/>
      <c r="TNK1" s="5"/>
      <c r="TNL1" s="5"/>
      <c r="TNM1" s="5"/>
      <c r="TNN1" s="5"/>
      <c r="TNO1" s="5"/>
      <c r="TNP1" s="5"/>
      <c r="TNQ1" s="5"/>
      <c r="TNR1" s="5"/>
      <c r="TNS1" s="5"/>
      <c r="TNT1" s="5"/>
      <c r="TNU1" s="5"/>
      <c r="TNV1" s="5"/>
      <c r="TNW1" s="5"/>
      <c r="TNX1" s="5"/>
      <c r="TNY1" s="5"/>
      <c r="TNZ1" s="5"/>
      <c r="TOA1" s="5"/>
      <c r="TOB1" s="5"/>
      <c r="TOC1" s="5"/>
      <c r="TOD1" s="5"/>
      <c r="TOE1" s="5"/>
      <c r="TOF1" s="5"/>
      <c r="TOG1" s="5"/>
      <c r="TOH1" s="5"/>
      <c r="TOI1" s="5"/>
      <c r="TOJ1" s="5"/>
      <c r="TOK1" s="5"/>
      <c r="TOL1" s="5"/>
      <c r="TOM1" s="5"/>
      <c r="TON1" s="5"/>
      <c r="TOO1" s="5"/>
      <c r="TOP1" s="5"/>
      <c r="TOQ1" s="5"/>
      <c r="TOR1" s="5"/>
      <c r="TOS1" s="5"/>
      <c r="TOT1" s="5"/>
      <c r="TOU1" s="5"/>
      <c r="TOV1" s="5"/>
      <c r="TOW1" s="5"/>
      <c r="TOX1" s="5"/>
      <c r="TOY1" s="5"/>
      <c r="TOZ1" s="5"/>
      <c r="TPA1" s="5"/>
      <c r="TPB1" s="5"/>
      <c r="TPC1" s="5"/>
      <c r="TPD1" s="5"/>
      <c r="TPE1" s="5"/>
      <c r="TPF1" s="5"/>
      <c r="TPG1" s="5"/>
      <c r="TPH1" s="5"/>
      <c r="TPI1" s="5"/>
      <c r="TPJ1" s="5"/>
      <c r="TPK1" s="5"/>
      <c r="TPL1" s="5"/>
      <c r="TPM1" s="5"/>
      <c r="TPN1" s="5"/>
      <c r="TPO1" s="5"/>
      <c r="TPP1" s="5"/>
      <c r="TPQ1" s="5"/>
      <c r="TPR1" s="5"/>
      <c r="TPS1" s="5"/>
      <c r="TPT1" s="5"/>
      <c r="TPU1" s="5"/>
      <c r="TPV1" s="5"/>
      <c r="TPW1" s="5"/>
      <c r="TPX1" s="5"/>
      <c r="TPY1" s="5"/>
      <c r="TPZ1" s="5"/>
      <c r="TQA1" s="5"/>
      <c r="TQB1" s="5"/>
      <c r="TQC1" s="5"/>
      <c r="TQD1" s="5"/>
      <c r="TQE1" s="5"/>
      <c r="TQF1" s="5"/>
      <c r="TQG1" s="5"/>
      <c r="TQH1" s="5"/>
      <c r="TQI1" s="5"/>
      <c r="TQJ1" s="5"/>
      <c r="TQK1" s="5"/>
      <c r="TQL1" s="5"/>
      <c r="TQM1" s="5"/>
      <c r="TQN1" s="5"/>
      <c r="TQO1" s="5"/>
      <c r="TQP1" s="5"/>
      <c r="TQQ1" s="5"/>
      <c r="TQR1" s="5"/>
      <c r="TQS1" s="5"/>
      <c r="TQT1" s="5"/>
      <c r="TQU1" s="5"/>
      <c r="TQV1" s="5"/>
      <c r="TQW1" s="5"/>
      <c r="TQX1" s="5"/>
      <c r="TQY1" s="5"/>
      <c r="TQZ1" s="5"/>
      <c r="TRA1" s="5"/>
      <c r="TRB1" s="5"/>
      <c r="TRC1" s="5"/>
      <c r="TRD1" s="5"/>
      <c r="TRE1" s="5"/>
      <c r="TRF1" s="5"/>
      <c r="TRG1" s="5"/>
      <c r="TRH1" s="5"/>
      <c r="TRI1" s="5"/>
      <c r="TRJ1" s="5"/>
      <c r="TRK1" s="5"/>
      <c r="TRL1" s="5"/>
      <c r="TRM1" s="5"/>
      <c r="TRN1" s="5"/>
      <c r="TRO1" s="5"/>
      <c r="TRP1" s="5"/>
      <c r="TRQ1" s="5"/>
      <c r="TRR1" s="5"/>
      <c r="TRS1" s="5"/>
      <c r="TRT1" s="5"/>
      <c r="TRU1" s="5"/>
      <c r="TRV1" s="5"/>
      <c r="TRW1" s="5"/>
      <c r="TRX1" s="5"/>
      <c r="TRY1" s="5"/>
      <c r="TRZ1" s="5"/>
      <c r="TSA1" s="5"/>
      <c r="TSB1" s="5"/>
      <c r="TSC1" s="5"/>
      <c r="TSD1" s="5"/>
      <c r="TSE1" s="5"/>
      <c r="TSF1" s="5"/>
      <c r="TSG1" s="5"/>
      <c r="TSH1" s="5"/>
      <c r="TSI1" s="5"/>
      <c r="TSJ1" s="5"/>
      <c r="TSK1" s="5"/>
      <c r="TSL1" s="5"/>
      <c r="TSM1" s="5"/>
      <c r="TSN1" s="5"/>
      <c r="TSO1" s="5"/>
      <c r="TSP1" s="5"/>
      <c r="TSQ1" s="5"/>
      <c r="TSR1" s="5"/>
      <c r="TSS1" s="5"/>
      <c r="TST1" s="5"/>
      <c r="TSU1" s="5"/>
      <c r="TSV1" s="5"/>
      <c r="TSW1" s="5"/>
      <c r="TSX1" s="5"/>
      <c r="TSY1" s="5"/>
      <c r="TSZ1" s="5"/>
      <c r="TTA1" s="5"/>
      <c r="TTB1" s="5"/>
      <c r="TTC1" s="5"/>
      <c r="TTD1" s="5"/>
      <c r="TTE1" s="5"/>
      <c r="TTF1" s="5"/>
      <c r="TTG1" s="5"/>
      <c r="TTH1" s="5"/>
      <c r="TTI1" s="5"/>
      <c r="TTJ1" s="5"/>
      <c r="TTK1" s="5"/>
      <c r="TTL1" s="5"/>
      <c r="TTM1" s="5"/>
      <c r="TTN1" s="5"/>
      <c r="TTO1" s="5"/>
      <c r="TTP1" s="5"/>
      <c r="TTQ1" s="5"/>
      <c r="TTR1" s="5"/>
      <c r="TTS1" s="5"/>
      <c r="TTT1" s="5"/>
      <c r="TTU1" s="5"/>
      <c r="TTV1" s="5"/>
      <c r="TTW1" s="5"/>
      <c r="TTX1" s="5"/>
      <c r="TTY1" s="5"/>
      <c r="TTZ1" s="5"/>
      <c r="TUA1" s="5"/>
      <c r="TUB1" s="5"/>
      <c r="TUC1" s="5"/>
      <c r="TUD1" s="5"/>
      <c r="TUE1" s="5"/>
      <c r="TUF1" s="5"/>
      <c r="TUG1" s="5"/>
      <c r="TUH1" s="5"/>
      <c r="TUI1" s="5"/>
      <c r="TUJ1" s="5"/>
      <c r="TUK1" s="5"/>
      <c r="TUL1" s="5"/>
      <c r="TUM1" s="5"/>
      <c r="TUN1" s="5"/>
      <c r="TUO1" s="5"/>
      <c r="TUP1" s="5"/>
      <c r="TUQ1" s="5"/>
      <c r="TUR1" s="5"/>
      <c r="TUS1" s="5"/>
      <c r="TUT1" s="5"/>
      <c r="TUU1" s="5"/>
      <c r="TUV1" s="5"/>
      <c r="TUW1" s="5"/>
      <c r="TUX1" s="5"/>
      <c r="TUY1" s="5"/>
      <c r="TUZ1" s="5"/>
      <c r="TVA1" s="5"/>
      <c r="TVB1" s="5"/>
      <c r="TVC1" s="5"/>
      <c r="TVD1" s="5"/>
      <c r="TVE1" s="5"/>
      <c r="TVF1" s="5"/>
      <c r="TVG1" s="5"/>
      <c r="TVH1" s="5"/>
      <c r="TVI1" s="5"/>
      <c r="TVJ1" s="5"/>
      <c r="TVK1" s="5"/>
      <c r="TVL1" s="5"/>
      <c r="TVM1" s="5"/>
      <c r="TVN1" s="5"/>
      <c r="TVO1" s="5"/>
      <c r="TVP1" s="5"/>
      <c r="TVQ1" s="5"/>
      <c r="TVR1" s="5"/>
      <c r="TVS1" s="5"/>
      <c r="TVT1" s="5"/>
      <c r="TVU1" s="5"/>
      <c r="TVV1" s="5"/>
      <c r="TVW1" s="5"/>
      <c r="TVX1" s="5"/>
      <c r="TVY1" s="5"/>
      <c r="TVZ1" s="5"/>
      <c r="TWA1" s="5"/>
      <c r="TWB1" s="5"/>
      <c r="TWC1" s="5"/>
      <c r="TWD1" s="5"/>
      <c r="TWE1" s="5"/>
      <c r="TWF1" s="5"/>
      <c r="TWG1" s="5"/>
      <c r="TWH1" s="5"/>
      <c r="TWI1" s="5"/>
      <c r="TWJ1" s="5"/>
      <c r="TWK1" s="5"/>
      <c r="TWL1" s="5"/>
      <c r="TWM1" s="5"/>
      <c r="TWN1" s="5"/>
      <c r="TWO1" s="5"/>
      <c r="TWP1" s="5"/>
      <c r="TWQ1" s="5"/>
      <c r="TWR1" s="5"/>
      <c r="TWS1" s="5"/>
      <c r="TWT1" s="5"/>
      <c r="TWU1" s="5"/>
      <c r="TWV1" s="5"/>
      <c r="TWW1" s="5"/>
      <c r="TWX1" s="5"/>
      <c r="TWY1" s="5"/>
      <c r="TWZ1" s="5"/>
      <c r="TXA1" s="5"/>
      <c r="TXB1" s="5"/>
      <c r="TXC1" s="5"/>
      <c r="TXD1" s="5"/>
      <c r="TXE1" s="5"/>
      <c r="TXF1" s="5"/>
      <c r="TXG1" s="5"/>
      <c r="TXH1" s="5"/>
      <c r="TXI1" s="5"/>
      <c r="TXJ1" s="5"/>
      <c r="TXK1" s="5"/>
      <c r="TXL1" s="5"/>
      <c r="TXM1" s="5"/>
      <c r="TXN1" s="5"/>
      <c r="TXO1" s="5"/>
      <c r="TXP1" s="5"/>
      <c r="TXQ1" s="5"/>
      <c r="TXR1" s="5"/>
      <c r="TXS1" s="5"/>
      <c r="TXT1" s="5"/>
      <c r="TXU1" s="5"/>
      <c r="TXV1" s="5"/>
      <c r="TXW1" s="5"/>
      <c r="TXX1" s="5"/>
      <c r="TXY1" s="5"/>
      <c r="TXZ1" s="5"/>
      <c r="TYA1" s="5"/>
      <c r="TYB1" s="5"/>
      <c r="TYC1" s="5"/>
      <c r="TYD1" s="5"/>
      <c r="TYE1" s="5"/>
      <c r="TYF1" s="5"/>
      <c r="TYG1" s="5"/>
      <c r="TYH1" s="5"/>
      <c r="TYI1" s="5"/>
      <c r="TYJ1" s="5"/>
      <c r="TYK1" s="5"/>
      <c r="TYL1" s="5"/>
      <c r="TYM1" s="5"/>
      <c r="TYN1" s="5"/>
      <c r="TYO1" s="5"/>
      <c r="TYP1" s="5"/>
      <c r="TYQ1" s="5"/>
      <c r="TYR1" s="5"/>
      <c r="TYS1" s="5"/>
      <c r="TYT1" s="5"/>
      <c r="TYU1" s="5"/>
      <c r="TYV1" s="5"/>
      <c r="TYW1" s="5"/>
      <c r="TYX1" s="5"/>
      <c r="TYY1" s="5"/>
      <c r="TYZ1" s="5"/>
      <c r="TZA1" s="5"/>
      <c r="TZB1" s="5"/>
      <c r="TZC1" s="5"/>
      <c r="TZD1" s="5"/>
      <c r="TZE1" s="5"/>
      <c r="TZF1" s="5"/>
      <c r="TZG1" s="5"/>
      <c r="TZH1" s="5"/>
      <c r="TZI1" s="5"/>
      <c r="TZJ1" s="5"/>
      <c r="TZK1" s="5"/>
      <c r="TZL1" s="5"/>
      <c r="TZM1" s="5"/>
      <c r="TZN1" s="5"/>
      <c r="TZO1" s="5"/>
      <c r="TZP1" s="5"/>
      <c r="TZQ1" s="5"/>
      <c r="TZR1" s="5"/>
      <c r="TZS1" s="5"/>
      <c r="TZT1" s="5"/>
      <c r="TZU1" s="5"/>
      <c r="TZV1" s="5"/>
      <c r="TZW1" s="5"/>
      <c r="TZX1" s="5"/>
      <c r="TZY1" s="5"/>
      <c r="TZZ1" s="5"/>
      <c r="UAA1" s="5"/>
      <c r="UAB1" s="5"/>
      <c r="UAC1" s="5"/>
      <c r="UAD1" s="5"/>
      <c r="UAE1" s="5"/>
      <c r="UAF1" s="5"/>
      <c r="UAG1" s="5"/>
      <c r="UAH1" s="5"/>
      <c r="UAI1" s="5"/>
      <c r="UAJ1" s="5"/>
      <c r="UAK1" s="5"/>
      <c r="UAL1" s="5"/>
      <c r="UAM1" s="5"/>
      <c r="UAN1" s="5"/>
      <c r="UAO1" s="5"/>
      <c r="UAP1" s="5"/>
      <c r="UAQ1" s="5"/>
      <c r="UAR1" s="5"/>
      <c r="UAS1" s="5"/>
      <c r="UAT1" s="5"/>
      <c r="UAU1" s="5"/>
      <c r="UAV1" s="5"/>
      <c r="UAW1" s="5"/>
      <c r="UAX1" s="5"/>
      <c r="UAY1" s="5"/>
      <c r="UAZ1" s="5"/>
      <c r="UBA1" s="5"/>
      <c r="UBB1" s="5"/>
      <c r="UBC1" s="5"/>
      <c r="UBD1" s="5"/>
      <c r="UBE1" s="5"/>
      <c r="UBF1" s="5"/>
      <c r="UBG1" s="5"/>
      <c r="UBH1" s="5"/>
      <c r="UBI1" s="5"/>
      <c r="UBJ1" s="5"/>
      <c r="UBK1" s="5"/>
      <c r="UBL1" s="5"/>
      <c r="UBM1" s="5"/>
      <c r="UBN1" s="5"/>
      <c r="UBO1" s="5"/>
      <c r="UBP1" s="5"/>
      <c r="UBQ1" s="5"/>
      <c r="UBR1" s="5"/>
      <c r="UBS1" s="5"/>
      <c r="UBT1" s="5"/>
      <c r="UBU1" s="5"/>
      <c r="UBV1" s="5"/>
      <c r="UBW1" s="5"/>
      <c r="UBX1" s="5"/>
      <c r="UBY1" s="5"/>
      <c r="UBZ1" s="5"/>
      <c r="UCA1" s="5"/>
      <c r="UCB1" s="5"/>
      <c r="UCC1" s="5"/>
      <c r="UCD1" s="5"/>
      <c r="UCE1" s="5"/>
      <c r="UCF1" s="5"/>
      <c r="UCG1" s="5"/>
      <c r="UCH1" s="5"/>
      <c r="UCI1" s="5"/>
      <c r="UCJ1" s="5"/>
      <c r="UCK1" s="5"/>
      <c r="UCL1" s="5"/>
      <c r="UCM1" s="5"/>
      <c r="UCN1" s="5"/>
      <c r="UCO1" s="5"/>
      <c r="UCP1" s="5"/>
      <c r="UCQ1" s="5"/>
      <c r="UCR1" s="5"/>
      <c r="UCS1" s="5"/>
      <c r="UCT1" s="5"/>
      <c r="UCU1" s="5"/>
      <c r="UCV1" s="5"/>
      <c r="UCW1" s="5"/>
      <c r="UCX1" s="5"/>
      <c r="UCY1" s="5"/>
      <c r="UCZ1" s="5"/>
      <c r="UDA1" s="5"/>
      <c r="UDB1" s="5"/>
      <c r="UDC1" s="5"/>
      <c r="UDD1" s="5"/>
      <c r="UDE1" s="5"/>
      <c r="UDF1" s="5"/>
      <c r="UDG1" s="5"/>
      <c r="UDH1" s="5"/>
      <c r="UDI1" s="5"/>
      <c r="UDJ1" s="5"/>
      <c r="UDK1" s="5"/>
      <c r="UDL1" s="5"/>
      <c r="UDM1" s="5"/>
      <c r="UDN1" s="5"/>
      <c r="UDO1" s="5"/>
      <c r="UDP1" s="5"/>
      <c r="UDQ1" s="5"/>
      <c r="UDR1" s="5"/>
      <c r="UDS1" s="5"/>
      <c r="UDT1" s="5"/>
      <c r="UDU1" s="5"/>
      <c r="UDV1" s="5"/>
      <c r="UDW1" s="5"/>
      <c r="UDX1" s="5"/>
      <c r="UDY1" s="5"/>
      <c r="UDZ1" s="5"/>
      <c r="UEA1" s="5"/>
      <c r="UEB1" s="5"/>
      <c r="UEC1" s="5"/>
      <c r="UED1" s="5"/>
      <c r="UEE1" s="5"/>
      <c r="UEF1" s="5"/>
      <c r="UEG1" s="5"/>
      <c r="UEH1" s="5"/>
      <c r="UEI1" s="5"/>
      <c r="UEJ1" s="5"/>
      <c r="UEK1" s="5"/>
      <c r="UEL1" s="5"/>
      <c r="UEM1" s="5"/>
      <c r="UEN1" s="5"/>
      <c r="UEO1" s="5"/>
      <c r="UEP1" s="5"/>
      <c r="UEQ1" s="5"/>
      <c r="UER1" s="5"/>
      <c r="UES1" s="5"/>
      <c r="UET1" s="5"/>
      <c r="UEU1" s="5"/>
      <c r="UEV1" s="5"/>
      <c r="UEW1" s="5"/>
      <c r="UEX1" s="5"/>
      <c r="UEY1" s="5"/>
      <c r="UEZ1" s="5"/>
      <c r="UFA1" s="5"/>
      <c r="UFB1" s="5"/>
      <c r="UFC1" s="5"/>
      <c r="UFD1" s="5"/>
      <c r="UFE1" s="5"/>
      <c r="UFF1" s="5"/>
      <c r="UFG1" s="5"/>
      <c r="UFH1" s="5"/>
      <c r="UFI1" s="5"/>
      <c r="UFJ1" s="5"/>
      <c r="UFK1" s="5"/>
      <c r="UFL1" s="5"/>
      <c r="UFM1" s="5"/>
      <c r="UFN1" s="5"/>
      <c r="UFO1" s="5"/>
      <c r="UFP1" s="5"/>
      <c r="UFQ1" s="5"/>
      <c r="UFR1" s="5"/>
      <c r="UFS1" s="5"/>
      <c r="UFT1" s="5"/>
      <c r="UFU1" s="5"/>
      <c r="UFV1" s="5"/>
      <c r="UFW1" s="5"/>
      <c r="UFX1" s="5"/>
      <c r="UFY1" s="5"/>
      <c r="UFZ1" s="5"/>
      <c r="UGA1" s="5"/>
      <c r="UGB1" s="5"/>
      <c r="UGC1" s="5"/>
      <c r="UGD1" s="5"/>
      <c r="UGE1" s="5"/>
      <c r="UGF1" s="5"/>
      <c r="UGG1" s="5"/>
      <c r="UGH1" s="5"/>
      <c r="UGI1" s="5"/>
      <c r="UGJ1" s="5"/>
      <c r="UGK1" s="5"/>
      <c r="UGL1" s="5"/>
      <c r="UGM1" s="5"/>
      <c r="UGN1" s="5"/>
      <c r="UGO1" s="5"/>
      <c r="UGP1" s="5"/>
      <c r="UGQ1" s="5"/>
      <c r="UGR1" s="5"/>
      <c r="UGS1" s="5"/>
      <c r="UGT1" s="5"/>
      <c r="UGU1" s="5"/>
      <c r="UGV1" s="5"/>
      <c r="UGW1" s="5"/>
      <c r="UGX1" s="5"/>
      <c r="UGY1" s="5"/>
      <c r="UGZ1" s="5"/>
      <c r="UHA1" s="5"/>
      <c r="UHB1" s="5"/>
      <c r="UHC1" s="5"/>
      <c r="UHD1" s="5"/>
      <c r="UHE1" s="5"/>
      <c r="UHF1" s="5"/>
      <c r="UHG1" s="5"/>
      <c r="UHH1" s="5"/>
      <c r="UHI1" s="5"/>
      <c r="UHJ1" s="5"/>
      <c r="UHK1" s="5"/>
      <c r="UHL1" s="5"/>
      <c r="UHM1" s="5"/>
      <c r="UHN1" s="5"/>
      <c r="UHO1" s="5"/>
      <c r="UHP1" s="5"/>
      <c r="UHQ1" s="5"/>
      <c r="UHR1" s="5"/>
      <c r="UHS1" s="5"/>
      <c r="UHT1" s="5"/>
      <c r="UHU1" s="5"/>
      <c r="UHV1" s="5"/>
      <c r="UHW1" s="5"/>
      <c r="UHX1" s="5"/>
      <c r="UHY1" s="5"/>
      <c r="UHZ1" s="5"/>
      <c r="UIA1" s="5"/>
      <c r="UIB1" s="5"/>
      <c r="UIC1" s="5"/>
      <c r="UID1" s="5"/>
      <c r="UIE1" s="5"/>
      <c r="UIF1" s="5"/>
      <c r="UIG1" s="5"/>
      <c r="UIH1" s="5"/>
      <c r="UII1" s="5"/>
      <c r="UIJ1" s="5"/>
      <c r="UIK1" s="5"/>
      <c r="UIL1" s="5"/>
      <c r="UIM1" s="5"/>
      <c r="UIN1" s="5"/>
      <c r="UIO1" s="5"/>
      <c r="UIP1" s="5"/>
      <c r="UIQ1" s="5"/>
      <c r="UIR1" s="5"/>
      <c r="UIS1" s="5"/>
      <c r="UIT1" s="5"/>
      <c r="UIU1" s="5"/>
      <c r="UIV1" s="5"/>
      <c r="UIW1" s="5"/>
      <c r="UIX1" s="5"/>
      <c r="UIY1" s="5"/>
      <c r="UIZ1" s="5"/>
      <c r="UJA1" s="5"/>
      <c r="UJB1" s="5"/>
      <c r="UJC1" s="5"/>
      <c r="UJD1" s="5"/>
      <c r="UJE1" s="5"/>
      <c r="UJF1" s="5"/>
      <c r="UJG1" s="5"/>
      <c r="UJH1" s="5"/>
      <c r="UJI1" s="5"/>
      <c r="UJJ1" s="5"/>
      <c r="UJK1" s="5"/>
      <c r="UJL1" s="5"/>
      <c r="UJM1" s="5"/>
      <c r="UJN1" s="5"/>
      <c r="UJO1" s="5"/>
      <c r="UJP1" s="5"/>
      <c r="UJQ1" s="5"/>
      <c r="UJR1" s="5"/>
      <c r="UJS1" s="5"/>
      <c r="UJT1" s="5"/>
      <c r="UJU1" s="5"/>
      <c r="UJV1" s="5"/>
      <c r="UJW1" s="5"/>
      <c r="UJX1" s="5"/>
      <c r="UJY1" s="5"/>
      <c r="UJZ1" s="5"/>
      <c r="UKA1" s="5"/>
      <c r="UKB1" s="5"/>
      <c r="UKC1" s="5"/>
      <c r="UKD1" s="5"/>
      <c r="UKE1" s="5"/>
      <c r="UKF1" s="5"/>
      <c r="UKG1" s="5"/>
      <c r="UKH1" s="5"/>
      <c r="UKI1" s="5"/>
      <c r="UKJ1" s="5"/>
      <c r="UKK1" s="5"/>
      <c r="UKL1" s="5"/>
      <c r="UKM1" s="5"/>
      <c r="UKN1" s="5"/>
      <c r="UKO1" s="5"/>
      <c r="UKP1" s="5"/>
      <c r="UKQ1" s="5"/>
      <c r="UKR1" s="5"/>
      <c r="UKS1" s="5"/>
      <c r="UKT1" s="5"/>
      <c r="UKU1" s="5"/>
      <c r="UKV1" s="5"/>
      <c r="UKW1" s="5"/>
      <c r="UKX1" s="5"/>
      <c r="UKY1" s="5"/>
      <c r="UKZ1" s="5"/>
      <c r="ULA1" s="5"/>
      <c r="ULB1" s="5"/>
      <c r="ULC1" s="5"/>
      <c r="ULD1" s="5"/>
      <c r="ULE1" s="5"/>
      <c r="ULF1" s="5"/>
      <c r="ULG1" s="5"/>
      <c r="ULH1" s="5"/>
      <c r="ULI1" s="5"/>
      <c r="ULJ1" s="5"/>
      <c r="ULK1" s="5"/>
      <c r="ULL1" s="5"/>
      <c r="ULM1" s="5"/>
      <c r="ULN1" s="5"/>
      <c r="ULO1" s="5"/>
      <c r="ULP1" s="5"/>
      <c r="ULQ1" s="5"/>
      <c r="ULR1" s="5"/>
      <c r="ULS1" s="5"/>
      <c r="ULT1" s="5"/>
      <c r="ULU1" s="5"/>
      <c r="ULV1" s="5"/>
      <c r="ULW1" s="5"/>
      <c r="ULX1" s="5"/>
      <c r="ULY1" s="5"/>
      <c r="ULZ1" s="5"/>
      <c r="UMA1" s="5"/>
      <c r="UMB1" s="5"/>
      <c r="UMC1" s="5"/>
      <c r="UMD1" s="5"/>
      <c r="UME1" s="5"/>
      <c r="UMF1" s="5"/>
      <c r="UMG1" s="5"/>
      <c r="UMH1" s="5"/>
      <c r="UMI1" s="5"/>
      <c r="UMJ1" s="5"/>
      <c r="UMK1" s="5"/>
      <c r="UML1" s="5"/>
      <c r="UMM1" s="5"/>
      <c r="UMN1" s="5"/>
      <c r="UMO1" s="5"/>
      <c r="UMP1" s="5"/>
      <c r="UMQ1" s="5"/>
      <c r="UMR1" s="5"/>
      <c r="UMS1" s="5"/>
      <c r="UMT1" s="5"/>
      <c r="UMU1" s="5"/>
      <c r="UMV1" s="5"/>
      <c r="UMW1" s="5"/>
      <c r="UMX1" s="5"/>
      <c r="UMY1" s="5"/>
      <c r="UMZ1" s="5"/>
      <c r="UNA1" s="5"/>
      <c r="UNB1" s="5"/>
      <c r="UNC1" s="5"/>
      <c r="UND1" s="5"/>
      <c r="UNE1" s="5"/>
      <c r="UNF1" s="5"/>
      <c r="UNG1" s="5"/>
      <c r="UNH1" s="5"/>
      <c r="UNI1" s="5"/>
      <c r="UNJ1" s="5"/>
      <c r="UNK1" s="5"/>
      <c r="UNL1" s="5"/>
      <c r="UNM1" s="5"/>
      <c r="UNN1" s="5"/>
      <c r="UNO1" s="5"/>
      <c r="UNP1" s="5"/>
      <c r="UNQ1" s="5"/>
      <c r="UNR1" s="5"/>
      <c r="UNS1" s="5"/>
      <c r="UNT1" s="5"/>
      <c r="UNU1" s="5"/>
      <c r="UNV1" s="5"/>
      <c r="UNW1" s="5"/>
      <c r="UNX1" s="5"/>
      <c r="UNY1" s="5"/>
      <c r="UNZ1" s="5"/>
      <c r="UOA1" s="5"/>
      <c r="UOB1" s="5"/>
      <c r="UOC1" s="5"/>
      <c r="UOD1" s="5"/>
      <c r="UOE1" s="5"/>
      <c r="UOF1" s="5"/>
      <c r="UOG1" s="5"/>
      <c r="UOH1" s="5"/>
      <c r="UOI1" s="5"/>
      <c r="UOJ1" s="5"/>
      <c r="UOK1" s="5"/>
      <c r="UOL1" s="5"/>
      <c r="UOM1" s="5"/>
      <c r="UON1" s="5"/>
      <c r="UOO1" s="5"/>
      <c r="UOP1" s="5"/>
      <c r="UOQ1" s="5"/>
      <c r="UOR1" s="5"/>
      <c r="UOS1" s="5"/>
      <c r="UOT1" s="5"/>
      <c r="UOU1" s="5"/>
      <c r="UOV1" s="5"/>
      <c r="UOW1" s="5"/>
      <c r="UOX1" s="5"/>
      <c r="UOY1" s="5"/>
      <c r="UOZ1" s="5"/>
      <c r="UPA1" s="5"/>
      <c r="UPB1" s="5"/>
      <c r="UPC1" s="5"/>
      <c r="UPD1" s="5"/>
      <c r="UPE1" s="5"/>
      <c r="UPF1" s="5"/>
      <c r="UPG1" s="5"/>
      <c r="UPH1" s="5"/>
      <c r="UPI1" s="5"/>
      <c r="UPJ1" s="5"/>
      <c r="UPK1" s="5"/>
      <c r="UPL1" s="5"/>
      <c r="UPM1" s="5"/>
      <c r="UPN1" s="5"/>
      <c r="UPO1" s="5"/>
      <c r="UPP1" s="5"/>
      <c r="UPQ1" s="5"/>
      <c r="UPR1" s="5"/>
      <c r="UPS1" s="5"/>
      <c r="UPT1" s="5"/>
      <c r="UPU1" s="5"/>
      <c r="UPV1" s="5"/>
      <c r="UPW1" s="5"/>
      <c r="UPX1" s="5"/>
      <c r="UPY1" s="5"/>
      <c r="UPZ1" s="5"/>
      <c r="UQA1" s="5"/>
      <c r="UQB1" s="5"/>
      <c r="UQC1" s="5"/>
      <c r="UQD1" s="5"/>
      <c r="UQE1" s="5"/>
      <c r="UQF1" s="5"/>
      <c r="UQG1" s="5"/>
      <c r="UQH1" s="5"/>
      <c r="UQI1" s="5"/>
      <c r="UQJ1" s="5"/>
      <c r="UQK1" s="5"/>
      <c r="UQL1" s="5"/>
      <c r="UQM1" s="5"/>
      <c r="UQN1" s="5"/>
      <c r="UQO1" s="5"/>
      <c r="UQP1" s="5"/>
      <c r="UQQ1" s="5"/>
      <c r="UQR1" s="5"/>
      <c r="UQS1" s="5"/>
      <c r="UQT1" s="5"/>
      <c r="UQU1" s="5"/>
      <c r="UQV1" s="5"/>
      <c r="UQW1" s="5"/>
      <c r="UQX1" s="5"/>
      <c r="UQY1" s="5"/>
      <c r="UQZ1" s="5"/>
      <c r="URA1" s="5"/>
      <c r="URB1" s="5"/>
      <c r="URC1" s="5"/>
      <c r="URD1" s="5"/>
      <c r="URE1" s="5"/>
      <c r="URF1" s="5"/>
      <c r="URG1" s="5"/>
      <c r="URH1" s="5"/>
      <c r="URI1" s="5"/>
      <c r="URJ1" s="5"/>
      <c r="URK1" s="5"/>
      <c r="URL1" s="5"/>
      <c r="URM1" s="5"/>
      <c r="URN1" s="5"/>
      <c r="URO1" s="5"/>
      <c r="URP1" s="5"/>
      <c r="URQ1" s="5"/>
      <c r="URR1" s="5"/>
      <c r="URS1" s="5"/>
      <c r="URT1" s="5"/>
      <c r="URU1" s="5"/>
      <c r="URV1" s="5"/>
      <c r="URW1" s="5"/>
      <c r="URX1" s="5"/>
      <c r="URY1" s="5"/>
      <c r="URZ1" s="5"/>
      <c r="USA1" s="5"/>
      <c r="USB1" s="5"/>
      <c r="USC1" s="5"/>
      <c r="USD1" s="5"/>
      <c r="USE1" s="5"/>
      <c r="USF1" s="5"/>
      <c r="USG1" s="5"/>
      <c r="USH1" s="5"/>
      <c r="USI1" s="5"/>
      <c r="USJ1" s="5"/>
      <c r="USK1" s="5"/>
      <c r="USL1" s="5"/>
      <c r="USM1" s="5"/>
      <c r="USN1" s="5"/>
      <c r="USO1" s="5"/>
      <c r="USP1" s="5"/>
      <c r="USQ1" s="5"/>
      <c r="USR1" s="5"/>
      <c r="USS1" s="5"/>
      <c r="UST1" s="5"/>
      <c r="USU1" s="5"/>
      <c r="USV1" s="5"/>
      <c r="USW1" s="5"/>
      <c r="USX1" s="5"/>
      <c r="USY1" s="5"/>
      <c r="USZ1" s="5"/>
      <c r="UTA1" s="5"/>
      <c r="UTB1" s="5"/>
      <c r="UTC1" s="5"/>
      <c r="UTD1" s="5"/>
      <c r="UTE1" s="5"/>
      <c r="UTF1" s="5"/>
      <c r="UTG1" s="5"/>
      <c r="UTH1" s="5"/>
      <c r="UTI1" s="5"/>
      <c r="UTJ1" s="5"/>
      <c r="UTK1" s="5"/>
      <c r="UTL1" s="5"/>
      <c r="UTM1" s="5"/>
      <c r="UTN1" s="5"/>
      <c r="UTO1" s="5"/>
      <c r="UTP1" s="5"/>
      <c r="UTQ1" s="5"/>
      <c r="UTR1" s="5"/>
      <c r="UTS1" s="5"/>
      <c r="UTT1" s="5"/>
      <c r="UTU1" s="5"/>
      <c r="UTV1" s="5"/>
      <c r="UTW1" s="5"/>
      <c r="UTX1" s="5"/>
      <c r="UTY1" s="5"/>
      <c r="UTZ1" s="5"/>
      <c r="UUA1" s="5"/>
      <c r="UUB1" s="5"/>
      <c r="UUC1" s="5"/>
      <c r="UUD1" s="5"/>
      <c r="UUE1" s="5"/>
      <c r="UUF1" s="5"/>
      <c r="UUG1" s="5"/>
      <c r="UUH1" s="5"/>
      <c r="UUI1" s="5"/>
      <c r="UUJ1" s="5"/>
      <c r="UUK1" s="5"/>
      <c r="UUL1" s="5"/>
      <c r="UUM1" s="5"/>
      <c r="UUN1" s="5"/>
      <c r="UUO1" s="5"/>
      <c r="UUP1" s="5"/>
      <c r="UUQ1" s="5"/>
      <c r="UUR1" s="5"/>
      <c r="UUS1" s="5"/>
      <c r="UUT1" s="5"/>
      <c r="UUU1" s="5"/>
      <c r="UUV1" s="5"/>
      <c r="UUW1" s="5"/>
      <c r="UUX1" s="5"/>
      <c r="UUY1" s="5"/>
      <c r="UUZ1" s="5"/>
      <c r="UVA1" s="5"/>
      <c r="UVB1" s="5"/>
      <c r="UVC1" s="5"/>
      <c r="UVD1" s="5"/>
      <c r="UVE1" s="5"/>
      <c r="UVF1" s="5"/>
      <c r="UVG1" s="5"/>
      <c r="UVH1" s="5"/>
      <c r="UVI1" s="5"/>
      <c r="UVJ1" s="5"/>
      <c r="UVK1" s="5"/>
      <c r="UVL1" s="5"/>
      <c r="UVM1" s="5"/>
      <c r="UVN1" s="5"/>
      <c r="UVO1" s="5"/>
      <c r="UVP1" s="5"/>
      <c r="UVQ1" s="5"/>
      <c r="UVR1" s="5"/>
      <c r="UVS1" s="5"/>
      <c r="UVT1" s="5"/>
      <c r="UVU1" s="5"/>
      <c r="UVV1" s="5"/>
      <c r="UVW1" s="5"/>
      <c r="UVX1" s="5"/>
      <c r="UVY1" s="5"/>
      <c r="UVZ1" s="5"/>
      <c r="UWA1" s="5"/>
      <c r="UWB1" s="5"/>
      <c r="UWC1" s="5"/>
      <c r="UWD1" s="5"/>
      <c r="UWE1" s="5"/>
      <c r="UWF1" s="5"/>
      <c r="UWG1" s="5"/>
      <c r="UWH1" s="5"/>
      <c r="UWI1" s="5"/>
      <c r="UWJ1" s="5"/>
      <c r="UWK1" s="5"/>
      <c r="UWL1" s="5"/>
      <c r="UWM1" s="5"/>
      <c r="UWN1" s="5"/>
      <c r="UWO1" s="5"/>
      <c r="UWP1" s="5"/>
      <c r="UWQ1" s="5"/>
      <c r="UWR1" s="5"/>
      <c r="UWS1" s="5"/>
      <c r="UWT1" s="5"/>
      <c r="UWU1" s="5"/>
      <c r="UWV1" s="5"/>
      <c r="UWW1" s="5"/>
      <c r="UWX1" s="5"/>
      <c r="UWY1" s="5"/>
      <c r="UWZ1" s="5"/>
      <c r="UXA1" s="5"/>
      <c r="UXB1" s="5"/>
      <c r="UXC1" s="5"/>
      <c r="UXD1" s="5"/>
      <c r="UXE1" s="5"/>
      <c r="UXF1" s="5"/>
      <c r="UXG1" s="5"/>
      <c r="UXH1" s="5"/>
      <c r="UXI1" s="5"/>
      <c r="UXJ1" s="5"/>
      <c r="UXK1" s="5"/>
      <c r="UXL1" s="5"/>
      <c r="UXM1" s="5"/>
      <c r="UXN1" s="5"/>
      <c r="UXO1" s="5"/>
      <c r="UXP1" s="5"/>
      <c r="UXQ1" s="5"/>
      <c r="UXR1" s="5"/>
      <c r="UXS1" s="5"/>
      <c r="UXT1" s="5"/>
      <c r="UXU1" s="5"/>
      <c r="UXV1" s="5"/>
      <c r="UXW1" s="5"/>
      <c r="UXX1" s="5"/>
      <c r="UXY1" s="5"/>
      <c r="UXZ1" s="5"/>
      <c r="UYA1" s="5"/>
      <c r="UYB1" s="5"/>
      <c r="UYC1" s="5"/>
      <c r="UYD1" s="5"/>
      <c r="UYE1" s="5"/>
      <c r="UYF1" s="5"/>
      <c r="UYG1" s="5"/>
      <c r="UYH1" s="5"/>
      <c r="UYI1" s="5"/>
      <c r="UYJ1" s="5"/>
      <c r="UYK1" s="5"/>
      <c r="UYL1" s="5"/>
      <c r="UYM1" s="5"/>
      <c r="UYN1" s="5"/>
      <c r="UYO1" s="5"/>
      <c r="UYP1" s="5"/>
      <c r="UYQ1" s="5"/>
      <c r="UYR1" s="5"/>
      <c r="UYS1" s="5"/>
      <c r="UYT1" s="5"/>
      <c r="UYU1" s="5"/>
      <c r="UYV1" s="5"/>
      <c r="UYW1" s="5"/>
      <c r="UYX1" s="5"/>
      <c r="UYY1" s="5"/>
      <c r="UYZ1" s="5"/>
      <c r="UZA1" s="5"/>
      <c r="UZB1" s="5"/>
      <c r="UZC1" s="5"/>
      <c r="UZD1" s="5"/>
      <c r="UZE1" s="5"/>
      <c r="UZF1" s="5"/>
      <c r="UZG1" s="5"/>
      <c r="UZH1" s="5"/>
      <c r="UZI1" s="5"/>
      <c r="UZJ1" s="5"/>
      <c r="UZK1" s="5"/>
      <c r="UZL1" s="5"/>
      <c r="UZM1" s="5"/>
      <c r="UZN1" s="5"/>
      <c r="UZO1" s="5"/>
      <c r="UZP1" s="5"/>
      <c r="UZQ1" s="5"/>
      <c r="UZR1" s="5"/>
      <c r="UZS1" s="5"/>
      <c r="UZT1" s="5"/>
      <c r="UZU1" s="5"/>
      <c r="UZV1" s="5"/>
      <c r="UZW1" s="5"/>
      <c r="UZX1" s="5"/>
      <c r="UZY1" s="5"/>
      <c r="UZZ1" s="5"/>
      <c r="VAA1" s="5"/>
      <c r="VAB1" s="5"/>
      <c r="VAC1" s="5"/>
      <c r="VAD1" s="5"/>
      <c r="VAE1" s="5"/>
      <c r="VAF1" s="5"/>
      <c r="VAG1" s="5"/>
      <c r="VAH1" s="5"/>
      <c r="VAI1" s="5"/>
      <c r="VAJ1" s="5"/>
      <c r="VAK1" s="5"/>
      <c r="VAL1" s="5"/>
      <c r="VAM1" s="5"/>
      <c r="VAN1" s="5"/>
      <c r="VAO1" s="5"/>
      <c r="VAP1" s="5"/>
      <c r="VAQ1" s="5"/>
      <c r="VAR1" s="5"/>
      <c r="VAS1" s="5"/>
      <c r="VAT1" s="5"/>
      <c r="VAU1" s="5"/>
      <c r="VAV1" s="5"/>
      <c r="VAW1" s="5"/>
      <c r="VAX1" s="5"/>
      <c r="VAY1" s="5"/>
      <c r="VAZ1" s="5"/>
      <c r="VBA1" s="5"/>
      <c r="VBB1" s="5"/>
      <c r="VBC1" s="5"/>
      <c r="VBD1" s="5"/>
      <c r="VBE1" s="5"/>
      <c r="VBF1" s="5"/>
      <c r="VBG1" s="5"/>
      <c r="VBH1" s="5"/>
      <c r="VBI1" s="5"/>
      <c r="VBJ1" s="5"/>
      <c r="VBK1" s="5"/>
      <c r="VBL1" s="5"/>
      <c r="VBM1" s="5"/>
      <c r="VBN1" s="5"/>
      <c r="VBO1" s="5"/>
      <c r="VBP1" s="5"/>
      <c r="VBQ1" s="5"/>
      <c r="VBR1" s="5"/>
      <c r="VBS1" s="5"/>
      <c r="VBT1" s="5"/>
      <c r="VBU1" s="5"/>
      <c r="VBV1" s="5"/>
      <c r="VBW1" s="5"/>
      <c r="VBX1" s="5"/>
      <c r="VBY1" s="5"/>
      <c r="VBZ1" s="5"/>
      <c r="VCA1" s="5"/>
      <c r="VCB1" s="5"/>
      <c r="VCC1" s="5"/>
      <c r="VCD1" s="5"/>
      <c r="VCE1" s="5"/>
      <c r="VCF1" s="5"/>
      <c r="VCG1" s="5"/>
      <c r="VCH1" s="5"/>
      <c r="VCI1" s="5"/>
      <c r="VCJ1" s="5"/>
      <c r="VCK1" s="5"/>
      <c r="VCL1" s="5"/>
      <c r="VCM1" s="5"/>
      <c r="VCN1" s="5"/>
      <c r="VCO1" s="5"/>
      <c r="VCP1" s="5"/>
      <c r="VCQ1" s="5"/>
      <c r="VCR1" s="5"/>
      <c r="VCS1" s="5"/>
      <c r="VCT1" s="5"/>
      <c r="VCU1" s="5"/>
      <c r="VCV1" s="5"/>
      <c r="VCW1" s="5"/>
      <c r="VCX1" s="5"/>
      <c r="VCY1" s="5"/>
      <c r="VCZ1" s="5"/>
      <c r="VDA1" s="5"/>
      <c r="VDB1" s="5"/>
      <c r="VDC1" s="5"/>
      <c r="VDD1" s="5"/>
      <c r="VDE1" s="5"/>
      <c r="VDF1" s="5"/>
      <c r="VDG1" s="5"/>
      <c r="VDH1" s="5"/>
      <c r="VDI1" s="5"/>
      <c r="VDJ1" s="5"/>
      <c r="VDK1" s="5"/>
      <c r="VDL1" s="5"/>
      <c r="VDM1" s="5"/>
      <c r="VDN1" s="5"/>
      <c r="VDO1" s="5"/>
      <c r="VDP1" s="5"/>
      <c r="VDQ1" s="5"/>
      <c r="VDR1" s="5"/>
      <c r="VDS1" s="5"/>
      <c r="VDT1" s="5"/>
      <c r="VDU1" s="5"/>
      <c r="VDV1" s="5"/>
      <c r="VDW1" s="5"/>
      <c r="VDX1" s="5"/>
      <c r="VDY1" s="5"/>
      <c r="VDZ1" s="5"/>
      <c r="VEA1" s="5"/>
      <c r="VEB1" s="5"/>
      <c r="VEC1" s="5"/>
      <c r="VED1" s="5"/>
      <c r="VEE1" s="5"/>
      <c r="VEF1" s="5"/>
      <c r="VEG1" s="5"/>
      <c r="VEH1" s="5"/>
      <c r="VEI1" s="5"/>
      <c r="VEJ1" s="5"/>
      <c r="VEK1" s="5"/>
      <c r="VEL1" s="5"/>
      <c r="VEM1" s="5"/>
      <c r="VEN1" s="5"/>
      <c r="VEO1" s="5"/>
      <c r="VEP1" s="5"/>
      <c r="VEQ1" s="5"/>
      <c r="VER1" s="5"/>
      <c r="VES1" s="5"/>
      <c r="VET1" s="5"/>
      <c r="VEU1" s="5"/>
      <c r="VEV1" s="5"/>
      <c r="VEW1" s="5"/>
      <c r="VEX1" s="5"/>
      <c r="VEY1" s="5"/>
      <c r="VEZ1" s="5"/>
      <c r="VFA1" s="5"/>
      <c r="VFB1" s="5"/>
      <c r="VFC1" s="5"/>
      <c r="VFD1" s="5"/>
      <c r="VFE1" s="5"/>
      <c r="VFF1" s="5"/>
      <c r="VFG1" s="5"/>
      <c r="VFH1" s="5"/>
      <c r="VFI1" s="5"/>
      <c r="VFJ1" s="5"/>
      <c r="VFK1" s="5"/>
      <c r="VFL1" s="5"/>
      <c r="VFM1" s="5"/>
      <c r="VFN1" s="5"/>
      <c r="VFO1" s="5"/>
      <c r="VFP1" s="5"/>
      <c r="VFQ1" s="5"/>
      <c r="VFR1" s="5"/>
      <c r="VFS1" s="5"/>
      <c r="VFT1" s="5"/>
      <c r="VFU1" s="5"/>
      <c r="VFV1" s="5"/>
      <c r="VFW1" s="5"/>
      <c r="VFX1" s="5"/>
      <c r="VFY1" s="5"/>
      <c r="VFZ1" s="5"/>
      <c r="VGA1" s="5"/>
      <c r="VGB1" s="5"/>
      <c r="VGC1" s="5"/>
      <c r="VGD1" s="5"/>
      <c r="VGE1" s="5"/>
      <c r="VGF1" s="5"/>
      <c r="VGG1" s="5"/>
      <c r="VGH1" s="5"/>
      <c r="VGI1" s="5"/>
      <c r="VGJ1" s="5"/>
      <c r="VGK1" s="5"/>
      <c r="VGL1" s="5"/>
      <c r="VGM1" s="5"/>
      <c r="VGN1" s="5"/>
      <c r="VGO1" s="5"/>
      <c r="VGP1" s="5"/>
      <c r="VGQ1" s="5"/>
      <c r="VGR1" s="5"/>
      <c r="VGS1" s="5"/>
      <c r="VGT1" s="5"/>
      <c r="VGU1" s="5"/>
      <c r="VGV1" s="5"/>
      <c r="VGW1" s="5"/>
      <c r="VGX1" s="5"/>
      <c r="VGY1" s="5"/>
      <c r="VGZ1" s="5"/>
      <c r="VHA1" s="5"/>
      <c r="VHB1" s="5"/>
      <c r="VHC1" s="5"/>
      <c r="VHD1" s="5"/>
      <c r="VHE1" s="5"/>
      <c r="VHF1" s="5"/>
      <c r="VHG1" s="5"/>
      <c r="VHH1" s="5"/>
      <c r="VHI1" s="5"/>
      <c r="VHJ1" s="5"/>
      <c r="VHK1" s="5"/>
      <c r="VHL1" s="5"/>
      <c r="VHM1" s="5"/>
      <c r="VHN1" s="5"/>
      <c r="VHO1" s="5"/>
      <c r="VHP1" s="5"/>
      <c r="VHQ1" s="5"/>
      <c r="VHR1" s="5"/>
      <c r="VHS1" s="5"/>
      <c r="VHT1" s="5"/>
      <c r="VHU1" s="5"/>
      <c r="VHV1" s="5"/>
      <c r="VHW1" s="5"/>
      <c r="VHX1" s="5"/>
      <c r="VHY1" s="5"/>
      <c r="VHZ1" s="5"/>
      <c r="VIA1" s="5"/>
      <c r="VIB1" s="5"/>
      <c r="VIC1" s="5"/>
      <c r="VID1" s="5"/>
      <c r="VIE1" s="5"/>
      <c r="VIF1" s="5"/>
      <c r="VIG1" s="5"/>
      <c r="VIH1" s="5"/>
      <c r="VII1" s="5"/>
      <c r="VIJ1" s="5"/>
      <c r="VIK1" s="5"/>
      <c r="VIL1" s="5"/>
      <c r="VIM1" s="5"/>
      <c r="VIN1" s="5"/>
      <c r="VIO1" s="5"/>
      <c r="VIP1" s="5"/>
      <c r="VIQ1" s="5"/>
      <c r="VIR1" s="5"/>
      <c r="VIS1" s="5"/>
      <c r="VIT1" s="5"/>
      <c r="VIU1" s="5"/>
      <c r="VIV1" s="5"/>
      <c r="VIW1" s="5"/>
      <c r="VIX1" s="5"/>
      <c r="VIY1" s="5"/>
      <c r="VIZ1" s="5"/>
      <c r="VJA1" s="5"/>
      <c r="VJB1" s="5"/>
      <c r="VJC1" s="5"/>
      <c r="VJD1" s="5"/>
      <c r="VJE1" s="5"/>
      <c r="VJF1" s="5"/>
      <c r="VJG1" s="5"/>
      <c r="VJH1" s="5"/>
      <c r="VJI1" s="5"/>
      <c r="VJJ1" s="5"/>
      <c r="VJK1" s="5"/>
      <c r="VJL1" s="5"/>
      <c r="VJM1" s="5"/>
      <c r="VJN1" s="5"/>
      <c r="VJO1" s="5"/>
      <c r="VJP1" s="5"/>
      <c r="VJQ1" s="5"/>
      <c r="VJR1" s="5"/>
      <c r="VJS1" s="5"/>
      <c r="VJT1" s="5"/>
      <c r="VJU1" s="5"/>
      <c r="VJV1" s="5"/>
      <c r="VJW1" s="5"/>
      <c r="VJX1" s="5"/>
      <c r="VJY1" s="5"/>
      <c r="VJZ1" s="5"/>
      <c r="VKA1" s="5"/>
      <c r="VKB1" s="5"/>
      <c r="VKC1" s="5"/>
      <c r="VKD1" s="5"/>
      <c r="VKE1" s="5"/>
      <c r="VKF1" s="5"/>
      <c r="VKG1" s="5"/>
      <c r="VKH1" s="5"/>
      <c r="VKI1" s="5"/>
      <c r="VKJ1" s="5"/>
      <c r="VKK1" s="5"/>
      <c r="VKL1" s="5"/>
      <c r="VKM1" s="5"/>
      <c r="VKN1" s="5"/>
      <c r="VKO1" s="5"/>
      <c r="VKP1" s="5"/>
      <c r="VKQ1" s="5"/>
      <c r="VKR1" s="5"/>
      <c r="VKS1" s="5"/>
      <c r="VKT1" s="5"/>
      <c r="VKU1" s="5"/>
      <c r="VKV1" s="5"/>
      <c r="VKW1" s="5"/>
      <c r="VKX1" s="5"/>
      <c r="VKY1" s="5"/>
      <c r="VKZ1" s="5"/>
      <c r="VLA1" s="5"/>
      <c r="VLB1" s="5"/>
      <c r="VLC1" s="5"/>
      <c r="VLD1" s="5"/>
      <c r="VLE1" s="5"/>
      <c r="VLF1" s="5"/>
      <c r="VLG1" s="5"/>
      <c r="VLH1" s="5"/>
      <c r="VLI1" s="5"/>
      <c r="VLJ1" s="5"/>
      <c r="VLK1" s="5"/>
      <c r="VLL1" s="5"/>
      <c r="VLM1" s="5"/>
      <c r="VLN1" s="5"/>
      <c r="VLO1" s="5"/>
      <c r="VLP1" s="5"/>
      <c r="VLQ1" s="5"/>
      <c r="VLR1" s="5"/>
      <c r="VLS1" s="5"/>
      <c r="VLT1" s="5"/>
      <c r="VLU1" s="5"/>
      <c r="VLV1" s="5"/>
      <c r="VLW1" s="5"/>
      <c r="VLX1" s="5"/>
      <c r="VLY1" s="5"/>
      <c r="VLZ1" s="5"/>
      <c r="VMA1" s="5"/>
      <c r="VMB1" s="5"/>
      <c r="VMC1" s="5"/>
      <c r="VMD1" s="5"/>
      <c r="VME1" s="5"/>
      <c r="VMF1" s="5"/>
      <c r="VMG1" s="5"/>
      <c r="VMH1" s="5"/>
      <c r="VMI1" s="5"/>
      <c r="VMJ1" s="5"/>
      <c r="VMK1" s="5"/>
      <c r="VML1" s="5"/>
      <c r="VMM1" s="5"/>
      <c r="VMN1" s="5"/>
      <c r="VMO1" s="5"/>
      <c r="VMP1" s="5"/>
      <c r="VMQ1" s="5"/>
      <c r="VMR1" s="5"/>
      <c r="VMS1" s="5"/>
      <c r="VMT1" s="5"/>
      <c r="VMU1" s="5"/>
      <c r="VMV1" s="5"/>
      <c r="VMW1" s="5"/>
      <c r="VMX1" s="5"/>
      <c r="VMY1" s="5"/>
      <c r="VMZ1" s="5"/>
      <c r="VNA1" s="5"/>
      <c r="VNB1" s="5"/>
      <c r="VNC1" s="5"/>
      <c r="VND1" s="5"/>
      <c r="VNE1" s="5"/>
      <c r="VNF1" s="5"/>
      <c r="VNG1" s="5"/>
      <c r="VNH1" s="5"/>
      <c r="VNI1" s="5"/>
      <c r="VNJ1" s="5"/>
      <c r="VNK1" s="5"/>
      <c r="VNL1" s="5"/>
      <c r="VNM1" s="5"/>
      <c r="VNN1" s="5"/>
      <c r="VNO1" s="5"/>
      <c r="VNP1" s="5"/>
      <c r="VNQ1" s="5"/>
      <c r="VNR1" s="5"/>
      <c r="VNS1" s="5"/>
      <c r="VNT1" s="5"/>
      <c r="VNU1" s="5"/>
      <c r="VNV1" s="5"/>
      <c r="VNW1" s="5"/>
      <c r="VNX1" s="5"/>
      <c r="VNY1" s="5"/>
      <c r="VNZ1" s="5"/>
      <c r="VOA1" s="5"/>
      <c r="VOB1" s="5"/>
      <c r="VOC1" s="5"/>
      <c r="VOD1" s="5"/>
      <c r="VOE1" s="5"/>
      <c r="VOF1" s="5"/>
      <c r="VOG1" s="5"/>
      <c r="VOH1" s="5"/>
      <c r="VOI1" s="5"/>
      <c r="VOJ1" s="5"/>
      <c r="VOK1" s="5"/>
      <c r="VOL1" s="5"/>
      <c r="VOM1" s="5"/>
      <c r="VON1" s="5"/>
      <c r="VOO1" s="5"/>
      <c r="VOP1" s="5"/>
      <c r="VOQ1" s="5"/>
      <c r="VOR1" s="5"/>
      <c r="VOS1" s="5"/>
      <c r="VOT1" s="5"/>
      <c r="VOU1" s="5"/>
      <c r="VOV1" s="5"/>
      <c r="VOW1" s="5"/>
      <c r="VOX1" s="5"/>
      <c r="VOY1" s="5"/>
      <c r="VOZ1" s="5"/>
      <c r="VPA1" s="5"/>
      <c r="VPB1" s="5"/>
      <c r="VPC1" s="5"/>
      <c r="VPD1" s="5"/>
      <c r="VPE1" s="5"/>
      <c r="VPF1" s="5"/>
      <c r="VPG1" s="5"/>
      <c r="VPH1" s="5"/>
      <c r="VPI1" s="5"/>
      <c r="VPJ1" s="5"/>
      <c r="VPK1" s="5"/>
      <c r="VPL1" s="5"/>
      <c r="VPM1" s="5"/>
      <c r="VPN1" s="5"/>
      <c r="VPO1" s="5"/>
      <c r="VPP1" s="5"/>
      <c r="VPQ1" s="5"/>
      <c r="VPR1" s="5"/>
      <c r="VPS1" s="5"/>
      <c r="VPT1" s="5"/>
      <c r="VPU1" s="5"/>
      <c r="VPV1" s="5"/>
      <c r="VPW1" s="5"/>
      <c r="VPX1" s="5"/>
      <c r="VPY1" s="5"/>
      <c r="VPZ1" s="5"/>
      <c r="VQA1" s="5"/>
      <c r="VQB1" s="5"/>
      <c r="VQC1" s="5"/>
      <c r="VQD1" s="5"/>
      <c r="VQE1" s="5"/>
      <c r="VQF1" s="5"/>
      <c r="VQG1" s="5"/>
      <c r="VQH1" s="5"/>
      <c r="VQI1" s="5"/>
      <c r="VQJ1" s="5"/>
      <c r="VQK1" s="5"/>
      <c r="VQL1" s="5"/>
      <c r="VQM1" s="5"/>
      <c r="VQN1" s="5"/>
      <c r="VQO1" s="5"/>
      <c r="VQP1" s="5"/>
      <c r="VQQ1" s="5"/>
      <c r="VQR1" s="5"/>
      <c r="VQS1" s="5"/>
      <c r="VQT1" s="5"/>
      <c r="VQU1" s="5"/>
      <c r="VQV1" s="5"/>
      <c r="VQW1" s="5"/>
      <c r="VQX1" s="5"/>
      <c r="VQY1" s="5"/>
      <c r="VQZ1" s="5"/>
      <c r="VRA1" s="5"/>
      <c r="VRB1" s="5"/>
      <c r="VRC1" s="5"/>
      <c r="VRD1" s="5"/>
      <c r="VRE1" s="5"/>
      <c r="VRF1" s="5"/>
      <c r="VRG1" s="5"/>
      <c r="VRH1" s="5"/>
      <c r="VRI1" s="5"/>
      <c r="VRJ1" s="5"/>
      <c r="VRK1" s="5"/>
      <c r="VRL1" s="5"/>
      <c r="VRM1" s="5"/>
      <c r="VRN1" s="5"/>
      <c r="VRO1" s="5"/>
      <c r="VRP1" s="5"/>
      <c r="VRQ1" s="5"/>
      <c r="VRR1" s="5"/>
      <c r="VRS1" s="5"/>
      <c r="VRT1" s="5"/>
      <c r="VRU1" s="5"/>
      <c r="VRV1" s="5"/>
      <c r="VRW1" s="5"/>
      <c r="VRX1" s="5"/>
      <c r="VRY1" s="5"/>
      <c r="VRZ1" s="5"/>
      <c r="VSA1" s="5"/>
      <c r="VSB1" s="5"/>
      <c r="VSC1" s="5"/>
      <c r="VSD1" s="5"/>
      <c r="VSE1" s="5"/>
      <c r="VSF1" s="5"/>
      <c r="VSG1" s="5"/>
      <c r="VSH1" s="5"/>
      <c r="VSI1" s="5"/>
      <c r="VSJ1" s="5"/>
      <c r="VSK1" s="5"/>
      <c r="VSL1" s="5"/>
      <c r="VSM1" s="5"/>
      <c r="VSN1" s="5"/>
      <c r="VSO1" s="5"/>
      <c r="VSP1" s="5"/>
      <c r="VSQ1" s="5"/>
      <c r="VSR1" s="5"/>
      <c r="VSS1" s="5"/>
      <c r="VST1" s="5"/>
      <c r="VSU1" s="5"/>
      <c r="VSV1" s="5"/>
      <c r="VSW1" s="5"/>
      <c r="VSX1" s="5"/>
      <c r="VSY1" s="5"/>
      <c r="VSZ1" s="5"/>
      <c r="VTA1" s="5"/>
      <c r="VTB1" s="5"/>
      <c r="VTC1" s="5"/>
      <c r="VTD1" s="5"/>
      <c r="VTE1" s="5"/>
      <c r="VTF1" s="5"/>
      <c r="VTG1" s="5"/>
      <c r="VTH1" s="5"/>
      <c r="VTI1" s="5"/>
      <c r="VTJ1" s="5"/>
      <c r="VTK1" s="5"/>
      <c r="VTL1" s="5"/>
      <c r="VTM1" s="5"/>
      <c r="VTN1" s="5"/>
      <c r="VTO1" s="5"/>
      <c r="VTP1" s="5"/>
      <c r="VTQ1" s="5"/>
      <c r="VTR1" s="5"/>
      <c r="VTS1" s="5"/>
      <c r="VTT1" s="5"/>
      <c r="VTU1" s="5"/>
      <c r="VTV1" s="5"/>
      <c r="VTW1" s="5"/>
      <c r="VTX1" s="5"/>
      <c r="VTY1" s="5"/>
      <c r="VTZ1" s="5"/>
      <c r="VUA1" s="5"/>
      <c r="VUB1" s="5"/>
      <c r="VUC1" s="5"/>
      <c r="VUD1" s="5"/>
      <c r="VUE1" s="5"/>
      <c r="VUF1" s="5"/>
      <c r="VUG1" s="5"/>
      <c r="VUH1" s="5"/>
      <c r="VUI1" s="5"/>
      <c r="VUJ1" s="5"/>
      <c r="VUK1" s="5"/>
      <c r="VUL1" s="5"/>
      <c r="VUM1" s="5"/>
      <c r="VUN1" s="5"/>
      <c r="VUO1" s="5"/>
      <c r="VUP1" s="5"/>
      <c r="VUQ1" s="5"/>
      <c r="VUR1" s="5"/>
      <c r="VUS1" s="5"/>
      <c r="VUT1" s="5"/>
      <c r="VUU1" s="5"/>
      <c r="VUV1" s="5"/>
      <c r="VUW1" s="5"/>
      <c r="VUX1" s="5"/>
      <c r="VUY1" s="5"/>
      <c r="VUZ1" s="5"/>
      <c r="VVA1" s="5"/>
      <c r="VVB1" s="5"/>
      <c r="VVC1" s="5"/>
      <c r="VVD1" s="5"/>
      <c r="VVE1" s="5"/>
      <c r="VVF1" s="5"/>
      <c r="VVG1" s="5"/>
      <c r="VVH1" s="5"/>
      <c r="VVI1" s="5"/>
      <c r="VVJ1" s="5"/>
      <c r="VVK1" s="5"/>
      <c r="VVL1" s="5"/>
      <c r="VVM1" s="5"/>
      <c r="VVN1" s="5"/>
      <c r="VVO1" s="5"/>
      <c r="VVP1" s="5"/>
      <c r="VVQ1" s="5"/>
      <c r="VVR1" s="5"/>
      <c r="VVS1" s="5"/>
      <c r="VVT1" s="5"/>
      <c r="VVU1" s="5"/>
      <c r="VVV1" s="5"/>
      <c r="VVW1" s="5"/>
      <c r="VVX1" s="5"/>
      <c r="VVY1" s="5"/>
      <c r="VVZ1" s="5"/>
      <c r="VWA1" s="5"/>
      <c r="VWB1" s="5"/>
      <c r="VWC1" s="5"/>
      <c r="VWD1" s="5"/>
      <c r="VWE1" s="5"/>
      <c r="VWF1" s="5"/>
      <c r="VWG1" s="5"/>
      <c r="VWH1" s="5"/>
      <c r="VWI1" s="5"/>
      <c r="VWJ1" s="5"/>
      <c r="VWK1" s="5"/>
      <c r="VWL1" s="5"/>
      <c r="VWM1" s="5"/>
      <c r="VWN1" s="5"/>
      <c r="VWO1" s="5"/>
      <c r="VWP1" s="5"/>
      <c r="VWQ1" s="5"/>
      <c r="VWR1" s="5"/>
      <c r="VWS1" s="5"/>
      <c r="VWT1" s="5"/>
      <c r="VWU1" s="5"/>
      <c r="VWV1" s="5"/>
      <c r="VWW1" s="5"/>
      <c r="VWX1" s="5"/>
      <c r="VWY1" s="5"/>
      <c r="VWZ1" s="5"/>
      <c r="VXA1" s="5"/>
      <c r="VXB1" s="5"/>
      <c r="VXC1" s="5"/>
      <c r="VXD1" s="5"/>
      <c r="VXE1" s="5"/>
      <c r="VXF1" s="5"/>
      <c r="VXG1" s="5"/>
      <c r="VXH1" s="5"/>
      <c r="VXI1" s="5"/>
      <c r="VXJ1" s="5"/>
      <c r="VXK1" s="5"/>
      <c r="VXL1" s="5"/>
      <c r="VXM1" s="5"/>
      <c r="VXN1" s="5"/>
      <c r="VXO1" s="5"/>
      <c r="VXP1" s="5"/>
      <c r="VXQ1" s="5"/>
      <c r="VXR1" s="5"/>
      <c r="VXS1" s="5"/>
      <c r="VXT1" s="5"/>
      <c r="VXU1" s="5"/>
      <c r="VXV1" s="5"/>
      <c r="VXW1" s="5"/>
      <c r="VXX1" s="5"/>
      <c r="VXY1" s="5"/>
      <c r="VXZ1" s="5"/>
      <c r="VYA1" s="5"/>
      <c r="VYB1" s="5"/>
      <c r="VYC1" s="5"/>
      <c r="VYD1" s="5"/>
      <c r="VYE1" s="5"/>
      <c r="VYF1" s="5"/>
      <c r="VYG1" s="5"/>
      <c r="VYH1" s="5"/>
      <c r="VYI1" s="5"/>
      <c r="VYJ1" s="5"/>
      <c r="VYK1" s="5"/>
      <c r="VYL1" s="5"/>
      <c r="VYM1" s="5"/>
      <c r="VYN1" s="5"/>
      <c r="VYO1" s="5"/>
      <c r="VYP1" s="5"/>
      <c r="VYQ1" s="5"/>
      <c r="VYR1" s="5"/>
      <c r="VYS1" s="5"/>
      <c r="VYT1" s="5"/>
      <c r="VYU1" s="5"/>
      <c r="VYV1" s="5"/>
      <c r="VYW1" s="5"/>
      <c r="VYX1" s="5"/>
      <c r="VYY1" s="5"/>
      <c r="VYZ1" s="5"/>
      <c r="VZA1" s="5"/>
      <c r="VZB1" s="5"/>
      <c r="VZC1" s="5"/>
      <c r="VZD1" s="5"/>
      <c r="VZE1" s="5"/>
      <c r="VZF1" s="5"/>
      <c r="VZG1" s="5"/>
      <c r="VZH1" s="5"/>
      <c r="VZI1" s="5"/>
      <c r="VZJ1" s="5"/>
      <c r="VZK1" s="5"/>
      <c r="VZL1" s="5"/>
      <c r="VZM1" s="5"/>
      <c r="VZN1" s="5"/>
      <c r="VZO1" s="5"/>
      <c r="VZP1" s="5"/>
      <c r="VZQ1" s="5"/>
      <c r="VZR1" s="5"/>
      <c r="VZS1" s="5"/>
      <c r="VZT1" s="5"/>
      <c r="VZU1" s="5"/>
      <c r="VZV1" s="5"/>
      <c r="VZW1" s="5"/>
      <c r="VZX1" s="5"/>
      <c r="VZY1" s="5"/>
      <c r="VZZ1" s="5"/>
      <c r="WAA1" s="5"/>
      <c r="WAB1" s="5"/>
      <c r="WAC1" s="5"/>
      <c r="WAD1" s="5"/>
      <c r="WAE1" s="5"/>
      <c r="WAF1" s="5"/>
      <c r="WAG1" s="5"/>
      <c r="WAH1" s="5"/>
      <c r="WAI1" s="5"/>
      <c r="WAJ1" s="5"/>
      <c r="WAK1" s="5"/>
      <c r="WAL1" s="5"/>
      <c r="WAM1" s="5"/>
      <c r="WAN1" s="5"/>
      <c r="WAO1" s="5"/>
      <c r="WAP1" s="5"/>
      <c r="WAQ1" s="5"/>
      <c r="WAR1" s="5"/>
      <c r="WAS1" s="5"/>
      <c r="WAT1" s="5"/>
      <c r="WAU1" s="5"/>
      <c r="WAV1" s="5"/>
      <c r="WAW1" s="5"/>
      <c r="WAX1" s="5"/>
      <c r="WAY1" s="5"/>
      <c r="WAZ1" s="5"/>
      <c r="WBA1" s="5"/>
      <c r="WBB1" s="5"/>
      <c r="WBC1" s="5"/>
      <c r="WBD1" s="5"/>
      <c r="WBE1" s="5"/>
      <c r="WBF1" s="5"/>
      <c r="WBG1" s="5"/>
      <c r="WBH1" s="5"/>
      <c r="WBI1" s="5"/>
      <c r="WBJ1" s="5"/>
      <c r="WBK1" s="5"/>
      <c r="WBL1" s="5"/>
      <c r="WBM1" s="5"/>
      <c r="WBN1" s="5"/>
      <c r="WBO1" s="5"/>
      <c r="WBP1" s="5"/>
      <c r="WBQ1" s="5"/>
      <c r="WBR1" s="5"/>
      <c r="WBS1" s="5"/>
      <c r="WBT1" s="5"/>
      <c r="WBU1" s="5"/>
      <c r="WBV1" s="5"/>
      <c r="WBW1" s="5"/>
      <c r="WBX1" s="5"/>
      <c r="WBY1" s="5"/>
      <c r="WBZ1" s="5"/>
      <c r="WCA1" s="5"/>
      <c r="WCB1" s="5"/>
      <c r="WCC1" s="5"/>
      <c r="WCD1" s="5"/>
      <c r="WCE1" s="5"/>
      <c r="WCF1" s="5"/>
      <c r="WCG1" s="5"/>
      <c r="WCH1" s="5"/>
      <c r="WCI1" s="5"/>
      <c r="WCJ1" s="5"/>
      <c r="WCK1" s="5"/>
      <c r="WCL1" s="5"/>
      <c r="WCM1" s="5"/>
      <c r="WCN1" s="5"/>
      <c r="WCO1" s="5"/>
      <c r="WCP1" s="5"/>
      <c r="WCQ1" s="5"/>
      <c r="WCR1" s="5"/>
      <c r="WCS1" s="5"/>
      <c r="WCT1" s="5"/>
      <c r="WCU1" s="5"/>
      <c r="WCV1" s="5"/>
      <c r="WCW1" s="5"/>
      <c r="WCX1" s="5"/>
      <c r="WCY1" s="5"/>
      <c r="WCZ1" s="5"/>
      <c r="WDA1" s="5"/>
      <c r="WDB1" s="5"/>
      <c r="WDC1" s="5"/>
      <c r="WDD1" s="5"/>
      <c r="WDE1" s="5"/>
      <c r="WDF1" s="5"/>
      <c r="WDG1" s="5"/>
      <c r="WDH1" s="5"/>
      <c r="WDI1" s="5"/>
      <c r="WDJ1" s="5"/>
      <c r="WDK1" s="5"/>
      <c r="WDL1" s="5"/>
      <c r="WDM1" s="5"/>
      <c r="WDN1" s="5"/>
      <c r="WDO1" s="5"/>
      <c r="WDP1" s="5"/>
      <c r="WDQ1" s="5"/>
      <c r="WDR1" s="5"/>
      <c r="WDS1" s="5"/>
      <c r="WDT1" s="5"/>
      <c r="WDU1" s="5"/>
      <c r="WDV1" s="5"/>
      <c r="WDW1" s="5"/>
      <c r="WDX1" s="5"/>
      <c r="WDY1" s="5"/>
      <c r="WDZ1" s="5"/>
      <c r="WEA1" s="5"/>
      <c r="WEB1" s="5"/>
      <c r="WEC1" s="5"/>
      <c r="WED1" s="5"/>
      <c r="WEE1" s="5"/>
      <c r="WEF1" s="5"/>
      <c r="WEG1" s="5"/>
      <c r="WEH1" s="5"/>
      <c r="WEI1" s="5"/>
      <c r="WEJ1" s="5"/>
      <c r="WEK1" s="5"/>
      <c r="WEL1" s="5"/>
      <c r="WEM1" s="5"/>
      <c r="WEN1" s="5"/>
      <c r="WEO1" s="5"/>
      <c r="WEP1" s="5"/>
      <c r="WEQ1" s="5"/>
      <c r="WER1" s="5"/>
      <c r="WES1" s="5"/>
      <c r="WET1" s="5"/>
      <c r="WEU1" s="5"/>
      <c r="WEV1" s="5"/>
      <c r="WEW1" s="5"/>
      <c r="WEX1" s="5"/>
      <c r="WEY1" s="5"/>
      <c r="WEZ1" s="5"/>
      <c r="WFA1" s="5"/>
      <c r="WFB1" s="5"/>
      <c r="WFC1" s="5"/>
      <c r="WFD1" s="5"/>
      <c r="WFE1" s="5"/>
      <c r="WFF1" s="5"/>
      <c r="WFG1" s="5"/>
      <c r="WFH1" s="5"/>
      <c r="WFI1" s="5"/>
      <c r="WFJ1" s="5"/>
      <c r="WFK1" s="5"/>
      <c r="WFL1" s="5"/>
      <c r="WFM1" s="5"/>
      <c r="WFN1" s="5"/>
      <c r="WFO1" s="5"/>
      <c r="WFP1" s="5"/>
      <c r="WFQ1" s="5"/>
      <c r="WFR1" s="5"/>
      <c r="WFS1" s="5"/>
      <c r="WFT1" s="5"/>
      <c r="WFU1" s="5"/>
      <c r="WFV1" s="5"/>
      <c r="WFW1" s="5"/>
      <c r="WFX1" s="5"/>
      <c r="WFY1" s="5"/>
      <c r="WFZ1" s="5"/>
      <c r="WGA1" s="5"/>
      <c r="WGB1" s="5"/>
      <c r="WGC1" s="5"/>
      <c r="WGD1" s="5"/>
      <c r="WGE1" s="5"/>
      <c r="WGF1" s="5"/>
      <c r="WGG1" s="5"/>
      <c r="WGH1" s="5"/>
      <c r="WGI1" s="5"/>
      <c r="WGJ1" s="5"/>
      <c r="WGK1" s="5"/>
      <c r="WGL1" s="5"/>
      <c r="WGM1" s="5"/>
      <c r="WGN1" s="5"/>
      <c r="WGO1" s="5"/>
      <c r="WGP1" s="5"/>
      <c r="WGQ1" s="5"/>
      <c r="WGR1" s="5"/>
      <c r="WGS1" s="5"/>
      <c r="WGT1" s="5"/>
      <c r="WGU1" s="5"/>
      <c r="WGV1" s="5"/>
      <c r="WGW1" s="5"/>
      <c r="WGX1" s="5"/>
      <c r="WGY1" s="5"/>
      <c r="WGZ1" s="5"/>
      <c r="WHA1" s="5"/>
      <c r="WHB1" s="5"/>
      <c r="WHC1" s="5"/>
      <c r="WHD1" s="5"/>
      <c r="WHE1" s="5"/>
      <c r="WHF1" s="5"/>
      <c r="WHG1" s="5"/>
      <c r="WHH1" s="5"/>
      <c r="WHI1" s="5"/>
      <c r="WHJ1" s="5"/>
      <c r="WHK1" s="5"/>
      <c r="WHL1" s="5"/>
      <c r="WHM1" s="5"/>
      <c r="WHN1" s="5"/>
      <c r="WHO1" s="5"/>
      <c r="WHP1" s="5"/>
      <c r="WHQ1" s="5"/>
      <c r="WHR1" s="5"/>
      <c r="WHS1" s="5"/>
      <c r="WHT1" s="5"/>
      <c r="WHU1" s="5"/>
      <c r="WHV1" s="5"/>
      <c r="WHW1" s="5"/>
      <c r="WHX1" s="5"/>
      <c r="WHY1" s="5"/>
      <c r="WHZ1" s="5"/>
      <c r="WIA1" s="5"/>
      <c r="WIB1" s="5"/>
      <c r="WIC1" s="5"/>
      <c r="WID1" s="5"/>
      <c r="WIE1" s="5"/>
      <c r="WIF1" s="5"/>
      <c r="WIG1" s="5"/>
      <c r="WIH1" s="5"/>
      <c r="WII1" s="5"/>
      <c r="WIJ1" s="5"/>
      <c r="WIK1" s="5"/>
      <c r="WIL1" s="5"/>
      <c r="WIM1" s="5"/>
      <c r="WIN1" s="5"/>
      <c r="WIO1" s="5"/>
      <c r="WIP1" s="5"/>
      <c r="WIQ1" s="5"/>
      <c r="WIR1" s="5"/>
      <c r="WIS1" s="5"/>
      <c r="WIT1" s="5"/>
      <c r="WIU1" s="5"/>
      <c r="WIV1" s="5"/>
      <c r="WIW1" s="5"/>
      <c r="WIX1" s="5"/>
      <c r="WIY1" s="5"/>
      <c r="WIZ1" s="5"/>
      <c r="WJA1" s="5"/>
      <c r="WJB1" s="5"/>
      <c r="WJC1" s="5"/>
      <c r="WJD1" s="5"/>
      <c r="WJE1" s="5"/>
      <c r="WJF1" s="5"/>
      <c r="WJG1" s="5"/>
      <c r="WJH1" s="5"/>
      <c r="WJI1" s="5"/>
      <c r="WJJ1" s="5"/>
      <c r="WJK1" s="5"/>
      <c r="WJL1" s="5"/>
      <c r="WJM1" s="5"/>
      <c r="WJN1" s="5"/>
      <c r="WJO1" s="5"/>
      <c r="WJP1" s="5"/>
      <c r="WJQ1" s="5"/>
      <c r="WJR1" s="5"/>
      <c r="WJS1" s="5"/>
      <c r="WJT1" s="5"/>
      <c r="WJU1" s="5"/>
      <c r="WJV1" s="5"/>
      <c r="WJW1" s="5"/>
      <c r="WJX1" s="5"/>
      <c r="WJY1" s="5"/>
      <c r="WJZ1" s="5"/>
      <c r="WKA1" s="5"/>
      <c r="WKB1" s="5"/>
      <c r="WKC1" s="5"/>
      <c r="WKD1" s="5"/>
      <c r="WKE1" s="5"/>
      <c r="WKF1" s="5"/>
      <c r="WKG1" s="5"/>
      <c r="WKH1" s="5"/>
      <c r="WKI1" s="5"/>
      <c r="WKJ1" s="5"/>
      <c r="WKK1" s="5"/>
      <c r="WKL1" s="5"/>
      <c r="WKM1" s="5"/>
      <c r="WKN1" s="5"/>
      <c r="WKO1" s="5"/>
      <c r="WKP1" s="5"/>
      <c r="WKQ1" s="5"/>
      <c r="WKR1" s="5"/>
      <c r="WKS1" s="5"/>
      <c r="WKT1" s="5"/>
      <c r="WKU1" s="5"/>
      <c r="WKV1" s="5"/>
      <c r="WKW1" s="5"/>
      <c r="WKX1" s="5"/>
      <c r="WKY1" s="5"/>
      <c r="WKZ1" s="5"/>
      <c r="WLA1" s="5"/>
      <c r="WLB1" s="5"/>
      <c r="WLC1" s="5"/>
      <c r="WLD1" s="5"/>
      <c r="WLE1" s="5"/>
      <c r="WLF1" s="5"/>
      <c r="WLG1" s="5"/>
      <c r="WLH1" s="5"/>
      <c r="WLI1" s="5"/>
      <c r="WLJ1" s="5"/>
      <c r="WLK1" s="5"/>
      <c r="WLL1" s="5"/>
      <c r="WLM1" s="5"/>
      <c r="WLN1" s="5"/>
      <c r="WLO1" s="5"/>
      <c r="WLP1" s="5"/>
      <c r="WLQ1" s="5"/>
      <c r="WLR1" s="5"/>
      <c r="WLS1" s="5"/>
      <c r="WLT1" s="5"/>
      <c r="WLU1" s="5"/>
      <c r="WLV1" s="5"/>
      <c r="WLW1" s="5"/>
      <c r="WLX1" s="5"/>
      <c r="WLY1" s="5"/>
      <c r="WLZ1" s="5"/>
      <c r="WMA1" s="5"/>
      <c r="WMB1" s="5"/>
      <c r="WMC1" s="5"/>
      <c r="WMD1" s="5"/>
      <c r="WME1" s="5"/>
      <c r="WMF1" s="5"/>
      <c r="WMG1" s="5"/>
      <c r="WMH1" s="5"/>
      <c r="WMI1" s="5"/>
      <c r="WMJ1" s="5"/>
      <c r="WMK1" s="5"/>
      <c r="WML1" s="5"/>
      <c r="WMM1" s="5"/>
      <c r="WMN1" s="5"/>
      <c r="WMO1" s="5"/>
      <c r="WMP1" s="5"/>
      <c r="WMQ1" s="5"/>
      <c r="WMR1" s="5"/>
      <c r="WMS1" s="5"/>
      <c r="WMT1" s="5"/>
      <c r="WMU1" s="5"/>
      <c r="WMV1" s="5"/>
      <c r="WMW1" s="5"/>
      <c r="WMX1" s="5"/>
      <c r="WMY1" s="5"/>
      <c r="WMZ1" s="5"/>
      <c r="WNA1" s="5"/>
      <c r="WNB1" s="5"/>
      <c r="WNC1" s="5"/>
      <c r="WND1" s="5"/>
      <c r="WNE1" s="5"/>
      <c r="WNF1" s="5"/>
      <c r="WNG1" s="5"/>
      <c r="WNH1" s="5"/>
      <c r="WNI1" s="5"/>
      <c r="WNJ1" s="5"/>
      <c r="WNK1" s="5"/>
      <c r="WNL1" s="5"/>
      <c r="WNM1" s="5"/>
      <c r="WNN1" s="5"/>
      <c r="WNO1" s="5"/>
      <c r="WNP1" s="5"/>
      <c r="WNQ1" s="5"/>
      <c r="WNR1" s="5"/>
      <c r="WNS1" s="5"/>
      <c r="WNT1" s="5"/>
      <c r="WNU1" s="5"/>
      <c r="WNV1" s="5"/>
      <c r="WNW1" s="5"/>
      <c r="WNX1" s="5"/>
      <c r="WNY1" s="5"/>
      <c r="WNZ1" s="5"/>
      <c r="WOA1" s="5"/>
      <c r="WOB1" s="5"/>
      <c r="WOC1" s="5"/>
      <c r="WOD1" s="5"/>
      <c r="WOE1" s="5"/>
      <c r="WOF1" s="5"/>
      <c r="WOG1" s="5"/>
      <c r="WOH1" s="5"/>
      <c r="WOI1" s="5"/>
      <c r="WOJ1" s="5"/>
      <c r="WOK1" s="5"/>
      <c r="WOL1" s="5"/>
      <c r="WOM1" s="5"/>
      <c r="WON1" s="5"/>
      <c r="WOO1" s="5"/>
      <c r="WOP1" s="5"/>
      <c r="WOQ1" s="5"/>
      <c r="WOR1" s="5"/>
      <c r="WOS1" s="5"/>
      <c r="WOT1" s="5"/>
      <c r="WOU1" s="5"/>
      <c r="WOV1" s="5"/>
      <c r="WOW1" s="5"/>
      <c r="WOX1" s="5"/>
      <c r="WOY1" s="5"/>
      <c r="WOZ1" s="5"/>
      <c r="WPA1" s="5"/>
      <c r="WPB1" s="5"/>
      <c r="WPC1" s="5"/>
      <c r="WPD1" s="5"/>
      <c r="WPE1" s="5"/>
      <c r="WPF1" s="5"/>
      <c r="WPG1" s="5"/>
      <c r="WPH1" s="5"/>
      <c r="WPI1" s="5"/>
      <c r="WPJ1" s="5"/>
      <c r="WPK1" s="5"/>
      <c r="WPL1" s="5"/>
      <c r="WPM1" s="5"/>
      <c r="WPN1" s="5"/>
      <c r="WPO1" s="5"/>
      <c r="WPP1" s="5"/>
      <c r="WPQ1" s="5"/>
      <c r="WPR1" s="5"/>
      <c r="WPS1" s="5"/>
      <c r="WPT1" s="5"/>
      <c r="WPU1" s="5"/>
      <c r="WPV1" s="5"/>
      <c r="WPW1" s="5"/>
      <c r="WPX1" s="5"/>
      <c r="WPY1" s="5"/>
      <c r="WPZ1" s="5"/>
      <c r="WQA1" s="5"/>
      <c r="WQB1" s="5"/>
      <c r="WQC1" s="5"/>
      <c r="WQD1" s="5"/>
      <c r="WQE1" s="5"/>
      <c r="WQF1" s="5"/>
      <c r="WQG1" s="5"/>
      <c r="WQH1" s="5"/>
      <c r="WQI1" s="5"/>
      <c r="WQJ1" s="5"/>
      <c r="WQK1" s="5"/>
      <c r="WQL1" s="5"/>
      <c r="WQM1" s="5"/>
      <c r="WQN1" s="5"/>
      <c r="WQO1" s="5"/>
      <c r="WQP1" s="5"/>
      <c r="WQQ1" s="5"/>
      <c r="WQR1" s="5"/>
      <c r="WQS1" s="5"/>
      <c r="WQT1" s="5"/>
      <c r="WQU1" s="5"/>
      <c r="WQV1" s="5"/>
      <c r="WQW1" s="5"/>
      <c r="WQX1" s="5"/>
      <c r="WQY1" s="5"/>
      <c r="WQZ1" s="5"/>
      <c r="WRA1" s="5"/>
      <c r="WRB1" s="5"/>
      <c r="WRC1" s="5"/>
      <c r="WRD1" s="5"/>
      <c r="WRE1" s="5"/>
      <c r="WRF1" s="5"/>
      <c r="WRG1" s="5"/>
      <c r="WRH1" s="5"/>
      <c r="WRI1" s="5"/>
      <c r="WRJ1" s="5"/>
      <c r="WRK1" s="5"/>
      <c r="WRL1" s="5"/>
      <c r="WRM1" s="5"/>
      <c r="WRN1" s="5"/>
      <c r="WRO1" s="5"/>
      <c r="WRP1" s="5"/>
      <c r="WRQ1" s="5"/>
      <c r="WRR1" s="5"/>
      <c r="WRS1" s="5"/>
      <c r="WRT1" s="5"/>
      <c r="WRU1" s="5"/>
      <c r="WRV1" s="5"/>
      <c r="WRW1" s="5"/>
      <c r="WRX1" s="5"/>
      <c r="WRY1" s="5"/>
      <c r="WRZ1" s="5"/>
      <c r="WSA1" s="5"/>
      <c r="WSB1" s="5"/>
      <c r="WSC1" s="5"/>
      <c r="WSD1" s="5"/>
      <c r="WSE1" s="5"/>
      <c r="WSF1" s="5"/>
      <c r="WSG1" s="5"/>
      <c r="WSH1" s="5"/>
      <c r="WSI1" s="5"/>
      <c r="WSJ1" s="5"/>
      <c r="WSK1" s="5"/>
      <c r="WSL1" s="5"/>
      <c r="WSM1" s="5"/>
      <c r="WSN1" s="5"/>
      <c r="WSO1" s="5"/>
      <c r="WSP1" s="5"/>
      <c r="WSQ1" s="5"/>
      <c r="WSR1" s="5"/>
      <c r="WSS1" s="5"/>
      <c r="WST1" s="5"/>
      <c r="WSU1" s="5"/>
      <c r="WSV1" s="5"/>
      <c r="WSW1" s="5"/>
      <c r="WSX1" s="5"/>
      <c r="WSY1" s="5"/>
      <c r="WSZ1" s="5"/>
      <c r="WTA1" s="5"/>
      <c r="WTB1" s="5"/>
      <c r="WTC1" s="5"/>
      <c r="WTD1" s="5"/>
      <c r="WTE1" s="5"/>
      <c r="WTF1" s="5"/>
      <c r="WTG1" s="5"/>
      <c r="WTH1" s="5"/>
      <c r="WTI1" s="5"/>
      <c r="WTJ1" s="5"/>
      <c r="WTK1" s="5"/>
      <c r="WTL1" s="5"/>
      <c r="WTM1" s="5"/>
      <c r="WTN1" s="5"/>
      <c r="WTO1" s="5"/>
      <c r="WTP1" s="5"/>
      <c r="WTQ1" s="5"/>
      <c r="WTR1" s="5"/>
      <c r="WTS1" s="5"/>
      <c r="WTT1" s="5"/>
      <c r="WTU1" s="5"/>
      <c r="WTV1" s="5"/>
      <c r="WTW1" s="5"/>
      <c r="WTX1" s="5"/>
      <c r="WTY1" s="5"/>
      <c r="WTZ1" s="5"/>
      <c r="WUA1" s="5"/>
      <c r="WUB1" s="5"/>
      <c r="WUC1" s="5"/>
      <c r="WUD1" s="5"/>
      <c r="WUE1" s="5"/>
      <c r="WUF1" s="5"/>
      <c r="WUG1" s="5"/>
      <c r="WUH1" s="5"/>
      <c r="WUI1" s="5"/>
      <c r="WUJ1" s="5"/>
      <c r="WUK1" s="5"/>
      <c r="WUL1" s="5"/>
      <c r="WUM1" s="5"/>
      <c r="WUN1" s="5"/>
      <c r="WUO1" s="5"/>
      <c r="WUP1" s="5"/>
      <c r="WUQ1" s="5"/>
      <c r="WUR1" s="5"/>
      <c r="WUS1" s="5"/>
      <c r="WUT1" s="5"/>
      <c r="WUU1" s="5"/>
      <c r="WUV1" s="5"/>
      <c r="WUW1" s="5"/>
      <c r="WUX1" s="5"/>
      <c r="WUY1" s="5"/>
      <c r="WUZ1" s="5"/>
      <c r="WVA1" s="5"/>
      <c r="WVB1" s="5"/>
      <c r="WVC1" s="5"/>
      <c r="WVD1" s="5"/>
      <c r="WVE1" s="5"/>
      <c r="WVF1" s="5"/>
      <c r="WVG1" s="5"/>
      <c r="WVH1" s="5"/>
      <c r="WVI1" s="5"/>
      <c r="WVJ1" s="5"/>
      <c r="WVK1" s="5"/>
      <c r="WVL1" s="5"/>
      <c r="WVM1" s="5"/>
      <c r="WVN1" s="5"/>
      <c r="WVO1" s="5"/>
      <c r="WVP1" s="5"/>
      <c r="WVQ1" s="5"/>
      <c r="WVR1" s="5"/>
      <c r="WVS1" s="5"/>
      <c r="WVT1" s="5"/>
      <c r="WVU1" s="5"/>
      <c r="WVV1" s="5"/>
      <c r="WVW1" s="5"/>
      <c r="WVX1" s="5"/>
      <c r="WVY1" s="5"/>
      <c r="WVZ1" s="5"/>
      <c r="WWA1" s="5"/>
      <c r="WWB1" s="5"/>
      <c r="WWC1" s="5"/>
      <c r="WWD1" s="5"/>
      <c r="WWE1" s="5"/>
      <c r="WWF1" s="5"/>
      <c r="WWG1" s="5"/>
      <c r="WWH1" s="5"/>
      <c r="WWI1" s="5"/>
      <c r="WWJ1" s="5"/>
      <c r="WWK1" s="5"/>
      <c r="WWL1" s="5"/>
      <c r="WWM1" s="5"/>
      <c r="WWN1" s="5"/>
      <c r="WWO1" s="5"/>
      <c r="WWP1" s="5"/>
      <c r="WWQ1" s="5"/>
      <c r="WWR1" s="5"/>
      <c r="WWS1" s="5"/>
      <c r="WWT1" s="5"/>
      <c r="WWU1" s="5"/>
      <c r="WWV1" s="5"/>
      <c r="WWW1" s="5"/>
      <c r="WWX1" s="5"/>
      <c r="WWY1" s="5"/>
      <c r="WWZ1" s="5"/>
      <c r="WXA1" s="5"/>
      <c r="WXB1" s="5"/>
      <c r="WXC1" s="5"/>
      <c r="WXD1" s="5"/>
      <c r="WXE1" s="5"/>
      <c r="WXF1" s="5"/>
      <c r="WXG1" s="5"/>
      <c r="WXH1" s="5"/>
      <c r="WXI1" s="5"/>
      <c r="WXJ1" s="5"/>
      <c r="WXK1" s="5"/>
      <c r="WXL1" s="5"/>
      <c r="WXM1" s="5"/>
      <c r="WXN1" s="5"/>
      <c r="WXO1" s="5"/>
      <c r="WXP1" s="5"/>
      <c r="WXQ1" s="5"/>
      <c r="WXR1" s="5"/>
      <c r="WXS1" s="5"/>
      <c r="WXT1" s="5"/>
      <c r="WXU1" s="5"/>
      <c r="WXV1" s="5"/>
      <c r="WXW1" s="5"/>
      <c r="WXX1" s="5"/>
      <c r="WXY1" s="5"/>
      <c r="WXZ1" s="5"/>
      <c r="WYA1" s="5"/>
      <c r="WYB1" s="5"/>
      <c r="WYC1" s="5"/>
      <c r="WYD1" s="5"/>
      <c r="WYE1" s="5"/>
      <c r="WYF1" s="5"/>
      <c r="WYG1" s="5"/>
      <c r="WYH1" s="5"/>
      <c r="WYI1" s="5"/>
      <c r="WYJ1" s="5"/>
      <c r="WYK1" s="5"/>
      <c r="WYL1" s="5"/>
      <c r="WYM1" s="5"/>
      <c r="WYN1" s="5"/>
      <c r="WYO1" s="5"/>
      <c r="WYP1" s="5"/>
      <c r="WYQ1" s="5"/>
      <c r="WYR1" s="5"/>
      <c r="WYS1" s="5"/>
      <c r="WYT1" s="5"/>
      <c r="WYU1" s="5"/>
      <c r="WYV1" s="5"/>
      <c r="WYW1" s="5"/>
      <c r="WYX1" s="5"/>
      <c r="WYY1" s="5"/>
      <c r="WYZ1" s="5"/>
      <c r="WZA1" s="5"/>
      <c r="WZB1" s="5"/>
      <c r="WZC1" s="5"/>
      <c r="WZD1" s="5"/>
      <c r="WZE1" s="5"/>
      <c r="WZF1" s="5"/>
      <c r="WZG1" s="5"/>
      <c r="WZH1" s="5"/>
      <c r="WZI1" s="5"/>
      <c r="WZJ1" s="5"/>
      <c r="WZK1" s="5"/>
      <c r="WZL1" s="5"/>
      <c r="WZM1" s="5"/>
      <c r="WZN1" s="5"/>
      <c r="WZO1" s="5"/>
      <c r="WZP1" s="5"/>
      <c r="WZQ1" s="5"/>
      <c r="WZR1" s="5"/>
      <c r="WZS1" s="5"/>
      <c r="WZT1" s="5"/>
      <c r="WZU1" s="5"/>
      <c r="WZV1" s="5"/>
      <c r="WZW1" s="5"/>
      <c r="WZX1" s="5"/>
      <c r="WZY1" s="5"/>
      <c r="WZZ1" s="5"/>
      <c r="XAA1" s="5"/>
      <c r="XAB1" s="5"/>
      <c r="XAC1" s="5"/>
      <c r="XAD1" s="5"/>
      <c r="XAE1" s="5"/>
      <c r="XAF1" s="5"/>
      <c r="XAG1" s="5"/>
      <c r="XAH1" s="5"/>
      <c r="XAI1" s="5"/>
      <c r="XAJ1" s="5"/>
      <c r="XAK1" s="5"/>
      <c r="XAL1" s="5"/>
      <c r="XAM1" s="5"/>
      <c r="XAN1" s="5"/>
      <c r="XAO1" s="5"/>
      <c r="XAP1" s="5"/>
      <c r="XAQ1" s="5"/>
      <c r="XAR1" s="5"/>
      <c r="XAS1" s="5"/>
      <c r="XAT1" s="5"/>
      <c r="XAU1" s="5"/>
      <c r="XAV1" s="5"/>
      <c r="XAW1" s="5"/>
      <c r="XAX1" s="5"/>
      <c r="XAY1" s="5"/>
      <c r="XAZ1" s="5"/>
      <c r="XBA1" s="5"/>
      <c r="XBB1" s="5"/>
      <c r="XBC1" s="5"/>
      <c r="XBD1" s="5"/>
      <c r="XBE1" s="5"/>
      <c r="XBF1" s="5"/>
      <c r="XBG1" s="5"/>
      <c r="XBH1" s="5"/>
      <c r="XBI1" s="5"/>
      <c r="XBJ1" s="5"/>
      <c r="XBK1" s="5"/>
      <c r="XBL1" s="5"/>
      <c r="XBM1" s="5"/>
      <c r="XBN1" s="5"/>
      <c r="XBO1" s="5"/>
      <c r="XBP1" s="5"/>
      <c r="XBQ1" s="5"/>
      <c r="XBR1" s="5"/>
      <c r="XBS1" s="5"/>
      <c r="XBT1" s="5"/>
      <c r="XBU1" s="5"/>
      <c r="XBV1" s="5"/>
      <c r="XBW1" s="5"/>
      <c r="XBX1" s="5"/>
      <c r="XBY1" s="5"/>
      <c r="XBZ1" s="5"/>
      <c r="XCA1" s="5"/>
      <c r="XCB1" s="5"/>
      <c r="XCC1" s="5"/>
      <c r="XCD1" s="5"/>
      <c r="XCE1" s="5"/>
      <c r="XCF1" s="5"/>
      <c r="XCG1" s="5"/>
      <c r="XCH1" s="5"/>
      <c r="XCI1" s="5"/>
      <c r="XCJ1" s="5"/>
      <c r="XCK1" s="5"/>
      <c r="XCL1" s="5"/>
      <c r="XCM1" s="5"/>
      <c r="XCN1" s="5"/>
      <c r="XCO1" s="5"/>
      <c r="XCP1" s="5"/>
      <c r="XCQ1" s="5"/>
      <c r="XCR1" s="5"/>
      <c r="XCS1" s="5"/>
      <c r="XCT1" s="5"/>
      <c r="XCU1" s="5"/>
      <c r="XCV1" s="5"/>
      <c r="XCW1" s="5"/>
      <c r="XCX1" s="5"/>
      <c r="XCY1" s="5"/>
      <c r="XCZ1" s="5"/>
      <c r="XDA1" s="5"/>
      <c r="XDB1" s="5"/>
      <c r="XDC1" s="5"/>
      <c r="XDD1" s="5"/>
      <c r="XDE1" s="5"/>
      <c r="XDF1" s="5"/>
      <c r="XDG1" s="5"/>
      <c r="XDH1" s="5"/>
      <c r="XDI1" s="5"/>
      <c r="XDJ1" s="5"/>
      <c r="XDK1" s="5"/>
      <c r="XDL1" s="5"/>
      <c r="XDM1" s="5"/>
      <c r="XDN1" s="5"/>
      <c r="XDO1" s="5"/>
      <c r="XDP1" s="5"/>
      <c r="XDQ1" s="5"/>
      <c r="XDR1" s="5"/>
      <c r="XDS1" s="5"/>
      <c r="XDT1" s="5"/>
      <c r="XDU1" s="5"/>
      <c r="XDV1" s="5"/>
      <c r="XDW1" s="5"/>
      <c r="XDX1" s="5"/>
      <c r="XDY1" s="5"/>
      <c r="XDZ1" s="5"/>
      <c r="XEA1" s="5"/>
      <c r="XEB1" s="5"/>
      <c r="XEC1" s="5"/>
      <c r="XED1" s="5"/>
      <c r="XEE1" s="5"/>
      <c r="XEF1" s="5"/>
      <c r="XEG1" s="5"/>
      <c r="XEH1" s="5"/>
      <c r="XEI1" s="5"/>
      <c r="XEJ1" s="5"/>
      <c r="XEK1" s="5"/>
      <c r="XEL1" s="5"/>
      <c r="XEM1" s="5"/>
      <c r="XEN1" s="5"/>
      <c r="XEO1" s="5"/>
      <c r="XEP1" s="5"/>
      <c r="XEQ1" s="5"/>
      <c r="XER1" s="5"/>
      <c r="XES1" s="5"/>
      <c r="XET1" s="5"/>
      <c r="XEU1" s="5"/>
      <c r="XEV1" s="5"/>
      <c r="XEW1" s="5"/>
      <c r="XEX1" s="5"/>
      <c r="XEY1" s="5"/>
      <c r="XEZ1" s="5"/>
      <c r="XFA1" s="5"/>
      <c r="XFB1" s="5"/>
      <c r="XFC1" s="5"/>
      <c r="XFD1" s="5"/>
    </row>
    <row r="2" spans="1:16384" ht="15" thickTop="1" x14ac:dyDescent="0.3">
      <c r="A2" s="102" t="s">
        <v>896</v>
      </c>
      <c r="B2" s="102" t="s">
        <v>994</v>
      </c>
      <c r="C2" s="102" t="s">
        <v>8</v>
      </c>
      <c r="D2" s="106" t="s">
        <v>787</v>
      </c>
      <c r="E2" s="103">
        <v>1</v>
      </c>
      <c r="F2" s="103" t="s">
        <v>788</v>
      </c>
      <c r="G2" s="103" t="s">
        <v>789</v>
      </c>
      <c r="H2" s="103" t="s">
        <v>790</v>
      </c>
      <c r="I2" s="103"/>
      <c r="J2" s="103">
        <v>19.95</v>
      </c>
      <c r="K2" s="103" t="s">
        <v>1910</v>
      </c>
      <c r="M2" s="105">
        <f>E2*J2</f>
        <v>19.95</v>
      </c>
    </row>
    <row r="3" spans="1:16384" x14ac:dyDescent="0.3">
      <c r="A3" s="102" t="s">
        <v>896</v>
      </c>
      <c r="B3" s="102" t="s">
        <v>994</v>
      </c>
      <c r="C3" s="102" t="s">
        <v>8</v>
      </c>
      <c r="D3" s="106" t="s">
        <v>1100</v>
      </c>
      <c r="E3" s="103">
        <v>0</v>
      </c>
      <c r="F3" s="103" t="s">
        <v>1101</v>
      </c>
      <c r="G3" s="103" t="s">
        <v>1102</v>
      </c>
      <c r="H3" s="103" t="s">
        <v>1103</v>
      </c>
      <c r="I3" s="103">
        <v>1</v>
      </c>
      <c r="J3" s="103">
        <v>3.95</v>
      </c>
      <c r="K3" s="103" t="s">
        <v>1910</v>
      </c>
      <c r="L3" s="103" t="s">
        <v>1309</v>
      </c>
      <c r="M3" s="105">
        <f>E3*J3</f>
        <v>0</v>
      </c>
    </row>
    <row r="4" spans="1:16384" x14ac:dyDescent="0.3">
      <c r="A4" s="102" t="s">
        <v>896</v>
      </c>
      <c r="B4" s="102" t="s">
        <v>994</v>
      </c>
      <c r="C4" s="102" t="s">
        <v>8</v>
      </c>
      <c r="D4" s="106" t="s">
        <v>1310</v>
      </c>
      <c r="E4" s="103">
        <v>20</v>
      </c>
      <c r="F4" s="103" t="s">
        <v>1311</v>
      </c>
      <c r="G4" s="103" t="s">
        <v>1312</v>
      </c>
      <c r="H4" s="103" t="s">
        <v>1313</v>
      </c>
      <c r="I4" s="103">
        <v>1</v>
      </c>
      <c r="J4" s="103">
        <v>3.95</v>
      </c>
      <c r="K4" s="103" t="s">
        <v>1910</v>
      </c>
      <c r="L4" s="103" t="s">
        <v>1309</v>
      </c>
      <c r="M4" s="105">
        <f>E4*J4</f>
        <v>79</v>
      </c>
    </row>
    <row r="5" spans="1:16384" x14ac:dyDescent="0.3">
      <c r="A5" s="103" t="s">
        <v>896</v>
      </c>
      <c r="B5" s="103" t="s">
        <v>994</v>
      </c>
      <c r="C5" s="103" t="s">
        <v>1898</v>
      </c>
      <c r="D5" s="106" t="s">
        <v>2114</v>
      </c>
      <c r="E5" s="103">
        <v>0</v>
      </c>
      <c r="F5" s="103"/>
      <c r="G5" s="103"/>
      <c r="H5" s="102" t="s">
        <v>2115</v>
      </c>
      <c r="J5" s="102">
        <v>4</v>
      </c>
      <c r="K5" s="102" t="s">
        <v>1910</v>
      </c>
    </row>
    <row r="6" spans="1:16384" x14ac:dyDescent="0.3">
      <c r="A6" s="102" t="s">
        <v>896</v>
      </c>
      <c r="B6" s="102" t="s">
        <v>994</v>
      </c>
      <c r="C6" s="102" t="s">
        <v>8</v>
      </c>
      <c r="D6" s="106" t="s">
        <v>933</v>
      </c>
      <c r="E6" s="103">
        <v>15</v>
      </c>
      <c r="F6" s="103" t="s">
        <v>934</v>
      </c>
      <c r="G6" s="103" t="s">
        <v>935</v>
      </c>
      <c r="H6" s="103" t="s">
        <v>936</v>
      </c>
      <c r="I6" s="103">
        <v>1</v>
      </c>
      <c r="J6" s="103">
        <v>8.5</v>
      </c>
      <c r="K6" s="103" t="s">
        <v>1912</v>
      </c>
      <c r="M6" s="105">
        <f>E6*J6</f>
        <v>127.5</v>
      </c>
    </row>
    <row r="7" spans="1:16384" x14ac:dyDescent="0.3">
      <c r="A7" s="102" t="s">
        <v>896</v>
      </c>
      <c r="B7" s="102" t="s">
        <v>994</v>
      </c>
      <c r="C7" s="102" t="s">
        <v>8</v>
      </c>
      <c r="D7" s="106" t="s">
        <v>1839</v>
      </c>
      <c r="E7" s="103">
        <v>1</v>
      </c>
      <c r="F7" s="103" t="s">
        <v>1840</v>
      </c>
      <c r="G7" s="103" t="s">
        <v>1841</v>
      </c>
      <c r="H7" s="103" t="s">
        <v>1842</v>
      </c>
      <c r="I7" s="103">
        <v>1</v>
      </c>
      <c r="J7" s="103">
        <v>4.95</v>
      </c>
      <c r="K7" s="103" t="s">
        <v>1910</v>
      </c>
      <c r="M7" s="105">
        <f>E7*J7</f>
        <v>4.95</v>
      </c>
    </row>
    <row r="8" spans="1:16384" x14ac:dyDescent="0.3">
      <c r="A8" s="102" t="s">
        <v>896</v>
      </c>
      <c r="B8" s="102" t="s">
        <v>994</v>
      </c>
      <c r="C8" s="102" t="s">
        <v>8</v>
      </c>
      <c r="D8" s="106" t="s">
        <v>1847</v>
      </c>
      <c r="E8" s="103">
        <v>0</v>
      </c>
      <c r="F8" s="103" t="s">
        <v>1848</v>
      </c>
      <c r="G8" s="103" t="s">
        <v>1849</v>
      </c>
      <c r="H8" s="103" t="s">
        <v>1850</v>
      </c>
      <c r="I8" s="103"/>
      <c r="J8" s="103">
        <v>2.95</v>
      </c>
      <c r="K8" s="103" t="s">
        <v>1910</v>
      </c>
      <c r="M8" s="105">
        <f>E8*J8</f>
        <v>0</v>
      </c>
    </row>
    <row r="9" spans="1:16384" x14ac:dyDescent="0.3">
      <c r="A9" s="102" t="s">
        <v>896</v>
      </c>
      <c r="B9" s="102" t="s">
        <v>994</v>
      </c>
      <c r="C9" s="102" t="s">
        <v>8</v>
      </c>
      <c r="D9" s="106" t="s">
        <v>1771</v>
      </c>
      <c r="E9" s="103">
        <v>1</v>
      </c>
      <c r="F9" s="103" t="s">
        <v>1772</v>
      </c>
      <c r="G9" s="103" t="s">
        <v>1773</v>
      </c>
      <c r="H9" s="103" t="s">
        <v>1774</v>
      </c>
      <c r="I9" s="103">
        <v>1</v>
      </c>
      <c r="J9" s="103">
        <v>9.9499999999999993</v>
      </c>
      <c r="K9" s="103" t="s">
        <v>1910</v>
      </c>
    </row>
    <row r="10" spans="1:16384" x14ac:dyDescent="0.3">
      <c r="A10" s="103" t="s">
        <v>896</v>
      </c>
      <c r="B10" s="103" t="s">
        <v>994</v>
      </c>
      <c r="C10" s="103" t="s">
        <v>1898</v>
      </c>
      <c r="D10" s="106" t="s">
        <v>2100</v>
      </c>
      <c r="E10" s="103">
        <v>0</v>
      </c>
      <c r="F10" s="103"/>
      <c r="G10" s="103"/>
      <c r="H10" s="102" t="s">
        <v>2101</v>
      </c>
      <c r="J10" s="102">
        <v>9.9499999999999993</v>
      </c>
      <c r="K10" s="102" t="s">
        <v>1910</v>
      </c>
    </row>
    <row r="11" spans="1:16384" x14ac:dyDescent="0.3">
      <c r="A11" s="103" t="s">
        <v>896</v>
      </c>
      <c r="B11" s="103" t="s">
        <v>994</v>
      </c>
      <c r="C11" s="103" t="s">
        <v>1898</v>
      </c>
      <c r="D11" s="106" t="s">
        <v>2112</v>
      </c>
      <c r="E11" s="103">
        <v>0</v>
      </c>
      <c r="F11" s="103"/>
      <c r="G11" s="103"/>
      <c r="H11" s="102" t="s">
        <v>2113</v>
      </c>
      <c r="J11" s="102">
        <v>14.95</v>
      </c>
      <c r="K11" s="102" t="s">
        <v>1910</v>
      </c>
    </row>
    <row r="12" spans="1:16384" x14ac:dyDescent="0.3">
      <c r="A12" s="103" t="s">
        <v>896</v>
      </c>
      <c r="B12" s="103" t="s">
        <v>994</v>
      </c>
      <c r="C12" s="103" t="s">
        <v>1898</v>
      </c>
      <c r="D12" s="106" t="s">
        <v>2104</v>
      </c>
      <c r="E12" s="103">
        <v>0</v>
      </c>
      <c r="F12" s="103"/>
      <c r="G12" s="103"/>
      <c r="H12" s="102" t="s">
        <v>2105</v>
      </c>
      <c r="J12" s="102">
        <v>14.95</v>
      </c>
      <c r="K12" s="102" t="s">
        <v>1910</v>
      </c>
    </row>
    <row r="13" spans="1:16384" x14ac:dyDescent="0.3">
      <c r="A13" s="103" t="s">
        <v>896</v>
      </c>
      <c r="B13" s="103" t="s">
        <v>994</v>
      </c>
      <c r="C13" s="103" t="s">
        <v>1898</v>
      </c>
      <c r="D13" s="106" t="s">
        <v>2102</v>
      </c>
      <c r="E13" s="103">
        <v>0</v>
      </c>
      <c r="F13" s="103"/>
      <c r="G13" s="103"/>
      <c r="H13" s="102" t="s">
        <v>2103</v>
      </c>
      <c r="J13" s="102">
        <v>19.95</v>
      </c>
      <c r="K13" s="102" t="s">
        <v>1910</v>
      </c>
    </row>
    <row r="14" spans="1:16384" x14ac:dyDescent="0.3">
      <c r="A14" s="103" t="s">
        <v>896</v>
      </c>
      <c r="B14" s="103" t="s">
        <v>994</v>
      </c>
      <c r="C14" s="103" t="s">
        <v>1898</v>
      </c>
      <c r="D14" s="106" t="s">
        <v>2106</v>
      </c>
      <c r="E14" s="103">
        <v>0</v>
      </c>
      <c r="F14" s="103"/>
      <c r="G14" s="103"/>
      <c r="H14" s="102" t="s">
        <v>2107</v>
      </c>
      <c r="J14" s="102">
        <v>0.75</v>
      </c>
      <c r="K14" s="102" t="s">
        <v>1910</v>
      </c>
    </row>
    <row r="15" spans="1:16384" x14ac:dyDescent="0.3">
      <c r="A15" s="103" t="s">
        <v>896</v>
      </c>
      <c r="B15" s="103" t="s">
        <v>994</v>
      </c>
      <c r="C15" s="103" t="s">
        <v>1898</v>
      </c>
      <c r="D15" s="106" t="s">
        <v>2108</v>
      </c>
      <c r="E15" s="103">
        <v>0</v>
      </c>
      <c r="F15" s="103"/>
      <c r="G15" s="103"/>
      <c r="H15" s="102" t="s">
        <v>2109</v>
      </c>
      <c r="J15" s="102">
        <v>0.95</v>
      </c>
      <c r="K15" s="102" t="s">
        <v>1910</v>
      </c>
    </row>
    <row r="16" spans="1:16384" x14ac:dyDescent="0.3">
      <c r="A16" s="103" t="s">
        <v>896</v>
      </c>
      <c r="B16" s="103" t="s">
        <v>994</v>
      </c>
      <c r="C16" s="103" t="s">
        <v>1898</v>
      </c>
      <c r="D16" s="106" t="s">
        <v>2110</v>
      </c>
      <c r="E16" s="103">
        <v>0</v>
      </c>
      <c r="F16" s="103"/>
      <c r="G16" s="103"/>
      <c r="H16" s="102" t="s">
        <v>2111</v>
      </c>
      <c r="J16" s="102">
        <v>0.95</v>
      </c>
      <c r="K16" s="102" t="s">
        <v>1910</v>
      </c>
    </row>
    <row r="17" spans="1:13" x14ac:dyDescent="0.3">
      <c r="A17" s="102" t="s">
        <v>896</v>
      </c>
      <c r="B17" s="102" t="s">
        <v>994</v>
      </c>
      <c r="C17" s="102" t="s">
        <v>8</v>
      </c>
      <c r="D17" s="106" t="s">
        <v>945</v>
      </c>
      <c r="E17" s="103">
        <v>4</v>
      </c>
      <c r="F17" s="103" t="s">
        <v>946</v>
      </c>
      <c r="G17" s="103" t="s">
        <v>947</v>
      </c>
      <c r="H17" s="103" t="s">
        <v>948</v>
      </c>
      <c r="I17" s="103">
        <v>1</v>
      </c>
      <c r="J17" s="103">
        <v>7.95</v>
      </c>
      <c r="K17" s="103" t="s">
        <v>1910</v>
      </c>
      <c r="M17" s="105">
        <f>E17*J17</f>
        <v>31.8</v>
      </c>
    </row>
    <row r="18" spans="1:13" x14ac:dyDescent="0.3">
      <c r="A18" s="102" t="s">
        <v>896</v>
      </c>
      <c r="B18" s="102" t="s">
        <v>994</v>
      </c>
      <c r="C18" s="102" t="s">
        <v>8</v>
      </c>
      <c r="D18" s="106" t="s">
        <v>941</v>
      </c>
      <c r="E18" s="103">
        <v>10</v>
      </c>
      <c r="F18" s="103" t="s">
        <v>942</v>
      </c>
      <c r="G18" s="103" t="s">
        <v>943</v>
      </c>
      <c r="H18" s="103" t="s">
        <v>944</v>
      </c>
      <c r="I18" s="103">
        <v>1</v>
      </c>
      <c r="J18" s="103">
        <v>7.95</v>
      </c>
      <c r="K18" s="103" t="s">
        <v>1912</v>
      </c>
      <c r="M18" s="105">
        <f>E18*J18</f>
        <v>79.5</v>
      </c>
    </row>
    <row r="19" spans="1:13" x14ac:dyDescent="0.3">
      <c r="A19" s="102" t="s">
        <v>896</v>
      </c>
      <c r="B19" s="102" t="s">
        <v>1301</v>
      </c>
      <c r="C19" s="102" t="s">
        <v>8</v>
      </c>
      <c r="D19" s="106" t="s">
        <v>639</v>
      </c>
      <c r="E19" s="103">
        <v>5</v>
      </c>
      <c r="F19" s="103" t="s">
        <v>640</v>
      </c>
      <c r="G19" s="103" t="s">
        <v>641</v>
      </c>
      <c r="H19" s="103" t="s">
        <v>642</v>
      </c>
      <c r="I19" s="103"/>
      <c r="J19" s="103">
        <v>8.9499999999999993</v>
      </c>
      <c r="K19" s="103" t="s">
        <v>1912</v>
      </c>
      <c r="M19" s="105">
        <f>E19*J19</f>
        <v>44.75</v>
      </c>
    </row>
    <row r="20" spans="1:13" x14ac:dyDescent="0.3">
      <c r="A20" s="102" t="s">
        <v>896</v>
      </c>
      <c r="B20" s="102" t="s">
        <v>1301</v>
      </c>
      <c r="C20" s="102" t="s">
        <v>8</v>
      </c>
      <c r="D20" s="106" t="s">
        <v>659</v>
      </c>
      <c r="E20" s="103">
        <v>5</v>
      </c>
      <c r="F20" s="103" t="s">
        <v>660</v>
      </c>
      <c r="G20" s="103" t="s">
        <v>661</v>
      </c>
      <c r="H20" s="103" t="s">
        <v>662</v>
      </c>
      <c r="I20" s="103"/>
      <c r="J20" s="103">
        <v>11.95</v>
      </c>
      <c r="K20" s="103" t="s">
        <v>1912</v>
      </c>
      <c r="M20" s="105">
        <f>E20*J20</f>
        <v>59.75</v>
      </c>
    </row>
    <row r="21" spans="1:13" x14ac:dyDescent="0.3">
      <c r="A21" s="102" t="s">
        <v>896</v>
      </c>
      <c r="B21" s="102" t="s">
        <v>1301</v>
      </c>
      <c r="C21" s="102" t="s">
        <v>8</v>
      </c>
      <c r="D21" s="106" t="s">
        <v>1104</v>
      </c>
      <c r="E21" s="103">
        <v>1</v>
      </c>
      <c r="F21" s="103" t="s">
        <v>1105</v>
      </c>
      <c r="G21" s="103" t="s">
        <v>1106</v>
      </c>
      <c r="H21" s="103" t="s">
        <v>1107</v>
      </c>
      <c r="I21" s="103">
        <v>1</v>
      </c>
      <c r="J21" s="103">
        <v>0.1</v>
      </c>
      <c r="K21" s="103" t="s">
        <v>1910</v>
      </c>
      <c r="M21" s="105">
        <f>E21*J21</f>
        <v>0.1</v>
      </c>
    </row>
    <row r="22" spans="1:13" x14ac:dyDescent="0.3">
      <c r="A22" s="106" t="s">
        <v>17</v>
      </c>
      <c r="B22" s="106" t="s">
        <v>1301</v>
      </c>
      <c r="C22" s="106" t="s">
        <v>1898</v>
      </c>
      <c r="D22" s="106" t="s">
        <v>2093</v>
      </c>
      <c r="E22" s="104">
        <v>0</v>
      </c>
      <c r="F22" s="103"/>
      <c r="G22" s="103"/>
      <c r="H22" s="102" t="s">
        <v>2092</v>
      </c>
      <c r="J22" s="102">
        <v>7.5</v>
      </c>
      <c r="K22" s="107" t="s">
        <v>1910</v>
      </c>
    </row>
    <row r="23" spans="1:13" x14ac:dyDescent="0.3">
      <c r="A23" s="106" t="s">
        <v>17</v>
      </c>
      <c r="B23" s="106" t="s">
        <v>1301</v>
      </c>
      <c r="C23" s="106" t="s">
        <v>1898</v>
      </c>
      <c r="D23" s="106" t="s">
        <v>2091</v>
      </c>
      <c r="E23" s="104">
        <v>0</v>
      </c>
      <c r="F23" s="103"/>
      <c r="G23" s="103"/>
      <c r="H23" s="102" t="s">
        <v>2090</v>
      </c>
      <c r="J23" s="102">
        <v>5.95</v>
      </c>
      <c r="K23" s="107" t="s">
        <v>1910</v>
      </c>
    </row>
    <row r="24" spans="1:13" x14ac:dyDescent="0.3">
      <c r="A24" s="102" t="s">
        <v>896</v>
      </c>
      <c r="B24" s="102" t="s">
        <v>890</v>
      </c>
      <c r="C24" s="102" t="s">
        <v>8</v>
      </c>
      <c r="D24" s="106" t="s">
        <v>647</v>
      </c>
      <c r="E24" s="103">
        <v>5</v>
      </c>
      <c r="F24" s="103" t="s">
        <v>648</v>
      </c>
      <c r="G24" s="103" t="s">
        <v>649</v>
      </c>
      <c r="H24" s="103" t="s">
        <v>650</v>
      </c>
      <c r="I24" s="103">
        <v>1</v>
      </c>
      <c r="J24" s="103">
        <v>0.95</v>
      </c>
      <c r="K24" s="103" t="s">
        <v>1912</v>
      </c>
      <c r="M24" s="105">
        <f>E24*J24</f>
        <v>4.75</v>
      </c>
    </row>
    <row r="25" spans="1:13" x14ac:dyDescent="0.3">
      <c r="A25" s="102" t="s">
        <v>896</v>
      </c>
      <c r="B25" s="102" t="s">
        <v>890</v>
      </c>
      <c r="C25" s="102" t="s">
        <v>8</v>
      </c>
      <c r="D25" s="106" t="s">
        <v>655</v>
      </c>
      <c r="E25" s="103">
        <v>4</v>
      </c>
      <c r="F25" s="103" t="s">
        <v>656</v>
      </c>
      <c r="G25" s="103" t="s">
        <v>657</v>
      </c>
      <c r="H25" s="103" t="s">
        <v>658</v>
      </c>
      <c r="I25" s="103">
        <v>1</v>
      </c>
      <c r="J25" s="103">
        <v>0.95</v>
      </c>
      <c r="K25" s="103" t="s">
        <v>1912</v>
      </c>
      <c r="M25" s="105">
        <f>E25*J25</f>
        <v>3.8</v>
      </c>
    </row>
    <row r="26" spans="1:13" x14ac:dyDescent="0.3">
      <c r="A26" s="103" t="s">
        <v>896</v>
      </c>
      <c r="B26" s="103" t="s">
        <v>890</v>
      </c>
      <c r="C26" s="103" t="s">
        <v>1898</v>
      </c>
      <c r="D26" s="106" t="s">
        <v>2116</v>
      </c>
      <c r="E26" s="103">
        <v>0</v>
      </c>
      <c r="F26" s="103"/>
      <c r="G26" s="103"/>
      <c r="H26" s="102" t="s">
        <v>2117</v>
      </c>
      <c r="J26" s="102">
        <v>0.95</v>
      </c>
      <c r="K26" s="102" t="s">
        <v>1910</v>
      </c>
    </row>
    <row r="27" spans="1:13" x14ac:dyDescent="0.3">
      <c r="A27" s="102" t="s">
        <v>896</v>
      </c>
      <c r="B27" s="102" t="s">
        <v>890</v>
      </c>
      <c r="C27" s="102" t="s">
        <v>8</v>
      </c>
      <c r="D27" s="106" t="s">
        <v>1248</v>
      </c>
      <c r="E27" s="103">
        <v>2</v>
      </c>
      <c r="F27" s="103" t="s">
        <v>1249</v>
      </c>
      <c r="G27" s="103" t="s">
        <v>1250</v>
      </c>
      <c r="H27" s="103" t="s">
        <v>1251</v>
      </c>
      <c r="I27" s="103">
        <v>1</v>
      </c>
      <c r="J27" s="103">
        <v>7.95</v>
      </c>
      <c r="K27" s="103" t="s">
        <v>1910</v>
      </c>
      <c r="M27" s="105">
        <f>E27*J27</f>
        <v>15.9</v>
      </c>
    </row>
    <row r="28" spans="1:13" x14ac:dyDescent="0.3">
      <c r="A28" s="118" t="s">
        <v>896</v>
      </c>
      <c r="B28" s="118" t="s">
        <v>890</v>
      </c>
      <c r="C28" s="118" t="s">
        <v>1898</v>
      </c>
      <c r="D28" s="118" t="s">
        <v>2479</v>
      </c>
      <c r="E28" s="118">
        <v>0</v>
      </c>
      <c r="H28" s="118" t="s">
        <v>2478</v>
      </c>
      <c r="I28" s="120">
        <v>115</v>
      </c>
      <c r="J28" s="118">
        <v>4.95</v>
      </c>
      <c r="K28" s="102" t="s">
        <v>1910</v>
      </c>
    </row>
    <row r="29" spans="1:13" x14ac:dyDescent="0.3">
      <c r="A29" s="102" t="s">
        <v>896</v>
      </c>
      <c r="B29" s="102" t="s">
        <v>2026</v>
      </c>
      <c r="C29" s="102" t="s">
        <v>8</v>
      </c>
      <c r="D29" s="106" t="s">
        <v>1256</v>
      </c>
      <c r="E29" s="103">
        <v>1</v>
      </c>
      <c r="F29" s="103" t="s">
        <v>1257</v>
      </c>
      <c r="G29" s="103" t="s">
        <v>1258</v>
      </c>
      <c r="H29" s="103" t="s">
        <v>1259</v>
      </c>
      <c r="I29" s="103"/>
      <c r="J29" s="103">
        <v>34.950000000000003</v>
      </c>
      <c r="K29" s="103" t="s">
        <v>1910</v>
      </c>
      <c r="M29" s="105">
        <f>E29*J29</f>
        <v>34.950000000000003</v>
      </c>
    </row>
    <row r="30" spans="1:13" x14ac:dyDescent="0.3">
      <c r="A30" s="102" t="s">
        <v>896</v>
      </c>
      <c r="B30" s="102" t="s">
        <v>2026</v>
      </c>
      <c r="C30" s="102" t="s">
        <v>8</v>
      </c>
      <c r="D30" s="106" t="s">
        <v>1260</v>
      </c>
      <c r="E30" s="103">
        <v>0</v>
      </c>
      <c r="F30" s="103" t="s">
        <v>1261</v>
      </c>
      <c r="G30" s="103" t="s">
        <v>1262</v>
      </c>
      <c r="H30" s="103" t="s">
        <v>1263</v>
      </c>
      <c r="I30" s="103">
        <v>1</v>
      </c>
      <c r="J30" s="103">
        <v>9.9499999999999993</v>
      </c>
      <c r="K30" s="103" t="s">
        <v>1910</v>
      </c>
      <c r="M30" s="105">
        <f>E30*J30</f>
        <v>0</v>
      </c>
    </row>
    <row r="31" spans="1:13" x14ac:dyDescent="0.3">
      <c r="A31" s="103" t="s">
        <v>896</v>
      </c>
      <c r="B31" s="103" t="s">
        <v>2026</v>
      </c>
      <c r="C31" s="103" t="s">
        <v>1898</v>
      </c>
      <c r="D31" s="106" t="s">
        <v>2120</v>
      </c>
      <c r="E31" s="103">
        <v>3</v>
      </c>
      <c r="F31" s="103"/>
      <c r="G31" s="103"/>
      <c r="H31" s="102" t="s">
        <v>2121</v>
      </c>
      <c r="J31" s="102">
        <v>4.95</v>
      </c>
      <c r="K31" s="102" t="s">
        <v>1910</v>
      </c>
    </row>
    <row r="32" spans="1:13" x14ac:dyDescent="0.3">
      <c r="A32" s="103" t="s">
        <v>896</v>
      </c>
      <c r="B32" s="103" t="s">
        <v>2026</v>
      </c>
      <c r="C32" s="103" t="s">
        <v>1898</v>
      </c>
      <c r="D32" s="106" t="s">
        <v>2122</v>
      </c>
      <c r="E32" s="103">
        <v>1</v>
      </c>
      <c r="F32" s="103"/>
      <c r="G32" s="103"/>
      <c r="H32" s="102" t="s">
        <v>2123</v>
      </c>
      <c r="J32" s="102">
        <v>17.95</v>
      </c>
      <c r="K32" s="102" t="s">
        <v>1910</v>
      </c>
    </row>
    <row r="33" spans="1:13" x14ac:dyDescent="0.3">
      <c r="A33" s="102" t="s">
        <v>896</v>
      </c>
      <c r="B33" s="102" t="s">
        <v>1302</v>
      </c>
      <c r="C33" s="102" t="s">
        <v>8</v>
      </c>
      <c r="D33" s="106" t="s">
        <v>1088</v>
      </c>
      <c r="E33" s="103">
        <v>3</v>
      </c>
      <c r="F33" s="103" t="s">
        <v>1089</v>
      </c>
      <c r="G33" s="103" t="s">
        <v>1090</v>
      </c>
      <c r="H33" s="103" t="s">
        <v>1091</v>
      </c>
      <c r="I33" s="103">
        <v>1</v>
      </c>
      <c r="J33" s="103">
        <v>1.95</v>
      </c>
      <c r="K33" s="103" t="s">
        <v>1910</v>
      </c>
      <c r="L33" s="103" t="s">
        <v>1210</v>
      </c>
      <c r="M33" s="105">
        <f>E33*J33</f>
        <v>5.85</v>
      </c>
    </row>
    <row r="34" spans="1:13" x14ac:dyDescent="0.3">
      <c r="A34" s="102" t="s">
        <v>896</v>
      </c>
      <c r="B34" s="102" t="s">
        <v>1302</v>
      </c>
      <c r="C34" s="102" t="s">
        <v>8</v>
      </c>
      <c r="D34" s="106" t="s">
        <v>1268</v>
      </c>
      <c r="E34" s="103">
        <v>3</v>
      </c>
      <c r="F34" s="103" t="s">
        <v>1269</v>
      </c>
      <c r="G34" s="103" t="s">
        <v>1270</v>
      </c>
      <c r="H34" s="103" t="s">
        <v>1271</v>
      </c>
      <c r="I34" s="103"/>
      <c r="J34" s="103">
        <v>1.5</v>
      </c>
      <c r="K34" s="103" t="s">
        <v>1910</v>
      </c>
      <c r="M34" s="105">
        <f>E34*J34</f>
        <v>4.5</v>
      </c>
    </row>
    <row r="35" spans="1:13" x14ac:dyDescent="0.3">
      <c r="A35" s="102" t="s">
        <v>896</v>
      </c>
      <c r="B35" s="102" t="s">
        <v>1302</v>
      </c>
      <c r="C35" s="102" t="s">
        <v>8</v>
      </c>
      <c r="D35" s="106" t="s">
        <v>1084</v>
      </c>
      <c r="E35" s="103">
        <v>3</v>
      </c>
      <c r="F35" s="103" t="s">
        <v>1085</v>
      </c>
      <c r="G35" s="103" t="s">
        <v>1086</v>
      </c>
      <c r="H35" s="103" t="s">
        <v>1087</v>
      </c>
      <c r="I35" s="103">
        <v>1</v>
      </c>
      <c r="J35" s="103">
        <v>0.95</v>
      </c>
      <c r="K35" s="103" t="s">
        <v>1910</v>
      </c>
      <c r="L35" s="103" t="s">
        <v>1210</v>
      </c>
      <c r="M35" s="105">
        <f>E35*J35</f>
        <v>2.8499999999999996</v>
      </c>
    </row>
    <row r="36" spans="1:13" x14ac:dyDescent="0.3">
      <c r="A36" s="103" t="s">
        <v>896</v>
      </c>
      <c r="B36" s="103" t="s">
        <v>1302</v>
      </c>
      <c r="C36" s="103" t="s">
        <v>1898</v>
      </c>
      <c r="D36" s="106" t="s">
        <v>2118</v>
      </c>
      <c r="E36" s="103">
        <v>10</v>
      </c>
      <c r="F36" s="103"/>
      <c r="G36" s="103"/>
      <c r="H36" s="102" t="s">
        <v>2119</v>
      </c>
      <c r="J36" s="102">
        <v>0.75</v>
      </c>
      <c r="K36" s="102" t="s">
        <v>1910</v>
      </c>
    </row>
    <row r="37" spans="1:13" x14ac:dyDescent="0.3">
      <c r="A37" s="102" t="s">
        <v>896</v>
      </c>
      <c r="B37" s="102" t="s">
        <v>1302</v>
      </c>
      <c r="C37" s="102" t="s">
        <v>8</v>
      </c>
      <c r="D37" s="106" t="s">
        <v>1264</v>
      </c>
      <c r="E37" s="103">
        <v>2</v>
      </c>
      <c r="F37" s="103" t="s">
        <v>1265</v>
      </c>
      <c r="G37" s="103" t="s">
        <v>1266</v>
      </c>
      <c r="H37" s="103" t="s">
        <v>1267</v>
      </c>
      <c r="I37" s="103">
        <v>1</v>
      </c>
      <c r="J37" s="103">
        <v>1.95</v>
      </c>
      <c r="K37" s="103" t="s">
        <v>1910</v>
      </c>
      <c r="M37" s="105">
        <f t="shared" ref="M37:M46" si="0">E37*J37</f>
        <v>3.9</v>
      </c>
    </row>
    <row r="38" spans="1:13" x14ac:dyDescent="0.3">
      <c r="A38" s="102" t="s">
        <v>896</v>
      </c>
      <c r="B38" s="102" t="s">
        <v>1302</v>
      </c>
      <c r="C38" s="102" t="s">
        <v>8</v>
      </c>
      <c r="D38" s="106" t="s">
        <v>1080</v>
      </c>
      <c r="E38" s="103">
        <v>3</v>
      </c>
      <c r="F38" s="103" t="s">
        <v>1081</v>
      </c>
      <c r="G38" s="103" t="s">
        <v>1082</v>
      </c>
      <c r="H38" s="103" t="s">
        <v>1083</v>
      </c>
      <c r="I38" s="103"/>
      <c r="J38" s="103">
        <v>3.95</v>
      </c>
      <c r="K38" s="103" t="s">
        <v>1910</v>
      </c>
      <c r="M38" s="105">
        <f t="shared" si="0"/>
        <v>11.850000000000001</v>
      </c>
    </row>
    <row r="39" spans="1:13" x14ac:dyDescent="0.3">
      <c r="A39" s="102" t="s">
        <v>896</v>
      </c>
      <c r="B39" s="102" t="s">
        <v>995</v>
      </c>
      <c r="C39" s="102" t="s">
        <v>8</v>
      </c>
      <c r="D39" s="106" t="s">
        <v>643</v>
      </c>
      <c r="E39" s="103">
        <v>3</v>
      </c>
      <c r="F39" s="103" t="s">
        <v>644</v>
      </c>
      <c r="G39" s="103" t="s">
        <v>645</v>
      </c>
      <c r="H39" s="103" t="s">
        <v>646</v>
      </c>
      <c r="I39" s="103"/>
      <c r="J39" s="103">
        <v>3.95</v>
      </c>
      <c r="K39" s="103" t="s">
        <v>1910</v>
      </c>
      <c r="M39" s="105">
        <f t="shared" si="0"/>
        <v>11.850000000000001</v>
      </c>
    </row>
    <row r="40" spans="1:13" x14ac:dyDescent="0.3">
      <c r="A40" s="102" t="s">
        <v>896</v>
      </c>
      <c r="B40" s="102" t="s">
        <v>995</v>
      </c>
      <c r="C40" s="102" t="s">
        <v>8</v>
      </c>
      <c r="D40" s="106" t="s">
        <v>651</v>
      </c>
      <c r="E40" s="103">
        <v>5</v>
      </c>
      <c r="F40" s="103" t="s">
        <v>652</v>
      </c>
      <c r="G40" s="103" t="s">
        <v>653</v>
      </c>
      <c r="H40" s="103" t="s">
        <v>654</v>
      </c>
      <c r="I40" s="103">
        <v>1</v>
      </c>
      <c r="J40" s="103">
        <v>2.95</v>
      </c>
      <c r="K40" s="103" t="s">
        <v>1910</v>
      </c>
      <c r="M40" s="105">
        <f t="shared" si="0"/>
        <v>14.75</v>
      </c>
    </row>
    <row r="41" spans="1:13" x14ac:dyDescent="0.3">
      <c r="A41" s="102" t="s">
        <v>896</v>
      </c>
      <c r="B41" s="102" t="s">
        <v>995</v>
      </c>
      <c r="C41" s="102" t="s">
        <v>8</v>
      </c>
      <c r="D41" s="106" t="s">
        <v>707</v>
      </c>
      <c r="E41" s="103">
        <v>5</v>
      </c>
      <c r="F41" s="103" t="s">
        <v>708</v>
      </c>
      <c r="G41" s="103" t="s">
        <v>709</v>
      </c>
      <c r="H41" s="103" t="s">
        <v>710</v>
      </c>
      <c r="I41" s="103">
        <v>1</v>
      </c>
      <c r="J41" s="103">
        <v>1.5</v>
      </c>
      <c r="K41" s="103" t="s">
        <v>1910</v>
      </c>
      <c r="M41" s="105">
        <f t="shared" si="0"/>
        <v>7.5</v>
      </c>
    </row>
    <row r="42" spans="1:13" x14ac:dyDescent="0.3">
      <c r="A42" s="102" t="s">
        <v>896</v>
      </c>
      <c r="B42" s="102" t="s">
        <v>995</v>
      </c>
      <c r="C42" s="102" t="s">
        <v>8</v>
      </c>
      <c r="D42" s="106" t="s">
        <v>909</v>
      </c>
      <c r="E42" s="103">
        <v>3</v>
      </c>
      <c r="F42" s="103" t="s">
        <v>910</v>
      </c>
      <c r="G42" s="103" t="s">
        <v>911</v>
      </c>
      <c r="H42" s="103" t="s">
        <v>912</v>
      </c>
      <c r="I42" s="103">
        <v>1</v>
      </c>
      <c r="J42" s="103">
        <v>3.95</v>
      </c>
      <c r="K42" s="103" t="s">
        <v>1910</v>
      </c>
      <c r="M42" s="105">
        <f t="shared" si="0"/>
        <v>11.850000000000001</v>
      </c>
    </row>
    <row r="43" spans="1:13" x14ac:dyDescent="0.3">
      <c r="A43" s="102" t="s">
        <v>896</v>
      </c>
      <c r="B43" s="102" t="s">
        <v>995</v>
      </c>
      <c r="C43" s="102" t="s">
        <v>8</v>
      </c>
      <c r="D43" s="106" t="s">
        <v>913</v>
      </c>
      <c r="E43" s="103">
        <v>5</v>
      </c>
      <c r="F43" s="103" t="s">
        <v>914</v>
      </c>
      <c r="G43" s="103" t="s">
        <v>915</v>
      </c>
      <c r="H43" s="103" t="s">
        <v>916</v>
      </c>
      <c r="I43" s="103">
        <v>1</v>
      </c>
      <c r="J43" s="103">
        <v>0.46</v>
      </c>
      <c r="K43" s="103" t="s">
        <v>1910</v>
      </c>
      <c r="M43" s="105">
        <f t="shared" si="0"/>
        <v>2.3000000000000003</v>
      </c>
    </row>
    <row r="44" spans="1:13" x14ac:dyDescent="0.3">
      <c r="A44" s="102" t="s">
        <v>896</v>
      </c>
      <c r="B44" s="102" t="s">
        <v>995</v>
      </c>
      <c r="C44" s="102" t="s">
        <v>8</v>
      </c>
      <c r="D44" s="106" t="s">
        <v>937</v>
      </c>
      <c r="E44" s="103">
        <v>10</v>
      </c>
      <c r="F44" s="103" t="s">
        <v>938</v>
      </c>
      <c r="G44" s="103" t="s">
        <v>939</v>
      </c>
      <c r="H44" s="103" t="s">
        <v>940</v>
      </c>
      <c r="I44" s="103">
        <v>1</v>
      </c>
      <c r="J44" s="103">
        <v>3.95</v>
      </c>
      <c r="K44" s="103" t="s">
        <v>1910</v>
      </c>
      <c r="M44" s="105">
        <f t="shared" si="0"/>
        <v>39.5</v>
      </c>
    </row>
    <row r="45" spans="1:13" x14ac:dyDescent="0.3">
      <c r="A45" s="102" t="s">
        <v>896</v>
      </c>
      <c r="B45" s="102" t="s">
        <v>1303</v>
      </c>
      <c r="C45" s="102" t="s">
        <v>8</v>
      </c>
      <c r="D45" s="106" t="s">
        <v>1240</v>
      </c>
      <c r="E45" s="103">
        <v>1</v>
      </c>
      <c r="F45" s="103" t="s">
        <v>1241</v>
      </c>
      <c r="G45" s="103" t="s">
        <v>1242</v>
      </c>
      <c r="H45" s="103" t="s">
        <v>1243</v>
      </c>
      <c r="I45" s="103">
        <v>1</v>
      </c>
      <c r="J45" s="103">
        <v>2.95</v>
      </c>
      <c r="K45" s="103" t="s">
        <v>1910</v>
      </c>
      <c r="M45" s="105">
        <f t="shared" si="0"/>
        <v>2.95</v>
      </c>
    </row>
    <row r="46" spans="1:13" x14ac:dyDescent="0.3">
      <c r="A46" s="102" t="s">
        <v>896</v>
      </c>
      <c r="B46" s="102" t="s">
        <v>1303</v>
      </c>
      <c r="C46" s="102" t="s">
        <v>8</v>
      </c>
      <c r="D46" s="106" t="s">
        <v>1244</v>
      </c>
      <c r="E46" s="103">
        <v>1</v>
      </c>
      <c r="F46" s="103" t="s">
        <v>1245</v>
      </c>
      <c r="G46" s="103" t="s">
        <v>1246</v>
      </c>
      <c r="H46" s="103" t="s">
        <v>1247</v>
      </c>
      <c r="I46" s="103">
        <v>1</v>
      </c>
      <c r="J46" s="103">
        <v>3.95</v>
      </c>
      <c r="K46" s="103" t="s">
        <v>1910</v>
      </c>
      <c r="M46" s="105">
        <f t="shared" si="0"/>
        <v>3.95</v>
      </c>
    </row>
    <row r="47" spans="1:13" x14ac:dyDescent="0.3">
      <c r="A47" s="102">
        <f>COUNTA(A2:A46)</f>
        <v>45</v>
      </c>
      <c r="E47" s="105">
        <f>SUM(E2:E46)</f>
        <v>136</v>
      </c>
      <c r="J47" s="102">
        <f>AVERAGE(J2:J46)</f>
        <v>6.4279999999999946</v>
      </c>
      <c r="M47" s="105">
        <f>SUM(M2:M46)</f>
        <v>630.30000000000007</v>
      </c>
    </row>
    <row r="51" spans="1:11" x14ac:dyDescent="0.3">
      <c r="A51" s="103"/>
      <c r="B51" s="103"/>
      <c r="C51" s="103"/>
      <c r="D51" s="106"/>
      <c r="E51" s="103"/>
      <c r="F51" s="103"/>
      <c r="G51" s="103"/>
    </row>
    <row r="52" spans="1:11" x14ac:dyDescent="0.3">
      <c r="A52" s="103"/>
      <c r="B52" s="103"/>
      <c r="C52" s="103"/>
      <c r="D52" s="106"/>
      <c r="E52" s="103"/>
      <c r="F52" s="103"/>
      <c r="G52" s="103"/>
    </row>
    <row r="53" spans="1:11" x14ac:dyDescent="0.3">
      <c r="A53" s="103"/>
      <c r="B53" s="103"/>
      <c r="C53" s="103"/>
      <c r="D53" s="106"/>
      <c r="E53" s="103"/>
      <c r="F53" s="103"/>
      <c r="G53" s="103"/>
    </row>
    <row r="54" spans="1:11" x14ac:dyDescent="0.3">
      <c r="A54" s="103"/>
      <c r="B54" s="103"/>
      <c r="C54" s="103"/>
      <c r="D54" s="106"/>
      <c r="E54" s="103"/>
      <c r="F54" s="103"/>
      <c r="G54" s="103"/>
    </row>
    <row r="55" spans="1:11" x14ac:dyDescent="0.3">
      <c r="A55" s="103"/>
      <c r="B55" s="103"/>
      <c r="C55" s="103"/>
      <c r="D55" s="106"/>
      <c r="E55" s="103"/>
      <c r="F55" s="103"/>
      <c r="G55" s="103"/>
    </row>
    <row r="56" spans="1:11" x14ac:dyDescent="0.3">
      <c r="A56" s="103"/>
      <c r="B56" s="103"/>
      <c r="C56" s="103"/>
      <c r="D56" s="106"/>
      <c r="E56" s="103"/>
      <c r="F56" s="103"/>
      <c r="G56" s="103"/>
    </row>
    <row r="57" spans="1:11" x14ac:dyDescent="0.3">
      <c r="A57" s="103"/>
      <c r="B57" s="103"/>
      <c r="C57" s="103"/>
      <c r="D57" s="106"/>
      <c r="E57" s="103"/>
      <c r="F57" s="103"/>
      <c r="G57" s="103"/>
    </row>
    <row r="58" spans="1:11" x14ac:dyDescent="0.3">
      <c r="A58" s="103"/>
      <c r="B58" s="103"/>
      <c r="C58" s="103"/>
      <c r="D58" s="106"/>
      <c r="E58" s="103"/>
      <c r="F58" s="103"/>
      <c r="G58" s="103"/>
    </row>
    <row r="59" spans="1:11" x14ac:dyDescent="0.3">
      <c r="A59" s="103"/>
      <c r="B59" s="103"/>
      <c r="C59" s="103"/>
      <c r="D59" s="106"/>
      <c r="E59" s="103"/>
      <c r="F59" s="103"/>
      <c r="G59" s="103"/>
    </row>
    <row r="61" spans="1:11" x14ac:dyDescent="0.3">
      <c r="D61" s="106"/>
      <c r="E61" s="103"/>
      <c r="F61" s="103"/>
      <c r="G61" s="103"/>
      <c r="H61" s="103"/>
      <c r="I61" s="103"/>
      <c r="J61" s="103"/>
      <c r="K61" s="103"/>
    </row>
    <row r="62" spans="1:11" x14ac:dyDescent="0.3">
      <c r="D62" s="106"/>
      <c r="E62" s="103"/>
      <c r="F62" s="103"/>
      <c r="G62" s="103"/>
      <c r="H62" s="103"/>
      <c r="I62" s="103"/>
      <c r="J62" s="103"/>
      <c r="K62" s="103"/>
    </row>
    <row r="63" spans="1:11" x14ac:dyDescent="0.3">
      <c r="D63" s="106"/>
      <c r="E63" s="103"/>
      <c r="F63" s="103"/>
      <c r="G63" s="103"/>
      <c r="H63" s="103"/>
      <c r="I63" s="103"/>
      <c r="J63" s="103"/>
      <c r="K63" s="103"/>
    </row>
    <row r="64" spans="1:11" x14ac:dyDescent="0.3">
      <c r="D64" s="106"/>
      <c r="E64" s="103"/>
      <c r="F64" s="103"/>
      <c r="G64" s="103"/>
      <c r="H64" s="103"/>
      <c r="I64" s="103"/>
      <c r="J64" s="103"/>
      <c r="K64" s="103"/>
    </row>
    <row r="65" spans="4:11" s="105" customFormat="1" x14ac:dyDescent="0.3">
      <c r="D65" s="106"/>
      <c r="E65" s="103"/>
      <c r="F65" s="103"/>
      <c r="G65" s="103"/>
      <c r="H65" s="103"/>
      <c r="I65" s="103"/>
      <c r="J65" s="103"/>
      <c r="K65" s="103"/>
    </row>
    <row r="66" spans="4:11" s="105" customFormat="1" x14ac:dyDescent="0.3">
      <c r="D66" s="106"/>
      <c r="E66" s="103"/>
      <c r="F66" s="103"/>
      <c r="G66" s="103"/>
      <c r="H66" s="103"/>
      <c r="I66" s="103"/>
      <c r="J66" s="103"/>
      <c r="K66" s="103"/>
    </row>
    <row r="67" spans="4:11" s="105" customFormat="1" x14ac:dyDescent="0.3">
      <c r="D67" s="106"/>
      <c r="E67" s="103"/>
      <c r="F67" s="103"/>
      <c r="G67" s="103"/>
      <c r="H67" s="103"/>
      <c r="I67" s="103"/>
      <c r="J67" s="103"/>
      <c r="K67" s="103"/>
    </row>
    <row r="68" spans="4:11" s="105" customFormat="1" x14ac:dyDescent="0.3">
      <c r="D68" s="106"/>
      <c r="E68" s="103"/>
      <c r="F68" s="103"/>
      <c r="G68" s="103"/>
      <c r="H68" s="103"/>
      <c r="I68" s="103"/>
      <c r="J68" s="103"/>
      <c r="K68" s="103"/>
    </row>
    <row r="69" spans="4:11" s="105" customFormat="1" x14ac:dyDescent="0.3">
      <c r="D69" s="106"/>
      <c r="E69" s="103"/>
      <c r="F69" s="103"/>
      <c r="G69" s="103"/>
      <c r="H69" s="103"/>
      <c r="I69" s="103"/>
      <c r="J69" s="103"/>
      <c r="K69" s="103"/>
    </row>
    <row r="70" spans="4:11" s="105" customFormat="1" x14ac:dyDescent="0.3">
      <c r="D70" s="106"/>
      <c r="E70" s="103"/>
      <c r="F70" s="103"/>
      <c r="G70" s="103"/>
      <c r="H70" s="103"/>
      <c r="I70" s="103"/>
      <c r="J70" s="103"/>
      <c r="K70" s="103"/>
    </row>
    <row r="71" spans="4:11" s="105" customFormat="1" x14ac:dyDescent="0.3">
      <c r="D71" s="106"/>
      <c r="E71" s="103"/>
      <c r="F71" s="103"/>
      <c r="G71" s="103"/>
      <c r="H71" s="103"/>
      <c r="I71" s="103"/>
      <c r="J71" s="103"/>
      <c r="K71" s="103"/>
    </row>
    <row r="72" spans="4:11" s="105" customFormat="1" x14ac:dyDescent="0.3">
      <c r="D72" s="106"/>
      <c r="E72" s="103"/>
      <c r="F72" s="103"/>
      <c r="G72" s="103"/>
      <c r="H72" s="103"/>
      <c r="I72" s="103"/>
      <c r="J72" s="103"/>
      <c r="K72" s="103"/>
    </row>
    <row r="73" spans="4:11" s="105" customFormat="1" x14ac:dyDescent="0.3">
      <c r="D73" s="106"/>
      <c r="E73" s="103"/>
      <c r="F73" s="103"/>
      <c r="G73" s="103"/>
      <c r="H73" s="103"/>
      <c r="I73" s="103"/>
      <c r="J73" s="103"/>
      <c r="K73" s="103"/>
    </row>
    <row r="74" spans="4:11" s="105" customFormat="1" x14ac:dyDescent="0.3">
      <c r="D74" s="106"/>
      <c r="E74" s="103"/>
      <c r="F74" s="103"/>
      <c r="G74" s="103"/>
      <c r="H74" s="103"/>
      <c r="I74" s="103"/>
      <c r="J74" s="103"/>
      <c r="K74" s="103"/>
    </row>
    <row r="75" spans="4:11" s="105" customFormat="1" x14ac:dyDescent="0.3">
      <c r="D75" s="106"/>
      <c r="E75" s="103"/>
      <c r="F75" s="103"/>
      <c r="G75" s="103"/>
      <c r="H75" s="103"/>
      <c r="I75" s="103"/>
      <c r="J75" s="103"/>
      <c r="K75" s="103"/>
    </row>
    <row r="76" spans="4:11" s="105" customFormat="1" x14ac:dyDescent="0.3">
      <c r="D76" s="106"/>
      <c r="E76" s="103"/>
      <c r="F76" s="103"/>
      <c r="G76" s="103"/>
      <c r="H76" s="103"/>
      <c r="I76" s="103"/>
      <c r="J76" s="103"/>
      <c r="K76" s="103"/>
    </row>
    <row r="77" spans="4:11" s="105" customFormat="1" x14ac:dyDescent="0.3">
      <c r="D77" s="106"/>
      <c r="E77" s="103"/>
      <c r="F77" s="103"/>
      <c r="G77" s="103"/>
      <c r="H77" s="103"/>
      <c r="I77" s="103"/>
      <c r="J77" s="103"/>
      <c r="K77" s="103"/>
    </row>
    <row r="78" spans="4:11" s="105" customFormat="1" x14ac:dyDescent="0.3">
      <c r="D78" s="106"/>
      <c r="E78" s="103"/>
      <c r="F78" s="103"/>
      <c r="G78" s="103"/>
      <c r="H78" s="103"/>
      <c r="I78" s="103"/>
      <c r="J78" s="103"/>
      <c r="K78" s="103"/>
    </row>
    <row r="79" spans="4:11" s="105" customFormat="1" x14ac:dyDescent="0.3">
      <c r="D79" s="106"/>
      <c r="E79" s="103"/>
      <c r="F79" s="103"/>
      <c r="G79" s="103"/>
      <c r="H79" s="103"/>
      <c r="I79" s="103"/>
      <c r="J79" s="103"/>
      <c r="K79" s="103"/>
    </row>
    <row r="80" spans="4:11" s="105" customFormat="1" x14ac:dyDescent="0.3">
      <c r="D80" s="106"/>
      <c r="E80" s="103"/>
      <c r="F80" s="103"/>
      <c r="G80" s="103"/>
      <c r="H80" s="103"/>
      <c r="I80" s="103"/>
      <c r="J80" s="103"/>
      <c r="K80" s="103"/>
    </row>
    <row r="81" spans="4:11" s="105" customFormat="1" x14ac:dyDescent="0.3">
      <c r="D81" s="106"/>
      <c r="E81" s="103"/>
      <c r="F81" s="103"/>
      <c r="G81" s="103"/>
      <c r="H81" s="103"/>
      <c r="I81" s="103"/>
      <c r="J81" s="103"/>
      <c r="K81" s="103"/>
    </row>
    <row r="82" spans="4:11" s="105" customFormat="1" x14ac:dyDescent="0.3">
      <c r="D82" s="106"/>
      <c r="E82" s="103"/>
      <c r="F82" s="103"/>
      <c r="G82" s="103"/>
      <c r="H82" s="103"/>
      <c r="I82" s="103"/>
      <c r="J82" s="103"/>
      <c r="K82" s="103"/>
    </row>
    <row r="83" spans="4:11" s="105" customFormat="1" x14ac:dyDescent="0.3">
      <c r="D83" s="106"/>
      <c r="E83" s="103"/>
      <c r="F83" s="103"/>
      <c r="G83" s="103"/>
      <c r="H83" s="103"/>
      <c r="I83" s="103"/>
      <c r="J83" s="103"/>
      <c r="K83" s="103"/>
    </row>
    <row r="84" spans="4:11" s="105" customFormat="1" x14ac:dyDescent="0.3">
      <c r="D84" s="106"/>
      <c r="E84" s="103"/>
      <c r="F84" s="103"/>
      <c r="G84" s="103"/>
      <c r="H84" s="103"/>
      <c r="I84" s="103"/>
      <c r="J84" s="103"/>
      <c r="K84" s="103"/>
    </row>
    <row r="85" spans="4:11" s="105" customFormat="1" x14ac:dyDescent="0.3">
      <c r="D85" s="106"/>
      <c r="E85" s="103"/>
      <c r="F85" s="103"/>
      <c r="G85" s="103"/>
      <c r="H85" s="103"/>
      <c r="I85" s="103"/>
      <c r="J85" s="103"/>
      <c r="K85" s="103"/>
    </row>
    <row r="86" spans="4:11" s="105" customFormat="1" x14ac:dyDescent="0.3">
      <c r="D86" s="106"/>
      <c r="E86" s="103"/>
      <c r="F86" s="103"/>
      <c r="G86" s="103"/>
      <c r="H86" s="103"/>
      <c r="I86" s="103"/>
      <c r="J86" s="103"/>
      <c r="K86" s="103"/>
    </row>
    <row r="87" spans="4:11" s="105" customFormat="1" x14ac:dyDescent="0.3">
      <c r="D87" s="106"/>
      <c r="E87" s="103"/>
      <c r="F87" s="103"/>
      <c r="G87" s="103"/>
      <c r="H87" s="103"/>
      <c r="I87" s="103"/>
      <c r="J87" s="103"/>
      <c r="K87" s="103"/>
    </row>
    <row r="88" spans="4:11" s="105" customFormat="1" x14ac:dyDescent="0.3">
      <c r="D88" s="106"/>
      <c r="E88" s="103"/>
      <c r="F88" s="103"/>
      <c r="G88" s="103"/>
      <c r="H88" s="103"/>
      <c r="I88" s="103"/>
      <c r="J88" s="103"/>
      <c r="K88" s="103"/>
    </row>
    <row r="89" spans="4:11" s="105" customFormat="1" x14ac:dyDescent="0.3">
      <c r="D89" s="106"/>
      <c r="E89" s="103"/>
      <c r="F89" s="103"/>
      <c r="G89" s="103"/>
      <c r="H89" s="103"/>
      <c r="I89" s="103"/>
      <c r="J89" s="103"/>
      <c r="K89" s="103"/>
    </row>
    <row r="90" spans="4:11" s="105" customFormat="1" x14ac:dyDescent="0.3">
      <c r="D90" s="106"/>
      <c r="E90" s="103"/>
      <c r="F90" s="103"/>
      <c r="G90" s="103"/>
      <c r="H90" s="103"/>
      <c r="I90" s="103"/>
      <c r="J90" s="103"/>
      <c r="K90" s="103"/>
    </row>
    <row r="91" spans="4:11" s="105" customFormat="1" x14ac:dyDescent="0.3">
      <c r="D91" s="106"/>
      <c r="E91" s="103"/>
      <c r="F91" s="103"/>
      <c r="G91" s="103"/>
      <c r="H91" s="103"/>
      <c r="I91" s="103"/>
      <c r="J91" s="103"/>
      <c r="K91" s="103"/>
    </row>
    <row r="92" spans="4:11" s="105" customFormat="1" x14ac:dyDescent="0.3">
      <c r="D92" s="106"/>
      <c r="E92" s="103"/>
      <c r="F92" s="103"/>
      <c r="G92" s="103"/>
      <c r="H92" s="103"/>
      <c r="I92" s="103"/>
      <c r="J92" s="103"/>
      <c r="K92" s="103"/>
    </row>
    <row r="93" spans="4:11" s="105" customFormat="1" x14ac:dyDescent="0.3">
      <c r="D93" s="106"/>
      <c r="E93" s="103"/>
      <c r="F93" s="103"/>
      <c r="G93" s="103"/>
      <c r="H93" s="103"/>
      <c r="I93" s="103"/>
      <c r="J93" s="103"/>
      <c r="K93" s="103"/>
    </row>
    <row r="94" spans="4:11" s="105" customFormat="1" x14ac:dyDescent="0.3">
      <c r="D94" s="106"/>
      <c r="E94" s="103"/>
      <c r="F94" s="103"/>
      <c r="G94" s="103"/>
      <c r="H94" s="103"/>
      <c r="I94" s="103"/>
      <c r="J94" s="103"/>
      <c r="K94" s="103"/>
    </row>
    <row r="95" spans="4:11" s="105" customFormat="1" x14ac:dyDescent="0.3">
      <c r="D95" s="106"/>
      <c r="E95" s="103"/>
      <c r="F95" s="103"/>
      <c r="G95" s="103"/>
      <c r="H95" s="103"/>
      <c r="I95" s="103"/>
      <c r="J95" s="103"/>
      <c r="K95" s="103"/>
    </row>
    <row r="96" spans="4:11" s="105" customFormat="1" x14ac:dyDescent="0.3">
      <c r="D96" s="106"/>
      <c r="E96" s="103"/>
      <c r="F96" s="103"/>
      <c r="G96" s="103"/>
      <c r="H96" s="103"/>
      <c r="I96" s="103"/>
      <c r="J96" s="103"/>
      <c r="K96" s="103"/>
    </row>
    <row r="97" spans="4:11" s="105" customFormat="1" x14ac:dyDescent="0.3">
      <c r="D97" s="106"/>
      <c r="E97" s="103"/>
      <c r="F97" s="103"/>
      <c r="G97" s="103"/>
      <c r="H97" s="103"/>
      <c r="I97" s="103"/>
      <c r="J97" s="103"/>
      <c r="K97" s="103"/>
    </row>
    <row r="98" spans="4:11" s="105" customFormat="1" x14ac:dyDescent="0.3">
      <c r="D98" s="106"/>
      <c r="E98" s="103"/>
      <c r="F98" s="103"/>
      <c r="G98" s="103"/>
      <c r="H98" s="103"/>
      <c r="I98" s="103"/>
      <c r="J98" s="103"/>
      <c r="K98" s="103"/>
    </row>
    <row r="99" spans="4:11" s="105" customFormat="1" x14ac:dyDescent="0.3">
      <c r="D99" s="106"/>
      <c r="E99" s="103"/>
      <c r="F99" s="103"/>
      <c r="G99" s="103"/>
      <c r="H99" s="103"/>
      <c r="I99" s="103"/>
      <c r="J99" s="103"/>
      <c r="K99" s="103"/>
    </row>
    <row r="100" spans="4:11" s="105" customFormat="1" x14ac:dyDescent="0.3">
      <c r="D100" s="106"/>
      <c r="E100" s="103"/>
      <c r="F100" s="103"/>
      <c r="G100" s="103"/>
      <c r="H100" s="103"/>
      <c r="I100" s="103"/>
      <c r="J100" s="103"/>
      <c r="K100" s="103"/>
    </row>
    <row r="101" spans="4:11" s="105" customFormat="1" x14ac:dyDescent="0.3">
      <c r="D101" s="106"/>
      <c r="E101" s="103"/>
      <c r="F101" s="103"/>
      <c r="G101" s="103"/>
      <c r="H101" s="103"/>
      <c r="I101" s="103"/>
      <c r="J101" s="103"/>
      <c r="K101" s="103"/>
    </row>
    <row r="102" spans="4:11" s="105" customFormat="1" x14ac:dyDescent="0.3">
      <c r="D102" s="106"/>
      <c r="E102" s="103"/>
      <c r="F102" s="103"/>
      <c r="G102" s="103"/>
      <c r="H102" s="103"/>
      <c r="I102" s="103"/>
      <c r="J102" s="103"/>
      <c r="K102" s="103"/>
    </row>
    <row r="103" spans="4:11" s="105" customFormat="1" x14ac:dyDescent="0.3">
      <c r="D103" s="106"/>
      <c r="E103" s="103"/>
      <c r="F103" s="103"/>
      <c r="G103" s="103"/>
      <c r="H103" s="103"/>
      <c r="I103" s="103"/>
      <c r="J103" s="103"/>
      <c r="K103" s="103"/>
    </row>
    <row r="104" spans="4:11" s="105" customFormat="1" x14ac:dyDescent="0.3">
      <c r="D104" s="106"/>
      <c r="E104" s="103"/>
      <c r="F104" s="103"/>
      <c r="G104" s="103"/>
      <c r="H104" s="103"/>
      <c r="I104" s="103"/>
      <c r="J104" s="103"/>
      <c r="K104" s="103"/>
    </row>
    <row r="105" spans="4:11" s="105" customFormat="1" x14ac:dyDescent="0.3">
      <c r="D105" s="106"/>
      <c r="E105" s="103"/>
      <c r="F105" s="103"/>
      <c r="G105" s="103"/>
      <c r="H105" s="103"/>
      <c r="I105" s="103"/>
      <c r="J105" s="103"/>
      <c r="K105" s="103"/>
    </row>
    <row r="106" spans="4:11" s="105" customFormat="1" x14ac:dyDescent="0.3">
      <c r="D106" s="106"/>
      <c r="E106" s="103"/>
      <c r="F106" s="103"/>
      <c r="G106" s="103"/>
      <c r="H106" s="103"/>
      <c r="I106" s="103"/>
      <c r="J106" s="103"/>
      <c r="K106" s="103"/>
    </row>
    <row r="107" spans="4:11" s="105" customFormat="1" x14ac:dyDescent="0.3">
      <c r="D107" s="106"/>
      <c r="E107" s="103"/>
      <c r="F107" s="103"/>
      <c r="G107" s="103"/>
      <c r="H107" s="103"/>
      <c r="I107" s="103"/>
      <c r="J107" s="103"/>
      <c r="K107" s="103"/>
    </row>
    <row r="108" spans="4:11" s="105" customFormat="1" x14ac:dyDescent="0.3">
      <c r="D108" s="106"/>
      <c r="E108" s="103"/>
      <c r="F108" s="103"/>
      <c r="G108" s="103"/>
      <c r="H108" s="103"/>
      <c r="I108" s="103"/>
      <c r="J108" s="103"/>
      <c r="K108" s="103"/>
    </row>
    <row r="109" spans="4:11" s="105" customFormat="1" x14ac:dyDescent="0.3">
      <c r="D109" s="106"/>
      <c r="E109" s="103"/>
      <c r="F109" s="103"/>
      <c r="G109" s="103"/>
      <c r="H109" s="103"/>
      <c r="I109" s="103"/>
      <c r="J109" s="103"/>
      <c r="K109" s="103"/>
    </row>
    <row r="110" spans="4:11" s="105" customFormat="1" x14ac:dyDescent="0.3">
      <c r="D110" s="106"/>
      <c r="E110" s="103"/>
      <c r="F110" s="103"/>
      <c r="G110" s="103"/>
      <c r="H110" s="103"/>
      <c r="I110" s="103"/>
      <c r="J110" s="103"/>
      <c r="K110" s="103"/>
    </row>
    <row r="111" spans="4:11" s="105" customFormat="1" x14ac:dyDescent="0.3">
      <c r="D111" s="106"/>
      <c r="E111" s="103"/>
      <c r="F111" s="103"/>
      <c r="G111" s="103"/>
      <c r="H111" s="103"/>
      <c r="I111" s="103"/>
      <c r="J111" s="103"/>
      <c r="K111" s="103"/>
    </row>
    <row r="112" spans="4:11" s="105" customFormat="1" x14ac:dyDescent="0.3">
      <c r="D112" s="106"/>
      <c r="E112" s="103"/>
      <c r="F112" s="103"/>
      <c r="G112" s="103"/>
      <c r="H112" s="103"/>
      <c r="I112" s="103"/>
      <c r="J112" s="103"/>
      <c r="K112" s="103"/>
    </row>
    <row r="113" spans="4:11" s="105" customFormat="1" x14ac:dyDescent="0.3">
      <c r="D113" s="106"/>
      <c r="E113" s="103"/>
      <c r="F113" s="103"/>
      <c r="G113" s="103"/>
      <c r="H113" s="103"/>
      <c r="I113" s="103"/>
      <c r="J113" s="103"/>
      <c r="K113" s="103"/>
    </row>
    <row r="114" spans="4:11" s="105" customFormat="1" x14ac:dyDescent="0.3">
      <c r="D114" s="106"/>
      <c r="E114" s="103"/>
      <c r="F114" s="103"/>
      <c r="G114" s="103"/>
      <c r="H114" s="103"/>
      <c r="I114" s="103"/>
      <c r="J114" s="103"/>
      <c r="K114" s="103"/>
    </row>
    <row r="115" spans="4:11" s="105" customFormat="1" x14ac:dyDescent="0.3">
      <c r="D115" s="106"/>
      <c r="E115" s="103"/>
      <c r="F115" s="103"/>
      <c r="G115" s="103"/>
      <c r="H115" s="103"/>
      <c r="I115" s="103"/>
      <c r="J115" s="103"/>
      <c r="K115" s="103"/>
    </row>
    <row r="116" spans="4:11" s="105" customFormat="1" x14ac:dyDescent="0.3">
      <c r="D116" s="106"/>
      <c r="E116" s="103"/>
      <c r="F116" s="103"/>
      <c r="G116" s="103"/>
      <c r="H116" s="103"/>
      <c r="I116" s="103"/>
      <c r="J116" s="103"/>
      <c r="K116" s="103"/>
    </row>
    <row r="117" spans="4:11" s="105" customFormat="1" x14ac:dyDescent="0.3">
      <c r="D117" s="106"/>
      <c r="E117" s="103"/>
      <c r="F117" s="103"/>
      <c r="G117" s="103"/>
      <c r="H117" s="103"/>
      <c r="I117" s="103"/>
      <c r="J117" s="103"/>
      <c r="K117" s="103"/>
    </row>
    <row r="118" spans="4:11" s="105" customFormat="1" x14ac:dyDescent="0.3">
      <c r="D118" s="106"/>
      <c r="E118" s="103"/>
      <c r="F118" s="103"/>
      <c r="G118" s="103"/>
      <c r="H118" s="103"/>
      <c r="I118" s="103"/>
      <c r="J118" s="103"/>
      <c r="K118" s="103"/>
    </row>
    <row r="119" spans="4:11" s="105" customFormat="1" x14ac:dyDescent="0.3">
      <c r="D119" s="106"/>
      <c r="E119" s="103"/>
      <c r="F119" s="103"/>
      <c r="G119" s="103"/>
      <c r="H119" s="103"/>
      <c r="I119" s="103"/>
      <c r="J119" s="103"/>
      <c r="K119" s="103"/>
    </row>
    <row r="120" spans="4:11" s="105" customFormat="1" x14ac:dyDescent="0.3">
      <c r="D120" s="106"/>
      <c r="E120" s="103"/>
      <c r="F120" s="103"/>
      <c r="G120" s="103"/>
      <c r="H120" s="103"/>
      <c r="I120" s="103"/>
      <c r="J120" s="103"/>
      <c r="K120" s="103"/>
    </row>
    <row r="121" spans="4:11" s="105" customFormat="1" x14ac:dyDescent="0.3">
      <c r="D121" s="106"/>
      <c r="E121" s="103"/>
      <c r="F121" s="103"/>
      <c r="G121" s="103"/>
      <c r="H121" s="103"/>
      <c r="I121" s="103"/>
      <c r="J121" s="103"/>
      <c r="K121" s="103"/>
    </row>
    <row r="122" spans="4:11" s="105" customFormat="1" x14ac:dyDescent="0.3">
      <c r="D122" s="106"/>
      <c r="E122" s="103"/>
      <c r="F122" s="103"/>
      <c r="G122" s="103"/>
      <c r="H122" s="103"/>
      <c r="I122" s="103"/>
      <c r="J122" s="103"/>
      <c r="K122" s="103"/>
    </row>
    <row r="123" spans="4:11" s="105" customFormat="1" x14ac:dyDescent="0.3">
      <c r="D123" s="106"/>
      <c r="E123" s="103"/>
      <c r="F123" s="103"/>
      <c r="G123" s="103"/>
      <c r="H123" s="103"/>
      <c r="I123" s="103"/>
      <c r="J123" s="103"/>
      <c r="K123" s="103"/>
    </row>
    <row r="124" spans="4:11" s="105" customFormat="1" x14ac:dyDescent="0.3">
      <c r="D124" s="106"/>
      <c r="E124" s="103"/>
      <c r="F124" s="103"/>
      <c r="G124" s="103"/>
      <c r="H124" s="103"/>
      <c r="I124" s="103"/>
      <c r="J124" s="103"/>
      <c r="K124" s="103"/>
    </row>
    <row r="125" spans="4:11" s="105" customFormat="1" x14ac:dyDescent="0.3">
      <c r="D125" s="106"/>
      <c r="E125" s="103"/>
      <c r="F125" s="103"/>
      <c r="G125" s="103"/>
      <c r="H125" s="103"/>
      <c r="I125" s="103"/>
      <c r="J125" s="103"/>
      <c r="K125" s="103"/>
    </row>
    <row r="126" spans="4:11" s="105" customFormat="1" x14ac:dyDescent="0.3">
      <c r="D126" s="106"/>
      <c r="E126" s="103"/>
      <c r="F126" s="103"/>
      <c r="G126" s="103"/>
      <c r="H126" s="103"/>
      <c r="I126" s="103"/>
      <c r="J126" s="103"/>
      <c r="K126" s="103"/>
    </row>
    <row r="127" spans="4:11" s="105" customFormat="1" x14ac:dyDescent="0.3">
      <c r="D127" s="106"/>
      <c r="E127" s="103"/>
      <c r="F127" s="103"/>
      <c r="G127" s="103"/>
      <c r="H127" s="103"/>
      <c r="I127" s="103"/>
      <c r="J127" s="103"/>
      <c r="K127" s="103"/>
    </row>
    <row r="128" spans="4:11" s="105" customFormat="1" x14ac:dyDescent="0.3">
      <c r="D128" s="106"/>
      <c r="E128" s="103"/>
      <c r="F128" s="103"/>
      <c r="G128" s="103"/>
      <c r="H128" s="103"/>
      <c r="I128" s="103"/>
      <c r="J128" s="103"/>
      <c r="K128" s="103"/>
    </row>
    <row r="129" spans="4:11" s="105" customFormat="1" x14ac:dyDescent="0.3">
      <c r="D129" s="106"/>
      <c r="E129" s="103"/>
      <c r="F129" s="103"/>
      <c r="G129" s="103"/>
      <c r="H129" s="103"/>
      <c r="I129" s="103"/>
      <c r="J129" s="103"/>
      <c r="K129" s="103"/>
    </row>
    <row r="130" spans="4:11" s="105" customFormat="1" x14ac:dyDescent="0.3">
      <c r="D130" s="106"/>
      <c r="E130" s="103"/>
      <c r="F130" s="103"/>
      <c r="G130" s="103"/>
      <c r="H130" s="103"/>
      <c r="I130" s="103"/>
      <c r="J130" s="103"/>
      <c r="K130" s="103"/>
    </row>
    <row r="131" spans="4:11" s="105" customFormat="1" x14ac:dyDescent="0.3">
      <c r="D131" s="106"/>
      <c r="E131" s="103"/>
      <c r="F131" s="103"/>
      <c r="G131" s="103"/>
      <c r="H131" s="103"/>
      <c r="I131" s="103"/>
      <c r="J131" s="103"/>
      <c r="K131" s="103"/>
    </row>
    <row r="132" spans="4:11" s="105" customFormat="1" x14ac:dyDescent="0.3">
      <c r="D132" s="106"/>
      <c r="E132" s="103"/>
      <c r="F132" s="103"/>
      <c r="G132" s="103"/>
      <c r="H132" s="103"/>
      <c r="I132" s="103"/>
      <c r="J132" s="103"/>
      <c r="K132" s="103"/>
    </row>
    <row r="133" spans="4:11" s="105" customFormat="1" x14ac:dyDescent="0.3">
      <c r="D133" s="106"/>
      <c r="E133" s="103"/>
      <c r="F133" s="103"/>
      <c r="G133" s="103"/>
      <c r="H133" s="103"/>
      <c r="I133" s="103"/>
      <c r="J133" s="103"/>
      <c r="K133" s="103"/>
    </row>
    <row r="134" spans="4:11" s="105" customFormat="1" x14ac:dyDescent="0.3">
      <c r="D134" s="106"/>
      <c r="E134" s="103"/>
      <c r="F134" s="103"/>
      <c r="G134" s="103"/>
      <c r="H134" s="103"/>
      <c r="I134" s="103"/>
      <c r="J134" s="103"/>
      <c r="K134" s="103"/>
    </row>
    <row r="135" spans="4:11" s="105" customFormat="1" x14ac:dyDescent="0.3">
      <c r="D135" s="106"/>
      <c r="E135" s="103"/>
      <c r="F135" s="103"/>
      <c r="G135" s="103"/>
      <c r="H135" s="103"/>
      <c r="I135" s="103"/>
      <c r="J135" s="103"/>
      <c r="K135" s="103"/>
    </row>
    <row r="136" spans="4:11" s="105" customFormat="1" x14ac:dyDescent="0.3">
      <c r="D136" s="106"/>
      <c r="E136" s="103"/>
      <c r="F136" s="103"/>
      <c r="G136" s="103"/>
      <c r="H136" s="103"/>
      <c r="I136" s="103"/>
      <c r="J136" s="103"/>
      <c r="K136" s="103"/>
    </row>
    <row r="137" spans="4:11" s="105" customFormat="1" x14ac:dyDescent="0.3">
      <c r="D137" s="106"/>
      <c r="E137" s="103"/>
      <c r="F137" s="103"/>
      <c r="G137" s="103"/>
      <c r="H137" s="103"/>
      <c r="I137" s="103"/>
      <c r="J137" s="103"/>
      <c r="K137" s="103"/>
    </row>
    <row r="138" spans="4:11" s="105" customFormat="1" x14ac:dyDescent="0.3">
      <c r="D138" s="106"/>
      <c r="E138" s="103"/>
      <c r="F138" s="103"/>
      <c r="G138" s="103"/>
      <c r="H138" s="103"/>
      <c r="I138" s="103"/>
      <c r="J138" s="103"/>
      <c r="K138" s="103"/>
    </row>
    <row r="139" spans="4:11" s="105" customFormat="1" x14ac:dyDescent="0.3">
      <c r="D139" s="106"/>
      <c r="E139" s="103"/>
      <c r="F139" s="103"/>
      <c r="G139" s="103"/>
      <c r="H139" s="103"/>
      <c r="I139" s="103"/>
      <c r="J139" s="103"/>
      <c r="K139" s="103"/>
    </row>
    <row r="140" spans="4:11" s="105" customFormat="1" x14ac:dyDescent="0.3">
      <c r="D140" s="106"/>
      <c r="E140" s="103"/>
      <c r="F140" s="103"/>
      <c r="G140" s="103"/>
      <c r="H140" s="103"/>
      <c r="I140" s="103"/>
      <c r="J140" s="103"/>
      <c r="K140" s="103"/>
    </row>
    <row r="141" spans="4:11" s="105" customFormat="1" x14ac:dyDescent="0.3">
      <c r="D141" s="106"/>
      <c r="E141" s="103"/>
      <c r="F141" s="103"/>
      <c r="G141" s="103"/>
      <c r="H141" s="103"/>
      <c r="I141" s="103"/>
      <c r="J141" s="103"/>
      <c r="K141" s="103"/>
    </row>
    <row r="142" spans="4:11" s="105" customFormat="1" x14ac:dyDescent="0.3">
      <c r="D142" s="106"/>
      <c r="E142" s="103"/>
      <c r="F142" s="103"/>
      <c r="G142" s="103"/>
      <c r="H142" s="103"/>
      <c r="I142" s="103"/>
      <c r="J142" s="103"/>
      <c r="K142" s="103"/>
    </row>
    <row r="143" spans="4:11" s="105" customFormat="1" x14ac:dyDescent="0.3">
      <c r="D143" s="106"/>
      <c r="E143" s="103"/>
      <c r="F143" s="103"/>
      <c r="G143" s="103"/>
      <c r="H143" s="103"/>
      <c r="I143" s="103"/>
      <c r="J143" s="103"/>
      <c r="K143" s="103"/>
    </row>
    <row r="144" spans="4:11" s="105" customFormat="1" x14ac:dyDescent="0.3">
      <c r="D144" s="106"/>
      <c r="E144" s="103"/>
      <c r="F144" s="103"/>
      <c r="G144" s="103"/>
      <c r="H144" s="103"/>
      <c r="I144" s="103"/>
      <c r="J144" s="103"/>
      <c r="K144" s="103"/>
    </row>
    <row r="145" spans="4:11" s="105" customFormat="1" x14ac:dyDescent="0.3">
      <c r="D145" s="106"/>
      <c r="E145" s="103"/>
      <c r="F145" s="103"/>
      <c r="G145" s="103"/>
      <c r="H145" s="103"/>
      <c r="I145" s="103"/>
      <c r="J145" s="103"/>
      <c r="K145" s="103"/>
    </row>
    <row r="146" spans="4:11" s="105" customFormat="1" x14ac:dyDescent="0.3">
      <c r="D146" s="106"/>
      <c r="E146" s="103"/>
      <c r="F146" s="103"/>
      <c r="G146" s="103"/>
      <c r="H146" s="103"/>
      <c r="I146" s="103"/>
      <c r="J146" s="103"/>
      <c r="K146" s="103"/>
    </row>
    <row r="147" spans="4:11" s="105" customFormat="1" x14ac:dyDescent="0.3">
      <c r="D147" s="106"/>
      <c r="E147" s="103"/>
      <c r="F147" s="103"/>
      <c r="G147" s="103"/>
      <c r="H147" s="103"/>
      <c r="I147" s="103"/>
      <c r="J147" s="103"/>
      <c r="K147" s="103"/>
    </row>
    <row r="148" spans="4:11" s="105" customFormat="1" x14ac:dyDescent="0.3">
      <c r="D148" s="106"/>
      <c r="E148" s="103"/>
      <c r="F148" s="103"/>
      <c r="G148" s="103"/>
      <c r="H148" s="103"/>
      <c r="I148" s="103"/>
      <c r="J148" s="103"/>
      <c r="K148" s="103"/>
    </row>
    <row r="149" spans="4:11" s="105" customFormat="1" x14ac:dyDescent="0.3">
      <c r="D149" s="106"/>
      <c r="E149" s="103"/>
      <c r="F149" s="103"/>
      <c r="G149" s="103"/>
      <c r="H149" s="103"/>
      <c r="I149" s="103"/>
      <c r="J149" s="103"/>
      <c r="K149" s="103"/>
    </row>
    <row r="150" spans="4:11" s="105" customFormat="1" x14ac:dyDescent="0.3">
      <c r="D150" s="106"/>
      <c r="E150" s="103"/>
      <c r="F150" s="103"/>
      <c r="G150" s="103"/>
      <c r="H150" s="103"/>
      <c r="I150" s="103"/>
      <c r="J150" s="103"/>
      <c r="K150" s="103"/>
    </row>
    <row r="151" spans="4:11" s="105" customFormat="1" x14ac:dyDescent="0.3">
      <c r="D151" s="106"/>
      <c r="E151" s="103"/>
      <c r="F151" s="103"/>
      <c r="G151" s="103"/>
      <c r="H151" s="103"/>
      <c r="I151" s="103"/>
      <c r="J151" s="103"/>
      <c r="K151" s="103"/>
    </row>
    <row r="152" spans="4:11" s="105" customFormat="1" x14ac:dyDescent="0.3">
      <c r="D152" s="106"/>
      <c r="E152" s="103"/>
      <c r="F152" s="103"/>
      <c r="G152" s="103"/>
      <c r="H152" s="103"/>
      <c r="I152" s="103"/>
      <c r="J152" s="103"/>
      <c r="K152" s="103"/>
    </row>
    <row r="153" spans="4:11" s="105" customFormat="1" x14ac:dyDescent="0.3">
      <c r="D153" s="106"/>
      <c r="E153" s="103"/>
      <c r="F153" s="103"/>
      <c r="G153" s="103"/>
      <c r="H153" s="103"/>
      <c r="I153" s="103"/>
      <c r="J153" s="103"/>
      <c r="K153" s="103"/>
    </row>
    <row r="154" spans="4:11" s="105" customFormat="1" x14ac:dyDescent="0.3">
      <c r="D154" s="106"/>
      <c r="E154" s="103"/>
      <c r="F154" s="103"/>
      <c r="G154" s="103"/>
      <c r="H154" s="103"/>
      <c r="I154" s="103"/>
      <c r="J154" s="103"/>
      <c r="K154" s="103"/>
    </row>
    <row r="155" spans="4:11" s="105" customFormat="1" x14ac:dyDescent="0.3">
      <c r="D155" s="106"/>
      <c r="E155" s="103"/>
      <c r="F155" s="103"/>
      <c r="G155" s="103"/>
      <c r="H155" s="103"/>
      <c r="I155" s="103"/>
      <c r="J155" s="103"/>
      <c r="K155" s="103"/>
    </row>
    <row r="156" spans="4:11" s="105" customFormat="1" x14ac:dyDescent="0.3">
      <c r="D156" s="106"/>
      <c r="E156" s="103"/>
      <c r="F156" s="103"/>
      <c r="G156" s="103"/>
      <c r="H156" s="103"/>
      <c r="I156" s="103"/>
      <c r="J156" s="103"/>
      <c r="K156" s="103"/>
    </row>
    <row r="157" spans="4:11" s="105" customFormat="1" x14ac:dyDescent="0.3">
      <c r="D157" s="106"/>
      <c r="E157" s="103"/>
      <c r="F157" s="103"/>
      <c r="G157" s="103"/>
      <c r="H157" s="103"/>
      <c r="I157" s="103"/>
      <c r="J157" s="103"/>
      <c r="K157" s="103"/>
    </row>
    <row r="158" spans="4:11" s="105" customFormat="1" x14ac:dyDescent="0.3">
      <c r="D158" s="106"/>
      <c r="E158" s="103"/>
      <c r="F158" s="103"/>
      <c r="G158" s="103"/>
      <c r="H158" s="103"/>
      <c r="I158" s="103"/>
      <c r="J158" s="103"/>
      <c r="K158" s="103"/>
    </row>
    <row r="159" spans="4:11" s="105" customFormat="1" x14ac:dyDescent="0.3">
      <c r="D159" s="106"/>
      <c r="E159" s="103"/>
      <c r="F159" s="103"/>
      <c r="G159" s="103"/>
      <c r="H159" s="103"/>
      <c r="I159" s="103"/>
      <c r="J159" s="103"/>
      <c r="K159" s="103"/>
    </row>
    <row r="160" spans="4:11" s="105" customFormat="1" x14ac:dyDescent="0.3">
      <c r="D160" s="106"/>
      <c r="E160" s="103"/>
      <c r="F160" s="103"/>
      <c r="G160" s="103"/>
      <c r="H160" s="103"/>
      <c r="I160" s="103"/>
      <c r="J160" s="103"/>
      <c r="K160" s="103"/>
    </row>
    <row r="161" spans="4:11" s="105" customFormat="1" x14ac:dyDescent="0.3">
      <c r="D161" s="106"/>
      <c r="E161" s="103"/>
      <c r="F161" s="103"/>
      <c r="G161" s="103"/>
      <c r="H161" s="103"/>
      <c r="I161" s="103"/>
      <c r="J161" s="103"/>
      <c r="K161" s="103"/>
    </row>
    <row r="162" spans="4:11" s="105" customFormat="1" x14ac:dyDescent="0.3">
      <c r="D162" s="106"/>
      <c r="E162" s="103"/>
      <c r="F162" s="103"/>
      <c r="G162" s="103"/>
      <c r="H162" s="103"/>
      <c r="I162" s="103"/>
      <c r="J162" s="103"/>
      <c r="K162" s="103"/>
    </row>
    <row r="163" spans="4:11" s="105" customFormat="1" x14ac:dyDescent="0.3">
      <c r="D163" s="106"/>
      <c r="E163" s="103"/>
      <c r="F163" s="103"/>
      <c r="G163" s="103"/>
      <c r="H163" s="103"/>
      <c r="I163" s="103"/>
      <c r="J163" s="103"/>
      <c r="K163" s="103"/>
    </row>
    <row r="164" spans="4:11" s="105" customFormat="1" x14ac:dyDescent="0.3">
      <c r="D164" s="106"/>
      <c r="E164" s="103"/>
      <c r="F164" s="103"/>
      <c r="G164" s="103"/>
      <c r="H164" s="103"/>
      <c r="I164" s="103"/>
      <c r="J164" s="103"/>
      <c r="K164" s="103"/>
    </row>
    <row r="165" spans="4:11" s="105" customFormat="1" x14ac:dyDescent="0.3">
      <c r="D165" s="106"/>
      <c r="E165" s="103"/>
      <c r="F165" s="103"/>
      <c r="G165" s="103"/>
      <c r="H165" s="103"/>
      <c r="I165" s="103"/>
      <c r="J165" s="103"/>
      <c r="K165" s="103"/>
    </row>
    <row r="166" spans="4:11" s="105" customFormat="1" x14ac:dyDescent="0.3">
      <c r="D166" s="106"/>
      <c r="E166" s="103"/>
      <c r="F166" s="103"/>
      <c r="G166" s="103"/>
      <c r="H166" s="103"/>
      <c r="I166" s="103"/>
      <c r="J166" s="103"/>
      <c r="K166" s="103"/>
    </row>
    <row r="167" spans="4:11" s="105" customFormat="1" x14ac:dyDescent="0.3">
      <c r="D167" s="106"/>
      <c r="E167" s="103"/>
      <c r="F167" s="103"/>
      <c r="G167" s="103"/>
      <c r="H167" s="103"/>
      <c r="I167" s="103"/>
      <c r="J167" s="103"/>
      <c r="K167" s="103"/>
    </row>
    <row r="168" spans="4:11" s="105" customFormat="1" x14ac:dyDescent="0.3">
      <c r="D168" s="106"/>
      <c r="E168" s="103"/>
      <c r="F168" s="103"/>
      <c r="G168" s="103"/>
      <c r="H168" s="103"/>
      <c r="I168" s="103"/>
      <c r="J168" s="103"/>
      <c r="K168" s="103"/>
    </row>
    <row r="169" spans="4:11" s="105" customFormat="1" x14ac:dyDescent="0.3">
      <c r="D169" s="106"/>
      <c r="E169" s="103"/>
      <c r="F169" s="103"/>
      <c r="G169" s="103"/>
      <c r="H169" s="103"/>
      <c r="I169" s="103"/>
      <c r="J169" s="103"/>
      <c r="K169" s="103"/>
    </row>
    <row r="170" spans="4:11" s="105" customFormat="1" x14ac:dyDescent="0.3">
      <c r="D170" s="106"/>
      <c r="E170" s="103"/>
      <c r="F170" s="103"/>
      <c r="G170" s="103"/>
      <c r="H170" s="103"/>
      <c r="I170" s="103"/>
      <c r="J170" s="103"/>
      <c r="K170" s="103"/>
    </row>
    <row r="171" spans="4:11" s="105" customFormat="1" x14ac:dyDescent="0.3">
      <c r="D171" s="106"/>
      <c r="E171" s="103"/>
      <c r="F171" s="103"/>
      <c r="G171" s="103"/>
      <c r="H171" s="103"/>
      <c r="I171" s="103"/>
      <c r="J171" s="103"/>
      <c r="K171" s="103"/>
    </row>
    <row r="172" spans="4:11" s="105" customFormat="1" x14ac:dyDescent="0.3">
      <c r="D172" s="106"/>
      <c r="E172" s="103"/>
      <c r="F172" s="103"/>
      <c r="G172" s="103"/>
      <c r="H172" s="103"/>
      <c r="I172" s="103"/>
      <c r="J172" s="103"/>
      <c r="K172" s="103"/>
    </row>
    <row r="173" spans="4:11" s="105" customFormat="1" x14ac:dyDescent="0.3">
      <c r="D173" s="106"/>
      <c r="E173" s="103"/>
      <c r="F173" s="103"/>
      <c r="G173" s="103"/>
      <c r="H173" s="103"/>
      <c r="I173" s="103"/>
      <c r="J173" s="103"/>
      <c r="K173" s="103"/>
    </row>
    <row r="174" spans="4:11" s="105" customFormat="1" x14ac:dyDescent="0.3">
      <c r="D174" s="106"/>
      <c r="E174" s="103"/>
      <c r="F174" s="103"/>
      <c r="G174" s="103"/>
      <c r="H174" s="103"/>
      <c r="I174" s="103"/>
      <c r="J174" s="103"/>
      <c r="K174" s="103"/>
    </row>
    <row r="175" spans="4:11" s="105" customFormat="1" x14ac:dyDescent="0.3">
      <c r="D175" s="106"/>
      <c r="E175" s="103"/>
      <c r="F175" s="103"/>
      <c r="G175" s="103"/>
      <c r="H175" s="103"/>
      <c r="I175" s="103"/>
      <c r="J175" s="103"/>
      <c r="K175" s="103"/>
    </row>
    <row r="176" spans="4:11" s="105" customFormat="1" x14ac:dyDescent="0.3">
      <c r="D176" s="106"/>
      <c r="E176" s="103"/>
      <c r="F176" s="103"/>
      <c r="G176" s="103"/>
      <c r="H176" s="103"/>
      <c r="I176" s="103"/>
      <c r="J176" s="103"/>
      <c r="K176" s="103"/>
    </row>
    <row r="177" spans="4:11" s="105" customFormat="1" x14ac:dyDescent="0.3">
      <c r="D177" s="106"/>
      <c r="E177" s="103"/>
      <c r="F177" s="103"/>
      <c r="G177" s="103"/>
      <c r="H177" s="103"/>
      <c r="I177" s="103"/>
      <c r="J177" s="103"/>
      <c r="K177" s="103"/>
    </row>
    <row r="178" spans="4:11" s="105" customFormat="1" x14ac:dyDescent="0.3">
      <c r="D178" s="106"/>
      <c r="E178" s="103"/>
      <c r="F178" s="103"/>
      <c r="G178" s="103"/>
      <c r="H178" s="103"/>
      <c r="I178" s="103"/>
      <c r="J178" s="103"/>
      <c r="K178" s="103"/>
    </row>
    <row r="179" spans="4:11" s="105" customFormat="1" x14ac:dyDescent="0.3">
      <c r="D179" s="106"/>
      <c r="E179" s="103"/>
      <c r="F179" s="103"/>
      <c r="G179" s="103"/>
      <c r="H179" s="103"/>
      <c r="I179" s="103"/>
      <c r="J179" s="103"/>
      <c r="K179" s="103"/>
    </row>
    <row r="180" spans="4:11" s="105" customFormat="1" x14ac:dyDescent="0.3">
      <c r="D180" s="106"/>
      <c r="E180" s="103"/>
      <c r="F180" s="103"/>
      <c r="G180" s="103"/>
      <c r="H180" s="103"/>
      <c r="I180" s="103"/>
      <c r="J180" s="103"/>
      <c r="K180" s="103"/>
    </row>
    <row r="181" spans="4:11" s="105" customFormat="1" x14ac:dyDescent="0.3">
      <c r="D181" s="106"/>
      <c r="E181" s="103"/>
      <c r="F181" s="103"/>
      <c r="G181" s="103"/>
      <c r="H181" s="103"/>
      <c r="I181" s="103"/>
      <c r="J181" s="103"/>
      <c r="K181" s="103"/>
    </row>
    <row r="182" spans="4:11" s="105" customFormat="1" x14ac:dyDescent="0.3">
      <c r="D182" s="106"/>
      <c r="E182" s="103"/>
      <c r="F182" s="103"/>
      <c r="G182" s="103"/>
      <c r="H182" s="103"/>
      <c r="I182" s="103"/>
      <c r="J182" s="103"/>
      <c r="K182" s="103"/>
    </row>
    <row r="183" spans="4:11" s="105" customFormat="1" x14ac:dyDescent="0.3">
      <c r="D183" s="106"/>
      <c r="E183" s="103"/>
      <c r="F183" s="103"/>
      <c r="G183" s="103"/>
      <c r="H183" s="103"/>
      <c r="I183" s="103"/>
      <c r="J183" s="103"/>
      <c r="K183" s="103"/>
    </row>
    <row r="184" spans="4:11" s="105" customFormat="1" x14ac:dyDescent="0.3">
      <c r="D184" s="106"/>
      <c r="E184" s="103"/>
      <c r="F184" s="103"/>
      <c r="G184" s="103"/>
      <c r="H184" s="103"/>
      <c r="I184" s="103"/>
      <c r="J184" s="103"/>
      <c r="K184" s="103"/>
    </row>
    <row r="185" spans="4:11" s="105" customFormat="1" x14ac:dyDescent="0.3">
      <c r="D185" s="106"/>
      <c r="E185" s="103"/>
      <c r="F185" s="103"/>
      <c r="G185" s="103"/>
      <c r="H185" s="103"/>
      <c r="I185" s="103"/>
      <c r="J185" s="103"/>
      <c r="K185" s="103"/>
    </row>
    <row r="186" spans="4:11" s="105" customFormat="1" x14ac:dyDescent="0.3">
      <c r="D186" s="106"/>
      <c r="E186" s="103"/>
      <c r="F186" s="103"/>
      <c r="G186" s="103"/>
      <c r="H186" s="103"/>
      <c r="I186" s="103"/>
      <c r="J186" s="103"/>
      <c r="K186" s="103"/>
    </row>
    <row r="187" spans="4:11" s="105" customFormat="1" x14ac:dyDescent="0.3">
      <c r="D187" s="106"/>
      <c r="E187" s="103"/>
      <c r="F187" s="103"/>
      <c r="G187" s="103"/>
      <c r="H187" s="103"/>
      <c r="I187" s="103"/>
      <c r="J187" s="103"/>
      <c r="K187" s="103"/>
    </row>
    <row r="188" spans="4:11" s="105" customFormat="1" x14ac:dyDescent="0.3">
      <c r="D188" s="106"/>
      <c r="E188" s="103"/>
      <c r="F188" s="103"/>
      <c r="G188" s="103"/>
      <c r="H188" s="103"/>
      <c r="I188" s="103"/>
      <c r="J188" s="103"/>
      <c r="K188" s="103"/>
    </row>
    <row r="189" spans="4:11" s="105" customFormat="1" x14ac:dyDescent="0.3">
      <c r="D189" s="106"/>
      <c r="E189" s="103"/>
      <c r="F189" s="103"/>
      <c r="G189" s="103"/>
      <c r="H189" s="103"/>
      <c r="I189" s="103"/>
      <c r="J189" s="103"/>
      <c r="K189" s="103"/>
    </row>
    <row r="190" spans="4:11" s="105" customFormat="1" x14ac:dyDescent="0.3">
      <c r="D190" s="106"/>
      <c r="E190" s="103"/>
      <c r="F190" s="103"/>
      <c r="G190" s="103"/>
      <c r="H190" s="103"/>
      <c r="I190" s="103"/>
      <c r="J190" s="103"/>
      <c r="K190" s="103"/>
    </row>
    <row r="191" spans="4:11" s="105" customFormat="1" x14ac:dyDescent="0.3">
      <c r="D191" s="106"/>
      <c r="E191" s="103"/>
      <c r="F191" s="103"/>
      <c r="G191" s="103"/>
      <c r="H191" s="103"/>
      <c r="I191" s="103"/>
      <c r="J191" s="103"/>
      <c r="K191" s="103"/>
    </row>
    <row r="192" spans="4:11" s="105" customFormat="1" x14ac:dyDescent="0.3">
      <c r="D192" s="106"/>
      <c r="E192" s="103"/>
      <c r="F192" s="103"/>
      <c r="G192" s="103"/>
      <c r="H192" s="103"/>
      <c r="I192" s="103"/>
      <c r="J192" s="103"/>
      <c r="K192" s="103"/>
    </row>
    <row r="193" spans="4:11" s="105" customFormat="1" x14ac:dyDescent="0.3">
      <c r="D193" s="106"/>
      <c r="E193" s="103"/>
      <c r="F193" s="103"/>
      <c r="G193" s="103"/>
      <c r="H193" s="103"/>
      <c r="I193" s="103"/>
      <c r="J193" s="103"/>
      <c r="K193" s="103"/>
    </row>
    <row r="194" spans="4:11" s="105" customFormat="1" x14ac:dyDescent="0.3">
      <c r="D194" s="106"/>
      <c r="E194" s="103"/>
      <c r="F194" s="103"/>
      <c r="G194" s="103"/>
      <c r="H194" s="103"/>
      <c r="I194" s="103"/>
      <c r="J194" s="103"/>
      <c r="K194" s="103"/>
    </row>
    <row r="195" spans="4:11" s="105" customFormat="1" x14ac:dyDescent="0.3">
      <c r="D195" s="106"/>
      <c r="E195" s="103"/>
      <c r="F195" s="103"/>
      <c r="G195" s="103"/>
      <c r="H195" s="103"/>
      <c r="I195" s="103"/>
      <c r="J195" s="103"/>
      <c r="K195" s="103"/>
    </row>
    <row r="196" spans="4:11" s="105" customFormat="1" x14ac:dyDescent="0.3">
      <c r="D196" s="106"/>
      <c r="E196" s="103"/>
      <c r="F196" s="103"/>
      <c r="G196" s="103"/>
      <c r="H196" s="103"/>
      <c r="I196" s="103"/>
      <c r="J196" s="103"/>
      <c r="K196" s="103"/>
    </row>
    <row r="197" spans="4:11" s="105" customFormat="1" x14ac:dyDescent="0.3">
      <c r="D197" s="106"/>
      <c r="E197" s="103"/>
      <c r="F197" s="103"/>
      <c r="G197" s="103"/>
      <c r="H197" s="103"/>
      <c r="I197" s="103"/>
      <c r="J197" s="103"/>
      <c r="K197" s="103"/>
    </row>
    <row r="198" spans="4:11" s="105" customFormat="1" x14ac:dyDescent="0.3">
      <c r="D198" s="106"/>
      <c r="E198" s="103"/>
      <c r="F198" s="103"/>
      <c r="G198" s="103"/>
      <c r="H198" s="103"/>
      <c r="I198" s="103"/>
      <c r="J198" s="103"/>
      <c r="K198" s="103"/>
    </row>
    <row r="199" spans="4:11" s="105" customFormat="1" x14ac:dyDescent="0.3">
      <c r="D199" s="106"/>
      <c r="E199" s="103"/>
      <c r="F199" s="103"/>
      <c r="G199" s="103"/>
      <c r="H199" s="103"/>
      <c r="I199" s="103"/>
      <c r="J199" s="103"/>
      <c r="K199" s="103"/>
    </row>
    <row r="200" spans="4:11" s="105" customFormat="1" x14ac:dyDescent="0.3">
      <c r="D200" s="106"/>
      <c r="E200" s="103"/>
      <c r="F200" s="103"/>
      <c r="G200" s="103"/>
      <c r="H200" s="103"/>
      <c r="I200" s="103"/>
      <c r="J200" s="103"/>
      <c r="K200" s="103"/>
    </row>
    <row r="201" spans="4:11" s="105" customFormat="1" x14ac:dyDescent="0.3">
      <c r="D201" s="106"/>
      <c r="E201" s="103"/>
      <c r="F201" s="103"/>
      <c r="G201" s="103"/>
      <c r="H201" s="103"/>
      <c r="I201" s="103"/>
      <c r="J201" s="103"/>
      <c r="K201" s="103"/>
    </row>
    <row r="202" spans="4:11" s="105" customFormat="1" x14ac:dyDescent="0.3">
      <c r="D202" s="106"/>
      <c r="E202" s="103"/>
      <c r="F202" s="103"/>
      <c r="G202" s="103"/>
      <c r="H202" s="103"/>
      <c r="I202" s="103"/>
      <c r="J202" s="103"/>
      <c r="K202" s="103"/>
    </row>
    <row r="203" spans="4:11" s="105" customFormat="1" x14ac:dyDescent="0.3">
      <c r="D203" s="106"/>
      <c r="E203" s="103"/>
      <c r="F203" s="103"/>
      <c r="G203" s="103"/>
      <c r="H203" s="103"/>
      <c r="I203" s="103"/>
      <c r="J203" s="103"/>
      <c r="K203" s="103"/>
    </row>
    <row r="204" spans="4:11" s="105" customFormat="1" x14ac:dyDescent="0.3">
      <c r="D204" s="106"/>
      <c r="E204" s="103"/>
      <c r="F204" s="103"/>
      <c r="G204" s="103"/>
      <c r="H204" s="103"/>
      <c r="I204" s="103"/>
      <c r="J204" s="103"/>
      <c r="K204" s="103"/>
    </row>
    <row r="205" spans="4:11" s="105" customFormat="1" x14ac:dyDescent="0.3">
      <c r="D205" s="106"/>
      <c r="E205" s="103"/>
      <c r="F205" s="103"/>
      <c r="G205" s="103"/>
      <c r="H205" s="103"/>
      <c r="I205" s="103"/>
      <c r="J205" s="103"/>
      <c r="K205" s="103"/>
    </row>
    <row r="206" spans="4:11" s="105" customFormat="1" x14ac:dyDescent="0.3">
      <c r="D206" s="106"/>
      <c r="E206" s="103"/>
      <c r="F206" s="103"/>
      <c r="G206" s="103"/>
      <c r="H206" s="103"/>
      <c r="I206" s="103"/>
      <c r="J206" s="103"/>
      <c r="K206" s="103"/>
    </row>
    <row r="207" spans="4:11" s="105" customFormat="1" x14ac:dyDescent="0.3">
      <c r="D207" s="106"/>
      <c r="E207" s="103"/>
      <c r="F207" s="103"/>
      <c r="G207" s="103"/>
      <c r="H207" s="103"/>
      <c r="I207" s="103"/>
      <c r="J207" s="103"/>
      <c r="K207" s="103"/>
    </row>
    <row r="208" spans="4:11" s="105" customFormat="1" x14ac:dyDescent="0.3">
      <c r="D208" s="106"/>
      <c r="E208" s="103"/>
      <c r="F208" s="103"/>
      <c r="G208" s="103"/>
      <c r="H208" s="103"/>
      <c r="I208" s="103"/>
      <c r="J208" s="103"/>
      <c r="K208" s="103"/>
    </row>
    <row r="209" spans="4:11" s="105" customFormat="1" x14ac:dyDescent="0.3">
      <c r="D209" s="106"/>
      <c r="E209" s="103"/>
      <c r="F209" s="103"/>
      <c r="G209" s="103"/>
      <c r="H209" s="103"/>
      <c r="I209" s="103"/>
      <c r="J209" s="103"/>
      <c r="K209" s="103"/>
    </row>
    <row r="210" spans="4:11" s="105" customFormat="1" x14ac:dyDescent="0.3">
      <c r="D210" s="106"/>
      <c r="E210" s="103"/>
      <c r="F210" s="103"/>
      <c r="G210" s="103"/>
      <c r="H210" s="103"/>
      <c r="I210" s="103"/>
      <c r="J210" s="103"/>
      <c r="K210" s="103"/>
    </row>
    <row r="211" spans="4:11" s="105" customFormat="1" x14ac:dyDescent="0.3">
      <c r="D211" s="106"/>
      <c r="E211" s="103"/>
      <c r="F211" s="103"/>
      <c r="G211" s="103"/>
      <c r="H211" s="103"/>
      <c r="I211" s="103"/>
      <c r="J211" s="103"/>
      <c r="K211" s="103"/>
    </row>
    <row r="212" spans="4:11" s="105" customFormat="1" x14ac:dyDescent="0.3">
      <c r="D212" s="106"/>
      <c r="E212" s="103"/>
      <c r="F212" s="103"/>
      <c r="G212" s="103"/>
      <c r="H212" s="103"/>
      <c r="I212" s="103"/>
      <c r="J212" s="103"/>
      <c r="K212" s="103"/>
    </row>
    <row r="213" spans="4:11" s="105" customFormat="1" x14ac:dyDescent="0.3">
      <c r="D213" s="106"/>
      <c r="E213" s="103"/>
      <c r="F213" s="103"/>
      <c r="G213" s="103"/>
      <c r="H213" s="103"/>
      <c r="I213" s="103"/>
      <c r="J213" s="103"/>
      <c r="K213" s="103"/>
    </row>
    <row r="214" spans="4:11" s="105" customFormat="1" x14ac:dyDescent="0.3">
      <c r="D214" s="106"/>
      <c r="E214" s="103"/>
      <c r="F214" s="103"/>
      <c r="G214" s="103"/>
      <c r="H214" s="103"/>
      <c r="I214" s="103"/>
      <c r="J214" s="103"/>
      <c r="K214" s="103"/>
    </row>
    <row r="215" spans="4:11" s="105" customFormat="1" x14ac:dyDescent="0.3">
      <c r="D215" s="106"/>
      <c r="E215" s="103"/>
      <c r="F215" s="103"/>
      <c r="G215" s="103"/>
      <c r="H215" s="103"/>
      <c r="I215" s="103"/>
      <c r="J215" s="103"/>
      <c r="K215" s="103"/>
    </row>
    <row r="216" spans="4:11" s="105" customFormat="1" x14ac:dyDescent="0.3">
      <c r="D216" s="106"/>
      <c r="E216" s="103"/>
      <c r="F216" s="103"/>
      <c r="G216" s="103"/>
      <c r="H216" s="103"/>
      <c r="I216" s="103"/>
      <c r="J216" s="103"/>
      <c r="K216" s="103"/>
    </row>
    <row r="217" spans="4:11" s="105" customFormat="1" x14ac:dyDescent="0.3">
      <c r="D217" s="106"/>
      <c r="E217" s="103"/>
      <c r="F217" s="103"/>
      <c r="G217" s="103"/>
      <c r="H217" s="103"/>
      <c r="I217" s="103"/>
      <c r="J217" s="103"/>
      <c r="K217" s="103"/>
    </row>
    <row r="218" spans="4:11" s="105" customFormat="1" x14ac:dyDescent="0.3">
      <c r="D218" s="106"/>
      <c r="E218" s="103"/>
      <c r="F218" s="103"/>
      <c r="G218" s="103"/>
      <c r="H218" s="103"/>
      <c r="I218" s="103"/>
      <c r="J218" s="103"/>
      <c r="K218" s="103"/>
    </row>
    <row r="219" spans="4:11" s="105" customFormat="1" x14ac:dyDescent="0.3">
      <c r="D219" s="106"/>
      <c r="E219" s="103"/>
      <c r="F219" s="103"/>
      <c r="G219" s="103"/>
      <c r="H219" s="103"/>
      <c r="I219" s="103"/>
      <c r="J219" s="103"/>
      <c r="K219" s="103"/>
    </row>
  </sheetData>
  <sortState ref="B2:J44">
    <sortCondition ref="B2"/>
  </sortState>
  <conditionalFormatting sqref="A1:M1048576">
    <cfRule type="expression" dxfId="180" priority="22">
      <formula>AND(($E1=0),NOT(ISBLANK($E1)))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E8C6A7F4-3D46-4D9E-86D0-C62A20C6F678}">
            <xm:f>$K1=FilterSpecs!$F$13</xm:f>
            <x14:dxf>
              <font>
                <b/>
                <i val="0"/>
                <color theme="0"/>
              </font>
              <fill>
                <patternFill>
                  <bgColor theme="9" tint="-0.499984740745262"/>
                </patternFill>
              </fill>
            </x14:dxf>
          </x14:cfRule>
          <x14:cfRule type="expression" priority="20" id="{99C4350B-9A00-4DE9-B55F-1278ED418BDE}">
            <xm:f>$K1=FilterSpecs!$F$12</xm:f>
            <x14:dxf>
              <font>
                <b/>
                <i val="0"/>
                <color theme="0"/>
              </font>
              <fill>
                <patternFill>
                  <bgColor rgb="FFFF4F4F"/>
                </patternFill>
              </fill>
            </x14:dxf>
          </x14:cfRule>
          <x14:cfRule type="expression" priority="21" id="{7B884D3F-E64D-4080-A80A-AD60AAE26651}">
            <xm:f>$K1=FilterSpecs!$F$9</xm:f>
            <x14:dxf>
              <font>
                <b/>
                <i val="0"/>
                <color theme="0"/>
              </font>
              <fill>
                <patternFill>
                  <bgColor rgb="FFFF0000"/>
                </patternFill>
              </fill>
            </x14:dxf>
          </x14:cfRule>
          <x14:cfRule type="expression" priority="34" id="{1A570783-C8E6-4D4F-A6AF-CD5259DBAD80}">
            <xm:f>$K1=FilterSpecs!$F$8</xm:f>
            <x14:dxf>
              <font>
                <b/>
                <i val="0"/>
                <color theme="0"/>
              </font>
              <fill>
                <patternFill>
                  <bgColor rgb="FF00B0F0"/>
                </patternFill>
              </fill>
            </x14:dxf>
          </x14:cfRule>
          <x14:cfRule type="expression" priority="35" id="{853F1B87-3686-4CC0-940C-E8B11F77F04B}">
            <xm:f>$K1=FilterSpecs!$F$10</xm:f>
            <x14:dxf>
              <font>
                <b/>
                <i val="0"/>
                <color theme="0"/>
              </font>
              <fill>
                <patternFill>
                  <bgColor rgb="FF002060"/>
                </patternFill>
              </fill>
            </x14:dxf>
          </x14:cfRule>
          <x14:cfRule type="expression" priority="36" id="{2EE931AB-F9D3-4BA8-8FDF-A92F2230E641}">
            <xm:f>$K1=FilterSpecs!$F$7</xm:f>
            <x14:dxf>
              <font>
                <b/>
                <i val="0"/>
                <color theme="0"/>
              </font>
              <fill>
                <patternFill>
                  <bgColor rgb="FFFFC000"/>
                </patternFill>
              </fill>
            </x14:dxf>
          </x14:cfRule>
          <xm:sqref>A1:M1048576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BC7F0-4A68-4A45-83A5-4E8D2E0AE91A}">
  <sheetPr codeName="Sheet16"/>
  <dimension ref="A1:XFD257"/>
  <sheetViews>
    <sheetView topLeftCell="D211" workbookViewId="0">
      <selection activeCell="L81" sqref="L81"/>
    </sheetView>
  </sheetViews>
  <sheetFormatPr defaultRowHeight="14.4" x14ac:dyDescent="0.3"/>
  <cols>
    <col min="1" max="1" width="41.44140625" style="107" customWidth="1"/>
    <col min="2" max="2" width="37.44140625" style="107" bestFit="1" customWidth="1"/>
    <col min="3" max="3" width="10.21875" style="107" bestFit="1" customWidth="1"/>
    <col min="4" max="4" width="10.88671875" style="107" bestFit="1" customWidth="1"/>
    <col min="5" max="5" width="8.33203125" style="111" bestFit="1" customWidth="1"/>
    <col min="6" max="6" width="2.33203125" style="105" hidden="1" customWidth="1"/>
    <col min="7" max="7" width="0.77734375" style="105" hidden="1" customWidth="1"/>
    <col min="8" max="8" width="79.109375" style="107" bestFit="1" customWidth="1"/>
    <col min="9" max="9" width="8.88671875" style="105" hidden="1" customWidth="1"/>
    <col min="10" max="10" width="12" style="111" bestFit="1" customWidth="1"/>
    <col min="11" max="11" width="4" style="107" bestFit="1" customWidth="1"/>
    <col min="12" max="12" width="42.109375" style="105" customWidth="1"/>
    <col min="13" max="16384" width="8.88671875" style="105"/>
  </cols>
  <sheetData>
    <row r="1" spans="1:16384" s="77" customFormat="1" ht="15.6" thickTop="1" thickBot="1" x14ac:dyDescent="0.35">
      <c r="A1" s="84" t="s">
        <v>893</v>
      </c>
      <c r="B1" s="84" t="s">
        <v>163</v>
      </c>
      <c r="C1" s="84" t="s">
        <v>7</v>
      </c>
      <c r="D1" s="84" t="s">
        <v>25</v>
      </c>
      <c r="E1" s="87" t="s">
        <v>26</v>
      </c>
      <c r="F1" s="77" t="s">
        <v>27</v>
      </c>
      <c r="G1" s="77" t="s">
        <v>28</v>
      </c>
      <c r="H1" s="84" t="s">
        <v>29</v>
      </c>
      <c r="I1" s="77" t="s">
        <v>30</v>
      </c>
      <c r="J1" s="87" t="s">
        <v>31</v>
      </c>
      <c r="K1" s="84" t="s">
        <v>1918</v>
      </c>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ht="15" thickTop="1" x14ac:dyDescent="0.3">
      <c r="A2" s="107" t="s">
        <v>897</v>
      </c>
      <c r="B2" s="107" t="s">
        <v>891</v>
      </c>
      <c r="C2" s="107" t="s">
        <v>8</v>
      </c>
      <c r="D2" s="106" t="s">
        <v>1295</v>
      </c>
      <c r="E2" s="104">
        <f>SUM(E3:E7)</f>
        <v>4</v>
      </c>
      <c r="F2" s="103" t="s">
        <v>1296</v>
      </c>
      <c r="G2" s="103" t="s">
        <v>1297</v>
      </c>
      <c r="H2" s="106" t="s">
        <v>1298</v>
      </c>
      <c r="I2" s="103">
        <v>1</v>
      </c>
      <c r="J2" s="104">
        <v>1.5</v>
      </c>
      <c r="K2" s="106" t="s">
        <v>1911</v>
      </c>
      <c r="L2" s="103"/>
      <c r="M2" s="105">
        <f t="shared" ref="M2:M7" si="0">E2*J2</f>
        <v>6</v>
      </c>
    </row>
    <row r="3" spans="1:16384" x14ac:dyDescent="0.3">
      <c r="A3" s="107" t="s">
        <v>897</v>
      </c>
      <c r="B3" s="107" t="s">
        <v>891</v>
      </c>
      <c r="C3" s="107" t="s">
        <v>8</v>
      </c>
      <c r="D3" s="106" t="s">
        <v>603</v>
      </c>
      <c r="E3" s="104">
        <v>1</v>
      </c>
      <c r="F3" s="103" t="s">
        <v>604</v>
      </c>
      <c r="G3" s="103" t="s">
        <v>605</v>
      </c>
      <c r="H3" s="106" t="s">
        <v>606</v>
      </c>
      <c r="I3" s="103"/>
      <c r="J3" s="104">
        <v>1.95</v>
      </c>
      <c r="K3" s="106" t="s">
        <v>1910</v>
      </c>
      <c r="L3" s="103"/>
      <c r="M3" s="105">
        <f t="shared" si="0"/>
        <v>1.95</v>
      </c>
    </row>
    <row r="4" spans="1:16384" x14ac:dyDescent="0.3">
      <c r="A4" s="107" t="s">
        <v>897</v>
      </c>
      <c r="B4" s="107" t="s">
        <v>891</v>
      </c>
      <c r="C4" s="107" t="s">
        <v>8</v>
      </c>
      <c r="D4" s="106" t="s">
        <v>607</v>
      </c>
      <c r="E4" s="104">
        <v>1</v>
      </c>
      <c r="F4" s="103" t="s">
        <v>608</v>
      </c>
      <c r="G4" s="103" t="s">
        <v>609</v>
      </c>
      <c r="H4" s="106" t="s">
        <v>610</v>
      </c>
      <c r="I4" s="103"/>
      <c r="J4" s="104">
        <v>1.95</v>
      </c>
      <c r="K4" s="106" t="s">
        <v>1910</v>
      </c>
      <c r="L4" s="103"/>
      <c r="M4" s="105">
        <f t="shared" si="0"/>
        <v>1.95</v>
      </c>
    </row>
    <row r="5" spans="1:16384" x14ac:dyDescent="0.3">
      <c r="A5" s="107" t="s">
        <v>897</v>
      </c>
      <c r="B5" s="107" t="s">
        <v>891</v>
      </c>
      <c r="C5" s="107" t="s">
        <v>8</v>
      </c>
      <c r="D5" s="106" t="s">
        <v>1293</v>
      </c>
      <c r="E5" s="104">
        <v>1</v>
      </c>
      <c r="F5" s="103" t="s">
        <v>1299</v>
      </c>
      <c r="G5" s="103" t="s">
        <v>1300</v>
      </c>
      <c r="H5" s="106" t="s">
        <v>1294</v>
      </c>
      <c r="I5" s="103"/>
      <c r="J5" s="104">
        <v>1.95</v>
      </c>
      <c r="K5" s="106" t="s">
        <v>1910</v>
      </c>
      <c r="L5" s="103"/>
      <c r="M5" s="105">
        <f t="shared" si="0"/>
        <v>1.95</v>
      </c>
    </row>
    <row r="6" spans="1:16384" x14ac:dyDescent="0.3">
      <c r="A6" s="107" t="s">
        <v>897</v>
      </c>
      <c r="B6" s="107" t="s">
        <v>891</v>
      </c>
      <c r="C6" s="107" t="s">
        <v>8</v>
      </c>
      <c r="D6" s="106" t="s">
        <v>1709</v>
      </c>
      <c r="E6" s="104">
        <v>0</v>
      </c>
      <c r="F6" s="103" t="s">
        <v>1710</v>
      </c>
      <c r="G6" s="103" t="s">
        <v>1711</v>
      </c>
      <c r="H6" s="106" t="s">
        <v>1712</v>
      </c>
      <c r="I6" s="103"/>
      <c r="J6" s="104">
        <v>1.95</v>
      </c>
      <c r="K6" s="106" t="s">
        <v>1910</v>
      </c>
      <c r="L6" s="103"/>
      <c r="M6" s="105">
        <f t="shared" si="0"/>
        <v>0</v>
      </c>
    </row>
    <row r="7" spans="1:16384" x14ac:dyDescent="0.3">
      <c r="A7" s="107" t="s">
        <v>897</v>
      </c>
      <c r="B7" s="107" t="s">
        <v>891</v>
      </c>
      <c r="C7" s="107" t="s">
        <v>8</v>
      </c>
      <c r="D7" s="106" t="s">
        <v>1713</v>
      </c>
      <c r="E7" s="104">
        <v>1</v>
      </c>
      <c r="F7" s="103" t="s">
        <v>1714</v>
      </c>
      <c r="G7" s="103" t="s">
        <v>1715</v>
      </c>
      <c r="H7" s="106" t="s">
        <v>1716</v>
      </c>
      <c r="I7" s="103"/>
      <c r="J7" s="104">
        <v>1.95</v>
      </c>
      <c r="K7" s="106" t="s">
        <v>1910</v>
      </c>
      <c r="L7" s="103"/>
      <c r="M7" s="105">
        <f t="shared" si="0"/>
        <v>1.95</v>
      </c>
    </row>
    <row r="8" spans="1:16384" x14ac:dyDescent="0.3">
      <c r="A8" s="106" t="s">
        <v>897</v>
      </c>
      <c r="B8" s="106" t="s">
        <v>891</v>
      </c>
      <c r="C8" s="106" t="s">
        <v>1898</v>
      </c>
      <c r="D8" s="106" t="s">
        <v>2136</v>
      </c>
      <c r="E8" s="104">
        <v>0</v>
      </c>
      <c r="F8" s="103"/>
      <c r="G8" s="103"/>
      <c r="H8" s="107" t="s">
        <v>2137</v>
      </c>
      <c r="J8" s="111">
        <v>2.5</v>
      </c>
      <c r="K8" s="107" t="s">
        <v>1910</v>
      </c>
    </row>
    <row r="9" spans="1:16384" x14ac:dyDescent="0.3">
      <c r="A9" s="107" t="s">
        <v>897</v>
      </c>
      <c r="B9" s="107" t="s">
        <v>891</v>
      </c>
      <c r="C9" s="107" t="s">
        <v>8</v>
      </c>
      <c r="D9" s="106" t="s">
        <v>615</v>
      </c>
      <c r="E9" s="104">
        <v>2</v>
      </c>
      <c r="F9" s="103" t="s">
        <v>616</v>
      </c>
      <c r="G9" s="103" t="s">
        <v>617</v>
      </c>
      <c r="H9" s="106" t="s">
        <v>618</v>
      </c>
      <c r="I9" s="103">
        <v>1</v>
      </c>
      <c r="J9" s="104">
        <v>0.35</v>
      </c>
      <c r="K9" s="106" t="s">
        <v>1910</v>
      </c>
      <c r="L9" s="103"/>
      <c r="M9" s="105">
        <f>E9*J9</f>
        <v>0.7</v>
      </c>
    </row>
    <row r="10" spans="1:16384" x14ac:dyDescent="0.3">
      <c r="A10" s="107" t="s">
        <v>897</v>
      </c>
      <c r="B10" s="107" t="s">
        <v>891</v>
      </c>
      <c r="C10" s="107" t="s">
        <v>8</v>
      </c>
      <c r="D10" s="106" t="s">
        <v>627</v>
      </c>
      <c r="E10" s="104">
        <v>2</v>
      </c>
      <c r="F10" s="103" t="s">
        <v>628</v>
      </c>
      <c r="G10" s="103" t="s">
        <v>629</v>
      </c>
      <c r="H10" s="106" t="s">
        <v>630</v>
      </c>
      <c r="I10" s="103">
        <v>1</v>
      </c>
      <c r="J10" s="104">
        <v>0.5</v>
      </c>
      <c r="K10" s="106" t="s">
        <v>1910</v>
      </c>
      <c r="L10" s="103"/>
      <c r="M10" s="105">
        <f>E10*J10</f>
        <v>1</v>
      </c>
    </row>
    <row r="11" spans="1:16384" x14ac:dyDescent="0.3">
      <c r="A11" s="107" t="s">
        <v>897</v>
      </c>
      <c r="B11" s="107" t="s">
        <v>891</v>
      </c>
      <c r="C11" s="107" t="s">
        <v>8</v>
      </c>
      <c r="D11" s="106" t="s">
        <v>623</v>
      </c>
      <c r="E11" s="104">
        <v>2</v>
      </c>
      <c r="F11" s="103" t="s">
        <v>624</v>
      </c>
      <c r="G11" s="103" t="s">
        <v>625</v>
      </c>
      <c r="H11" s="106" t="s">
        <v>626</v>
      </c>
      <c r="I11" s="103">
        <v>1</v>
      </c>
      <c r="J11" s="104">
        <v>0.5</v>
      </c>
      <c r="K11" s="106" t="s">
        <v>1910</v>
      </c>
      <c r="L11" s="103"/>
      <c r="M11" s="105">
        <f>E11*J11</f>
        <v>1</v>
      </c>
    </row>
    <row r="12" spans="1:16384" x14ac:dyDescent="0.3">
      <c r="A12" s="106" t="s">
        <v>897</v>
      </c>
      <c r="B12" s="106" t="s">
        <v>891</v>
      </c>
      <c r="C12" s="106" t="s">
        <v>1898</v>
      </c>
      <c r="D12" s="106" t="s">
        <v>2124</v>
      </c>
      <c r="E12" s="104">
        <v>0</v>
      </c>
      <c r="F12" s="103"/>
      <c r="G12" s="103"/>
      <c r="H12" s="107" t="s">
        <v>2125</v>
      </c>
      <c r="J12" s="111">
        <v>1.95</v>
      </c>
      <c r="K12" s="107" t="s">
        <v>1910</v>
      </c>
    </row>
    <row r="13" spans="1:16384" x14ac:dyDescent="0.3">
      <c r="A13" s="106" t="s">
        <v>897</v>
      </c>
      <c r="B13" s="106" t="s">
        <v>891</v>
      </c>
      <c r="C13" s="106" t="s">
        <v>1898</v>
      </c>
      <c r="D13" s="106" t="s">
        <v>2126</v>
      </c>
      <c r="E13" s="104">
        <v>0</v>
      </c>
      <c r="F13" s="103"/>
      <c r="G13" s="103"/>
      <c r="H13" s="107" t="s">
        <v>2127</v>
      </c>
      <c r="J13" s="111">
        <v>1.95</v>
      </c>
      <c r="K13" s="107" t="s">
        <v>1910</v>
      </c>
    </row>
    <row r="14" spans="1:16384" x14ac:dyDescent="0.3">
      <c r="A14" s="107" t="s">
        <v>897</v>
      </c>
      <c r="B14" s="107" t="s">
        <v>891</v>
      </c>
      <c r="C14" s="107" t="s">
        <v>8</v>
      </c>
      <c r="D14" s="106" t="s">
        <v>619</v>
      </c>
      <c r="E14" s="104">
        <v>4</v>
      </c>
      <c r="F14" s="103" t="s">
        <v>620</v>
      </c>
      <c r="G14" s="103" t="s">
        <v>621</v>
      </c>
      <c r="H14" s="106" t="s">
        <v>622</v>
      </c>
      <c r="I14" s="103">
        <v>1</v>
      </c>
      <c r="J14" s="104">
        <v>0.5</v>
      </c>
      <c r="K14" s="106" t="s">
        <v>1910</v>
      </c>
      <c r="L14" s="103"/>
      <c r="M14" s="105">
        <f t="shared" ref="M14:M22" si="1">E14*J14</f>
        <v>2</v>
      </c>
    </row>
    <row r="15" spans="1:16384" x14ac:dyDescent="0.3">
      <c r="A15" s="107" t="s">
        <v>897</v>
      </c>
      <c r="B15" s="107" t="s">
        <v>891</v>
      </c>
      <c r="C15" s="107" t="s">
        <v>8</v>
      </c>
      <c r="D15" s="106" t="s">
        <v>531</v>
      </c>
      <c r="E15" s="104">
        <v>7</v>
      </c>
      <c r="F15" s="103" t="s">
        <v>532</v>
      </c>
      <c r="G15" s="103" t="s">
        <v>533</v>
      </c>
      <c r="H15" s="106" t="s">
        <v>534</v>
      </c>
      <c r="I15" s="103">
        <v>1</v>
      </c>
      <c r="J15" s="104">
        <v>0.95</v>
      </c>
      <c r="K15" s="106" t="s">
        <v>1911</v>
      </c>
      <c r="L15" s="103"/>
      <c r="M15" s="105">
        <f t="shared" si="1"/>
        <v>6.6499999999999995</v>
      </c>
    </row>
    <row r="16" spans="1:16384" x14ac:dyDescent="0.3">
      <c r="A16" s="107" t="s">
        <v>897</v>
      </c>
      <c r="B16" s="107" t="s">
        <v>891</v>
      </c>
      <c r="C16" s="107" t="s">
        <v>8</v>
      </c>
      <c r="D16" s="106" t="s">
        <v>631</v>
      </c>
      <c r="E16" s="104">
        <v>2</v>
      </c>
      <c r="F16" s="103" t="s">
        <v>632</v>
      </c>
      <c r="G16" s="103" t="s">
        <v>633</v>
      </c>
      <c r="H16" s="106" t="s">
        <v>634</v>
      </c>
      <c r="I16" s="103">
        <v>1</v>
      </c>
      <c r="J16" s="104">
        <v>1.5</v>
      </c>
      <c r="K16" s="106" t="s">
        <v>1910</v>
      </c>
      <c r="L16" s="103"/>
      <c r="M16" s="105">
        <f t="shared" si="1"/>
        <v>3</v>
      </c>
    </row>
    <row r="17" spans="1:13" x14ac:dyDescent="0.3">
      <c r="A17" s="107" t="s">
        <v>897</v>
      </c>
      <c r="B17" s="107" t="s">
        <v>891</v>
      </c>
      <c r="C17" s="107" t="s">
        <v>8</v>
      </c>
      <c r="D17" s="106" t="s">
        <v>1334</v>
      </c>
      <c r="E17" s="104">
        <v>5</v>
      </c>
      <c r="F17" s="103" t="s">
        <v>1335</v>
      </c>
      <c r="G17" s="103" t="s">
        <v>1336</v>
      </c>
      <c r="H17" s="106" t="s">
        <v>1337</v>
      </c>
      <c r="I17" s="103">
        <v>1</v>
      </c>
      <c r="J17" s="104">
        <v>0.75</v>
      </c>
      <c r="K17" s="106" t="s">
        <v>1911</v>
      </c>
      <c r="L17" s="103"/>
      <c r="M17" s="105">
        <f t="shared" si="1"/>
        <v>3.75</v>
      </c>
    </row>
    <row r="18" spans="1:13" x14ac:dyDescent="0.3">
      <c r="A18" s="107" t="s">
        <v>897</v>
      </c>
      <c r="B18" s="107" t="s">
        <v>891</v>
      </c>
      <c r="C18" s="107" t="s">
        <v>8</v>
      </c>
      <c r="D18" s="106" t="s">
        <v>1677</v>
      </c>
      <c r="E18" s="104">
        <v>1</v>
      </c>
      <c r="F18" s="103" t="s">
        <v>1678</v>
      </c>
      <c r="G18" s="103" t="s">
        <v>1679</v>
      </c>
      <c r="H18" s="106" t="s">
        <v>1680</v>
      </c>
      <c r="I18" s="103">
        <v>1</v>
      </c>
      <c r="J18" s="104">
        <v>0.95</v>
      </c>
      <c r="K18" s="106" t="s">
        <v>1910</v>
      </c>
      <c r="L18" s="103"/>
      <c r="M18" s="105">
        <f t="shared" si="1"/>
        <v>0.95</v>
      </c>
    </row>
    <row r="19" spans="1:13" x14ac:dyDescent="0.3">
      <c r="A19" s="107" t="s">
        <v>897</v>
      </c>
      <c r="B19" s="107" t="s">
        <v>891</v>
      </c>
      <c r="C19" s="107" t="s">
        <v>8</v>
      </c>
      <c r="D19" s="106" t="s">
        <v>1693</v>
      </c>
      <c r="E19" s="104">
        <v>1</v>
      </c>
      <c r="F19" s="103" t="s">
        <v>1694</v>
      </c>
      <c r="G19" s="103" t="s">
        <v>1695</v>
      </c>
      <c r="H19" s="106" t="s">
        <v>1696</v>
      </c>
      <c r="I19" s="103">
        <v>1</v>
      </c>
      <c r="J19" s="104">
        <v>1.95</v>
      </c>
      <c r="K19" s="106" t="s">
        <v>1910</v>
      </c>
      <c r="L19" s="103"/>
      <c r="M19" s="105">
        <f t="shared" si="1"/>
        <v>1.95</v>
      </c>
    </row>
    <row r="20" spans="1:13" x14ac:dyDescent="0.3">
      <c r="A20" s="107" t="s">
        <v>897</v>
      </c>
      <c r="B20" s="107" t="s">
        <v>891</v>
      </c>
      <c r="C20" s="107" t="s">
        <v>8</v>
      </c>
      <c r="D20" s="106" t="s">
        <v>1689</v>
      </c>
      <c r="E20" s="104">
        <v>1</v>
      </c>
      <c r="F20" s="103" t="s">
        <v>1690</v>
      </c>
      <c r="G20" s="103" t="s">
        <v>1691</v>
      </c>
      <c r="H20" s="106" t="s">
        <v>1692</v>
      </c>
      <c r="I20" s="103">
        <v>1</v>
      </c>
      <c r="J20" s="104">
        <v>3.5</v>
      </c>
      <c r="K20" s="106" t="s">
        <v>1910</v>
      </c>
      <c r="L20" s="103"/>
      <c r="M20" s="105">
        <f t="shared" si="1"/>
        <v>3.5</v>
      </c>
    </row>
    <row r="21" spans="1:13" x14ac:dyDescent="0.3">
      <c r="A21" s="103" t="s">
        <v>897</v>
      </c>
      <c r="B21" s="103" t="s">
        <v>891</v>
      </c>
      <c r="C21" s="102" t="s">
        <v>8</v>
      </c>
      <c r="D21" s="106" t="s">
        <v>731</v>
      </c>
      <c r="E21" s="103">
        <v>3</v>
      </c>
      <c r="F21" s="103" t="s">
        <v>732</v>
      </c>
      <c r="G21" s="103" t="s">
        <v>733</v>
      </c>
      <c r="H21" s="103" t="s">
        <v>734</v>
      </c>
      <c r="I21" s="103"/>
      <c r="J21" s="103">
        <v>1.5</v>
      </c>
      <c r="K21" s="103" t="s">
        <v>1910</v>
      </c>
      <c r="M21" s="105">
        <f t="shared" si="1"/>
        <v>4.5</v>
      </c>
    </row>
    <row r="22" spans="1:13" x14ac:dyDescent="0.3">
      <c r="A22" s="103" t="s">
        <v>897</v>
      </c>
      <c r="B22" s="103" t="s">
        <v>891</v>
      </c>
      <c r="C22" s="102" t="s">
        <v>8</v>
      </c>
      <c r="D22" s="106" t="s">
        <v>1668</v>
      </c>
      <c r="E22" s="103">
        <v>0</v>
      </c>
      <c r="F22" s="103" t="s">
        <v>732</v>
      </c>
      <c r="G22" s="103" t="s">
        <v>733</v>
      </c>
      <c r="H22" s="103" t="s">
        <v>1667</v>
      </c>
      <c r="I22" s="103"/>
      <c r="J22" s="103">
        <v>1.5</v>
      </c>
      <c r="K22" s="103" t="s">
        <v>1910</v>
      </c>
      <c r="M22" s="105">
        <f t="shared" si="1"/>
        <v>0</v>
      </c>
    </row>
    <row r="23" spans="1:13" x14ac:dyDescent="0.3">
      <c r="A23" s="106" t="s">
        <v>897</v>
      </c>
      <c r="B23" s="106" t="s">
        <v>891</v>
      </c>
      <c r="C23" s="106" t="s">
        <v>1898</v>
      </c>
      <c r="D23" s="106" t="s">
        <v>2128</v>
      </c>
      <c r="E23" s="104">
        <v>0</v>
      </c>
      <c r="F23" s="103"/>
      <c r="G23" s="103"/>
      <c r="H23" s="107" t="s">
        <v>2129</v>
      </c>
      <c r="J23" s="111">
        <v>0.5</v>
      </c>
      <c r="K23" s="107" t="s">
        <v>1910</v>
      </c>
    </row>
    <row r="24" spans="1:13" x14ac:dyDescent="0.3">
      <c r="A24" s="106" t="s">
        <v>897</v>
      </c>
      <c r="B24" s="106" t="s">
        <v>891</v>
      </c>
      <c r="C24" s="106" t="s">
        <v>1898</v>
      </c>
      <c r="D24" s="106" t="s">
        <v>2130</v>
      </c>
      <c r="E24" s="104">
        <v>0</v>
      </c>
      <c r="F24" s="103"/>
      <c r="G24" s="103"/>
      <c r="H24" s="107" t="s">
        <v>2131</v>
      </c>
      <c r="J24" s="111">
        <v>0.95</v>
      </c>
      <c r="K24" s="107" t="s">
        <v>1910</v>
      </c>
    </row>
    <row r="25" spans="1:13" x14ac:dyDescent="0.3">
      <c r="A25" s="106" t="s">
        <v>897</v>
      </c>
      <c r="B25" s="106" t="s">
        <v>891</v>
      </c>
      <c r="C25" s="106" t="s">
        <v>1898</v>
      </c>
      <c r="D25" s="106" t="s">
        <v>2132</v>
      </c>
      <c r="E25" s="104">
        <v>0</v>
      </c>
      <c r="F25" s="103"/>
      <c r="G25" s="103"/>
      <c r="H25" s="107" t="s">
        <v>2133</v>
      </c>
      <c r="J25" s="111">
        <v>0.95</v>
      </c>
      <c r="K25" s="107" t="s">
        <v>1910</v>
      </c>
    </row>
    <row r="26" spans="1:13" x14ac:dyDescent="0.3">
      <c r="A26" s="106" t="s">
        <v>897</v>
      </c>
      <c r="B26" s="106" t="s">
        <v>891</v>
      </c>
      <c r="C26" s="106" t="s">
        <v>1898</v>
      </c>
      <c r="D26" s="106" t="s">
        <v>2134</v>
      </c>
      <c r="E26" s="104">
        <v>0</v>
      </c>
      <c r="F26" s="103"/>
      <c r="G26" s="103"/>
      <c r="H26" s="107" t="s">
        <v>2135</v>
      </c>
      <c r="J26" s="111">
        <v>3.95</v>
      </c>
      <c r="K26" s="107" t="s">
        <v>1910</v>
      </c>
    </row>
    <row r="27" spans="1:13" x14ac:dyDescent="0.3">
      <c r="A27" s="106" t="s">
        <v>897</v>
      </c>
      <c r="B27" s="106" t="s">
        <v>2027</v>
      </c>
      <c r="C27" s="106" t="s">
        <v>1898</v>
      </c>
      <c r="D27" s="106" t="s">
        <v>2138</v>
      </c>
      <c r="E27" s="104">
        <v>0</v>
      </c>
      <c r="F27" s="103"/>
      <c r="G27" s="103"/>
      <c r="H27" s="107" t="s">
        <v>2139</v>
      </c>
      <c r="J27" s="111">
        <v>1.95</v>
      </c>
      <c r="K27" s="107" t="s">
        <v>1910</v>
      </c>
    </row>
    <row r="28" spans="1:13" x14ac:dyDescent="0.3">
      <c r="A28" s="106" t="s">
        <v>897</v>
      </c>
      <c r="B28" s="106" t="s">
        <v>2027</v>
      </c>
      <c r="C28" s="106" t="s">
        <v>1898</v>
      </c>
      <c r="D28" s="106" t="s">
        <v>2140</v>
      </c>
      <c r="E28" s="104">
        <v>0</v>
      </c>
      <c r="F28" s="103"/>
      <c r="G28" s="103"/>
      <c r="H28" s="107" t="s">
        <v>2141</v>
      </c>
      <c r="J28" s="111">
        <v>2.25</v>
      </c>
      <c r="K28" s="107" t="s">
        <v>1910</v>
      </c>
    </row>
    <row r="29" spans="1:13" x14ac:dyDescent="0.3">
      <c r="A29" s="106" t="s">
        <v>897</v>
      </c>
      <c r="B29" s="106" t="s">
        <v>2027</v>
      </c>
      <c r="C29" s="106" t="s">
        <v>1898</v>
      </c>
      <c r="D29" s="106" t="s">
        <v>2142</v>
      </c>
      <c r="E29" s="104">
        <v>10</v>
      </c>
      <c r="F29" s="103"/>
      <c r="G29" s="103"/>
      <c r="H29" s="107" t="s">
        <v>2143</v>
      </c>
      <c r="J29" s="111">
        <v>0.95</v>
      </c>
      <c r="K29" s="107" t="s">
        <v>1910</v>
      </c>
    </row>
    <row r="30" spans="1:13" x14ac:dyDescent="0.3">
      <c r="A30" s="107" t="s">
        <v>897</v>
      </c>
      <c r="B30" s="107" t="s">
        <v>1884</v>
      </c>
      <c r="C30" s="107" t="s">
        <v>8</v>
      </c>
      <c r="D30" s="106" t="s">
        <v>445</v>
      </c>
      <c r="E30" s="104">
        <v>10</v>
      </c>
      <c r="F30" s="103" t="s">
        <v>446</v>
      </c>
      <c r="G30" s="103" t="s">
        <v>447</v>
      </c>
      <c r="H30" s="106" t="s">
        <v>448</v>
      </c>
      <c r="I30" s="103">
        <v>1</v>
      </c>
      <c r="J30" s="104">
        <v>0.95</v>
      </c>
      <c r="K30" s="106" t="s">
        <v>1911</v>
      </c>
      <c r="L30" s="103"/>
      <c r="M30" s="105">
        <f>E30*J30</f>
        <v>9.5</v>
      </c>
    </row>
    <row r="31" spans="1:13" x14ac:dyDescent="0.3">
      <c r="A31" s="107" t="s">
        <v>897</v>
      </c>
      <c r="B31" s="107" t="s">
        <v>1884</v>
      </c>
      <c r="C31" s="107" t="s">
        <v>8</v>
      </c>
      <c r="D31" s="106" t="s">
        <v>1855</v>
      </c>
      <c r="E31" s="104">
        <v>5</v>
      </c>
      <c r="F31" s="103" t="s">
        <v>1856</v>
      </c>
      <c r="G31" s="103" t="s">
        <v>1857</v>
      </c>
      <c r="H31" s="106" t="s">
        <v>1858</v>
      </c>
      <c r="I31" s="103">
        <v>1</v>
      </c>
      <c r="J31" s="104">
        <v>0.95</v>
      </c>
      <c r="K31" s="106" t="s">
        <v>1910</v>
      </c>
      <c r="L31" s="103"/>
      <c r="M31" s="105">
        <f>E31*J31</f>
        <v>4.75</v>
      </c>
    </row>
    <row r="32" spans="1:13" x14ac:dyDescent="0.3">
      <c r="A32" s="107" t="s">
        <v>897</v>
      </c>
      <c r="B32" s="107" t="s">
        <v>1884</v>
      </c>
      <c r="C32" s="107" t="s">
        <v>8</v>
      </c>
      <c r="D32" s="106" t="s">
        <v>1361</v>
      </c>
      <c r="E32" s="104">
        <v>0</v>
      </c>
      <c r="F32" s="103" t="s">
        <v>1362</v>
      </c>
      <c r="G32" s="103" t="s">
        <v>1363</v>
      </c>
      <c r="H32" s="106" t="s">
        <v>1364</v>
      </c>
      <c r="I32" s="103"/>
      <c r="J32" s="104">
        <v>0.5</v>
      </c>
      <c r="K32" s="106" t="s">
        <v>1913</v>
      </c>
      <c r="L32" s="103"/>
      <c r="M32" s="105">
        <f>E32*J32</f>
        <v>0</v>
      </c>
    </row>
    <row r="33" spans="1:13" x14ac:dyDescent="0.3">
      <c r="A33" s="107" t="s">
        <v>897</v>
      </c>
      <c r="B33" s="107" t="s">
        <v>1884</v>
      </c>
      <c r="C33" s="107" t="s">
        <v>8</v>
      </c>
      <c r="D33" s="106" t="s">
        <v>1759</v>
      </c>
      <c r="E33" s="104">
        <v>0</v>
      </c>
      <c r="F33" s="103" t="s">
        <v>1760</v>
      </c>
      <c r="G33" s="103" t="s">
        <v>1761</v>
      </c>
      <c r="H33" s="106" t="s">
        <v>1762</v>
      </c>
      <c r="I33" s="103">
        <v>1</v>
      </c>
      <c r="J33" s="104">
        <v>0.95</v>
      </c>
      <c r="K33" s="106" t="s">
        <v>1910</v>
      </c>
      <c r="L33" s="103"/>
      <c r="M33" s="105">
        <f>E33*J33</f>
        <v>0</v>
      </c>
    </row>
    <row r="34" spans="1:13" x14ac:dyDescent="0.3">
      <c r="A34" s="107" t="s">
        <v>897</v>
      </c>
      <c r="B34" s="107" t="s">
        <v>1884</v>
      </c>
      <c r="C34" s="107" t="s">
        <v>8</v>
      </c>
      <c r="D34" s="106" t="s">
        <v>1763</v>
      </c>
      <c r="E34" s="104">
        <v>0</v>
      </c>
      <c r="F34" s="103" t="s">
        <v>1764</v>
      </c>
      <c r="G34" s="103" t="s">
        <v>1765</v>
      </c>
      <c r="H34" s="106" t="s">
        <v>1766</v>
      </c>
      <c r="I34" s="103">
        <v>1</v>
      </c>
      <c r="J34" s="104">
        <v>0.95</v>
      </c>
      <c r="K34" s="106" t="s">
        <v>1910</v>
      </c>
      <c r="L34" s="103"/>
      <c r="M34" s="105">
        <f>E34*J34</f>
        <v>0</v>
      </c>
    </row>
    <row r="35" spans="1:13" x14ac:dyDescent="0.3">
      <c r="A35" s="106" t="s">
        <v>897</v>
      </c>
      <c r="B35" s="106" t="s">
        <v>1884</v>
      </c>
      <c r="C35" s="106" t="s">
        <v>1898</v>
      </c>
      <c r="D35" s="106" t="s">
        <v>2144</v>
      </c>
      <c r="E35" s="104">
        <v>0</v>
      </c>
      <c r="F35" s="103"/>
      <c r="G35" s="103"/>
      <c r="H35" s="107" t="s">
        <v>2145</v>
      </c>
      <c r="J35" s="111">
        <v>1.5</v>
      </c>
      <c r="K35" s="107" t="s">
        <v>1910</v>
      </c>
    </row>
    <row r="36" spans="1:13" x14ac:dyDescent="0.3">
      <c r="A36" s="106" t="s">
        <v>897</v>
      </c>
      <c r="B36" s="106" t="s">
        <v>1884</v>
      </c>
      <c r="C36" s="106" t="s">
        <v>1898</v>
      </c>
      <c r="D36" s="106" t="s">
        <v>2146</v>
      </c>
      <c r="E36" s="104">
        <v>0</v>
      </c>
      <c r="F36" s="103"/>
      <c r="G36" s="103"/>
      <c r="H36" s="107" t="s">
        <v>2147</v>
      </c>
      <c r="J36" s="111">
        <v>0.75</v>
      </c>
      <c r="K36" s="107" t="s">
        <v>1910</v>
      </c>
    </row>
    <row r="37" spans="1:13" x14ac:dyDescent="0.3">
      <c r="A37" s="106" t="s">
        <v>897</v>
      </c>
      <c r="B37" s="106" t="s">
        <v>1884</v>
      </c>
      <c r="C37" s="106" t="s">
        <v>1898</v>
      </c>
      <c r="D37" s="106" t="s">
        <v>2148</v>
      </c>
      <c r="E37" s="104">
        <v>0</v>
      </c>
      <c r="F37" s="103"/>
      <c r="G37" s="103"/>
      <c r="H37" s="107" t="s">
        <v>2149</v>
      </c>
      <c r="J37" s="111">
        <v>2.5</v>
      </c>
      <c r="K37" s="107" t="s">
        <v>1910</v>
      </c>
    </row>
    <row r="38" spans="1:13" x14ac:dyDescent="0.3">
      <c r="A38" s="107" t="s">
        <v>897</v>
      </c>
      <c r="B38" s="107" t="s">
        <v>1886</v>
      </c>
      <c r="C38" s="107" t="s">
        <v>8</v>
      </c>
      <c r="D38" s="106" t="s">
        <v>1365</v>
      </c>
      <c r="E38" s="104">
        <v>0</v>
      </c>
      <c r="F38" s="103" t="s">
        <v>1366</v>
      </c>
      <c r="G38" s="103" t="s">
        <v>1367</v>
      </c>
      <c r="H38" s="106" t="s">
        <v>1368</v>
      </c>
      <c r="I38" s="103">
        <v>1</v>
      </c>
      <c r="J38" s="104">
        <v>0.45</v>
      </c>
      <c r="K38" s="106" t="s">
        <v>1910</v>
      </c>
      <c r="L38" s="103"/>
      <c r="M38" s="105">
        <f t="shared" ref="M38:M43" si="2">E38*J38</f>
        <v>0</v>
      </c>
    </row>
    <row r="39" spans="1:13" x14ac:dyDescent="0.3">
      <c r="A39" s="107" t="s">
        <v>897</v>
      </c>
      <c r="B39" s="107" t="s">
        <v>1886</v>
      </c>
      <c r="C39" s="107" t="s">
        <v>8</v>
      </c>
      <c r="D39" s="106" t="s">
        <v>1373</v>
      </c>
      <c r="E39" s="104">
        <v>0</v>
      </c>
      <c r="F39" s="103" t="s">
        <v>1374</v>
      </c>
      <c r="G39" s="103" t="s">
        <v>1375</v>
      </c>
      <c r="H39" s="106" t="s">
        <v>1376</v>
      </c>
      <c r="I39" s="103">
        <v>1</v>
      </c>
      <c r="J39" s="104">
        <v>0.45</v>
      </c>
      <c r="K39" s="106" t="s">
        <v>1910</v>
      </c>
      <c r="L39" s="103"/>
      <c r="M39" s="105">
        <f t="shared" si="2"/>
        <v>0</v>
      </c>
    </row>
    <row r="40" spans="1:13" x14ac:dyDescent="0.3">
      <c r="A40" s="107" t="s">
        <v>897</v>
      </c>
      <c r="B40" s="107" t="s">
        <v>1886</v>
      </c>
      <c r="C40" s="107" t="s">
        <v>8</v>
      </c>
      <c r="D40" s="106" t="s">
        <v>1381</v>
      </c>
      <c r="E40" s="104">
        <v>6</v>
      </c>
      <c r="F40" s="103" t="s">
        <v>1382</v>
      </c>
      <c r="G40" s="103" t="s">
        <v>1383</v>
      </c>
      <c r="H40" s="106" t="s">
        <v>1384</v>
      </c>
      <c r="I40" s="103">
        <v>1</v>
      </c>
      <c r="J40" s="104">
        <v>0.45</v>
      </c>
      <c r="K40" s="106" t="s">
        <v>1910</v>
      </c>
      <c r="L40" s="103"/>
      <c r="M40" s="105">
        <f t="shared" si="2"/>
        <v>2.7</v>
      </c>
    </row>
    <row r="41" spans="1:13" x14ac:dyDescent="0.3">
      <c r="A41" s="107" t="s">
        <v>897</v>
      </c>
      <c r="B41" s="107" t="s">
        <v>1886</v>
      </c>
      <c r="C41" s="107" t="s">
        <v>8</v>
      </c>
      <c r="D41" s="106" t="s">
        <v>1385</v>
      </c>
      <c r="E41" s="104">
        <v>6</v>
      </c>
      <c r="F41" s="103" t="s">
        <v>1386</v>
      </c>
      <c r="G41" s="103" t="s">
        <v>1387</v>
      </c>
      <c r="H41" s="106" t="s">
        <v>1388</v>
      </c>
      <c r="I41" s="103">
        <v>1</v>
      </c>
      <c r="J41" s="104">
        <v>0.45</v>
      </c>
      <c r="K41" s="106" t="s">
        <v>1910</v>
      </c>
      <c r="L41" s="103"/>
      <c r="M41" s="105">
        <f t="shared" si="2"/>
        <v>2.7</v>
      </c>
    </row>
    <row r="42" spans="1:13" x14ac:dyDescent="0.3">
      <c r="A42" s="107" t="s">
        <v>897</v>
      </c>
      <c r="B42" s="107" t="s">
        <v>1886</v>
      </c>
      <c r="C42" s="107" t="s">
        <v>8</v>
      </c>
      <c r="D42" s="106" t="s">
        <v>1369</v>
      </c>
      <c r="E42" s="104">
        <v>6</v>
      </c>
      <c r="F42" s="103" t="s">
        <v>1370</v>
      </c>
      <c r="G42" s="103" t="s">
        <v>1371</v>
      </c>
      <c r="H42" s="106" t="s">
        <v>1372</v>
      </c>
      <c r="I42" s="103">
        <v>1</v>
      </c>
      <c r="J42" s="104">
        <v>0.45</v>
      </c>
      <c r="K42" s="106" t="s">
        <v>1910</v>
      </c>
      <c r="L42" s="103"/>
      <c r="M42" s="105">
        <f t="shared" si="2"/>
        <v>2.7</v>
      </c>
    </row>
    <row r="43" spans="1:13" x14ac:dyDescent="0.3">
      <c r="A43" s="107" t="s">
        <v>897</v>
      </c>
      <c r="B43" s="107" t="s">
        <v>1886</v>
      </c>
      <c r="C43" s="107" t="s">
        <v>8</v>
      </c>
      <c r="D43" s="106" t="s">
        <v>1357</v>
      </c>
      <c r="E43" s="104">
        <v>6</v>
      </c>
      <c r="F43" s="103" t="s">
        <v>1358</v>
      </c>
      <c r="G43" s="103" t="s">
        <v>1359</v>
      </c>
      <c r="H43" s="106" t="s">
        <v>1360</v>
      </c>
      <c r="I43" s="103">
        <v>1</v>
      </c>
      <c r="J43" s="104">
        <v>0.45</v>
      </c>
      <c r="K43" s="106" t="s">
        <v>1910</v>
      </c>
      <c r="L43" s="103"/>
      <c r="M43" s="105">
        <f t="shared" si="2"/>
        <v>2.7</v>
      </c>
    </row>
    <row r="44" spans="1:13" x14ac:dyDescent="0.3">
      <c r="A44" s="107" t="s">
        <v>897</v>
      </c>
      <c r="B44" s="107" t="s">
        <v>1886</v>
      </c>
      <c r="C44" s="107" t="s">
        <v>8</v>
      </c>
      <c r="D44" s="106" t="s">
        <v>2426</v>
      </c>
      <c r="E44" s="104">
        <v>6</v>
      </c>
      <c r="F44" s="103" t="s">
        <v>2427</v>
      </c>
      <c r="G44" s="103" t="s">
        <v>2428</v>
      </c>
      <c r="H44" s="106" t="s">
        <v>2429</v>
      </c>
      <c r="I44" s="103">
        <v>1</v>
      </c>
      <c r="J44" s="104">
        <v>1.95</v>
      </c>
      <c r="K44" s="107" t="s">
        <v>1910</v>
      </c>
    </row>
    <row r="45" spans="1:13" x14ac:dyDescent="0.3">
      <c r="A45" s="107" t="s">
        <v>897</v>
      </c>
      <c r="B45" s="107" t="s">
        <v>1885</v>
      </c>
      <c r="C45" s="107" t="s">
        <v>8</v>
      </c>
      <c r="D45" s="106" t="s">
        <v>1587</v>
      </c>
      <c r="E45" s="104">
        <v>10</v>
      </c>
      <c r="F45" s="103" t="s">
        <v>1588</v>
      </c>
      <c r="G45" s="103" t="s">
        <v>1589</v>
      </c>
      <c r="H45" s="106" t="s">
        <v>1590</v>
      </c>
      <c r="I45" s="103">
        <v>1</v>
      </c>
      <c r="J45" s="104">
        <v>0.35</v>
      </c>
      <c r="K45" s="106" t="s">
        <v>1910</v>
      </c>
      <c r="L45" s="103"/>
      <c r="M45" s="105">
        <f t="shared" ref="M45:M60" si="3">E45*J45</f>
        <v>3.5</v>
      </c>
    </row>
    <row r="46" spans="1:13" x14ac:dyDescent="0.3">
      <c r="A46" s="107" t="s">
        <v>897</v>
      </c>
      <c r="B46" s="107" t="s">
        <v>1885</v>
      </c>
      <c r="C46" s="107" t="s">
        <v>8</v>
      </c>
      <c r="D46" s="106" t="s">
        <v>1583</v>
      </c>
      <c r="E46" s="104">
        <v>10</v>
      </c>
      <c r="F46" s="103" t="s">
        <v>1584</v>
      </c>
      <c r="G46" s="103" t="s">
        <v>1585</v>
      </c>
      <c r="H46" s="106" t="s">
        <v>1586</v>
      </c>
      <c r="I46" s="103">
        <v>1</v>
      </c>
      <c r="J46" s="104">
        <v>0.5</v>
      </c>
      <c r="K46" s="106" t="s">
        <v>1910</v>
      </c>
      <c r="L46" s="103"/>
      <c r="M46" s="105">
        <f t="shared" si="3"/>
        <v>5</v>
      </c>
    </row>
    <row r="47" spans="1:13" x14ac:dyDescent="0.3">
      <c r="A47" s="107" t="s">
        <v>897</v>
      </c>
      <c r="B47" s="107" t="s">
        <v>1888</v>
      </c>
      <c r="C47" s="107" t="s">
        <v>8</v>
      </c>
      <c r="D47" s="106" t="s">
        <v>457</v>
      </c>
      <c r="E47" s="104">
        <v>0</v>
      </c>
      <c r="F47" s="103" t="s">
        <v>458</v>
      </c>
      <c r="G47" s="103" t="s">
        <v>459</v>
      </c>
      <c r="H47" s="106" t="s">
        <v>460</v>
      </c>
      <c r="I47" s="103">
        <v>1</v>
      </c>
      <c r="J47" s="104">
        <v>0.75</v>
      </c>
      <c r="K47" s="106" t="s">
        <v>1910</v>
      </c>
      <c r="L47" s="103"/>
      <c r="M47" s="105">
        <f t="shared" si="3"/>
        <v>0</v>
      </c>
    </row>
    <row r="48" spans="1:13" x14ac:dyDescent="0.3">
      <c r="A48" s="107" t="s">
        <v>897</v>
      </c>
      <c r="B48" s="107" t="s">
        <v>1888</v>
      </c>
      <c r="C48" s="107" t="s">
        <v>8</v>
      </c>
      <c r="D48" s="106" t="s">
        <v>901</v>
      </c>
      <c r="E48" s="104">
        <v>10</v>
      </c>
      <c r="F48" s="103" t="s">
        <v>902</v>
      </c>
      <c r="G48" s="103" t="s">
        <v>903</v>
      </c>
      <c r="H48" s="106" t="s">
        <v>904</v>
      </c>
      <c r="I48" s="103">
        <v>1</v>
      </c>
      <c r="J48" s="104">
        <v>0.95</v>
      </c>
      <c r="K48" s="106" t="s">
        <v>1911</v>
      </c>
      <c r="L48" s="103"/>
      <c r="M48" s="105">
        <f t="shared" si="3"/>
        <v>9.5</v>
      </c>
    </row>
    <row r="49" spans="1:13" x14ac:dyDescent="0.3">
      <c r="A49" s="107" t="s">
        <v>897</v>
      </c>
      <c r="B49" s="107" t="s">
        <v>1888</v>
      </c>
      <c r="C49" s="107" t="s">
        <v>8</v>
      </c>
      <c r="D49" s="106" t="s">
        <v>1413</v>
      </c>
      <c r="E49" s="104">
        <v>10</v>
      </c>
      <c r="F49" s="103" t="s">
        <v>1414</v>
      </c>
      <c r="G49" s="103" t="s">
        <v>1415</v>
      </c>
      <c r="H49" s="106" t="s">
        <v>1416</v>
      </c>
      <c r="I49" s="103">
        <v>1</v>
      </c>
      <c r="J49" s="104">
        <v>0.95</v>
      </c>
      <c r="K49" s="106" t="s">
        <v>1911</v>
      </c>
      <c r="L49" s="103"/>
      <c r="M49" s="105">
        <f t="shared" si="3"/>
        <v>9.5</v>
      </c>
    </row>
    <row r="50" spans="1:13" x14ac:dyDescent="0.3">
      <c r="A50" s="107" t="s">
        <v>897</v>
      </c>
      <c r="B50" s="107" t="s">
        <v>1888</v>
      </c>
      <c r="C50" s="107" t="s">
        <v>8</v>
      </c>
      <c r="D50" s="106" t="s">
        <v>1377</v>
      </c>
      <c r="E50" s="104">
        <v>0</v>
      </c>
      <c r="F50" s="103" t="s">
        <v>1378</v>
      </c>
      <c r="G50" s="103" t="s">
        <v>1379</v>
      </c>
      <c r="H50" s="106" t="s">
        <v>1380</v>
      </c>
      <c r="I50" s="103">
        <v>1</v>
      </c>
      <c r="J50" s="104">
        <v>1.5</v>
      </c>
      <c r="K50" s="106" t="s">
        <v>1910</v>
      </c>
      <c r="L50" s="103"/>
      <c r="M50" s="105">
        <f t="shared" si="3"/>
        <v>0</v>
      </c>
    </row>
    <row r="51" spans="1:13" x14ac:dyDescent="0.3">
      <c r="A51" s="107" t="s">
        <v>897</v>
      </c>
      <c r="B51" s="107" t="s">
        <v>1888</v>
      </c>
      <c r="C51" s="107" t="s">
        <v>8</v>
      </c>
      <c r="D51" s="106" t="s">
        <v>1417</v>
      </c>
      <c r="E51" s="104">
        <v>0</v>
      </c>
      <c r="F51" s="103" t="s">
        <v>1418</v>
      </c>
      <c r="G51" s="103" t="s">
        <v>1419</v>
      </c>
      <c r="H51" s="106" t="s">
        <v>1420</v>
      </c>
      <c r="I51" s="103">
        <v>1</v>
      </c>
      <c r="J51" s="104">
        <v>1.5</v>
      </c>
      <c r="K51" s="106" t="s">
        <v>1910</v>
      </c>
      <c r="L51" s="103"/>
      <c r="M51" s="105">
        <f t="shared" si="3"/>
        <v>0</v>
      </c>
    </row>
    <row r="52" spans="1:13" x14ac:dyDescent="0.3">
      <c r="A52" s="107" t="s">
        <v>897</v>
      </c>
      <c r="B52" s="107" t="s">
        <v>1888</v>
      </c>
      <c r="C52" s="107" t="s">
        <v>8</v>
      </c>
      <c r="D52" s="106" t="s">
        <v>453</v>
      </c>
      <c r="E52" s="104">
        <v>0</v>
      </c>
      <c r="F52" s="103" t="s">
        <v>454</v>
      </c>
      <c r="G52" s="103" t="s">
        <v>455</v>
      </c>
      <c r="H52" s="106" t="s">
        <v>456</v>
      </c>
      <c r="I52" s="103">
        <v>1</v>
      </c>
      <c r="J52" s="104">
        <v>1.5</v>
      </c>
      <c r="K52" s="106" t="s">
        <v>1910</v>
      </c>
      <c r="L52" s="103"/>
      <c r="M52" s="105">
        <f t="shared" si="3"/>
        <v>0</v>
      </c>
    </row>
    <row r="53" spans="1:13" x14ac:dyDescent="0.3">
      <c r="A53" s="107" t="s">
        <v>897</v>
      </c>
      <c r="B53" s="107" t="s">
        <v>1888</v>
      </c>
      <c r="C53" s="107" t="s">
        <v>8</v>
      </c>
      <c r="D53" s="106" t="s">
        <v>449</v>
      </c>
      <c r="E53" s="104">
        <v>2</v>
      </c>
      <c r="F53" s="103" t="s">
        <v>450</v>
      </c>
      <c r="G53" s="103" t="s">
        <v>451</v>
      </c>
      <c r="H53" s="106" t="s">
        <v>452</v>
      </c>
      <c r="I53" s="103">
        <v>1</v>
      </c>
      <c r="J53" s="104">
        <v>1.5</v>
      </c>
      <c r="K53" s="106" t="s">
        <v>1910</v>
      </c>
      <c r="L53" s="103"/>
      <c r="M53" s="105">
        <f t="shared" si="3"/>
        <v>3</v>
      </c>
    </row>
    <row r="54" spans="1:13" x14ac:dyDescent="0.3">
      <c r="A54" s="107" t="s">
        <v>897</v>
      </c>
      <c r="B54" s="107" t="s">
        <v>1887</v>
      </c>
      <c r="C54" s="107" t="s">
        <v>8</v>
      </c>
      <c r="D54" s="106" t="s">
        <v>1669</v>
      </c>
      <c r="E54" s="104">
        <v>0</v>
      </c>
      <c r="F54" s="103" t="s">
        <v>1670</v>
      </c>
      <c r="G54" s="103" t="s">
        <v>1671</v>
      </c>
      <c r="H54" s="106" t="s">
        <v>1672</v>
      </c>
      <c r="I54" s="103">
        <v>1</v>
      </c>
      <c r="J54" s="104">
        <v>1.25</v>
      </c>
      <c r="K54" s="106" t="s">
        <v>1910</v>
      </c>
      <c r="L54" s="103"/>
      <c r="M54" s="105">
        <f t="shared" si="3"/>
        <v>0</v>
      </c>
    </row>
    <row r="55" spans="1:13" x14ac:dyDescent="0.3">
      <c r="A55" s="107" t="s">
        <v>897</v>
      </c>
      <c r="B55" s="107" t="s">
        <v>1887</v>
      </c>
      <c r="C55" s="107" t="s">
        <v>8</v>
      </c>
      <c r="D55" s="106" t="s">
        <v>1721</v>
      </c>
      <c r="E55" s="104">
        <v>0</v>
      </c>
      <c r="F55" s="103" t="s">
        <v>1722</v>
      </c>
      <c r="G55" s="103" t="s">
        <v>1723</v>
      </c>
      <c r="H55" s="106" t="s">
        <v>1724</v>
      </c>
      <c r="I55" s="103">
        <v>1</v>
      </c>
      <c r="J55" s="104">
        <v>1.95</v>
      </c>
      <c r="K55" s="106" t="s">
        <v>1910</v>
      </c>
      <c r="L55" s="103"/>
      <c r="M55" s="105">
        <f t="shared" si="3"/>
        <v>0</v>
      </c>
    </row>
    <row r="56" spans="1:13" x14ac:dyDescent="0.3">
      <c r="A56" s="107" t="s">
        <v>897</v>
      </c>
      <c r="B56" s="107" t="s">
        <v>1887</v>
      </c>
      <c r="C56" s="107" t="s">
        <v>8</v>
      </c>
      <c r="D56" s="106" t="s">
        <v>1725</v>
      </c>
      <c r="E56" s="104">
        <v>0</v>
      </c>
      <c r="F56" s="103" t="s">
        <v>1726</v>
      </c>
      <c r="G56" s="103" t="s">
        <v>1727</v>
      </c>
      <c r="H56" s="106" t="s">
        <v>1728</v>
      </c>
      <c r="I56" s="103">
        <v>1</v>
      </c>
      <c r="J56" s="104">
        <v>3.95</v>
      </c>
      <c r="K56" s="106" t="s">
        <v>1910</v>
      </c>
      <c r="L56" s="103"/>
      <c r="M56" s="105">
        <f t="shared" si="3"/>
        <v>0</v>
      </c>
    </row>
    <row r="57" spans="1:13" x14ac:dyDescent="0.3">
      <c r="A57" s="107" t="s">
        <v>897</v>
      </c>
      <c r="B57" s="107" t="s">
        <v>1887</v>
      </c>
      <c r="C57" s="107" t="s">
        <v>8</v>
      </c>
      <c r="D57" s="106" t="s">
        <v>1717</v>
      </c>
      <c r="E57" s="104">
        <v>0</v>
      </c>
      <c r="F57" s="103" t="s">
        <v>1718</v>
      </c>
      <c r="G57" s="103" t="s">
        <v>1719</v>
      </c>
      <c r="H57" s="106" t="s">
        <v>1720</v>
      </c>
      <c r="I57" s="103">
        <v>1</v>
      </c>
      <c r="J57" s="104">
        <v>1.95</v>
      </c>
      <c r="K57" s="106" t="s">
        <v>1910</v>
      </c>
      <c r="L57" s="103"/>
      <c r="M57" s="105">
        <f t="shared" si="3"/>
        <v>0</v>
      </c>
    </row>
    <row r="58" spans="1:13" x14ac:dyDescent="0.3">
      <c r="A58" s="107" t="s">
        <v>897</v>
      </c>
      <c r="B58" s="107" t="s">
        <v>1889</v>
      </c>
      <c r="C58" s="107" t="s">
        <v>8</v>
      </c>
      <c r="D58" s="106" t="s">
        <v>703</v>
      </c>
      <c r="E58" s="104">
        <v>6</v>
      </c>
      <c r="F58" s="103" t="s">
        <v>704</v>
      </c>
      <c r="G58" s="103" t="s">
        <v>705</v>
      </c>
      <c r="H58" s="106" t="s">
        <v>706</v>
      </c>
      <c r="I58" s="103">
        <v>1</v>
      </c>
      <c r="J58" s="104">
        <v>1.95</v>
      </c>
      <c r="K58" s="106" t="s">
        <v>1910</v>
      </c>
      <c r="L58" s="103"/>
      <c r="M58" s="105">
        <f t="shared" si="3"/>
        <v>11.7</v>
      </c>
    </row>
    <row r="59" spans="1:13" x14ac:dyDescent="0.3">
      <c r="A59" s="107" t="s">
        <v>897</v>
      </c>
      <c r="B59" s="107" t="s">
        <v>1889</v>
      </c>
      <c r="C59" s="107" t="s">
        <v>8</v>
      </c>
      <c r="D59" s="106" t="s">
        <v>699</v>
      </c>
      <c r="E59" s="104">
        <v>6</v>
      </c>
      <c r="F59" s="103" t="s">
        <v>700</v>
      </c>
      <c r="G59" s="103" t="s">
        <v>701</v>
      </c>
      <c r="H59" s="106" t="s">
        <v>702</v>
      </c>
      <c r="I59" s="103">
        <v>1</v>
      </c>
      <c r="J59" s="104">
        <v>1.95</v>
      </c>
      <c r="K59" s="106" t="s">
        <v>1910</v>
      </c>
      <c r="L59" s="103"/>
      <c r="M59" s="105">
        <f t="shared" si="3"/>
        <v>11.7</v>
      </c>
    </row>
    <row r="60" spans="1:13" x14ac:dyDescent="0.3">
      <c r="A60" s="107" t="s">
        <v>897</v>
      </c>
      <c r="B60" s="107" t="s">
        <v>1889</v>
      </c>
      <c r="C60" s="107" t="s">
        <v>8</v>
      </c>
      <c r="D60" s="106" t="s">
        <v>751</v>
      </c>
      <c r="E60" s="104">
        <v>0</v>
      </c>
      <c r="F60" s="103" t="s">
        <v>752</v>
      </c>
      <c r="G60" s="103" t="s">
        <v>753</v>
      </c>
      <c r="H60" s="106" t="s">
        <v>754</v>
      </c>
      <c r="I60" s="103">
        <v>1</v>
      </c>
      <c r="J60" s="104">
        <v>0.35</v>
      </c>
      <c r="K60" s="106" t="s">
        <v>1910</v>
      </c>
      <c r="L60" s="103"/>
      <c r="M60" s="105">
        <f t="shared" si="3"/>
        <v>0</v>
      </c>
    </row>
    <row r="61" spans="1:13" x14ac:dyDescent="0.3">
      <c r="A61" s="106" t="s">
        <v>897</v>
      </c>
      <c r="B61" s="106" t="s">
        <v>1889</v>
      </c>
      <c r="C61" s="106" t="s">
        <v>1898</v>
      </c>
      <c r="D61" s="106">
        <v>3525</v>
      </c>
      <c r="E61" s="104">
        <v>1</v>
      </c>
      <c r="F61" s="103"/>
      <c r="G61" s="103"/>
      <c r="H61" s="107" t="s">
        <v>2150</v>
      </c>
      <c r="J61" s="111">
        <v>0.95</v>
      </c>
      <c r="K61" s="107" t="s">
        <v>1910</v>
      </c>
    </row>
    <row r="62" spans="1:13" x14ac:dyDescent="0.3">
      <c r="A62" s="107" t="s">
        <v>897</v>
      </c>
      <c r="B62" s="107" t="s">
        <v>1617</v>
      </c>
      <c r="C62" s="107" t="s">
        <v>8</v>
      </c>
      <c r="D62" s="106" t="s">
        <v>367</v>
      </c>
      <c r="E62" s="104">
        <v>0</v>
      </c>
      <c r="F62" s="103" t="s">
        <v>368</v>
      </c>
      <c r="G62" s="103" t="s">
        <v>369</v>
      </c>
      <c r="H62" s="106" t="s">
        <v>370</v>
      </c>
      <c r="I62" s="103">
        <v>1</v>
      </c>
      <c r="J62" s="104">
        <v>14.95</v>
      </c>
      <c r="K62" s="106" t="s">
        <v>1913</v>
      </c>
      <c r="L62" s="103"/>
      <c r="M62" s="105">
        <f>E62*J62</f>
        <v>0</v>
      </c>
    </row>
    <row r="63" spans="1:13" x14ac:dyDescent="0.3">
      <c r="A63" s="106" t="s">
        <v>897</v>
      </c>
      <c r="B63" s="106" t="s">
        <v>1617</v>
      </c>
      <c r="C63" s="106" t="s">
        <v>1898</v>
      </c>
      <c r="D63" s="106" t="s">
        <v>2153</v>
      </c>
      <c r="E63" s="104">
        <v>1</v>
      </c>
      <c r="F63" s="103"/>
      <c r="G63" s="103"/>
      <c r="H63" s="107" t="s">
        <v>2154</v>
      </c>
      <c r="J63" s="111">
        <v>19.95</v>
      </c>
      <c r="K63" s="107" t="s">
        <v>1910</v>
      </c>
    </row>
    <row r="64" spans="1:13" x14ac:dyDescent="0.3">
      <c r="A64" s="107" t="s">
        <v>897</v>
      </c>
      <c r="B64" s="107" t="s">
        <v>1617</v>
      </c>
      <c r="C64" s="107" t="s">
        <v>8</v>
      </c>
      <c r="D64" s="106" t="s">
        <v>1567</v>
      </c>
      <c r="E64" s="104">
        <v>0</v>
      </c>
      <c r="F64" s="103" t="s">
        <v>1568</v>
      </c>
      <c r="G64" s="103" t="s">
        <v>1569</v>
      </c>
      <c r="H64" s="106" t="s">
        <v>1570</v>
      </c>
      <c r="I64" s="103">
        <v>1</v>
      </c>
      <c r="J64" s="104">
        <v>0.5</v>
      </c>
      <c r="K64" s="106" t="s">
        <v>1910</v>
      </c>
      <c r="L64" s="103"/>
      <c r="M64" s="105">
        <f t="shared" ref="M64:M75" si="4">E64*J64</f>
        <v>0</v>
      </c>
    </row>
    <row r="65" spans="1:13" x14ac:dyDescent="0.3">
      <c r="A65" s="107" t="s">
        <v>897</v>
      </c>
      <c r="B65" s="107" t="s">
        <v>1617</v>
      </c>
      <c r="C65" s="107" t="s">
        <v>8</v>
      </c>
      <c r="D65" s="106" t="s">
        <v>1571</v>
      </c>
      <c r="E65" s="104">
        <v>0</v>
      </c>
      <c r="F65" s="103" t="s">
        <v>1572</v>
      </c>
      <c r="G65" s="103" t="s">
        <v>1573</v>
      </c>
      <c r="H65" s="106" t="s">
        <v>1574</v>
      </c>
      <c r="I65" s="103">
        <v>1</v>
      </c>
      <c r="J65" s="104">
        <v>0.5</v>
      </c>
      <c r="K65" s="106" t="s">
        <v>1910</v>
      </c>
      <c r="L65" s="103"/>
      <c r="M65" s="105">
        <f t="shared" si="4"/>
        <v>0</v>
      </c>
    </row>
    <row r="66" spans="1:13" x14ac:dyDescent="0.3">
      <c r="A66" s="107" t="s">
        <v>897</v>
      </c>
      <c r="B66" s="107" t="s">
        <v>1617</v>
      </c>
      <c r="C66" s="107" t="s">
        <v>8</v>
      </c>
      <c r="D66" s="106" t="s">
        <v>1555</v>
      </c>
      <c r="E66" s="104">
        <v>0</v>
      </c>
      <c r="F66" s="103" t="s">
        <v>1556</v>
      </c>
      <c r="G66" s="103" t="s">
        <v>1557</v>
      </c>
      <c r="H66" s="106" t="s">
        <v>1558</v>
      </c>
      <c r="I66" s="103">
        <v>1</v>
      </c>
      <c r="J66" s="104">
        <v>0.5</v>
      </c>
      <c r="K66" s="106" t="s">
        <v>1910</v>
      </c>
      <c r="L66" s="103"/>
      <c r="M66" s="105">
        <f t="shared" si="4"/>
        <v>0</v>
      </c>
    </row>
    <row r="67" spans="1:13" x14ac:dyDescent="0.3">
      <c r="A67" s="107" t="s">
        <v>897</v>
      </c>
      <c r="B67" s="107" t="s">
        <v>1617</v>
      </c>
      <c r="C67" s="107" t="s">
        <v>8</v>
      </c>
      <c r="D67" s="106" t="s">
        <v>1559</v>
      </c>
      <c r="E67" s="104">
        <v>0</v>
      </c>
      <c r="F67" s="103" t="s">
        <v>1560</v>
      </c>
      <c r="G67" s="103" t="s">
        <v>1561</v>
      </c>
      <c r="H67" s="106" t="s">
        <v>1562</v>
      </c>
      <c r="I67" s="103">
        <v>1</v>
      </c>
      <c r="J67" s="104">
        <v>0.95</v>
      </c>
      <c r="K67" s="106" t="s">
        <v>1910</v>
      </c>
      <c r="L67" s="103"/>
      <c r="M67" s="105">
        <f t="shared" si="4"/>
        <v>0</v>
      </c>
    </row>
    <row r="68" spans="1:13" x14ac:dyDescent="0.3">
      <c r="A68" s="107" t="s">
        <v>897</v>
      </c>
      <c r="B68" s="107" t="s">
        <v>1617</v>
      </c>
      <c r="C68" s="107" t="s">
        <v>8</v>
      </c>
      <c r="D68" s="106" t="s">
        <v>1563</v>
      </c>
      <c r="E68" s="104">
        <v>0</v>
      </c>
      <c r="F68" s="103" t="s">
        <v>1564</v>
      </c>
      <c r="G68" s="103" t="s">
        <v>1565</v>
      </c>
      <c r="H68" s="106" t="s">
        <v>1566</v>
      </c>
      <c r="I68" s="103">
        <v>1</v>
      </c>
      <c r="J68" s="104">
        <v>0.95</v>
      </c>
      <c r="K68" s="106" t="s">
        <v>1913</v>
      </c>
      <c r="L68" s="103"/>
      <c r="M68" s="105">
        <f t="shared" si="4"/>
        <v>0</v>
      </c>
    </row>
    <row r="69" spans="1:13" x14ac:dyDescent="0.3">
      <c r="A69" s="107" t="s">
        <v>897</v>
      </c>
      <c r="B69" s="107" t="s">
        <v>1617</v>
      </c>
      <c r="C69" s="107" t="s">
        <v>8</v>
      </c>
      <c r="D69" s="106" t="s">
        <v>1575</v>
      </c>
      <c r="E69" s="104">
        <v>0</v>
      </c>
      <c r="F69" s="103" t="s">
        <v>1576</v>
      </c>
      <c r="G69" s="103" t="s">
        <v>1577</v>
      </c>
      <c r="H69" s="106" t="s">
        <v>1578</v>
      </c>
      <c r="I69" s="103"/>
      <c r="J69" s="104">
        <v>1.95</v>
      </c>
      <c r="K69" s="106" t="s">
        <v>1913</v>
      </c>
      <c r="L69" s="103"/>
      <c r="M69" s="105">
        <f t="shared" si="4"/>
        <v>0</v>
      </c>
    </row>
    <row r="70" spans="1:13" x14ac:dyDescent="0.3">
      <c r="A70" s="107" t="s">
        <v>897</v>
      </c>
      <c r="B70" s="107" t="s">
        <v>1617</v>
      </c>
      <c r="C70" s="107" t="s">
        <v>8</v>
      </c>
      <c r="D70" s="106" t="s">
        <v>391</v>
      </c>
      <c r="E70" s="104">
        <v>6</v>
      </c>
      <c r="F70" s="103" t="s">
        <v>392</v>
      </c>
      <c r="G70" s="103" t="s">
        <v>393</v>
      </c>
      <c r="H70" s="106" t="s">
        <v>394</v>
      </c>
      <c r="I70" s="103">
        <v>1</v>
      </c>
      <c r="J70" s="104">
        <v>0.5</v>
      </c>
      <c r="K70" s="106" t="s">
        <v>1910</v>
      </c>
      <c r="L70" s="103"/>
      <c r="M70" s="105">
        <f t="shared" si="4"/>
        <v>3</v>
      </c>
    </row>
    <row r="71" spans="1:13" x14ac:dyDescent="0.3">
      <c r="A71" s="107" t="s">
        <v>897</v>
      </c>
      <c r="B71" s="107" t="s">
        <v>1617</v>
      </c>
      <c r="C71" s="107" t="s">
        <v>8</v>
      </c>
      <c r="D71" s="106" t="s">
        <v>379</v>
      </c>
      <c r="E71" s="104">
        <v>2</v>
      </c>
      <c r="F71" s="103" t="s">
        <v>380</v>
      </c>
      <c r="G71" s="103" t="s">
        <v>381</v>
      </c>
      <c r="H71" s="106" t="s">
        <v>382</v>
      </c>
      <c r="I71" s="103">
        <v>1</v>
      </c>
      <c r="J71" s="104">
        <v>1.95</v>
      </c>
      <c r="K71" s="106" t="s">
        <v>1910</v>
      </c>
      <c r="L71" s="103"/>
      <c r="M71" s="105">
        <f t="shared" si="4"/>
        <v>3.9</v>
      </c>
    </row>
    <row r="72" spans="1:13" x14ac:dyDescent="0.3">
      <c r="A72" s="107" t="s">
        <v>897</v>
      </c>
      <c r="B72" s="107" t="s">
        <v>1617</v>
      </c>
      <c r="C72" s="107" t="s">
        <v>8</v>
      </c>
      <c r="D72" s="106" t="s">
        <v>395</v>
      </c>
      <c r="E72" s="104">
        <v>3</v>
      </c>
      <c r="F72" s="103" t="s">
        <v>396</v>
      </c>
      <c r="G72" s="103" t="s">
        <v>397</v>
      </c>
      <c r="H72" s="106" t="s">
        <v>398</v>
      </c>
      <c r="I72" s="103">
        <v>1</v>
      </c>
      <c r="J72" s="104">
        <v>0.95</v>
      </c>
      <c r="K72" s="106" t="s">
        <v>1910</v>
      </c>
      <c r="L72" s="103"/>
      <c r="M72" s="105">
        <f t="shared" si="4"/>
        <v>2.8499999999999996</v>
      </c>
    </row>
    <row r="73" spans="1:13" x14ac:dyDescent="0.3">
      <c r="A73" s="107" t="s">
        <v>897</v>
      </c>
      <c r="B73" s="107" t="s">
        <v>1617</v>
      </c>
      <c r="C73" s="107" t="s">
        <v>8</v>
      </c>
      <c r="D73" s="106" t="s">
        <v>1272</v>
      </c>
      <c r="E73" s="104">
        <v>2</v>
      </c>
      <c r="F73" s="103" t="s">
        <v>1273</v>
      </c>
      <c r="G73" s="103" t="s">
        <v>1274</v>
      </c>
      <c r="H73" s="106" t="s">
        <v>1275</v>
      </c>
      <c r="I73" s="103">
        <v>1</v>
      </c>
      <c r="J73" s="104">
        <v>1.5</v>
      </c>
      <c r="K73" s="106" t="s">
        <v>1910</v>
      </c>
      <c r="L73" s="103"/>
      <c r="M73" s="105">
        <f t="shared" si="4"/>
        <v>3</v>
      </c>
    </row>
    <row r="74" spans="1:13" x14ac:dyDescent="0.3">
      <c r="A74" s="107" t="s">
        <v>897</v>
      </c>
      <c r="B74" s="107" t="s">
        <v>1617</v>
      </c>
      <c r="C74" s="107" t="s">
        <v>8</v>
      </c>
      <c r="D74" s="106" t="s">
        <v>383</v>
      </c>
      <c r="E74" s="104">
        <v>1</v>
      </c>
      <c r="F74" s="103" t="s">
        <v>384</v>
      </c>
      <c r="G74" s="103" t="s">
        <v>385</v>
      </c>
      <c r="H74" s="106" t="s">
        <v>386</v>
      </c>
      <c r="I74" s="103">
        <v>1</v>
      </c>
      <c r="J74" s="104">
        <v>1.95</v>
      </c>
      <c r="K74" s="106" t="s">
        <v>1910</v>
      </c>
      <c r="L74" s="103"/>
      <c r="M74" s="105">
        <f t="shared" si="4"/>
        <v>1.95</v>
      </c>
    </row>
    <row r="75" spans="1:13" x14ac:dyDescent="0.3">
      <c r="A75" s="107" t="s">
        <v>897</v>
      </c>
      <c r="B75" s="107" t="s">
        <v>1617</v>
      </c>
      <c r="C75" s="107" t="s">
        <v>8</v>
      </c>
      <c r="D75" s="106" t="s">
        <v>1843</v>
      </c>
      <c r="E75" s="104">
        <v>1</v>
      </c>
      <c r="F75" s="103" t="s">
        <v>1844</v>
      </c>
      <c r="G75" s="103" t="s">
        <v>1845</v>
      </c>
      <c r="H75" s="106" t="s">
        <v>1846</v>
      </c>
      <c r="I75" s="103">
        <v>1</v>
      </c>
      <c r="J75" s="104">
        <v>0.5</v>
      </c>
      <c r="K75" s="106" t="s">
        <v>1913</v>
      </c>
      <c r="L75" s="103"/>
      <c r="M75" s="105">
        <f t="shared" si="4"/>
        <v>0.5</v>
      </c>
    </row>
    <row r="76" spans="1:13" x14ac:dyDescent="0.3">
      <c r="A76" s="118" t="s">
        <v>897</v>
      </c>
      <c r="B76" s="118" t="s">
        <v>1617</v>
      </c>
      <c r="C76" s="118" t="s">
        <v>1898</v>
      </c>
      <c r="D76" s="118" t="s">
        <v>2477</v>
      </c>
      <c r="E76" s="119">
        <v>0</v>
      </c>
      <c r="H76" s="118" t="s">
        <v>2476</v>
      </c>
      <c r="I76" s="120">
        <v>114</v>
      </c>
      <c r="J76" s="119">
        <v>0.75</v>
      </c>
      <c r="K76" s="102" t="s">
        <v>1910</v>
      </c>
    </row>
    <row r="77" spans="1:13" x14ac:dyDescent="0.3">
      <c r="A77" s="107" t="s">
        <v>897</v>
      </c>
      <c r="B77" s="107" t="s">
        <v>1617</v>
      </c>
      <c r="C77" s="107" t="s">
        <v>8</v>
      </c>
      <c r="D77" s="106" t="s">
        <v>663</v>
      </c>
      <c r="E77" s="104">
        <v>5</v>
      </c>
      <c r="F77" s="103" t="s">
        <v>664</v>
      </c>
      <c r="G77" s="103" t="s">
        <v>665</v>
      </c>
      <c r="H77" s="106" t="s">
        <v>666</v>
      </c>
      <c r="I77" s="103">
        <v>1</v>
      </c>
      <c r="J77" s="104">
        <v>0.95</v>
      </c>
      <c r="K77" s="106" t="s">
        <v>1913</v>
      </c>
      <c r="L77" s="103"/>
      <c r="M77" s="105">
        <f>E77*J77</f>
        <v>4.75</v>
      </c>
    </row>
    <row r="78" spans="1:13" x14ac:dyDescent="0.3">
      <c r="A78" s="107" t="s">
        <v>897</v>
      </c>
      <c r="B78" s="107" t="s">
        <v>1617</v>
      </c>
      <c r="C78" s="107" t="s">
        <v>8</v>
      </c>
      <c r="D78" s="106" t="s">
        <v>961</v>
      </c>
      <c r="E78" s="104">
        <v>1</v>
      </c>
      <c r="F78" s="103" t="s">
        <v>962</v>
      </c>
      <c r="G78" s="103" t="s">
        <v>963</v>
      </c>
      <c r="H78" s="106" t="s">
        <v>964</v>
      </c>
      <c r="I78" s="103">
        <v>1</v>
      </c>
      <c r="J78" s="104">
        <v>1.5</v>
      </c>
      <c r="K78" s="106" t="s">
        <v>1910</v>
      </c>
      <c r="L78" s="103"/>
      <c r="M78" s="105">
        <f>E78*J78</f>
        <v>1.5</v>
      </c>
    </row>
    <row r="79" spans="1:13" x14ac:dyDescent="0.3">
      <c r="A79" s="107" t="s">
        <v>897</v>
      </c>
      <c r="B79" s="107" t="s">
        <v>1617</v>
      </c>
      <c r="C79" s="107" t="s">
        <v>8</v>
      </c>
      <c r="D79" s="106" t="s">
        <v>403</v>
      </c>
      <c r="E79" s="104">
        <v>2</v>
      </c>
      <c r="F79" s="103" t="s">
        <v>404</v>
      </c>
      <c r="G79" s="103" t="s">
        <v>405</v>
      </c>
      <c r="H79" s="106" t="s">
        <v>406</v>
      </c>
      <c r="I79" s="103">
        <v>1</v>
      </c>
      <c r="J79" s="104">
        <v>0.95</v>
      </c>
      <c r="K79" s="106" t="s">
        <v>1910</v>
      </c>
      <c r="L79" s="103"/>
      <c r="M79" s="105">
        <f>E79*J79</f>
        <v>1.9</v>
      </c>
    </row>
    <row r="80" spans="1:13" x14ac:dyDescent="0.3">
      <c r="A80" s="107" t="s">
        <v>897</v>
      </c>
      <c r="B80" s="107" t="s">
        <v>1617</v>
      </c>
      <c r="C80" s="107" t="s">
        <v>8</v>
      </c>
      <c r="D80" s="106" t="s">
        <v>399</v>
      </c>
      <c r="E80" s="104">
        <v>3</v>
      </c>
      <c r="F80" s="103" t="s">
        <v>400</v>
      </c>
      <c r="G80" s="103" t="s">
        <v>401</v>
      </c>
      <c r="H80" s="106" t="s">
        <v>402</v>
      </c>
      <c r="I80" s="103">
        <v>1</v>
      </c>
      <c r="J80" s="104">
        <v>2.2999999999999998</v>
      </c>
      <c r="K80" s="106" t="s">
        <v>1910</v>
      </c>
      <c r="L80" s="103" t="s">
        <v>2529</v>
      </c>
      <c r="M80" s="105">
        <f>E80*J80</f>
        <v>6.8999999999999995</v>
      </c>
    </row>
    <row r="81" spans="1:13" x14ac:dyDescent="0.3">
      <c r="A81" s="107" t="s">
        <v>897</v>
      </c>
      <c r="B81" s="107" t="s">
        <v>1617</v>
      </c>
      <c r="C81" s="107" t="s">
        <v>8</v>
      </c>
      <c r="D81" s="106" t="s">
        <v>1096</v>
      </c>
      <c r="E81" s="104">
        <v>1</v>
      </c>
      <c r="F81" s="103" t="s">
        <v>1097</v>
      </c>
      <c r="G81" s="103" t="s">
        <v>1098</v>
      </c>
      <c r="H81" s="106" t="s">
        <v>1099</v>
      </c>
      <c r="I81" s="103">
        <v>1</v>
      </c>
      <c r="J81" s="104">
        <v>1.95</v>
      </c>
      <c r="K81" s="106" t="s">
        <v>1910</v>
      </c>
      <c r="L81" s="103"/>
      <c r="M81" s="105">
        <f>E81*J81</f>
        <v>1.95</v>
      </c>
    </row>
    <row r="82" spans="1:13" x14ac:dyDescent="0.3">
      <c r="A82" s="106" t="s">
        <v>897</v>
      </c>
      <c r="B82" s="106" t="s">
        <v>1617</v>
      </c>
      <c r="C82" s="106" t="s">
        <v>1898</v>
      </c>
      <c r="D82" s="106" t="s">
        <v>2151</v>
      </c>
      <c r="E82" s="104">
        <v>0</v>
      </c>
      <c r="F82" s="103"/>
      <c r="G82" s="103"/>
      <c r="H82" s="107" t="s">
        <v>2152</v>
      </c>
      <c r="J82" s="111">
        <v>1.5</v>
      </c>
      <c r="K82" s="107" t="s">
        <v>1910</v>
      </c>
    </row>
    <row r="83" spans="1:13" x14ac:dyDescent="0.3">
      <c r="A83" s="107" t="s">
        <v>897</v>
      </c>
      <c r="B83" s="107" t="s">
        <v>1617</v>
      </c>
      <c r="C83" s="107" t="s">
        <v>8</v>
      </c>
      <c r="D83" s="106" t="s">
        <v>679</v>
      </c>
      <c r="E83" s="104">
        <v>0</v>
      </c>
      <c r="F83" s="103" t="s">
        <v>680</v>
      </c>
      <c r="G83" s="103" t="s">
        <v>681</v>
      </c>
      <c r="H83" s="106" t="s">
        <v>682</v>
      </c>
      <c r="I83" s="103">
        <v>1</v>
      </c>
      <c r="J83" s="104">
        <v>1.95</v>
      </c>
      <c r="K83" s="106" t="s">
        <v>1910</v>
      </c>
      <c r="L83" s="103"/>
      <c r="M83" s="105">
        <f>E83*J83</f>
        <v>0</v>
      </c>
    </row>
    <row r="84" spans="1:13" x14ac:dyDescent="0.3">
      <c r="A84" s="107" t="s">
        <v>897</v>
      </c>
      <c r="B84" s="107" t="s">
        <v>1617</v>
      </c>
      <c r="C84" s="107" t="s">
        <v>8</v>
      </c>
      <c r="D84" s="106" t="s">
        <v>407</v>
      </c>
      <c r="E84" s="104">
        <v>0</v>
      </c>
      <c r="F84" s="103" t="s">
        <v>408</v>
      </c>
      <c r="G84" s="103" t="s">
        <v>409</v>
      </c>
      <c r="H84" s="106" t="s">
        <v>410</v>
      </c>
      <c r="I84" s="103">
        <v>1</v>
      </c>
      <c r="J84" s="104">
        <v>0.95</v>
      </c>
      <c r="K84" s="106" t="s">
        <v>1910</v>
      </c>
      <c r="L84" s="103"/>
      <c r="M84" s="105">
        <f>E84*J84</f>
        <v>0</v>
      </c>
    </row>
    <row r="85" spans="1:13" x14ac:dyDescent="0.3">
      <c r="A85" s="107" t="s">
        <v>897</v>
      </c>
      <c r="B85" s="107" t="s">
        <v>1617</v>
      </c>
      <c r="C85" s="107" t="s">
        <v>8</v>
      </c>
      <c r="D85" s="106" t="s">
        <v>411</v>
      </c>
      <c r="E85" s="104">
        <v>0</v>
      </c>
      <c r="F85" s="103" t="s">
        <v>412</v>
      </c>
      <c r="G85" s="103" t="s">
        <v>413</v>
      </c>
      <c r="H85" s="106" t="s">
        <v>221</v>
      </c>
      <c r="I85" s="103">
        <v>1</v>
      </c>
      <c r="J85" s="104">
        <v>3.95</v>
      </c>
      <c r="K85" s="106" t="s">
        <v>2490</v>
      </c>
      <c r="L85" s="103"/>
      <c r="M85" s="105">
        <f>E85*J85</f>
        <v>0</v>
      </c>
    </row>
    <row r="86" spans="1:13" x14ac:dyDescent="0.3">
      <c r="A86" s="107" t="s">
        <v>897</v>
      </c>
      <c r="B86" s="107" t="s">
        <v>1617</v>
      </c>
      <c r="C86" s="107" t="s">
        <v>8</v>
      </c>
      <c r="D86" s="106" t="s">
        <v>433</v>
      </c>
      <c r="E86" s="104">
        <v>5</v>
      </c>
      <c r="F86" s="103" t="s">
        <v>434</v>
      </c>
      <c r="G86" s="103" t="s">
        <v>435</v>
      </c>
      <c r="H86" s="106" t="s">
        <v>436</v>
      </c>
      <c r="I86" s="103">
        <v>1</v>
      </c>
      <c r="J86" s="104">
        <v>1.5</v>
      </c>
      <c r="K86" s="106" t="s">
        <v>1911</v>
      </c>
      <c r="L86" s="103"/>
      <c r="M86" s="105">
        <f>E86*J86</f>
        <v>7.5</v>
      </c>
    </row>
    <row r="87" spans="1:13" x14ac:dyDescent="0.3">
      <c r="A87" s="102" t="s">
        <v>897</v>
      </c>
      <c r="B87" s="102" t="s">
        <v>1893</v>
      </c>
      <c r="C87" s="102" t="s">
        <v>8</v>
      </c>
      <c r="D87" s="103" t="s">
        <v>775</v>
      </c>
      <c r="E87" s="104">
        <v>0</v>
      </c>
      <c r="F87" s="103" t="s">
        <v>776</v>
      </c>
      <c r="G87" s="103" t="s">
        <v>777</v>
      </c>
      <c r="H87" s="103" t="s">
        <v>778</v>
      </c>
      <c r="I87" s="103">
        <v>1</v>
      </c>
      <c r="J87" s="104">
        <v>0.5</v>
      </c>
      <c r="K87" s="103" t="s">
        <v>1910</v>
      </c>
      <c r="L87" s="103"/>
      <c r="M87" s="132">
        <f t="shared" ref="M87:M112" si="5">E87*J87</f>
        <v>0</v>
      </c>
    </row>
    <row r="88" spans="1:13" x14ac:dyDescent="0.3">
      <c r="A88" s="102" t="s">
        <v>897</v>
      </c>
      <c r="B88" s="102" t="s">
        <v>1893</v>
      </c>
      <c r="C88" s="102" t="s">
        <v>8</v>
      </c>
      <c r="D88" s="103" t="s">
        <v>1775</v>
      </c>
      <c r="E88" s="104">
        <v>1</v>
      </c>
      <c r="F88" s="103" t="s">
        <v>1776</v>
      </c>
      <c r="G88" s="103" t="s">
        <v>1777</v>
      </c>
      <c r="H88" s="103" t="s">
        <v>1778</v>
      </c>
      <c r="I88" s="103">
        <v>1</v>
      </c>
      <c r="J88" s="104">
        <v>2.95</v>
      </c>
      <c r="K88" s="103" t="s">
        <v>1910</v>
      </c>
      <c r="L88" s="103"/>
      <c r="M88" s="132">
        <f t="shared" si="5"/>
        <v>2.95</v>
      </c>
    </row>
    <row r="89" spans="1:13" x14ac:dyDescent="0.3">
      <c r="A89" s="102" t="s">
        <v>897</v>
      </c>
      <c r="B89" s="102" t="s">
        <v>1893</v>
      </c>
      <c r="C89" s="102" t="s">
        <v>8</v>
      </c>
      <c r="D89" s="103" t="s">
        <v>523</v>
      </c>
      <c r="E89" s="104">
        <v>0</v>
      </c>
      <c r="F89" s="103" t="s">
        <v>524</v>
      </c>
      <c r="G89" s="103" t="s">
        <v>525</v>
      </c>
      <c r="H89" s="103" t="s">
        <v>526</v>
      </c>
      <c r="I89" s="103">
        <v>1</v>
      </c>
      <c r="J89" s="104">
        <v>1.5</v>
      </c>
      <c r="K89" s="103" t="s">
        <v>1910</v>
      </c>
      <c r="L89" s="103"/>
      <c r="M89" s="132">
        <f t="shared" si="5"/>
        <v>0</v>
      </c>
    </row>
    <row r="90" spans="1:13" x14ac:dyDescent="0.3">
      <c r="A90" s="102" t="s">
        <v>897</v>
      </c>
      <c r="B90" s="102" t="s">
        <v>1893</v>
      </c>
      <c r="C90" s="102" t="s">
        <v>8</v>
      </c>
      <c r="D90" s="103" t="s">
        <v>527</v>
      </c>
      <c r="E90" s="104">
        <v>0</v>
      </c>
      <c r="F90" s="103" t="s">
        <v>528</v>
      </c>
      <c r="G90" s="103" t="s">
        <v>529</v>
      </c>
      <c r="H90" s="103" t="s">
        <v>530</v>
      </c>
      <c r="I90" s="103">
        <v>1</v>
      </c>
      <c r="J90" s="104">
        <v>0.5</v>
      </c>
      <c r="K90" s="103" t="s">
        <v>1910</v>
      </c>
      <c r="L90" s="103"/>
      <c r="M90" s="132">
        <f t="shared" si="5"/>
        <v>0</v>
      </c>
    </row>
    <row r="91" spans="1:13" x14ac:dyDescent="0.3">
      <c r="A91" s="102" t="s">
        <v>897</v>
      </c>
      <c r="B91" s="102" t="s">
        <v>1893</v>
      </c>
      <c r="C91" s="102" t="s">
        <v>8</v>
      </c>
      <c r="D91" s="103" t="s">
        <v>579</v>
      </c>
      <c r="E91" s="104">
        <v>0</v>
      </c>
      <c r="F91" s="103" t="s">
        <v>580</v>
      </c>
      <c r="G91" s="103" t="s">
        <v>581</v>
      </c>
      <c r="H91" s="103" t="s">
        <v>582</v>
      </c>
      <c r="I91" s="103">
        <v>1</v>
      </c>
      <c r="J91" s="104">
        <v>1.5</v>
      </c>
      <c r="K91" s="103" t="s">
        <v>1910</v>
      </c>
      <c r="L91" s="103"/>
      <c r="M91" s="132">
        <f t="shared" si="5"/>
        <v>0</v>
      </c>
    </row>
    <row r="92" spans="1:13" x14ac:dyDescent="0.3">
      <c r="A92" s="102" t="s">
        <v>897</v>
      </c>
      <c r="B92" s="102" t="s">
        <v>1893</v>
      </c>
      <c r="C92" s="102" t="s">
        <v>8</v>
      </c>
      <c r="D92" s="103" t="s">
        <v>481</v>
      </c>
      <c r="E92" s="104">
        <v>0</v>
      </c>
      <c r="F92" s="103" t="s">
        <v>482</v>
      </c>
      <c r="G92" s="103" t="s">
        <v>483</v>
      </c>
      <c r="H92" s="103" t="s">
        <v>484</v>
      </c>
      <c r="I92" s="103"/>
      <c r="J92" s="104">
        <v>0.5</v>
      </c>
      <c r="K92" s="103" t="s">
        <v>1910</v>
      </c>
      <c r="L92" s="103"/>
      <c r="M92" s="132">
        <f t="shared" si="5"/>
        <v>0</v>
      </c>
    </row>
    <row r="93" spans="1:13" x14ac:dyDescent="0.3">
      <c r="A93" s="102" t="s">
        <v>897</v>
      </c>
      <c r="B93" s="102" t="s">
        <v>1893</v>
      </c>
      <c r="C93" s="102" t="s">
        <v>8</v>
      </c>
      <c r="D93" s="103" t="s">
        <v>477</v>
      </c>
      <c r="E93" s="104">
        <v>0</v>
      </c>
      <c r="F93" s="103" t="s">
        <v>478</v>
      </c>
      <c r="G93" s="103" t="s">
        <v>479</v>
      </c>
      <c r="H93" s="103" t="s">
        <v>480</v>
      </c>
      <c r="I93" s="103">
        <v>1</v>
      </c>
      <c r="J93" s="104">
        <v>1.5</v>
      </c>
      <c r="K93" s="103" t="s">
        <v>1910</v>
      </c>
      <c r="L93" s="103"/>
      <c r="M93" s="132">
        <f t="shared" si="5"/>
        <v>0</v>
      </c>
    </row>
    <row r="94" spans="1:13" x14ac:dyDescent="0.3">
      <c r="A94" s="103" t="s">
        <v>897</v>
      </c>
      <c r="B94" s="103" t="s">
        <v>1893</v>
      </c>
      <c r="C94" s="103" t="s">
        <v>1898</v>
      </c>
      <c r="D94" s="103" t="s">
        <v>2193</v>
      </c>
      <c r="E94" s="104">
        <v>5</v>
      </c>
      <c r="F94" s="103"/>
      <c r="G94" s="103"/>
      <c r="H94" s="102" t="s">
        <v>2194</v>
      </c>
      <c r="J94" s="111">
        <v>1.95</v>
      </c>
      <c r="K94" s="102" t="s">
        <v>1910</v>
      </c>
      <c r="M94" s="132"/>
    </row>
    <row r="95" spans="1:13" x14ac:dyDescent="0.3">
      <c r="A95" s="103" t="s">
        <v>897</v>
      </c>
      <c r="B95" s="103" t="s">
        <v>1893</v>
      </c>
      <c r="C95" s="103" t="s">
        <v>1898</v>
      </c>
      <c r="D95" s="103" t="s">
        <v>2175</v>
      </c>
      <c r="E95" s="104">
        <v>3</v>
      </c>
      <c r="F95" s="103"/>
      <c r="G95" s="103"/>
      <c r="H95" s="102" t="s">
        <v>2176</v>
      </c>
      <c r="J95" s="111">
        <v>2.95</v>
      </c>
      <c r="K95" s="102" t="s">
        <v>1910</v>
      </c>
      <c r="M95" s="132"/>
    </row>
    <row r="96" spans="1:13" x14ac:dyDescent="0.3">
      <c r="A96" s="102" t="s">
        <v>897</v>
      </c>
      <c r="B96" s="102" t="s">
        <v>1891</v>
      </c>
      <c r="C96" s="102" t="s">
        <v>8</v>
      </c>
      <c r="D96" s="103" t="s">
        <v>771</v>
      </c>
      <c r="E96" s="104">
        <v>0</v>
      </c>
      <c r="F96" s="103" t="s">
        <v>772</v>
      </c>
      <c r="G96" s="103" t="s">
        <v>773</v>
      </c>
      <c r="H96" s="103" t="s">
        <v>774</v>
      </c>
      <c r="I96" s="103">
        <v>1</v>
      </c>
      <c r="J96" s="104">
        <v>0.5</v>
      </c>
      <c r="K96" s="103" t="s">
        <v>1910</v>
      </c>
      <c r="L96" s="103"/>
      <c r="M96" s="132">
        <f t="shared" si="5"/>
        <v>0</v>
      </c>
    </row>
    <row r="97" spans="1:13" x14ac:dyDescent="0.3">
      <c r="A97" s="102" t="s">
        <v>897</v>
      </c>
      <c r="B97" s="102" t="s">
        <v>1891</v>
      </c>
      <c r="C97" s="102" t="s">
        <v>8</v>
      </c>
      <c r="D97" s="103" t="s">
        <v>515</v>
      </c>
      <c r="E97" s="104">
        <v>0</v>
      </c>
      <c r="F97" s="103" t="s">
        <v>516</v>
      </c>
      <c r="G97" s="103" t="s">
        <v>517</v>
      </c>
      <c r="H97" s="103" t="s">
        <v>518</v>
      </c>
      <c r="I97" s="103">
        <v>1</v>
      </c>
      <c r="J97" s="104">
        <v>0.95</v>
      </c>
      <c r="K97" s="103" t="s">
        <v>1910</v>
      </c>
      <c r="L97" s="103"/>
      <c r="M97" s="132">
        <f t="shared" si="5"/>
        <v>0</v>
      </c>
    </row>
    <row r="98" spans="1:13" x14ac:dyDescent="0.3">
      <c r="A98" s="102" t="s">
        <v>897</v>
      </c>
      <c r="B98" s="102" t="s">
        <v>1891</v>
      </c>
      <c r="C98" s="102" t="s">
        <v>8</v>
      </c>
      <c r="D98" s="103" t="s">
        <v>1791</v>
      </c>
      <c r="E98" s="104">
        <v>1</v>
      </c>
      <c r="F98" s="103" t="s">
        <v>1792</v>
      </c>
      <c r="G98" s="103" t="s">
        <v>1793</v>
      </c>
      <c r="H98" s="103" t="s">
        <v>1794</v>
      </c>
      <c r="I98" s="103">
        <v>1</v>
      </c>
      <c r="J98" s="104">
        <v>0.95</v>
      </c>
      <c r="K98" s="103" t="s">
        <v>1910</v>
      </c>
      <c r="L98" s="103"/>
      <c r="M98" s="132">
        <f t="shared" si="5"/>
        <v>0.95</v>
      </c>
    </row>
    <row r="99" spans="1:13" x14ac:dyDescent="0.3">
      <c r="A99" s="102" t="s">
        <v>897</v>
      </c>
      <c r="B99" s="102" t="s">
        <v>1891</v>
      </c>
      <c r="C99" s="102" t="s">
        <v>8</v>
      </c>
      <c r="D99" s="103" t="s">
        <v>755</v>
      </c>
      <c r="E99" s="104">
        <v>0</v>
      </c>
      <c r="F99" s="103" t="s">
        <v>756</v>
      </c>
      <c r="G99" s="103" t="s">
        <v>757</v>
      </c>
      <c r="H99" s="103" t="s">
        <v>758</v>
      </c>
      <c r="I99" s="103">
        <v>1</v>
      </c>
      <c r="J99" s="104">
        <v>1.5</v>
      </c>
      <c r="K99" s="103" t="s">
        <v>1910</v>
      </c>
      <c r="L99" s="103"/>
      <c r="M99" s="132">
        <f t="shared" si="5"/>
        <v>0</v>
      </c>
    </row>
    <row r="100" spans="1:13" x14ac:dyDescent="0.3">
      <c r="A100" s="103" t="s">
        <v>897</v>
      </c>
      <c r="B100" s="103" t="s">
        <v>1891</v>
      </c>
      <c r="C100" s="103" t="s">
        <v>1898</v>
      </c>
      <c r="D100" s="103" t="s">
        <v>2189</v>
      </c>
      <c r="E100" s="104">
        <v>1</v>
      </c>
      <c r="F100" s="103"/>
      <c r="G100" s="103"/>
      <c r="H100" s="102" t="s">
        <v>2190</v>
      </c>
      <c r="J100" s="111">
        <v>4.95</v>
      </c>
      <c r="K100" s="102" t="s">
        <v>1910</v>
      </c>
      <c r="M100" s="132"/>
    </row>
    <row r="101" spans="1:13" x14ac:dyDescent="0.3">
      <c r="A101" s="103" t="s">
        <v>897</v>
      </c>
      <c r="B101" s="103" t="s">
        <v>1891</v>
      </c>
      <c r="C101" s="103" t="s">
        <v>1898</v>
      </c>
      <c r="D101" s="103" t="s">
        <v>2181</v>
      </c>
      <c r="E101" s="104">
        <v>1</v>
      </c>
      <c r="F101" s="103"/>
      <c r="G101" s="103"/>
      <c r="H101" s="102" t="s">
        <v>2182</v>
      </c>
      <c r="J101" s="111">
        <v>4.95</v>
      </c>
      <c r="K101" s="102" t="s">
        <v>1910</v>
      </c>
      <c r="M101" s="132"/>
    </row>
    <row r="102" spans="1:13" x14ac:dyDescent="0.3">
      <c r="A102" s="102" t="s">
        <v>897</v>
      </c>
      <c r="B102" s="102" t="s">
        <v>1891</v>
      </c>
      <c r="C102" s="102" t="s">
        <v>8</v>
      </c>
      <c r="D102" s="103" t="s">
        <v>489</v>
      </c>
      <c r="E102" s="104">
        <v>5</v>
      </c>
      <c r="F102" s="103" t="s">
        <v>490</v>
      </c>
      <c r="G102" s="103" t="s">
        <v>491</v>
      </c>
      <c r="H102" s="103" t="s">
        <v>492</v>
      </c>
      <c r="I102" s="103">
        <v>1</v>
      </c>
      <c r="J102" s="104">
        <v>2.95</v>
      </c>
      <c r="K102" s="103" t="s">
        <v>1910</v>
      </c>
      <c r="L102" s="103"/>
      <c r="M102" s="132">
        <f t="shared" si="5"/>
        <v>14.75</v>
      </c>
    </row>
    <row r="103" spans="1:13" x14ac:dyDescent="0.3">
      <c r="A103" s="102" t="s">
        <v>897</v>
      </c>
      <c r="B103" s="102" t="s">
        <v>1891</v>
      </c>
      <c r="C103" s="102" t="s">
        <v>8</v>
      </c>
      <c r="D103" s="103" t="s">
        <v>473</v>
      </c>
      <c r="E103" s="104">
        <v>5</v>
      </c>
      <c r="F103" s="103" t="s">
        <v>474</v>
      </c>
      <c r="G103" s="103" t="s">
        <v>475</v>
      </c>
      <c r="H103" s="103" t="s">
        <v>476</v>
      </c>
      <c r="I103" s="103">
        <v>1</v>
      </c>
      <c r="J103" s="104">
        <v>0.75</v>
      </c>
      <c r="K103" s="103" t="s">
        <v>1910</v>
      </c>
      <c r="L103" s="103"/>
      <c r="M103" s="132">
        <f t="shared" si="5"/>
        <v>3.75</v>
      </c>
    </row>
    <row r="104" spans="1:13" x14ac:dyDescent="0.3">
      <c r="A104" s="118" t="s">
        <v>897</v>
      </c>
      <c r="B104" s="118" t="s">
        <v>1891</v>
      </c>
      <c r="C104" s="118" t="s">
        <v>1898</v>
      </c>
      <c r="D104" s="118" t="s">
        <v>2483</v>
      </c>
      <c r="E104" s="119">
        <v>0</v>
      </c>
      <c r="H104" s="118" t="s">
        <v>2482</v>
      </c>
      <c r="I104" s="120">
        <v>117</v>
      </c>
      <c r="J104" s="119">
        <v>3</v>
      </c>
      <c r="K104" s="102" t="s">
        <v>1910</v>
      </c>
      <c r="M104" s="132"/>
    </row>
    <row r="105" spans="1:13" x14ac:dyDescent="0.3">
      <c r="A105" s="102" t="s">
        <v>897</v>
      </c>
      <c r="B105" s="102" t="s">
        <v>1891</v>
      </c>
      <c r="C105" s="102" t="s">
        <v>8</v>
      </c>
      <c r="D105" s="103" t="s">
        <v>759</v>
      </c>
      <c r="E105" s="104">
        <v>0</v>
      </c>
      <c r="F105" s="103" t="s">
        <v>760</v>
      </c>
      <c r="G105" s="103" t="s">
        <v>761</v>
      </c>
      <c r="H105" s="103" t="s">
        <v>762</v>
      </c>
      <c r="I105" s="103">
        <v>1</v>
      </c>
      <c r="J105" s="104">
        <v>1.95</v>
      </c>
      <c r="K105" s="103" t="s">
        <v>1910</v>
      </c>
      <c r="L105" s="103"/>
      <c r="M105" s="132">
        <f t="shared" si="5"/>
        <v>0</v>
      </c>
    </row>
    <row r="106" spans="1:13" x14ac:dyDescent="0.3">
      <c r="A106" s="103" t="s">
        <v>897</v>
      </c>
      <c r="B106" s="103" t="s">
        <v>1891</v>
      </c>
      <c r="C106" s="103" t="s">
        <v>1898</v>
      </c>
      <c r="D106" s="103" t="s">
        <v>2191</v>
      </c>
      <c r="E106" s="104">
        <v>0</v>
      </c>
      <c r="F106" s="103"/>
      <c r="G106" s="103"/>
      <c r="H106" s="102" t="s">
        <v>2192</v>
      </c>
      <c r="J106" s="111">
        <v>5.95</v>
      </c>
      <c r="K106" s="102" t="s">
        <v>1913</v>
      </c>
      <c r="M106" s="132"/>
    </row>
    <row r="107" spans="1:13" x14ac:dyDescent="0.3">
      <c r="A107" s="103" t="s">
        <v>897</v>
      </c>
      <c r="B107" s="103" t="s">
        <v>1891</v>
      </c>
      <c r="C107" s="103" t="s">
        <v>1898</v>
      </c>
      <c r="D107" s="103" t="s">
        <v>2183</v>
      </c>
      <c r="E107" s="104">
        <v>0</v>
      </c>
      <c r="F107" s="103"/>
      <c r="G107" s="103"/>
      <c r="H107" s="102" t="s">
        <v>2184</v>
      </c>
      <c r="J107" s="111">
        <v>0.95</v>
      </c>
      <c r="K107" s="102" t="s">
        <v>1910</v>
      </c>
      <c r="M107" s="132"/>
    </row>
    <row r="108" spans="1:13" x14ac:dyDescent="0.3">
      <c r="A108" s="103" t="s">
        <v>897</v>
      </c>
      <c r="B108" s="103" t="s">
        <v>1891</v>
      </c>
      <c r="C108" s="103" t="s">
        <v>1898</v>
      </c>
      <c r="D108" s="103" t="s">
        <v>2185</v>
      </c>
      <c r="E108" s="104">
        <v>1</v>
      </c>
      <c r="F108" s="103"/>
      <c r="G108" s="103"/>
      <c r="H108" s="102" t="s">
        <v>2186</v>
      </c>
      <c r="J108" s="111">
        <v>7.5</v>
      </c>
      <c r="K108" s="102" t="s">
        <v>1910</v>
      </c>
      <c r="M108" s="132"/>
    </row>
    <row r="109" spans="1:13" x14ac:dyDescent="0.3">
      <c r="A109" s="103" t="s">
        <v>897</v>
      </c>
      <c r="B109" s="103" t="s">
        <v>1891</v>
      </c>
      <c r="C109" s="103" t="s">
        <v>1898</v>
      </c>
      <c r="D109" s="103" t="s">
        <v>2187</v>
      </c>
      <c r="E109" s="104">
        <v>1</v>
      </c>
      <c r="F109" s="103"/>
      <c r="G109" s="103"/>
      <c r="H109" s="102" t="s">
        <v>2188</v>
      </c>
      <c r="J109" s="111">
        <v>5.95</v>
      </c>
      <c r="K109" s="102" t="s">
        <v>1910</v>
      </c>
      <c r="M109" s="132"/>
    </row>
    <row r="110" spans="1:13" x14ac:dyDescent="0.3">
      <c r="A110" s="102" t="s">
        <v>897</v>
      </c>
      <c r="B110" s="102" t="s">
        <v>1891</v>
      </c>
      <c r="C110" s="102" t="s">
        <v>8</v>
      </c>
      <c r="D110" s="103" t="s">
        <v>763</v>
      </c>
      <c r="E110" s="104">
        <v>0</v>
      </c>
      <c r="F110" s="103" t="s">
        <v>764</v>
      </c>
      <c r="G110" s="103" t="s">
        <v>765</v>
      </c>
      <c r="H110" s="103" t="s">
        <v>766</v>
      </c>
      <c r="I110" s="103">
        <v>1</v>
      </c>
      <c r="J110" s="104">
        <v>1.95</v>
      </c>
      <c r="K110" s="103" t="s">
        <v>1910</v>
      </c>
      <c r="L110" s="103"/>
      <c r="M110" s="132">
        <f t="shared" si="5"/>
        <v>0</v>
      </c>
    </row>
    <row r="111" spans="1:13" x14ac:dyDescent="0.3">
      <c r="A111" s="102" t="s">
        <v>897</v>
      </c>
      <c r="B111" s="102" t="s">
        <v>1891</v>
      </c>
      <c r="C111" s="102" t="s">
        <v>8</v>
      </c>
      <c r="D111" s="103" t="s">
        <v>1304</v>
      </c>
      <c r="E111" s="104">
        <v>0</v>
      </c>
      <c r="F111" s="103" t="s">
        <v>1305</v>
      </c>
      <c r="G111" s="103" t="s">
        <v>1306</v>
      </c>
      <c r="H111" s="103" t="s">
        <v>1307</v>
      </c>
      <c r="I111" s="103">
        <v>1</v>
      </c>
      <c r="J111" s="104">
        <v>4.95</v>
      </c>
      <c r="K111" s="103" t="s">
        <v>1910</v>
      </c>
      <c r="L111" s="103"/>
      <c r="M111" s="132">
        <f t="shared" si="5"/>
        <v>0</v>
      </c>
    </row>
    <row r="112" spans="1:13" x14ac:dyDescent="0.3">
      <c r="A112" s="102" t="s">
        <v>897</v>
      </c>
      <c r="B112" s="102" t="s">
        <v>1891</v>
      </c>
      <c r="C112" s="102" t="s">
        <v>8</v>
      </c>
      <c r="D112" s="103" t="s">
        <v>783</v>
      </c>
      <c r="E112" s="104">
        <v>0</v>
      </c>
      <c r="F112" s="103" t="s">
        <v>784</v>
      </c>
      <c r="G112" s="103" t="s">
        <v>785</v>
      </c>
      <c r="H112" s="103" t="s">
        <v>786</v>
      </c>
      <c r="I112" s="103">
        <v>1</v>
      </c>
      <c r="J112" s="104">
        <v>0.95</v>
      </c>
      <c r="K112" s="103" t="s">
        <v>1910</v>
      </c>
      <c r="L112" s="103"/>
      <c r="M112" s="132">
        <f t="shared" si="5"/>
        <v>0</v>
      </c>
    </row>
    <row r="113" spans="1:13" x14ac:dyDescent="0.3">
      <c r="A113" s="103" t="s">
        <v>897</v>
      </c>
      <c r="B113" s="103" t="s">
        <v>1891</v>
      </c>
      <c r="C113" s="103" t="s">
        <v>1898</v>
      </c>
      <c r="D113" s="103" t="s">
        <v>2179</v>
      </c>
      <c r="E113" s="104">
        <v>1</v>
      </c>
      <c r="F113" s="103"/>
      <c r="G113" s="103"/>
      <c r="H113" s="102" t="s">
        <v>2180</v>
      </c>
      <c r="J113" s="111">
        <v>2.95</v>
      </c>
      <c r="K113" s="102" t="s">
        <v>1910</v>
      </c>
      <c r="M113" s="132"/>
    </row>
    <row r="114" spans="1:13" x14ac:dyDescent="0.3">
      <c r="A114" s="103" t="s">
        <v>897</v>
      </c>
      <c r="B114" s="103" t="s">
        <v>1892</v>
      </c>
      <c r="C114" s="103" t="s">
        <v>1898</v>
      </c>
      <c r="D114" s="103" t="s">
        <v>2177</v>
      </c>
      <c r="E114" s="104">
        <v>0</v>
      </c>
      <c r="F114" s="103"/>
      <c r="G114" s="103"/>
      <c r="H114" s="102" t="s">
        <v>2178</v>
      </c>
      <c r="J114" s="111">
        <v>0.95</v>
      </c>
      <c r="K114" s="102" t="s">
        <v>1910</v>
      </c>
      <c r="M114" s="132"/>
    </row>
    <row r="115" spans="1:13" x14ac:dyDescent="0.3">
      <c r="A115" s="103" t="s">
        <v>897</v>
      </c>
      <c r="B115" s="103" t="s">
        <v>1892</v>
      </c>
      <c r="C115" s="103" t="s">
        <v>1898</v>
      </c>
      <c r="D115" s="103" t="s">
        <v>2171</v>
      </c>
      <c r="E115" s="104">
        <v>1</v>
      </c>
      <c r="F115" s="103"/>
      <c r="G115" s="103"/>
      <c r="H115" s="102" t="s">
        <v>2172</v>
      </c>
      <c r="J115" s="111">
        <v>2.95</v>
      </c>
      <c r="K115" s="102" t="s">
        <v>1910</v>
      </c>
      <c r="M115" s="132"/>
    </row>
    <row r="116" spans="1:13" x14ac:dyDescent="0.3">
      <c r="A116" s="103" t="s">
        <v>897</v>
      </c>
      <c r="B116" s="103" t="s">
        <v>1892</v>
      </c>
      <c r="C116" s="103" t="s">
        <v>1898</v>
      </c>
      <c r="D116" s="103" t="s">
        <v>2173</v>
      </c>
      <c r="E116" s="104">
        <v>1</v>
      </c>
      <c r="F116" s="103"/>
      <c r="G116" s="103"/>
      <c r="H116" s="102" t="s">
        <v>2174</v>
      </c>
      <c r="J116" s="111">
        <v>7.95</v>
      </c>
      <c r="K116" s="102" t="s">
        <v>1910</v>
      </c>
      <c r="M116" s="132"/>
    </row>
    <row r="117" spans="1:13" x14ac:dyDescent="0.3">
      <c r="A117" s="103" t="s">
        <v>897</v>
      </c>
      <c r="B117" s="103" t="s">
        <v>1892</v>
      </c>
      <c r="C117" s="103" t="s">
        <v>1898</v>
      </c>
      <c r="D117" s="103" t="s">
        <v>2163</v>
      </c>
      <c r="E117" s="104">
        <v>1</v>
      </c>
      <c r="F117" s="103"/>
      <c r="G117" s="103"/>
      <c r="H117" s="102" t="s">
        <v>2164</v>
      </c>
      <c r="J117" s="111">
        <v>4.95</v>
      </c>
      <c r="K117" s="102" t="s">
        <v>1910</v>
      </c>
      <c r="M117" s="132"/>
    </row>
    <row r="118" spans="1:13" x14ac:dyDescent="0.3">
      <c r="A118" s="103" t="s">
        <v>897</v>
      </c>
      <c r="B118" s="103" t="s">
        <v>1892</v>
      </c>
      <c r="C118" s="103" t="s">
        <v>1898</v>
      </c>
      <c r="D118" s="103" t="s">
        <v>2161</v>
      </c>
      <c r="E118" s="104">
        <v>1</v>
      </c>
      <c r="F118" s="103"/>
      <c r="G118" s="103"/>
      <c r="H118" s="102" t="s">
        <v>2162</v>
      </c>
      <c r="J118" s="111">
        <v>5.95</v>
      </c>
      <c r="K118" s="102" t="s">
        <v>1910</v>
      </c>
      <c r="M118" s="132"/>
    </row>
    <row r="119" spans="1:13" x14ac:dyDescent="0.3">
      <c r="A119" s="103" t="s">
        <v>897</v>
      </c>
      <c r="B119" s="103" t="s">
        <v>1892</v>
      </c>
      <c r="C119" s="103" t="s">
        <v>1898</v>
      </c>
      <c r="D119" s="103" t="s">
        <v>2157</v>
      </c>
      <c r="E119" s="104">
        <v>0</v>
      </c>
      <c r="F119" s="103"/>
      <c r="G119" s="103"/>
      <c r="H119" s="102" t="s">
        <v>2158</v>
      </c>
      <c r="J119" s="111">
        <v>1.5</v>
      </c>
      <c r="K119" s="102" t="s">
        <v>1910</v>
      </c>
      <c r="M119" s="132"/>
    </row>
    <row r="120" spans="1:13" x14ac:dyDescent="0.3">
      <c r="A120" s="103" t="s">
        <v>897</v>
      </c>
      <c r="B120" s="103" t="s">
        <v>1892</v>
      </c>
      <c r="C120" s="103" t="s">
        <v>1898</v>
      </c>
      <c r="D120" s="103" t="s">
        <v>2159</v>
      </c>
      <c r="E120" s="104">
        <v>1</v>
      </c>
      <c r="F120" s="103"/>
      <c r="G120" s="103"/>
      <c r="H120" s="102" t="s">
        <v>2160</v>
      </c>
      <c r="J120" s="111">
        <v>7.95</v>
      </c>
      <c r="K120" s="102" t="s">
        <v>1910</v>
      </c>
      <c r="M120" s="132"/>
    </row>
    <row r="121" spans="1:13" x14ac:dyDescent="0.3">
      <c r="A121" s="103" t="s">
        <v>897</v>
      </c>
      <c r="B121" s="103" t="s">
        <v>1892</v>
      </c>
      <c r="C121" s="103" t="s">
        <v>1898</v>
      </c>
      <c r="D121" s="103" t="s">
        <v>2169</v>
      </c>
      <c r="E121" s="104">
        <v>0</v>
      </c>
      <c r="F121" s="103"/>
      <c r="G121" s="103"/>
      <c r="H121" s="102" t="s">
        <v>2170</v>
      </c>
      <c r="J121" s="111">
        <v>0</v>
      </c>
      <c r="K121" s="102" t="s">
        <v>1910</v>
      </c>
      <c r="M121" s="132"/>
    </row>
    <row r="122" spans="1:13" x14ac:dyDescent="0.3">
      <c r="A122" s="102" t="s">
        <v>897</v>
      </c>
      <c r="B122" s="102" t="s">
        <v>1892</v>
      </c>
      <c r="C122" s="102" t="s">
        <v>8</v>
      </c>
      <c r="D122" s="103" t="s">
        <v>767</v>
      </c>
      <c r="E122" s="104">
        <v>0</v>
      </c>
      <c r="F122" s="103" t="s">
        <v>768</v>
      </c>
      <c r="G122" s="103" t="s">
        <v>769</v>
      </c>
      <c r="H122" s="103" t="s">
        <v>770</v>
      </c>
      <c r="I122" s="103">
        <v>1</v>
      </c>
      <c r="J122" s="104">
        <v>0.5</v>
      </c>
      <c r="K122" s="103" t="s">
        <v>1910</v>
      </c>
      <c r="L122" s="103"/>
      <c r="M122" s="132">
        <f>E122*J122</f>
        <v>0</v>
      </c>
    </row>
    <row r="123" spans="1:13" x14ac:dyDescent="0.3">
      <c r="A123" s="102" t="s">
        <v>897</v>
      </c>
      <c r="B123" s="102" t="s">
        <v>1892</v>
      </c>
      <c r="C123" s="102" t="s">
        <v>8</v>
      </c>
      <c r="D123" s="103" t="s">
        <v>1535</v>
      </c>
      <c r="E123" s="104">
        <v>5</v>
      </c>
      <c r="F123" s="103" t="s">
        <v>1536</v>
      </c>
      <c r="G123" s="103" t="s">
        <v>1537</v>
      </c>
      <c r="H123" s="103" t="s">
        <v>1538</v>
      </c>
      <c r="I123" s="103">
        <v>1</v>
      </c>
      <c r="J123" s="104">
        <v>1.5</v>
      </c>
      <c r="K123" s="103" t="s">
        <v>1910</v>
      </c>
      <c r="L123" s="103"/>
      <c r="M123" s="132">
        <f>E123*J123</f>
        <v>7.5</v>
      </c>
    </row>
    <row r="124" spans="1:13" x14ac:dyDescent="0.3">
      <c r="A124" s="102" t="s">
        <v>897</v>
      </c>
      <c r="B124" s="102" t="s">
        <v>1892</v>
      </c>
      <c r="C124" s="102" t="s">
        <v>8</v>
      </c>
      <c r="D124" s="103" t="s">
        <v>1539</v>
      </c>
      <c r="E124" s="104">
        <v>5</v>
      </c>
      <c r="F124" s="103" t="s">
        <v>1540</v>
      </c>
      <c r="G124" s="103" t="s">
        <v>1541</v>
      </c>
      <c r="H124" s="103" t="s">
        <v>1542</v>
      </c>
      <c r="I124" s="103">
        <v>1</v>
      </c>
      <c r="J124" s="104">
        <v>1.5</v>
      </c>
      <c r="K124" s="103" t="s">
        <v>1910</v>
      </c>
      <c r="L124" s="103"/>
      <c r="M124" s="132">
        <f>E124*J124</f>
        <v>7.5</v>
      </c>
    </row>
    <row r="125" spans="1:13" x14ac:dyDescent="0.3">
      <c r="A125" s="118" t="s">
        <v>897</v>
      </c>
      <c r="B125" s="118" t="s">
        <v>1892</v>
      </c>
      <c r="C125" s="118" t="s">
        <v>1898</v>
      </c>
      <c r="D125" s="118" t="s">
        <v>2481</v>
      </c>
      <c r="E125" s="119">
        <v>0</v>
      </c>
      <c r="H125" s="118" t="s">
        <v>2480</v>
      </c>
      <c r="I125" s="120">
        <v>116</v>
      </c>
      <c r="J125" s="119">
        <v>0.95</v>
      </c>
      <c r="K125" s="102" t="s">
        <v>1910</v>
      </c>
      <c r="M125" s="132"/>
    </row>
    <row r="126" spans="1:13" x14ac:dyDescent="0.3">
      <c r="A126" s="102" t="s">
        <v>897</v>
      </c>
      <c r="B126" s="102" t="s">
        <v>1892</v>
      </c>
      <c r="C126" s="102" t="s">
        <v>8</v>
      </c>
      <c r="D126" s="103" t="s">
        <v>779</v>
      </c>
      <c r="E126" s="104">
        <v>0</v>
      </c>
      <c r="F126" s="103" t="s">
        <v>780</v>
      </c>
      <c r="G126" s="103" t="s">
        <v>781</v>
      </c>
      <c r="H126" s="103" t="s">
        <v>782</v>
      </c>
      <c r="I126" s="103">
        <v>1</v>
      </c>
      <c r="J126" s="104">
        <v>1</v>
      </c>
      <c r="K126" s="103" t="s">
        <v>1910</v>
      </c>
      <c r="L126" s="103"/>
      <c r="M126" s="132">
        <f>E126*J126</f>
        <v>0</v>
      </c>
    </row>
    <row r="127" spans="1:13" x14ac:dyDescent="0.3">
      <c r="A127" s="103" t="s">
        <v>897</v>
      </c>
      <c r="B127" s="103" t="s">
        <v>1892</v>
      </c>
      <c r="C127" s="103" t="s">
        <v>1898</v>
      </c>
      <c r="D127" s="103" t="s">
        <v>2165</v>
      </c>
      <c r="E127" s="104">
        <v>2</v>
      </c>
      <c r="F127" s="103"/>
      <c r="G127" s="103"/>
      <c r="H127" s="102" t="s">
        <v>2166</v>
      </c>
      <c r="J127" s="111">
        <v>0.95</v>
      </c>
      <c r="K127" s="102" t="s">
        <v>1910</v>
      </c>
      <c r="M127" s="132"/>
    </row>
    <row r="128" spans="1:13" x14ac:dyDescent="0.3">
      <c r="A128" s="103" t="s">
        <v>897</v>
      </c>
      <c r="B128" s="103" t="s">
        <v>1892</v>
      </c>
      <c r="C128" s="103" t="s">
        <v>1898</v>
      </c>
      <c r="D128" s="103" t="s">
        <v>2167</v>
      </c>
      <c r="E128" s="104">
        <v>1</v>
      </c>
      <c r="F128" s="103"/>
      <c r="G128" s="103"/>
      <c r="H128" s="102" t="s">
        <v>2168</v>
      </c>
      <c r="J128" s="111">
        <v>3.95</v>
      </c>
      <c r="K128" s="102" t="s">
        <v>1910</v>
      </c>
      <c r="M128" s="132"/>
    </row>
    <row r="129" spans="1:13" x14ac:dyDescent="0.3">
      <c r="A129" s="107" t="s">
        <v>897</v>
      </c>
      <c r="B129" s="107" t="s">
        <v>1890</v>
      </c>
      <c r="C129" s="107" t="s">
        <v>8</v>
      </c>
      <c r="D129" s="106" t="s">
        <v>823</v>
      </c>
      <c r="E129" s="104">
        <v>15</v>
      </c>
      <c r="F129" s="103" t="s">
        <v>824</v>
      </c>
      <c r="G129" s="103" t="s">
        <v>825</v>
      </c>
      <c r="H129" s="106" t="s">
        <v>826</v>
      </c>
      <c r="I129" s="103">
        <v>1</v>
      </c>
      <c r="J129" s="104">
        <v>1.95</v>
      </c>
      <c r="K129" s="106" t="s">
        <v>1910</v>
      </c>
      <c r="L129" s="103"/>
      <c r="M129" s="105">
        <f>E129*J129</f>
        <v>29.25</v>
      </c>
    </row>
    <row r="130" spans="1:13" x14ac:dyDescent="0.3">
      <c r="A130" s="107" t="s">
        <v>897</v>
      </c>
      <c r="B130" s="107" t="s">
        <v>1890</v>
      </c>
      <c r="C130" s="107" t="s">
        <v>8</v>
      </c>
      <c r="D130" s="106" t="s">
        <v>819</v>
      </c>
      <c r="E130" s="104">
        <v>0</v>
      </c>
      <c r="F130" s="103" t="s">
        <v>820</v>
      </c>
      <c r="G130" s="103" t="s">
        <v>821</v>
      </c>
      <c r="H130" s="106" t="s">
        <v>822</v>
      </c>
      <c r="I130" s="103">
        <v>1</v>
      </c>
      <c r="J130" s="104">
        <v>0.95</v>
      </c>
      <c r="K130" s="106" t="s">
        <v>1910</v>
      </c>
      <c r="L130" s="103"/>
      <c r="M130" s="105">
        <f>E130*J130</f>
        <v>0</v>
      </c>
    </row>
    <row r="131" spans="1:13" x14ac:dyDescent="0.3">
      <c r="A131" s="106" t="s">
        <v>897</v>
      </c>
      <c r="B131" s="106" t="s">
        <v>2025</v>
      </c>
      <c r="C131" s="106" t="s">
        <v>1898</v>
      </c>
      <c r="D131" s="106" t="s">
        <v>2205</v>
      </c>
      <c r="E131" s="104">
        <v>3</v>
      </c>
      <c r="F131" s="103"/>
      <c r="G131" s="103"/>
      <c r="H131" s="107" t="s">
        <v>2206</v>
      </c>
      <c r="J131" s="111">
        <v>1.95</v>
      </c>
      <c r="K131" s="107" t="s">
        <v>1910</v>
      </c>
    </row>
    <row r="132" spans="1:13" x14ac:dyDescent="0.3">
      <c r="A132" s="106" t="s">
        <v>897</v>
      </c>
      <c r="B132" s="106" t="s">
        <v>2025</v>
      </c>
      <c r="C132" s="106" t="s">
        <v>1898</v>
      </c>
      <c r="D132" s="106" t="s">
        <v>2195</v>
      </c>
      <c r="E132" s="104">
        <v>1</v>
      </c>
      <c r="F132" s="103"/>
      <c r="G132" s="103"/>
      <c r="H132" s="107" t="s">
        <v>2196</v>
      </c>
      <c r="J132" s="111">
        <v>3.95</v>
      </c>
      <c r="K132" s="107" t="s">
        <v>1910</v>
      </c>
    </row>
    <row r="133" spans="1:13" x14ac:dyDescent="0.3">
      <c r="A133" s="106" t="s">
        <v>897</v>
      </c>
      <c r="B133" s="106" t="s">
        <v>2025</v>
      </c>
      <c r="C133" s="106" t="s">
        <v>1898</v>
      </c>
      <c r="D133" s="106" t="s">
        <v>2203</v>
      </c>
      <c r="E133" s="104">
        <v>2</v>
      </c>
      <c r="F133" s="103"/>
      <c r="G133" s="103"/>
      <c r="H133" s="107" t="s">
        <v>2204</v>
      </c>
      <c r="J133" s="111">
        <v>1.95</v>
      </c>
      <c r="K133" s="107" t="s">
        <v>1910</v>
      </c>
    </row>
    <row r="134" spans="1:13" x14ac:dyDescent="0.3">
      <c r="A134" s="106" t="s">
        <v>897</v>
      </c>
      <c r="B134" s="106" t="s">
        <v>2025</v>
      </c>
      <c r="C134" s="106" t="s">
        <v>1898</v>
      </c>
      <c r="D134" s="106" t="s">
        <v>2197</v>
      </c>
      <c r="E134" s="104">
        <v>1</v>
      </c>
      <c r="F134" s="103"/>
      <c r="G134" s="103"/>
      <c r="H134" s="107" t="s">
        <v>2198</v>
      </c>
      <c r="J134" s="111">
        <v>2.95</v>
      </c>
      <c r="K134" s="107" t="s">
        <v>1910</v>
      </c>
    </row>
    <row r="135" spans="1:13" x14ac:dyDescent="0.3">
      <c r="A135" s="106" t="s">
        <v>897</v>
      </c>
      <c r="B135" s="106" t="s">
        <v>2025</v>
      </c>
      <c r="C135" s="106" t="s">
        <v>1898</v>
      </c>
      <c r="D135" s="106" t="s">
        <v>2199</v>
      </c>
      <c r="E135" s="104">
        <v>6</v>
      </c>
      <c r="F135" s="103"/>
      <c r="G135" s="103"/>
      <c r="H135" s="107" t="s">
        <v>2200</v>
      </c>
      <c r="J135" s="111">
        <v>2.95</v>
      </c>
      <c r="K135" s="107" t="s">
        <v>1910</v>
      </c>
    </row>
    <row r="136" spans="1:13" x14ac:dyDescent="0.3">
      <c r="A136" s="106" t="s">
        <v>897</v>
      </c>
      <c r="B136" s="106" t="s">
        <v>2025</v>
      </c>
      <c r="C136" s="106" t="s">
        <v>1898</v>
      </c>
      <c r="D136" s="106" t="s">
        <v>2201</v>
      </c>
      <c r="E136" s="104">
        <v>6</v>
      </c>
      <c r="F136" s="103"/>
      <c r="G136" s="103"/>
      <c r="H136" s="107" t="s">
        <v>2202</v>
      </c>
      <c r="J136" s="111">
        <v>3.95</v>
      </c>
      <c r="K136" s="107" t="s">
        <v>1910</v>
      </c>
    </row>
    <row r="137" spans="1:13" x14ac:dyDescent="0.3">
      <c r="A137" s="107" t="s">
        <v>897</v>
      </c>
      <c r="B137" s="107" t="s">
        <v>2434</v>
      </c>
      <c r="C137" s="107" t="s">
        <v>8</v>
      </c>
      <c r="D137" s="106" t="s">
        <v>595</v>
      </c>
      <c r="E137" s="104">
        <v>0</v>
      </c>
      <c r="F137" s="103" t="s">
        <v>596</v>
      </c>
      <c r="G137" s="103" t="s">
        <v>597</v>
      </c>
      <c r="H137" s="106" t="s">
        <v>598</v>
      </c>
      <c r="I137" s="103">
        <v>1</v>
      </c>
      <c r="J137" s="104">
        <v>0.95</v>
      </c>
      <c r="K137" s="106" t="s">
        <v>1910</v>
      </c>
      <c r="L137" s="103" t="s">
        <v>2399</v>
      </c>
      <c r="M137" s="105">
        <f>E137*J137</f>
        <v>0</v>
      </c>
    </row>
    <row r="138" spans="1:13" x14ac:dyDescent="0.3">
      <c r="A138" s="107" t="s">
        <v>897</v>
      </c>
      <c r="B138" s="107" t="s">
        <v>2434</v>
      </c>
      <c r="C138" s="107" t="s">
        <v>8</v>
      </c>
      <c r="D138" s="106" t="s">
        <v>591</v>
      </c>
      <c r="E138" s="104">
        <v>0</v>
      </c>
      <c r="F138" s="103" t="s">
        <v>592</v>
      </c>
      <c r="G138" s="103" t="s">
        <v>593</v>
      </c>
      <c r="H138" s="106" t="s">
        <v>594</v>
      </c>
      <c r="I138" s="103">
        <v>1</v>
      </c>
      <c r="J138" s="104">
        <v>0.95</v>
      </c>
      <c r="K138" s="106" t="s">
        <v>1910</v>
      </c>
      <c r="L138" s="103" t="s">
        <v>2399</v>
      </c>
      <c r="M138" s="105">
        <f>E138*J138</f>
        <v>0</v>
      </c>
    </row>
    <row r="139" spans="1:13" x14ac:dyDescent="0.3">
      <c r="A139" s="107" t="s">
        <v>897</v>
      </c>
      <c r="B139" s="107" t="s">
        <v>2434</v>
      </c>
      <c r="C139" s="107" t="s">
        <v>8</v>
      </c>
      <c r="D139" s="106" t="s">
        <v>511</v>
      </c>
      <c r="E139" s="104">
        <v>10</v>
      </c>
      <c r="F139" s="103" t="s">
        <v>512</v>
      </c>
      <c r="G139" s="103" t="s">
        <v>513</v>
      </c>
      <c r="H139" s="106" t="s">
        <v>514</v>
      </c>
      <c r="I139" s="103">
        <v>1</v>
      </c>
      <c r="J139" s="104">
        <v>0.95</v>
      </c>
      <c r="K139" s="106" t="s">
        <v>1911</v>
      </c>
      <c r="L139" s="103" t="s">
        <v>2399</v>
      </c>
      <c r="M139" s="105">
        <f>E139*J139</f>
        <v>9.5</v>
      </c>
    </row>
    <row r="140" spans="1:13" x14ac:dyDescent="0.3">
      <c r="A140" s="107" t="s">
        <v>897</v>
      </c>
      <c r="B140" s="107" t="s">
        <v>2434</v>
      </c>
      <c r="C140" s="107" t="s">
        <v>8</v>
      </c>
      <c r="D140" s="106" t="s">
        <v>1353</v>
      </c>
      <c r="E140" s="104">
        <v>5</v>
      </c>
      <c r="F140" s="103" t="s">
        <v>1354</v>
      </c>
      <c r="G140" s="103" t="s">
        <v>1355</v>
      </c>
      <c r="H140" s="106" t="s">
        <v>1356</v>
      </c>
      <c r="I140" s="103">
        <v>1</v>
      </c>
      <c r="J140" s="104">
        <v>1.5</v>
      </c>
      <c r="K140" s="106" t="s">
        <v>1911</v>
      </c>
      <c r="L140" s="103" t="s">
        <v>2399</v>
      </c>
      <c r="M140" s="105">
        <f>E140*J140</f>
        <v>7.5</v>
      </c>
    </row>
    <row r="141" spans="1:13" x14ac:dyDescent="0.3">
      <c r="A141" s="107" t="s">
        <v>897</v>
      </c>
      <c r="B141" s="107" t="s">
        <v>2434</v>
      </c>
      <c r="C141" s="107" t="s">
        <v>8</v>
      </c>
      <c r="D141" s="106" t="s">
        <v>485</v>
      </c>
      <c r="E141" s="104">
        <v>10</v>
      </c>
      <c r="F141" s="103" t="s">
        <v>486</v>
      </c>
      <c r="G141" s="103" t="s">
        <v>487</v>
      </c>
      <c r="H141" s="106" t="s">
        <v>488</v>
      </c>
      <c r="I141" s="103"/>
      <c r="J141" s="104">
        <v>1.5</v>
      </c>
      <c r="K141" s="106" t="s">
        <v>1911</v>
      </c>
      <c r="L141" s="103" t="s">
        <v>2399</v>
      </c>
      <c r="M141" s="105">
        <f>E141*J141</f>
        <v>15</v>
      </c>
    </row>
    <row r="142" spans="1:13" x14ac:dyDescent="0.3">
      <c r="A142" s="106" t="s">
        <v>897</v>
      </c>
      <c r="B142" s="106" t="s">
        <v>2434</v>
      </c>
      <c r="C142" s="106" t="s">
        <v>1898</v>
      </c>
      <c r="D142" s="106" t="s">
        <v>2209</v>
      </c>
      <c r="E142" s="104">
        <v>5</v>
      </c>
      <c r="F142" s="103"/>
      <c r="G142" s="103"/>
      <c r="H142" s="107" t="s">
        <v>2210</v>
      </c>
      <c r="J142" s="111">
        <v>2.95</v>
      </c>
      <c r="K142" s="107" t="s">
        <v>1911</v>
      </c>
      <c r="L142" s="105" t="s">
        <v>2399</v>
      </c>
    </row>
    <row r="143" spans="1:13" x14ac:dyDescent="0.3">
      <c r="A143" s="106" t="s">
        <v>897</v>
      </c>
      <c r="B143" s="106" t="s">
        <v>2434</v>
      </c>
      <c r="C143" s="106" t="s">
        <v>1898</v>
      </c>
      <c r="D143" s="106" t="s">
        <v>2211</v>
      </c>
      <c r="E143" s="104">
        <v>0</v>
      </c>
      <c r="F143" s="103"/>
      <c r="G143" s="103"/>
      <c r="H143" s="107" t="s">
        <v>2212</v>
      </c>
      <c r="J143" s="111">
        <v>0.75</v>
      </c>
      <c r="K143" s="107" t="s">
        <v>1910</v>
      </c>
      <c r="L143" s="105" t="s">
        <v>2399</v>
      </c>
    </row>
    <row r="144" spans="1:13" x14ac:dyDescent="0.3">
      <c r="A144" s="107" t="s">
        <v>897</v>
      </c>
      <c r="B144" s="107" t="s">
        <v>2435</v>
      </c>
      <c r="C144" s="107" t="s">
        <v>8</v>
      </c>
      <c r="D144" s="106" t="s">
        <v>1819</v>
      </c>
      <c r="E144" s="104">
        <v>5</v>
      </c>
      <c r="F144" s="103" t="s">
        <v>1820</v>
      </c>
      <c r="G144" s="103" t="s">
        <v>1821</v>
      </c>
      <c r="H144" s="106" t="s">
        <v>1822</v>
      </c>
      <c r="I144" s="103"/>
      <c r="J144" s="104">
        <v>1.5</v>
      </c>
      <c r="K144" s="106" t="s">
        <v>1911</v>
      </c>
      <c r="L144" s="103" t="s">
        <v>2398</v>
      </c>
      <c r="M144" s="105">
        <f>E144*J144</f>
        <v>7.5</v>
      </c>
    </row>
    <row r="145" spans="1:13" x14ac:dyDescent="0.3">
      <c r="A145" s="107" t="s">
        <v>897</v>
      </c>
      <c r="B145" s="107" t="s">
        <v>2435</v>
      </c>
      <c r="C145" s="107" t="s">
        <v>8</v>
      </c>
      <c r="D145" s="106" t="s">
        <v>1811</v>
      </c>
      <c r="E145" s="104">
        <v>0</v>
      </c>
      <c r="F145" s="103" t="s">
        <v>1812</v>
      </c>
      <c r="G145" s="103" t="s">
        <v>1813</v>
      </c>
      <c r="H145" s="106" t="s">
        <v>1814</v>
      </c>
      <c r="I145" s="103"/>
      <c r="J145" s="104">
        <v>2.95</v>
      </c>
      <c r="K145" s="106" t="s">
        <v>1910</v>
      </c>
      <c r="L145" s="103" t="s">
        <v>2398</v>
      </c>
      <c r="M145" s="105">
        <f>E145*J145</f>
        <v>0</v>
      </c>
    </row>
    <row r="146" spans="1:13" x14ac:dyDescent="0.3">
      <c r="A146" s="107" t="s">
        <v>897</v>
      </c>
      <c r="B146" s="107" t="s">
        <v>2435</v>
      </c>
      <c r="C146" s="107" t="s">
        <v>8</v>
      </c>
      <c r="D146" s="106" t="s">
        <v>1803</v>
      </c>
      <c r="E146" s="104">
        <v>0</v>
      </c>
      <c r="F146" s="103" t="s">
        <v>1804</v>
      </c>
      <c r="G146" s="103" t="s">
        <v>1805</v>
      </c>
      <c r="H146" s="106" t="s">
        <v>1806</v>
      </c>
      <c r="I146" s="103"/>
      <c r="J146" s="104">
        <v>1.5</v>
      </c>
      <c r="K146" s="106" t="s">
        <v>1910</v>
      </c>
      <c r="L146" s="103" t="s">
        <v>2398</v>
      </c>
      <c r="M146" s="105">
        <f>E146*J146</f>
        <v>0</v>
      </c>
    </row>
    <row r="147" spans="1:13" x14ac:dyDescent="0.3">
      <c r="A147" s="107" t="s">
        <v>897</v>
      </c>
      <c r="B147" s="107" t="s">
        <v>2435</v>
      </c>
      <c r="C147" s="107" t="s">
        <v>8</v>
      </c>
      <c r="D147" s="106" t="s">
        <v>1815</v>
      </c>
      <c r="E147" s="104">
        <v>0</v>
      </c>
      <c r="F147" s="103" t="s">
        <v>1816</v>
      </c>
      <c r="G147" s="103" t="s">
        <v>1817</v>
      </c>
      <c r="H147" s="106" t="s">
        <v>1818</v>
      </c>
      <c r="I147" s="103">
        <v>1</v>
      </c>
      <c r="J147" s="104">
        <v>2.95</v>
      </c>
      <c r="K147" s="106" t="s">
        <v>1910</v>
      </c>
      <c r="L147" s="103" t="s">
        <v>2398</v>
      </c>
      <c r="M147" s="105">
        <f>E147*J147</f>
        <v>0</v>
      </c>
    </row>
    <row r="148" spans="1:13" x14ac:dyDescent="0.3">
      <c r="A148" s="107" t="s">
        <v>897</v>
      </c>
      <c r="B148" s="107" t="s">
        <v>2435</v>
      </c>
      <c r="C148" s="107" t="s">
        <v>8</v>
      </c>
      <c r="D148" s="106" t="s">
        <v>2430</v>
      </c>
      <c r="E148" s="104">
        <v>0</v>
      </c>
      <c r="F148" s="103" t="s">
        <v>2431</v>
      </c>
      <c r="G148" s="103" t="s">
        <v>2432</v>
      </c>
      <c r="H148" s="106" t="s">
        <v>2433</v>
      </c>
      <c r="I148" s="103">
        <v>1</v>
      </c>
      <c r="J148" s="104">
        <v>0.95</v>
      </c>
      <c r="K148" s="107" t="s">
        <v>1910</v>
      </c>
      <c r="L148" s="105" t="s">
        <v>2398</v>
      </c>
    </row>
    <row r="149" spans="1:13" x14ac:dyDescent="0.3">
      <c r="A149" s="106" t="s">
        <v>897</v>
      </c>
      <c r="B149" s="106" t="s">
        <v>2436</v>
      </c>
      <c r="C149" s="106" t="s">
        <v>1898</v>
      </c>
      <c r="D149" s="106" t="s">
        <v>2207</v>
      </c>
      <c r="E149" s="104">
        <v>0</v>
      </c>
      <c r="F149" s="103"/>
      <c r="G149" s="103"/>
      <c r="H149" s="107" t="s">
        <v>2208</v>
      </c>
      <c r="J149" s="111">
        <v>1.5</v>
      </c>
      <c r="K149" s="107" t="s">
        <v>1913</v>
      </c>
      <c r="L149" s="105" t="s">
        <v>2399</v>
      </c>
    </row>
    <row r="150" spans="1:13" x14ac:dyDescent="0.3">
      <c r="A150" s="107" t="s">
        <v>897</v>
      </c>
      <c r="B150" s="107" t="s">
        <v>1611</v>
      </c>
      <c r="C150" s="107" t="s">
        <v>8</v>
      </c>
      <c r="D150" s="106" t="s">
        <v>519</v>
      </c>
      <c r="E150" s="104">
        <v>5</v>
      </c>
      <c r="F150" s="103" t="s">
        <v>520</v>
      </c>
      <c r="G150" s="103" t="s">
        <v>521</v>
      </c>
      <c r="H150" s="106" t="s">
        <v>522</v>
      </c>
      <c r="I150" s="103">
        <v>1</v>
      </c>
      <c r="J150" s="104">
        <v>1.5</v>
      </c>
      <c r="K150" s="106" t="s">
        <v>1910</v>
      </c>
      <c r="L150" s="103" t="s">
        <v>2399</v>
      </c>
      <c r="M150" s="105">
        <f>E150*J150</f>
        <v>7.5</v>
      </c>
    </row>
    <row r="151" spans="1:13" x14ac:dyDescent="0.3">
      <c r="A151" s="107" t="s">
        <v>897</v>
      </c>
      <c r="B151" s="107" t="s">
        <v>1611</v>
      </c>
      <c r="C151" s="107" t="s">
        <v>8</v>
      </c>
      <c r="D151" s="106" t="s">
        <v>583</v>
      </c>
      <c r="E151" s="104">
        <v>0</v>
      </c>
      <c r="F151" s="103" t="s">
        <v>584</v>
      </c>
      <c r="G151" s="103" t="s">
        <v>585</v>
      </c>
      <c r="H151" s="106" t="s">
        <v>586</v>
      </c>
      <c r="I151" s="103">
        <v>1</v>
      </c>
      <c r="J151" s="104">
        <v>1.5</v>
      </c>
      <c r="K151" s="106" t="s">
        <v>1910</v>
      </c>
      <c r="L151" s="103" t="s">
        <v>2399</v>
      </c>
      <c r="M151" s="105">
        <f>E151*J151</f>
        <v>0</v>
      </c>
    </row>
    <row r="152" spans="1:13" x14ac:dyDescent="0.3">
      <c r="A152" s="107" t="s">
        <v>897</v>
      </c>
      <c r="B152" s="107" t="s">
        <v>1611</v>
      </c>
      <c r="C152" s="107" t="s">
        <v>8</v>
      </c>
      <c r="D152" s="106" t="s">
        <v>1751</v>
      </c>
      <c r="E152" s="104">
        <v>0</v>
      </c>
      <c r="F152" s="103" t="s">
        <v>1752</v>
      </c>
      <c r="G152" s="103" t="s">
        <v>1753</v>
      </c>
      <c r="H152" s="106" t="s">
        <v>1754</v>
      </c>
      <c r="I152" s="103">
        <v>1</v>
      </c>
      <c r="J152" s="104">
        <v>1.5</v>
      </c>
      <c r="K152" s="106" t="s">
        <v>1910</v>
      </c>
      <c r="L152" s="103" t="s">
        <v>2399</v>
      </c>
      <c r="M152" s="105">
        <f>E152*J152</f>
        <v>0</v>
      </c>
    </row>
    <row r="153" spans="1:13" x14ac:dyDescent="0.3">
      <c r="A153" s="118" t="s">
        <v>897</v>
      </c>
      <c r="B153" s="118" t="s">
        <v>1611</v>
      </c>
      <c r="C153" s="118" t="s">
        <v>1898</v>
      </c>
      <c r="D153" s="118" t="s">
        <v>2463</v>
      </c>
      <c r="E153" s="119">
        <v>0</v>
      </c>
      <c r="H153" s="118" t="s">
        <v>2462</v>
      </c>
      <c r="I153" s="120">
        <v>107</v>
      </c>
      <c r="J153" s="119">
        <v>1.95</v>
      </c>
      <c r="K153" s="102" t="s">
        <v>1910</v>
      </c>
    </row>
    <row r="154" spans="1:13" x14ac:dyDescent="0.3">
      <c r="A154" s="118" t="s">
        <v>897</v>
      </c>
      <c r="B154" s="118" t="s">
        <v>2436</v>
      </c>
      <c r="C154" s="118" t="s">
        <v>1898</v>
      </c>
      <c r="D154" s="118" t="s">
        <v>2450</v>
      </c>
      <c r="E154" s="119">
        <v>0</v>
      </c>
      <c r="H154" s="118" t="s">
        <v>2449</v>
      </c>
      <c r="I154" s="120">
        <v>100</v>
      </c>
      <c r="J154" s="119">
        <v>0.75</v>
      </c>
      <c r="K154" s="102" t="s">
        <v>1910</v>
      </c>
    </row>
    <row r="155" spans="1:13" x14ac:dyDescent="0.3">
      <c r="A155" s="118" t="s">
        <v>897</v>
      </c>
      <c r="B155" s="118" t="s">
        <v>2434</v>
      </c>
      <c r="C155" s="118" t="s">
        <v>1898</v>
      </c>
      <c r="D155" s="118" t="s">
        <v>2452</v>
      </c>
      <c r="E155" s="119">
        <v>0</v>
      </c>
      <c r="H155" s="118" t="s">
        <v>2451</v>
      </c>
      <c r="I155" s="120">
        <v>101</v>
      </c>
      <c r="J155" s="119">
        <v>0.75</v>
      </c>
      <c r="K155" s="102" t="s">
        <v>1910</v>
      </c>
    </row>
    <row r="156" spans="1:13" x14ac:dyDescent="0.3">
      <c r="A156" s="118" t="s">
        <v>897</v>
      </c>
      <c r="B156" s="118" t="s">
        <v>2434</v>
      </c>
      <c r="C156" s="118" t="s">
        <v>1898</v>
      </c>
      <c r="D156" s="118" t="s">
        <v>2146</v>
      </c>
      <c r="E156" s="119">
        <v>0</v>
      </c>
      <c r="H156" s="118" t="s">
        <v>2453</v>
      </c>
      <c r="I156" s="120">
        <v>102</v>
      </c>
      <c r="J156" s="119">
        <v>0.75</v>
      </c>
      <c r="K156" s="102" t="s">
        <v>1910</v>
      </c>
    </row>
    <row r="157" spans="1:13" x14ac:dyDescent="0.3">
      <c r="A157" s="107" t="s">
        <v>897</v>
      </c>
      <c r="B157" s="107" t="s">
        <v>1883</v>
      </c>
      <c r="C157" s="107" t="s">
        <v>8</v>
      </c>
      <c r="D157" s="106" t="s">
        <v>1755</v>
      </c>
      <c r="E157" s="104">
        <v>10</v>
      </c>
      <c r="F157" s="103" t="s">
        <v>1756</v>
      </c>
      <c r="G157" s="103" t="s">
        <v>1757</v>
      </c>
      <c r="H157" s="106" t="s">
        <v>1758</v>
      </c>
      <c r="I157" s="103"/>
      <c r="J157" s="104">
        <v>0.95</v>
      </c>
      <c r="K157" s="106" t="s">
        <v>1910</v>
      </c>
      <c r="L157" s="103"/>
      <c r="M157" s="105">
        <f t="shared" ref="M157:M197" si="6">E157*J157</f>
        <v>9.5</v>
      </c>
    </row>
    <row r="158" spans="1:13" x14ac:dyDescent="0.3">
      <c r="A158" s="107" t="s">
        <v>897</v>
      </c>
      <c r="B158" s="107" t="s">
        <v>1883</v>
      </c>
      <c r="C158" s="107" t="s">
        <v>8</v>
      </c>
      <c r="D158" s="106" t="s">
        <v>1767</v>
      </c>
      <c r="E158" s="104">
        <v>10</v>
      </c>
      <c r="F158" s="103" t="s">
        <v>1768</v>
      </c>
      <c r="G158" s="103" t="s">
        <v>1769</v>
      </c>
      <c r="H158" s="106" t="s">
        <v>1770</v>
      </c>
      <c r="I158" s="103">
        <v>1</v>
      </c>
      <c r="J158" s="104">
        <v>1.95</v>
      </c>
      <c r="K158" s="106" t="s">
        <v>1910</v>
      </c>
      <c r="L158" s="103"/>
      <c r="M158" s="105">
        <f t="shared" si="6"/>
        <v>19.5</v>
      </c>
    </row>
    <row r="159" spans="1:13" x14ac:dyDescent="0.3">
      <c r="A159" s="107" t="s">
        <v>897</v>
      </c>
      <c r="B159" s="107" t="s">
        <v>1608</v>
      </c>
      <c r="C159" s="107" t="s">
        <v>8</v>
      </c>
      <c r="D159" s="106" t="s">
        <v>469</v>
      </c>
      <c r="E159" s="104">
        <v>0</v>
      </c>
      <c r="F159" s="103" t="s">
        <v>470</v>
      </c>
      <c r="G159" s="103" t="s">
        <v>471</v>
      </c>
      <c r="H159" s="106" t="s">
        <v>472</v>
      </c>
      <c r="I159" s="103">
        <v>1</v>
      </c>
      <c r="J159" s="104">
        <v>1.5</v>
      </c>
      <c r="K159" s="106" t="s">
        <v>1910</v>
      </c>
      <c r="L159" s="103"/>
      <c r="M159" s="105">
        <f t="shared" si="6"/>
        <v>0</v>
      </c>
    </row>
    <row r="160" spans="1:13" x14ac:dyDescent="0.3">
      <c r="A160" s="107" t="s">
        <v>897</v>
      </c>
      <c r="B160" s="107" t="s">
        <v>1608</v>
      </c>
      <c r="C160" s="107" t="s">
        <v>8</v>
      </c>
      <c r="D160" s="106" t="s">
        <v>465</v>
      </c>
      <c r="E160" s="104">
        <v>0</v>
      </c>
      <c r="F160" s="103" t="s">
        <v>466</v>
      </c>
      <c r="G160" s="103" t="s">
        <v>467</v>
      </c>
      <c r="H160" s="106" t="s">
        <v>468</v>
      </c>
      <c r="I160" s="103">
        <v>1</v>
      </c>
      <c r="J160" s="104">
        <v>0.95</v>
      </c>
      <c r="K160" s="106" t="s">
        <v>1910</v>
      </c>
      <c r="L160" s="103"/>
      <c r="M160" s="105">
        <f t="shared" si="6"/>
        <v>0</v>
      </c>
    </row>
    <row r="161" spans="1:13" x14ac:dyDescent="0.3">
      <c r="A161" s="107" t="s">
        <v>897</v>
      </c>
      <c r="B161" s="107" t="s">
        <v>1608</v>
      </c>
      <c r="C161" s="107" t="s">
        <v>8</v>
      </c>
      <c r="D161" s="106" t="s">
        <v>587</v>
      </c>
      <c r="E161" s="104">
        <v>0</v>
      </c>
      <c r="F161" s="103" t="s">
        <v>588</v>
      </c>
      <c r="G161" s="103" t="s">
        <v>589</v>
      </c>
      <c r="H161" s="106" t="s">
        <v>590</v>
      </c>
      <c r="I161" s="103"/>
      <c r="J161" s="104">
        <v>1.5</v>
      </c>
      <c r="K161" s="106" t="s">
        <v>1910</v>
      </c>
      <c r="L161" s="103"/>
      <c r="M161" s="105">
        <f t="shared" si="6"/>
        <v>0</v>
      </c>
    </row>
    <row r="162" spans="1:13" x14ac:dyDescent="0.3">
      <c r="A162" s="107" t="s">
        <v>897</v>
      </c>
      <c r="B162" s="107" t="s">
        <v>1608</v>
      </c>
      <c r="C162" s="107" t="s">
        <v>8</v>
      </c>
      <c r="D162" s="106" t="s">
        <v>575</v>
      </c>
      <c r="E162" s="104">
        <v>0</v>
      </c>
      <c r="F162" s="103" t="s">
        <v>576</v>
      </c>
      <c r="G162" s="103" t="s">
        <v>577</v>
      </c>
      <c r="H162" s="106" t="s">
        <v>578</v>
      </c>
      <c r="I162" s="103"/>
      <c r="J162" s="104">
        <v>1.95</v>
      </c>
      <c r="K162" s="106" t="s">
        <v>1910</v>
      </c>
      <c r="L162" s="103"/>
      <c r="M162" s="105">
        <f t="shared" si="6"/>
        <v>0</v>
      </c>
    </row>
    <row r="163" spans="1:13" x14ac:dyDescent="0.3">
      <c r="A163" s="107" t="s">
        <v>897</v>
      </c>
      <c r="B163" s="107" t="s">
        <v>1608</v>
      </c>
      <c r="C163" s="107" t="s">
        <v>8</v>
      </c>
      <c r="D163" s="106" t="s">
        <v>539</v>
      </c>
      <c r="E163" s="104">
        <v>0</v>
      </c>
      <c r="F163" s="103" t="s">
        <v>540</v>
      </c>
      <c r="G163" s="103" t="s">
        <v>541</v>
      </c>
      <c r="H163" s="106" t="s">
        <v>542</v>
      </c>
      <c r="I163" s="103">
        <v>1</v>
      </c>
      <c r="J163" s="104">
        <v>1.5</v>
      </c>
      <c r="K163" s="106" t="s">
        <v>1910</v>
      </c>
      <c r="L163" s="103"/>
      <c r="M163" s="105">
        <f t="shared" si="6"/>
        <v>0</v>
      </c>
    </row>
    <row r="164" spans="1:13" x14ac:dyDescent="0.3">
      <c r="A164" s="107" t="s">
        <v>897</v>
      </c>
      <c r="B164" s="107" t="s">
        <v>1608</v>
      </c>
      <c r="C164" s="107" t="s">
        <v>8</v>
      </c>
      <c r="D164" s="106" t="s">
        <v>499</v>
      </c>
      <c r="E164" s="104">
        <v>0</v>
      </c>
      <c r="F164" s="103" t="s">
        <v>500</v>
      </c>
      <c r="G164" s="103" t="s">
        <v>501</v>
      </c>
      <c r="H164" s="106" t="s">
        <v>502</v>
      </c>
      <c r="I164" s="103"/>
      <c r="J164" s="104">
        <v>1.5</v>
      </c>
      <c r="K164" s="106" t="s">
        <v>1910</v>
      </c>
      <c r="L164" s="103"/>
      <c r="M164" s="105">
        <f t="shared" si="6"/>
        <v>0</v>
      </c>
    </row>
    <row r="165" spans="1:13" x14ac:dyDescent="0.3">
      <c r="A165" s="107" t="s">
        <v>897</v>
      </c>
      <c r="B165" s="107" t="s">
        <v>1608</v>
      </c>
      <c r="C165" s="107" t="s">
        <v>8</v>
      </c>
      <c r="D165" s="106" t="s">
        <v>535</v>
      </c>
      <c r="E165" s="104">
        <v>0</v>
      </c>
      <c r="F165" s="103" t="s">
        <v>536</v>
      </c>
      <c r="G165" s="103" t="s">
        <v>537</v>
      </c>
      <c r="H165" s="106" t="s">
        <v>538</v>
      </c>
      <c r="I165" s="103"/>
      <c r="J165" s="104">
        <v>1.5</v>
      </c>
      <c r="K165" s="106" t="s">
        <v>1910</v>
      </c>
      <c r="L165" s="103"/>
      <c r="M165" s="105">
        <f t="shared" si="6"/>
        <v>0</v>
      </c>
    </row>
    <row r="166" spans="1:13" x14ac:dyDescent="0.3">
      <c r="A166" s="107" t="s">
        <v>897</v>
      </c>
      <c r="B166" s="107" t="s">
        <v>1608</v>
      </c>
      <c r="C166" s="107" t="s">
        <v>8</v>
      </c>
      <c r="D166" s="106" t="s">
        <v>503</v>
      </c>
      <c r="E166" s="104">
        <v>0</v>
      </c>
      <c r="F166" s="103" t="s">
        <v>504</v>
      </c>
      <c r="G166" s="103" t="s">
        <v>505</v>
      </c>
      <c r="H166" s="106" t="s">
        <v>506</v>
      </c>
      <c r="I166" s="103"/>
      <c r="J166" s="104">
        <v>1.95</v>
      </c>
      <c r="K166" s="106" t="s">
        <v>1910</v>
      </c>
      <c r="L166" s="103"/>
      <c r="M166" s="105">
        <f t="shared" si="6"/>
        <v>0</v>
      </c>
    </row>
    <row r="167" spans="1:13" x14ac:dyDescent="0.3">
      <c r="A167" s="107" t="s">
        <v>897</v>
      </c>
      <c r="B167" s="107" t="s">
        <v>1608</v>
      </c>
      <c r="C167" s="107" t="s">
        <v>8</v>
      </c>
      <c r="D167" s="106" t="s">
        <v>507</v>
      </c>
      <c r="E167" s="104">
        <v>0</v>
      </c>
      <c r="F167" s="103" t="s">
        <v>508</v>
      </c>
      <c r="G167" s="103" t="s">
        <v>509</v>
      </c>
      <c r="H167" s="106" t="s">
        <v>510</v>
      </c>
      <c r="I167" s="103"/>
      <c r="J167" s="104">
        <v>1.5</v>
      </c>
      <c r="K167" s="106" t="s">
        <v>1910</v>
      </c>
      <c r="L167" s="103"/>
      <c r="M167" s="105">
        <f t="shared" si="6"/>
        <v>0</v>
      </c>
    </row>
    <row r="168" spans="1:13" x14ac:dyDescent="0.3">
      <c r="A168" s="107" t="s">
        <v>897</v>
      </c>
      <c r="B168" s="107" t="s">
        <v>1608</v>
      </c>
      <c r="C168" s="107" t="s">
        <v>8</v>
      </c>
      <c r="D168" s="106" t="s">
        <v>547</v>
      </c>
      <c r="E168" s="104">
        <v>0</v>
      </c>
      <c r="F168" s="103" t="s">
        <v>548</v>
      </c>
      <c r="G168" s="103" t="s">
        <v>549</v>
      </c>
      <c r="H168" s="106" t="s">
        <v>550</v>
      </c>
      <c r="I168" s="103">
        <v>1</v>
      </c>
      <c r="J168" s="104">
        <v>1.95</v>
      </c>
      <c r="K168" s="106" t="s">
        <v>1910</v>
      </c>
      <c r="L168" s="103"/>
      <c r="M168" s="105">
        <f t="shared" si="6"/>
        <v>0</v>
      </c>
    </row>
    <row r="169" spans="1:13" x14ac:dyDescent="0.3">
      <c r="A169" s="107" t="s">
        <v>897</v>
      </c>
      <c r="B169" s="107" t="s">
        <v>1608</v>
      </c>
      <c r="C169" s="107" t="s">
        <v>8</v>
      </c>
      <c r="D169" s="106" t="s">
        <v>551</v>
      </c>
      <c r="E169" s="104">
        <v>0</v>
      </c>
      <c r="F169" s="103" t="s">
        <v>552</v>
      </c>
      <c r="G169" s="103" t="s">
        <v>553</v>
      </c>
      <c r="H169" s="106" t="s">
        <v>554</v>
      </c>
      <c r="I169" s="103">
        <v>1</v>
      </c>
      <c r="J169" s="104">
        <v>4.95</v>
      </c>
      <c r="K169" s="106" t="s">
        <v>1910</v>
      </c>
      <c r="L169" s="103"/>
      <c r="M169" s="105">
        <f t="shared" si="6"/>
        <v>0</v>
      </c>
    </row>
    <row r="170" spans="1:13" x14ac:dyDescent="0.3">
      <c r="A170" s="107" t="s">
        <v>897</v>
      </c>
      <c r="B170" s="107" t="s">
        <v>1608</v>
      </c>
      <c r="C170" s="107" t="s">
        <v>8</v>
      </c>
      <c r="D170" s="106" t="s">
        <v>599</v>
      </c>
      <c r="E170" s="104">
        <v>0</v>
      </c>
      <c r="F170" s="103" t="s">
        <v>600</v>
      </c>
      <c r="G170" s="103" t="s">
        <v>601</v>
      </c>
      <c r="H170" s="106" t="s">
        <v>602</v>
      </c>
      <c r="I170" s="103">
        <v>1</v>
      </c>
      <c r="J170" s="104">
        <v>4.5</v>
      </c>
      <c r="K170" s="106" t="s">
        <v>1910</v>
      </c>
      <c r="L170" s="103"/>
      <c r="M170" s="105">
        <f t="shared" si="6"/>
        <v>0</v>
      </c>
    </row>
    <row r="171" spans="1:13" x14ac:dyDescent="0.3">
      <c r="A171" s="107" t="s">
        <v>897</v>
      </c>
      <c r="B171" s="107" t="s">
        <v>1608</v>
      </c>
      <c r="C171" s="107" t="s">
        <v>8</v>
      </c>
      <c r="D171" s="106" t="s">
        <v>559</v>
      </c>
      <c r="E171" s="104">
        <v>0</v>
      </c>
      <c r="F171" s="103" t="s">
        <v>560</v>
      </c>
      <c r="G171" s="103" t="s">
        <v>561</v>
      </c>
      <c r="H171" s="106" t="s">
        <v>562</v>
      </c>
      <c r="I171" s="103">
        <v>1</v>
      </c>
      <c r="J171" s="104">
        <v>3.95</v>
      </c>
      <c r="K171" s="106" t="s">
        <v>1910</v>
      </c>
      <c r="L171" s="103"/>
      <c r="M171" s="105">
        <f t="shared" si="6"/>
        <v>0</v>
      </c>
    </row>
    <row r="172" spans="1:13" x14ac:dyDescent="0.3">
      <c r="A172" s="107" t="s">
        <v>897</v>
      </c>
      <c r="B172" s="107" t="s">
        <v>1608</v>
      </c>
      <c r="C172" s="107" t="s">
        <v>8</v>
      </c>
      <c r="D172" s="106" t="s">
        <v>567</v>
      </c>
      <c r="E172" s="104">
        <v>0</v>
      </c>
      <c r="F172" s="103" t="s">
        <v>568</v>
      </c>
      <c r="G172" s="103" t="s">
        <v>569</v>
      </c>
      <c r="H172" s="106" t="s">
        <v>570</v>
      </c>
      <c r="I172" s="103">
        <v>1</v>
      </c>
      <c r="J172" s="104">
        <v>4.5</v>
      </c>
      <c r="K172" s="106" t="s">
        <v>1910</v>
      </c>
      <c r="L172" s="103"/>
      <c r="M172" s="105">
        <f t="shared" si="6"/>
        <v>0</v>
      </c>
    </row>
    <row r="173" spans="1:13" x14ac:dyDescent="0.3">
      <c r="A173" s="107" t="s">
        <v>897</v>
      </c>
      <c r="B173" s="107" t="s">
        <v>1608</v>
      </c>
      <c r="C173" s="107" t="s">
        <v>8</v>
      </c>
      <c r="D173" s="106" t="s">
        <v>543</v>
      </c>
      <c r="E173" s="104">
        <v>0</v>
      </c>
      <c r="F173" s="103" t="s">
        <v>544</v>
      </c>
      <c r="G173" s="103" t="s">
        <v>545</v>
      </c>
      <c r="H173" s="106" t="s">
        <v>546</v>
      </c>
      <c r="I173" s="103">
        <v>1</v>
      </c>
      <c r="J173" s="104">
        <v>1.95</v>
      </c>
      <c r="K173" s="106" t="s">
        <v>1910</v>
      </c>
      <c r="L173" s="103"/>
      <c r="M173" s="105">
        <f t="shared" si="6"/>
        <v>0</v>
      </c>
    </row>
    <row r="174" spans="1:13" x14ac:dyDescent="0.3">
      <c r="A174" s="107" t="s">
        <v>897</v>
      </c>
      <c r="B174" s="107" t="s">
        <v>1608</v>
      </c>
      <c r="C174" s="107" t="s">
        <v>8</v>
      </c>
      <c r="D174" s="106" t="s">
        <v>1352</v>
      </c>
      <c r="E174" s="104">
        <v>0</v>
      </c>
      <c r="F174" s="103" t="s">
        <v>552</v>
      </c>
      <c r="G174" s="103" t="s">
        <v>553</v>
      </c>
      <c r="H174" s="106" t="s">
        <v>1351</v>
      </c>
      <c r="I174" s="103">
        <v>1</v>
      </c>
      <c r="J174" s="104">
        <v>4.95</v>
      </c>
      <c r="K174" s="106" t="s">
        <v>1910</v>
      </c>
      <c r="L174" s="103"/>
      <c r="M174" s="105">
        <f t="shared" si="6"/>
        <v>0</v>
      </c>
    </row>
    <row r="175" spans="1:13" x14ac:dyDescent="0.3">
      <c r="A175" s="107" t="s">
        <v>897</v>
      </c>
      <c r="B175" s="107" t="s">
        <v>1608</v>
      </c>
      <c r="C175" s="107" t="s">
        <v>8</v>
      </c>
      <c r="D175" s="106" t="s">
        <v>563</v>
      </c>
      <c r="E175" s="104">
        <v>0</v>
      </c>
      <c r="F175" s="103" t="s">
        <v>564</v>
      </c>
      <c r="G175" s="103" t="s">
        <v>565</v>
      </c>
      <c r="H175" s="106" t="s">
        <v>566</v>
      </c>
      <c r="I175" s="103">
        <v>1</v>
      </c>
      <c r="J175" s="104">
        <v>3.95</v>
      </c>
      <c r="K175" s="106" t="s">
        <v>1910</v>
      </c>
      <c r="L175" s="103"/>
      <c r="M175" s="105">
        <f t="shared" si="6"/>
        <v>0</v>
      </c>
    </row>
    <row r="176" spans="1:13" x14ac:dyDescent="0.3">
      <c r="A176" s="107" t="s">
        <v>897</v>
      </c>
      <c r="B176" s="107" t="s">
        <v>1608</v>
      </c>
      <c r="C176" s="107" t="s">
        <v>8</v>
      </c>
      <c r="D176" s="106" t="s">
        <v>555</v>
      </c>
      <c r="E176" s="104">
        <v>0</v>
      </c>
      <c r="F176" s="103" t="s">
        <v>556</v>
      </c>
      <c r="G176" s="103" t="s">
        <v>557</v>
      </c>
      <c r="H176" s="106" t="s">
        <v>558</v>
      </c>
      <c r="I176" s="103">
        <v>1</v>
      </c>
      <c r="J176" s="104">
        <v>1.95</v>
      </c>
      <c r="K176" s="106" t="s">
        <v>1910</v>
      </c>
      <c r="L176" s="103"/>
      <c r="M176" s="105">
        <f t="shared" si="6"/>
        <v>0</v>
      </c>
    </row>
    <row r="177" spans="1:13" x14ac:dyDescent="0.3">
      <c r="A177" s="107" t="s">
        <v>897</v>
      </c>
      <c r="B177" s="107" t="s">
        <v>1012</v>
      </c>
      <c r="C177" s="107" t="s">
        <v>8</v>
      </c>
      <c r="D177" s="106" t="s">
        <v>371</v>
      </c>
      <c r="E177" s="104">
        <v>1</v>
      </c>
      <c r="F177" s="103" t="s">
        <v>372</v>
      </c>
      <c r="G177" s="103" t="s">
        <v>373</v>
      </c>
      <c r="H177" s="106" t="s">
        <v>374</v>
      </c>
      <c r="I177" s="103">
        <v>1</v>
      </c>
      <c r="J177" s="104">
        <v>7.95</v>
      </c>
      <c r="K177" s="106" t="s">
        <v>1910</v>
      </c>
      <c r="L177" s="103"/>
      <c r="M177" s="105">
        <f t="shared" si="6"/>
        <v>7.95</v>
      </c>
    </row>
    <row r="178" spans="1:13" x14ac:dyDescent="0.3">
      <c r="A178" s="107" t="s">
        <v>897</v>
      </c>
      <c r="B178" s="107" t="s">
        <v>1012</v>
      </c>
      <c r="C178" s="107" t="s">
        <v>8</v>
      </c>
      <c r="D178" s="106" t="s">
        <v>437</v>
      </c>
      <c r="E178" s="104">
        <v>5</v>
      </c>
      <c r="F178" s="103" t="s">
        <v>438</v>
      </c>
      <c r="G178" s="103" t="s">
        <v>439</v>
      </c>
      <c r="H178" s="106" t="s">
        <v>440</v>
      </c>
      <c r="I178" s="103">
        <v>1</v>
      </c>
      <c r="J178" s="104">
        <v>0.5</v>
      </c>
      <c r="K178" s="106" t="s">
        <v>1910</v>
      </c>
      <c r="L178" s="103"/>
      <c r="M178" s="105">
        <f t="shared" si="6"/>
        <v>2.5</v>
      </c>
    </row>
    <row r="179" spans="1:13" x14ac:dyDescent="0.3">
      <c r="A179" s="107" t="s">
        <v>897</v>
      </c>
      <c r="B179" s="107" t="s">
        <v>1012</v>
      </c>
      <c r="C179" s="107" t="s">
        <v>8</v>
      </c>
      <c r="D179" s="106" t="s">
        <v>441</v>
      </c>
      <c r="E179" s="104">
        <v>5</v>
      </c>
      <c r="F179" s="103" t="s">
        <v>442</v>
      </c>
      <c r="G179" s="103" t="s">
        <v>443</v>
      </c>
      <c r="H179" s="106" t="s">
        <v>444</v>
      </c>
      <c r="I179" s="103">
        <v>1</v>
      </c>
      <c r="J179" s="104">
        <v>0.5</v>
      </c>
      <c r="K179" s="106" t="s">
        <v>1910</v>
      </c>
      <c r="L179" s="103"/>
      <c r="M179" s="105">
        <f t="shared" si="6"/>
        <v>2.5</v>
      </c>
    </row>
    <row r="180" spans="1:13" x14ac:dyDescent="0.3">
      <c r="A180" s="107" t="s">
        <v>897</v>
      </c>
      <c r="B180" s="107" t="s">
        <v>1012</v>
      </c>
      <c r="C180" s="107" t="s">
        <v>8</v>
      </c>
      <c r="D180" s="106" t="s">
        <v>1697</v>
      </c>
      <c r="E180" s="104">
        <v>1</v>
      </c>
      <c r="F180" s="103" t="s">
        <v>1698</v>
      </c>
      <c r="G180" s="103" t="s">
        <v>1699</v>
      </c>
      <c r="H180" s="106" t="s">
        <v>1700</v>
      </c>
      <c r="I180" s="103">
        <v>1</v>
      </c>
      <c r="J180" s="104">
        <v>0.95</v>
      </c>
      <c r="K180" s="106" t="s">
        <v>1911</v>
      </c>
      <c r="L180" s="103"/>
      <c r="M180" s="105">
        <f t="shared" si="6"/>
        <v>0.95</v>
      </c>
    </row>
    <row r="181" spans="1:13" x14ac:dyDescent="0.3">
      <c r="A181" s="107" t="s">
        <v>897</v>
      </c>
      <c r="B181" s="107" t="s">
        <v>1012</v>
      </c>
      <c r="C181" s="107" t="s">
        <v>8</v>
      </c>
      <c r="D181" s="106" t="s">
        <v>1701</v>
      </c>
      <c r="E181" s="104">
        <v>1</v>
      </c>
      <c r="F181" s="103" t="s">
        <v>1702</v>
      </c>
      <c r="G181" s="103" t="s">
        <v>1703</v>
      </c>
      <c r="H181" s="106" t="s">
        <v>1704</v>
      </c>
      <c r="I181" s="103">
        <v>1</v>
      </c>
      <c r="J181" s="104">
        <v>1.95</v>
      </c>
      <c r="K181" s="106" t="s">
        <v>1910</v>
      </c>
      <c r="L181" s="103"/>
      <c r="M181" s="105">
        <f t="shared" si="6"/>
        <v>1.95</v>
      </c>
    </row>
    <row r="182" spans="1:13" x14ac:dyDescent="0.3">
      <c r="A182" s="107" t="s">
        <v>897</v>
      </c>
      <c r="B182" s="107" t="s">
        <v>1012</v>
      </c>
      <c r="C182" s="107" t="s">
        <v>8</v>
      </c>
      <c r="D182" s="106" t="s">
        <v>1681</v>
      </c>
      <c r="E182" s="104">
        <v>1</v>
      </c>
      <c r="F182" s="103" t="s">
        <v>1682</v>
      </c>
      <c r="G182" s="103" t="s">
        <v>1683</v>
      </c>
      <c r="H182" s="106" t="s">
        <v>1684</v>
      </c>
      <c r="I182" s="103">
        <v>1</v>
      </c>
      <c r="J182" s="104">
        <v>2.5</v>
      </c>
      <c r="K182" s="106" t="s">
        <v>1910</v>
      </c>
      <c r="L182" s="103"/>
      <c r="M182" s="105">
        <f t="shared" si="6"/>
        <v>2.5</v>
      </c>
    </row>
    <row r="183" spans="1:13" x14ac:dyDescent="0.3">
      <c r="A183" s="107" t="s">
        <v>897</v>
      </c>
      <c r="B183" s="107" t="s">
        <v>1012</v>
      </c>
      <c r="C183" s="107" t="s">
        <v>8</v>
      </c>
      <c r="D183" s="106" t="s">
        <v>1835</v>
      </c>
      <c r="E183" s="104">
        <v>1</v>
      </c>
      <c r="F183" s="103" t="s">
        <v>1836</v>
      </c>
      <c r="G183" s="103" t="s">
        <v>1837</v>
      </c>
      <c r="H183" s="106" t="s">
        <v>1838</v>
      </c>
      <c r="I183" s="103">
        <v>1</v>
      </c>
      <c r="J183" s="104">
        <v>2.95</v>
      </c>
      <c r="K183" s="106" t="s">
        <v>1910</v>
      </c>
      <c r="L183" s="103"/>
      <c r="M183" s="105">
        <f t="shared" si="6"/>
        <v>2.95</v>
      </c>
    </row>
    <row r="184" spans="1:13" x14ac:dyDescent="0.3">
      <c r="A184" s="107" t="s">
        <v>897</v>
      </c>
      <c r="B184" s="107" t="s">
        <v>1012</v>
      </c>
      <c r="C184" s="107" t="s">
        <v>8</v>
      </c>
      <c r="D184" s="106" t="s">
        <v>611</v>
      </c>
      <c r="E184" s="104">
        <v>4</v>
      </c>
      <c r="F184" s="103" t="s">
        <v>612</v>
      </c>
      <c r="G184" s="103" t="s">
        <v>613</v>
      </c>
      <c r="H184" s="106" t="s">
        <v>614</v>
      </c>
      <c r="I184" s="103">
        <v>1</v>
      </c>
      <c r="J184" s="104">
        <v>0.95</v>
      </c>
      <c r="K184" s="106" t="s">
        <v>1910</v>
      </c>
      <c r="L184" s="103"/>
      <c r="M184" s="105">
        <f t="shared" si="6"/>
        <v>3.8</v>
      </c>
    </row>
    <row r="185" spans="1:13" x14ac:dyDescent="0.3">
      <c r="A185" s="107" t="s">
        <v>897</v>
      </c>
      <c r="B185" s="107" t="s">
        <v>1012</v>
      </c>
      <c r="C185" s="107" t="s">
        <v>8</v>
      </c>
      <c r="D185" s="106" t="s">
        <v>375</v>
      </c>
      <c r="E185" s="104">
        <v>1</v>
      </c>
      <c r="F185" s="103" t="s">
        <v>376</v>
      </c>
      <c r="G185" s="103" t="s">
        <v>377</v>
      </c>
      <c r="H185" s="106" t="s">
        <v>378</v>
      </c>
      <c r="I185" s="103"/>
      <c r="J185" s="104">
        <v>6.95</v>
      </c>
      <c r="K185" s="106" t="s">
        <v>1910</v>
      </c>
      <c r="L185" s="103"/>
      <c r="M185" s="105">
        <f t="shared" si="6"/>
        <v>6.95</v>
      </c>
    </row>
    <row r="186" spans="1:13" x14ac:dyDescent="0.3">
      <c r="A186" s="107" t="s">
        <v>897</v>
      </c>
      <c r="B186" s="107" t="s">
        <v>1012</v>
      </c>
      <c r="C186" s="107" t="s">
        <v>8</v>
      </c>
      <c r="D186" s="106" t="s">
        <v>727</v>
      </c>
      <c r="E186" s="104">
        <v>3</v>
      </c>
      <c r="F186" s="103" t="s">
        <v>728</v>
      </c>
      <c r="G186" s="103" t="s">
        <v>729</v>
      </c>
      <c r="H186" s="106" t="s">
        <v>730</v>
      </c>
      <c r="I186" s="103">
        <v>1</v>
      </c>
      <c r="J186" s="104">
        <v>0.35</v>
      </c>
      <c r="K186" s="106" t="s">
        <v>1910</v>
      </c>
      <c r="L186" s="103"/>
      <c r="M186" s="105">
        <f t="shared" si="6"/>
        <v>1.0499999999999998</v>
      </c>
    </row>
    <row r="187" spans="1:13" x14ac:dyDescent="0.3">
      <c r="A187" s="107" t="s">
        <v>897</v>
      </c>
      <c r="B187" s="107" t="s">
        <v>1012</v>
      </c>
      <c r="C187" s="107" t="s">
        <v>8</v>
      </c>
      <c r="D187" s="106" t="s">
        <v>723</v>
      </c>
      <c r="E187" s="104">
        <v>3</v>
      </c>
      <c r="F187" s="103" t="s">
        <v>724</v>
      </c>
      <c r="G187" s="103" t="s">
        <v>725</v>
      </c>
      <c r="H187" s="106" t="s">
        <v>726</v>
      </c>
      <c r="I187" s="103">
        <v>1</v>
      </c>
      <c r="J187" s="104">
        <v>0.45</v>
      </c>
      <c r="K187" s="106" t="s">
        <v>1910</v>
      </c>
      <c r="L187" s="103"/>
      <c r="M187" s="105">
        <f t="shared" si="6"/>
        <v>1.35</v>
      </c>
    </row>
    <row r="188" spans="1:13" x14ac:dyDescent="0.3">
      <c r="A188" s="107" t="s">
        <v>897</v>
      </c>
      <c r="B188" s="107" t="s">
        <v>1012</v>
      </c>
      <c r="C188" s="107" t="s">
        <v>8</v>
      </c>
      <c r="D188" s="106" t="s">
        <v>715</v>
      </c>
      <c r="E188" s="104">
        <v>3</v>
      </c>
      <c r="F188" s="103" t="s">
        <v>716</v>
      </c>
      <c r="G188" s="103" t="s">
        <v>717</v>
      </c>
      <c r="H188" s="106" t="s">
        <v>718</v>
      </c>
      <c r="I188" s="103">
        <v>1</v>
      </c>
      <c r="J188" s="104">
        <v>4.95</v>
      </c>
      <c r="K188" s="106" t="s">
        <v>1910</v>
      </c>
      <c r="L188" s="103"/>
      <c r="M188" s="105">
        <f t="shared" si="6"/>
        <v>14.850000000000001</v>
      </c>
    </row>
    <row r="189" spans="1:13" x14ac:dyDescent="0.3">
      <c r="A189" s="107" t="s">
        <v>897</v>
      </c>
      <c r="B189" s="107" t="s">
        <v>1012</v>
      </c>
      <c r="C189" s="107" t="s">
        <v>8</v>
      </c>
      <c r="D189" s="106" t="s">
        <v>711</v>
      </c>
      <c r="E189" s="104">
        <v>10</v>
      </c>
      <c r="F189" s="103" t="s">
        <v>712</v>
      </c>
      <c r="G189" s="103" t="s">
        <v>713</v>
      </c>
      <c r="H189" s="106" t="s">
        <v>714</v>
      </c>
      <c r="I189" s="103">
        <v>1</v>
      </c>
      <c r="J189" s="104">
        <v>0.75</v>
      </c>
      <c r="K189" s="106" t="s">
        <v>1910</v>
      </c>
      <c r="L189" s="103"/>
      <c r="M189" s="105">
        <f t="shared" si="6"/>
        <v>7.5</v>
      </c>
    </row>
    <row r="190" spans="1:13" x14ac:dyDescent="0.3">
      <c r="A190" s="107" t="s">
        <v>897</v>
      </c>
      <c r="B190" s="107" t="s">
        <v>1012</v>
      </c>
      <c r="C190" s="107" t="s">
        <v>8</v>
      </c>
      <c r="D190" s="106" t="s">
        <v>425</v>
      </c>
      <c r="E190" s="104">
        <v>10</v>
      </c>
      <c r="F190" s="103" t="s">
        <v>426</v>
      </c>
      <c r="G190" s="103" t="s">
        <v>427</v>
      </c>
      <c r="H190" s="106" t="s">
        <v>428</v>
      </c>
      <c r="I190" s="103">
        <v>1</v>
      </c>
      <c r="J190" s="104">
        <v>0.15</v>
      </c>
      <c r="K190" s="106" t="s">
        <v>1910</v>
      </c>
      <c r="L190" s="103"/>
      <c r="M190" s="105">
        <f t="shared" si="6"/>
        <v>1.5</v>
      </c>
    </row>
    <row r="191" spans="1:13" x14ac:dyDescent="0.3">
      <c r="A191" s="107" t="s">
        <v>897</v>
      </c>
      <c r="B191" s="107" t="s">
        <v>1012</v>
      </c>
      <c r="C191" s="107" t="s">
        <v>8</v>
      </c>
      <c r="D191" s="106" t="s">
        <v>429</v>
      </c>
      <c r="E191" s="104">
        <v>10</v>
      </c>
      <c r="F191" s="103" t="s">
        <v>430</v>
      </c>
      <c r="G191" s="103" t="s">
        <v>431</v>
      </c>
      <c r="H191" s="106" t="s">
        <v>432</v>
      </c>
      <c r="I191" s="103">
        <v>1</v>
      </c>
      <c r="J191" s="104">
        <v>0.15</v>
      </c>
      <c r="K191" s="106" t="s">
        <v>1910</v>
      </c>
      <c r="L191" s="103"/>
      <c r="M191" s="105">
        <f t="shared" si="6"/>
        <v>1.5</v>
      </c>
    </row>
    <row r="192" spans="1:13" x14ac:dyDescent="0.3">
      <c r="A192" s="107" t="s">
        <v>897</v>
      </c>
      <c r="B192" s="107" t="s">
        <v>1012</v>
      </c>
      <c r="C192" s="107" t="s">
        <v>8</v>
      </c>
      <c r="D192" s="106" t="s">
        <v>671</v>
      </c>
      <c r="E192" s="104">
        <v>10</v>
      </c>
      <c r="F192" s="103" t="s">
        <v>672</v>
      </c>
      <c r="G192" s="103" t="s">
        <v>673</v>
      </c>
      <c r="H192" s="106" t="s">
        <v>674</v>
      </c>
      <c r="I192" s="103">
        <v>1</v>
      </c>
      <c r="J192" s="104">
        <v>0.15</v>
      </c>
      <c r="K192" s="106" t="s">
        <v>1910</v>
      </c>
      <c r="L192" s="103"/>
      <c r="M192" s="105">
        <f t="shared" si="6"/>
        <v>1.5</v>
      </c>
    </row>
    <row r="193" spans="1:13" x14ac:dyDescent="0.3">
      <c r="A193" s="107" t="s">
        <v>897</v>
      </c>
      <c r="B193" s="107" t="s">
        <v>1012</v>
      </c>
      <c r="C193" s="107" t="s">
        <v>8</v>
      </c>
      <c r="D193" s="106" t="s">
        <v>421</v>
      </c>
      <c r="E193" s="104">
        <v>10</v>
      </c>
      <c r="F193" s="103" t="s">
        <v>422</v>
      </c>
      <c r="G193" s="103" t="s">
        <v>423</v>
      </c>
      <c r="H193" s="106" t="s">
        <v>424</v>
      </c>
      <c r="I193" s="103">
        <v>1</v>
      </c>
      <c r="J193" s="104">
        <v>0.25</v>
      </c>
      <c r="K193" s="106" t="s">
        <v>1910</v>
      </c>
      <c r="L193" s="103"/>
      <c r="M193" s="105">
        <f t="shared" si="6"/>
        <v>2.5</v>
      </c>
    </row>
    <row r="194" spans="1:13" x14ac:dyDescent="0.3">
      <c r="A194" s="107" t="s">
        <v>897</v>
      </c>
      <c r="B194" s="107" t="s">
        <v>1894</v>
      </c>
      <c r="C194" s="107" t="s">
        <v>8</v>
      </c>
      <c r="D194" s="106" t="s">
        <v>747</v>
      </c>
      <c r="E194" s="104">
        <v>2</v>
      </c>
      <c r="F194" s="103" t="s">
        <v>748</v>
      </c>
      <c r="G194" s="103" t="s">
        <v>749</v>
      </c>
      <c r="H194" s="106" t="s">
        <v>750</v>
      </c>
      <c r="I194" s="103"/>
      <c r="J194" s="104">
        <v>0.5</v>
      </c>
      <c r="K194" s="106" t="s">
        <v>1910</v>
      </c>
      <c r="L194" s="103"/>
      <c r="M194" s="105">
        <f t="shared" si="6"/>
        <v>1</v>
      </c>
    </row>
    <row r="195" spans="1:13" x14ac:dyDescent="0.3">
      <c r="A195" s="107" t="s">
        <v>897</v>
      </c>
      <c r="B195" s="107" t="s">
        <v>1894</v>
      </c>
      <c r="C195" s="107" t="s">
        <v>8</v>
      </c>
      <c r="D195" s="106" t="s">
        <v>743</v>
      </c>
      <c r="E195" s="104">
        <v>4</v>
      </c>
      <c r="F195" s="103" t="s">
        <v>744</v>
      </c>
      <c r="G195" s="103" t="s">
        <v>745</v>
      </c>
      <c r="H195" s="106" t="s">
        <v>746</v>
      </c>
      <c r="I195" s="103">
        <v>1</v>
      </c>
      <c r="J195" s="104">
        <v>1.5</v>
      </c>
      <c r="K195" s="106" t="s">
        <v>1910</v>
      </c>
      <c r="L195" s="103"/>
      <c r="M195" s="105">
        <f t="shared" si="6"/>
        <v>6</v>
      </c>
    </row>
    <row r="196" spans="1:13" x14ac:dyDescent="0.3">
      <c r="A196" s="107" t="s">
        <v>897</v>
      </c>
      <c r="B196" s="107" t="s">
        <v>1894</v>
      </c>
      <c r="C196" s="107" t="s">
        <v>8</v>
      </c>
      <c r="D196" s="106" t="s">
        <v>739</v>
      </c>
      <c r="E196" s="104">
        <v>8</v>
      </c>
      <c r="F196" s="103" t="s">
        <v>740</v>
      </c>
      <c r="G196" s="103" t="s">
        <v>741</v>
      </c>
      <c r="H196" s="106" t="s">
        <v>742</v>
      </c>
      <c r="I196" s="103"/>
      <c r="J196" s="104">
        <v>0.5</v>
      </c>
      <c r="K196" s="106" t="s">
        <v>1910</v>
      </c>
      <c r="L196" s="103"/>
      <c r="M196" s="105">
        <f t="shared" si="6"/>
        <v>4</v>
      </c>
    </row>
    <row r="197" spans="1:13" x14ac:dyDescent="0.3">
      <c r="A197" s="107" t="s">
        <v>897</v>
      </c>
      <c r="B197" s="107" t="s">
        <v>1894</v>
      </c>
      <c r="C197" s="107" t="s">
        <v>8</v>
      </c>
      <c r="D197" s="106" t="s">
        <v>905</v>
      </c>
      <c r="E197" s="104">
        <v>5</v>
      </c>
      <c r="F197" s="103" t="s">
        <v>906</v>
      </c>
      <c r="G197" s="103" t="s">
        <v>907</v>
      </c>
      <c r="H197" s="106" t="s">
        <v>908</v>
      </c>
      <c r="I197" s="103">
        <v>1</v>
      </c>
      <c r="J197" s="104">
        <v>0.95</v>
      </c>
      <c r="K197" s="106" t="s">
        <v>1911</v>
      </c>
      <c r="L197" s="103"/>
      <c r="M197" s="105">
        <f t="shared" si="6"/>
        <v>4.75</v>
      </c>
    </row>
    <row r="198" spans="1:13" x14ac:dyDescent="0.3">
      <c r="A198" s="106" t="s">
        <v>897</v>
      </c>
      <c r="B198" s="106" t="s">
        <v>1894</v>
      </c>
      <c r="C198" s="106" t="s">
        <v>1898</v>
      </c>
      <c r="D198" s="106" t="s">
        <v>2215</v>
      </c>
      <c r="E198" s="104">
        <v>0</v>
      </c>
      <c r="F198" s="103"/>
      <c r="G198" s="103"/>
      <c r="H198" s="107" t="s">
        <v>2216</v>
      </c>
      <c r="J198" s="111">
        <v>2.5</v>
      </c>
      <c r="K198" s="107" t="s">
        <v>1910</v>
      </c>
    </row>
    <row r="199" spans="1:13" x14ac:dyDescent="0.3">
      <c r="A199" s="106" t="s">
        <v>897</v>
      </c>
      <c r="B199" s="106" t="s">
        <v>1894</v>
      </c>
      <c r="C199" s="106" t="s">
        <v>1898</v>
      </c>
      <c r="D199" s="106" t="s">
        <v>2217</v>
      </c>
      <c r="E199" s="104">
        <v>0</v>
      </c>
      <c r="F199" s="103"/>
      <c r="G199" s="103"/>
      <c r="H199" s="107" t="s">
        <v>2218</v>
      </c>
      <c r="J199" s="111">
        <v>2.5</v>
      </c>
      <c r="K199" s="107" t="s">
        <v>1910</v>
      </c>
    </row>
    <row r="200" spans="1:13" x14ac:dyDescent="0.3">
      <c r="A200" s="106" t="s">
        <v>897</v>
      </c>
      <c r="B200" s="106" t="s">
        <v>1894</v>
      </c>
      <c r="C200" s="106" t="s">
        <v>1898</v>
      </c>
      <c r="D200" s="106" t="s">
        <v>2219</v>
      </c>
      <c r="E200" s="104">
        <v>0</v>
      </c>
      <c r="F200" s="103"/>
      <c r="G200" s="103"/>
      <c r="H200" s="107" t="s">
        <v>2220</v>
      </c>
      <c r="J200" s="111">
        <v>0.95</v>
      </c>
      <c r="K200" s="107" t="s">
        <v>1910</v>
      </c>
    </row>
    <row r="201" spans="1:13" x14ac:dyDescent="0.3">
      <c r="A201" s="106" t="s">
        <v>897</v>
      </c>
      <c r="B201" s="106" t="s">
        <v>1894</v>
      </c>
      <c r="C201" s="106" t="s">
        <v>1898</v>
      </c>
      <c r="D201" s="106" t="s">
        <v>2213</v>
      </c>
      <c r="E201" s="104">
        <v>0</v>
      </c>
      <c r="F201" s="103"/>
      <c r="G201" s="103"/>
      <c r="H201" s="107" t="s">
        <v>2214</v>
      </c>
      <c r="J201" s="111">
        <v>1.95</v>
      </c>
      <c r="K201" s="107" t="s">
        <v>1910</v>
      </c>
    </row>
    <row r="202" spans="1:13" x14ac:dyDescent="0.3">
      <c r="A202" s="106" t="s">
        <v>897</v>
      </c>
      <c r="B202" s="106" t="s">
        <v>2022</v>
      </c>
      <c r="C202" s="106" t="s">
        <v>1898</v>
      </c>
      <c r="D202" s="106" t="s">
        <v>2227</v>
      </c>
      <c r="E202" s="104">
        <v>1</v>
      </c>
      <c r="F202" s="103"/>
      <c r="G202" s="103"/>
      <c r="H202" s="107" t="s">
        <v>2228</v>
      </c>
      <c r="J202" s="111">
        <v>4.95</v>
      </c>
      <c r="K202" s="107" t="s">
        <v>1910</v>
      </c>
    </row>
    <row r="203" spans="1:13" x14ac:dyDescent="0.3">
      <c r="A203" s="106" t="s">
        <v>897</v>
      </c>
      <c r="B203" s="106" t="s">
        <v>2022</v>
      </c>
      <c r="C203" s="106" t="s">
        <v>1898</v>
      </c>
      <c r="D203" s="106" t="s">
        <v>2229</v>
      </c>
      <c r="E203" s="104">
        <v>1</v>
      </c>
      <c r="F203" s="103"/>
      <c r="G203" s="103"/>
      <c r="H203" s="107" t="s">
        <v>2230</v>
      </c>
      <c r="J203" s="111">
        <v>4.95</v>
      </c>
      <c r="K203" s="107" t="s">
        <v>1910</v>
      </c>
    </row>
    <row r="204" spans="1:13" x14ac:dyDescent="0.3">
      <c r="A204" s="106" t="s">
        <v>897</v>
      </c>
      <c r="B204" s="106" t="s">
        <v>2022</v>
      </c>
      <c r="C204" s="106" t="s">
        <v>1898</v>
      </c>
      <c r="D204" s="106" t="s">
        <v>2231</v>
      </c>
      <c r="E204" s="104">
        <v>1</v>
      </c>
      <c r="F204" s="103"/>
      <c r="G204" s="103"/>
      <c r="H204" s="107" t="s">
        <v>2232</v>
      </c>
      <c r="J204" s="111">
        <v>4.95</v>
      </c>
      <c r="K204" s="107" t="s">
        <v>1910</v>
      </c>
    </row>
    <row r="205" spans="1:13" x14ac:dyDescent="0.3">
      <c r="A205" s="106" t="s">
        <v>897</v>
      </c>
      <c r="B205" s="106" t="s">
        <v>2022</v>
      </c>
      <c r="C205" s="106" t="s">
        <v>1898</v>
      </c>
      <c r="D205" s="106" t="s">
        <v>2233</v>
      </c>
      <c r="E205" s="104">
        <v>1</v>
      </c>
      <c r="F205" s="103"/>
      <c r="G205" s="103"/>
      <c r="H205" s="107" t="s">
        <v>2234</v>
      </c>
      <c r="J205" s="111">
        <v>7.5</v>
      </c>
      <c r="K205" s="107" t="s">
        <v>1910</v>
      </c>
    </row>
    <row r="206" spans="1:13" x14ac:dyDescent="0.3">
      <c r="A206" s="107" t="s">
        <v>897</v>
      </c>
      <c r="B206" s="107" t="s">
        <v>2024</v>
      </c>
      <c r="C206" s="107" t="s">
        <v>8</v>
      </c>
      <c r="D206" s="106" t="s">
        <v>1595</v>
      </c>
      <c r="E206" s="104">
        <v>2</v>
      </c>
      <c r="F206" s="103" t="s">
        <v>1596</v>
      </c>
      <c r="G206" s="103" t="s">
        <v>1597</v>
      </c>
      <c r="H206" s="106" t="s">
        <v>1598</v>
      </c>
      <c r="I206" s="103">
        <v>1</v>
      </c>
      <c r="J206" s="104">
        <v>2.95</v>
      </c>
      <c r="K206" s="106" t="s">
        <v>1910</v>
      </c>
      <c r="L206" s="103"/>
      <c r="M206" s="105">
        <f>E206*J206</f>
        <v>5.9</v>
      </c>
    </row>
    <row r="207" spans="1:13" x14ac:dyDescent="0.3">
      <c r="A207" s="118" t="s">
        <v>897</v>
      </c>
      <c r="B207" s="118" t="s">
        <v>2024</v>
      </c>
      <c r="C207" s="118" t="s">
        <v>1898</v>
      </c>
      <c r="D207" s="118" t="s">
        <v>2461</v>
      </c>
      <c r="E207" s="119">
        <v>0</v>
      </c>
      <c r="H207" s="118" t="s">
        <v>2460</v>
      </c>
      <c r="I207" s="120">
        <v>106</v>
      </c>
      <c r="J207" s="119">
        <v>2</v>
      </c>
      <c r="K207" s="102" t="s">
        <v>1910</v>
      </c>
    </row>
    <row r="208" spans="1:13" x14ac:dyDescent="0.3">
      <c r="A208" s="107" t="s">
        <v>897</v>
      </c>
      <c r="B208" s="107" t="s">
        <v>2024</v>
      </c>
      <c r="C208" s="107" t="s">
        <v>8</v>
      </c>
      <c r="D208" s="106" t="s">
        <v>1591</v>
      </c>
      <c r="E208" s="104">
        <v>0</v>
      </c>
      <c r="F208" s="103" t="s">
        <v>1592</v>
      </c>
      <c r="G208" s="103" t="s">
        <v>1593</v>
      </c>
      <c r="H208" s="106" t="s">
        <v>1594</v>
      </c>
      <c r="I208" s="103">
        <v>1</v>
      </c>
      <c r="J208" s="104">
        <v>0.95</v>
      </c>
      <c r="K208" s="106" t="s">
        <v>1910</v>
      </c>
      <c r="L208" s="103"/>
      <c r="M208" s="105">
        <f>E208*J208</f>
        <v>0</v>
      </c>
    </row>
    <row r="209" spans="1:13" x14ac:dyDescent="0.3">
      <c r="A209" s="107" t="s">
        <v>897</v>
      </c>
      <c r="B209" s="107" t="s">
        <v>2024</v>
      </c>
      <c r="C209" s="107" t="s">
        <v>8</v>
      </c>
      <c r="D209" s="106" t="s">
        <v>1599</v>
      </c>
      <c r="E209" s="104">
        <v>1</v>
      </c>
      <c r="F209" s="103" t="s">
        <v>1600</v>
      </c>
      <c r="G209" s="103" t="s">
        <v>1601</v>
      </c>
      <c r="H209" s="106" t="s">
        <v>1602</v>
      </c>
      <c r="I209" s="103">
        <v>1</v>
      </c>
      <c r="J209" s="104">
        <v>4.95</v>
      </c>
      <c r="K209" s="106" t="s">
        <v>1910</v>
      </c>
      <c r="L209" s="103"/>
      <c r="M209" s="105">
        <f>E209*J209</f>
        <v>4.95</v>
      </c>
    </row>
    <row r="210" spans="1:13" x14ac:dyDescent="0.3">
      <c r="A210" s="118" t="s">
        <v>897</v>
      </c>
      <c r="B210" s="118" t="s">
        <v>2024</v>
      </c>
      <c r="C210" s="118" t="s">
        <v>1898</v>
      </c>
      <c r="D210" s="118" t="s">
        <v>2459</v>
      </c>
      <c r="E210" s="119">
        <v>0</v>
      </c>
      <c r="H210" s="118" t="s">
        <v>2458</v>
      </c>
      <c r="I210" s="120">
        <v>105</v>
      </c>
      <c r="J210" s="119">
        <v>1.5</v>
      </c>
      <c r="K210" s="102" t="s">
        <v>1910</v>
      </c>
    </row>
    <row r="211" spans="1:13" x14ac:dyDescent="0.3">
      <c r="A211" s="106" t="s">
        <v>897</v>
      </c>
      <c r="B211" s="106" t="s">
        <v>2024</v>
      </c>
      <c r="C211" s="106" t="s">
        <v>1898</v>
      </c>
      <c r="D211" s="106" t="s">
        <v>2235</v>
      </c>
      <c r="E211" s="104">
        <v>0</v>
      </c>
      <c r="F211" s="103"/>
      <c r="G211" s="103"/>
      <c r="H211" s="107" t="s">
        <v>2236</v>
      </c>
      <c r="J211" s="111">
        <v>2</v>
      </c>
      <c r="K211" s="107" t="s">
        <v>1910</v>
      </c>
    </row>
    <row r="212" spans="1:13" x14ac:dyDescent="0.3">
      <c r="A212" s="118" t="s">
        <v>897</v>
      </c>
      <c r="B212" s="107" t="s">
        <v>2024</v>
      </c>
      <c r="C212" s="118" t="s">
        <v>1898</v>
      </c>
      <c r="D212" s="118" t="s">
        <v>2457</v>
      </c>
      <c r="E212" s="119">
        <v>0</v>
      </c>
      <c r="H212" s="118" t="s">
        <v>2456</v>
      </c>
      <c r="I212" s="120">
        <v>104</v>
      </c>
      <c r="J212" s="119">
        <v>3.95</v>
      </c>
      <c r="K212" s="102" t="s">
        <v>1910</v>
      </c>
    </row>
    <row r="213" spans="1:13" x14ac:dyDescent="0.3">
      <c r="A213" s="107" t="s">
        <v>897</v>
      </c>
      <c r="B213" s="107" t="s">
        <v>2024</v>
      </c>
      <c r="C213" s="107" t="s">
        <v>8</v>
      </c>
      <c r="D213" s="106" t="s">
        <v>1531</v>
      </c>
      <c r="E213" s="104">
        <v>0</v>
      </c>
      <c r="F213" s="103" t="s">
        <v>1532</v>
      </c>
      <c r="G213" s="103" t="s">
        <v>1533</v>
      </c>
      <c r="H213" s="106" t="s">
        <v>1534</v>
      </c>
      <c r="I213" s="103">
        <v>1</v>
      </c>
      <c r="J213" s="104">
        <v>1.5</v>
      </c>
      <c r="K213" s="106" t="s">
        <v>1910</v>
      </c>
      <c r="L213" s="103"/>
      <c r="M213" s="105">
        <f>E213*J213</f>
        <v>0</v>
      </c>
    </row>
    <row r="214" spans="1:13" x14ac:dyDescent="0.3">
      <c r="A214" s="118" t="s">
        <v>897</v>
      </c>
      <c r="B214" s="118" t="s">
        <v>2024</v>
      </c>
      <c r="C214" s="118" t="s">
        <v>1898</v>
      </c>
      <c r="D214" s="118" t="s">
        <v>2455</v>
      </c>
      <c r="E214" s="119">
        <v>0</v>
      </c>
      <c r="H214" s="118" t="s">
        <v>2454</v>
      </c>
      <c r="I214" s="120">
        <v>103</v>
      </c>
      <c r="J214" s="119">
        <v>2.95</v>
      </c>
      <c r="K214" s="102" t="s">
        <v>1910</v>
      </c>
    </row>
    <row r="215" spans="1:13" x14ac:dyDescent="0.3">
      <c r="A215" s="107" t="s">
        <v>897</v>
      </c>
      <c r="B215" s="107" t="s">
        <v>2033</v>
      </c>
      <c r="C215" s="107" t="s">
        <v>8</v>
      </c>
      <c r="D215" s="106" t="s">
        <v>1000</v>
      </c>
      <c r="E215" s="104">
        <v>0</v>
      </c>
      <c r="F215" s="103" t="s">
        <v>1001</v>
      </c>
      <c r="G215" s="103" t="s">
        <v>1002</v>
      </c>
      <c r="H215" s="106" t="s">
        <v>1003</v>
      </c>
      <c r="I215" s="103"/>
      <c r="J215" s="104">
        <v>0.95</v>
      </c>
      <c r="K215" s="106" t="s">
        <v>1910</v>
      </c>
      <c r="L215" s="103"/>
      <c r="M215" s="105">
        <f>E215*J215</f>
        <v>0</v>
      </c>
    </row>
    <row r="216" spans="1:13" x14ac:dyDescent="0.3">
      <c r="A216" s="107" t="s">
        <v>897</v>
      </c>
      <c r="B216" s="107" t="s">
        <v>2033</v>
      </c>
      <c r="C216" s="107" t="s">
        <v>8</v>
      </c>
      <c r="D216" s="106" t="s">
        <v>996</v>
      </c>
      <c r="E216" s="104">
        <v>0</v>
      </c>
      <c r="F216" s="103" t="s">
        <v>997</v>
      </c>
      <c r="G216" s="103" t="s">
        <v>998</v>
      </c>
      <c r="H216" s="106" t="s">
        <v>999</v>
      </c>
      <c r="I216" s="103">
        <v>1</v>
      </c>
      <c r="J216" s="104">
        <v>0.95</v>
      </c>
      <c r="K216" s="106" t="s">
        <v>1910</v>
      </c>
      <c r="L216" s="103"/>
      <c r="M216" s="105">
        <f>E216*J216</f>
        <v>0</v>
      </c>
    </row>
    <row r="217" spans="1:13" x14ac:dyDescent="0.3">
      <c r="A217" s="107" t="s">
        <v>897</v>
      </c>
      <c r="B217" s="107" t="s">
        <v>2033</v>
      </c>
      <c r="C217" s="107" t="s">
        <v>8</v>
      </c>
      <c r="D217" s="106" t="s">
        <v>1004</v>
      </c>
      <c r="E217" s="104">
        <v>5</v>
      </c>
      <c r="F217" s="103" t="s">
        <v>1005</v>
      </c>
      <c r="G217" s="103" t="s">
        <v>1006</v>
      </c>
      <c r="H217" s="106" t="s">
        <v>1007</v>
      </c>
      <c r="I217" s="103">
        <v>1</v>
      </c>
      <c r="J217" s="104">
        <v>0.95</v>
      </c>
      <c r="K217" s="106" t="s">
        <v>1911</v>
      </c>
      <c r="L217" s="103"/>
      <c r="M217" s="105">
        <f>E217*J217</f>
        <v>4.75</v>
      </c>
    </row>
    <row r="218" spans="1:13" x14ac:dyDescent="0.3">
      <c r="A218" s="106" t="s">
        <v>897</v>
      </c>
      <c r="B218" s="106" t="s">
        <v>2033</v>
      </c>
      <c r="C218" s="106" t="s">
        <v>1898</v>
      </c>
      <c r="D218" s="106" t="s">
        <v>2239</v>
      </c>
      <c r="E218" s="104">
        <v>0</v>
      </c>
      <c r="F218" s="103"/>
      <c r="G218" s="103"/>
      <c r="H218" s="107" t="s">
        <v>2240</v>
      </c>
      <c r="J218" s="111">
        <v>1.5</v>
      </c>
      <c r="K218" s="107" t="s">
        <v>1910</v>
      </c>
    </row>
    <row r="219" spans="1:13" x14ac:dyDescent="0.3">
      <c r="A219" s="106" t="s">
        <v>897</v>
      </c>
      <c r="B219" s="106" t="s">
        <v>2033</v>
      </c>
      <c r="C219" s="106" t="s">
        <v>1898</v>
      </c>
      <c r="D219" s="106" t="s">
        <v>2241</v>
      </c>
      <c r="E219" s="104">
        <v>0</v>
      </c>
      <c r="F219" s="103"/>
      <c r="G219" s="103"/>
      <c r="H219" s="107" t="s">
        <v>2242</v>
      </c>
      <c r="J219" s="111">
        <v>1.75</v>
      </c>
      <c r="K219" s="107" t="s">
        <v>1910</v>
      </c>
    </row>
    <row r="220" spans="1:13" x14ac:dyDescent="0.3">
      <c r="A220" s="106" t="s">
        <v>897</v>
      </c>
      <c r="B220" s="106" t="s">
        <v>2033</v>
      </c>
      <c r="C220" s="106" t="s">
        <v>1898</v>
      </c>
      <c r="D220" s="106" t="s">
        <v>2243</v>
      </c>
      <c r="E220" s="104">
        <v>0</v>
      </c>
      <c r="F220" s="103"/>
      <c r="G220" s="103"/>
      <c r="H220" s="107" t="s">
        <v>2244</v>
      </c>
      <c r="J220" s="111">
        <v>0.95</v>
      </c>
      <c r="K220" s="107" t="s">
        <v>1910</v>
      </c>
    </row>
    <row r="221" spans="1:13" x14ac:dyDescent="0.3">
      <c r="A221" s="106" t="s">
        <v>897</v>
      </c>
      <c r="B221" s="106" t="s">
        <v>2033</v>
      </c>
      <c r="C221" s="106" t="s">
        <v>1898</v>
      </c>
      <c r="D221" s="106" t="s">
        <v>2245</v>
      </c>
      <c r="E221" s="104">
        <v>0</v>
      </c>
      <c r="F221" s="103"/>
      <c r="G221" s="103"/>
      <c r="H221" s="107" t="s">
        <v>2246</v>
      </c>
      <c r="J221" s="111">
        <v>0.95</v>
      </c>
      <c r="K221" s="107" t="s">
        <v>1910</v>
      </c>
    </row>
    <row r="222" spans="1:13" x14ac:dyDescent="0.3">
      <c r="A222" s="106" t="s">
        <v>897</v>
      </c>
      <c r="B222" s="106" t="s">
        <v>2033</v>
      </c>
      <c r="C222" s="106" t="s">
        <v>1898</v>
      </c>
      <c r="D222" s="106" t="s">
        <v>2247</v>
      </c>
      <c r="E222" s="104">
        <v>5</v>
      </c>
      <c r="F222" s="103"/>
      <c r="G222" s="103"/>
      <c r="H222" s="107" t="s">
        <v>2248</v>
      </c>
      <c r="J222" s="111">
        <v>1.5</v>
      </c>
      <c r="K222" s="107" t="s">
        <v>1911</v>
      </c>
    </row>
    <row r="223" spans="1:13" x14ac:dyDescent="0.3">
      <c r="A223" s="107" t="s">
        <v>897</v>
      </c>
      <c r="B223" s="107" t="s">
        <v>2033</v>
      </c>
      <c r="C223" s="107" t="s">
        <v>8</v>
      </c>
      <c r="D223" s="106" t="s">
        <v>1008</v>
      </c>
      <c r="E223" s="104">
        <v>0</v>
      </c>
      <c r="F223" s="103" t="s">
        <v>1009</v>
      </c>
      <c r="G223" s="103" t="s">
        <v>1010</v>
      </c>
      <c r="H223" s="106" t="s">
        <v>1011</v>
      </c>
      <c r="I223" s="103">
        <v>1</v>
      </c>
      <c r="J223" s="104">
        <v>2.95</v>
      </c>
      <c r="K223" s="106" t="s">
        <v>1910</v>
      </c>
      <c r="L223" s="103"/>
      <c r="M223" s="105">
        <f>E223*J223</f>
        <v>0</v>
      </c>
    </row>
    <row r="224" spans="1:13" x14ac:dyDescent="0.3">
      <c r="A224" s="107" t="s">
        <v>897</v>
      </c>
      <c r="B224" s="107" t="s">
        <v>2033</v>
      </c>
      <c r="C224" s="107" t="s">
        <v>8</v>
      </c>
      <c r="D224" s="106" t="s">
        <v>1705</v>
      </c>
      <c r="E224" s="104">
        <v>0</v>
      </c>
      <c r="F224" s="103" t="s">
        <v>1706</v>
      </c>
      <c r="G224" s="103" t="s">
        <v>1707</v>
      </c>
      <c r="H224" s="106" t="s">
        <v>1708</v>
      </c>
      <c r="I224" s="103">
        <v>1</v>
      </c>
      <c r="J224" s="104">
        <v>2.95</v>
      </c>
      <c r="K224" s="106" t="s">
        <v>1910</v>
      </c>
      <c r="L224" s="103"/>
      <c r="M224" s="105">
        <f>E224*J224</f>
        <v>0</v>
      </c>
    </row>
    <row r="225" spans="1:13" x14ac:dyDescent="0.3">
      <c r="A225" s="107" t="s">
        <v>897</v>
      </c>
      <c r="B225" s="107" t="s">
        <v>2033</v>
      </c>
      <c r="C225" s="107" t="s">
        <v>8</v>
      </c>
      <c r="D225" s="106" t="s">
        <v>1685</v>
      </c>
      <c r="E225" s="104">
        <v>0</v>
      </c>
      <c r="F225" s="103" t="s">
        <v>1686</v>
      </c>
      <c r="G225" s="103" t="s">
        <v>1687</v>
      </c>
      <c r="H225" s="106" t="s">
        <v>1688</v>
      </c>
      <c r="I225" s="103">
        <v>1</v>
      </c>
      <c r="J225" s="104">
        <v>3.95</v>
      </c>
      <c r="K225" s="106" t="s">
        <v>1910</v>
      </c>
      <c r="L225" s="103"/>
      <c r="M225" s="105">
        <f>E225*J225</f>
        <v>0</v>
      </c>
    </row>
    <row r="226" spans="1:13" x14ac:dyDescent="0.3">
      <c r="A226" s="107" t="s">
        <v>897</v>
      </c>
      <c r="B226" s="107" t="s">
        <v>2033</v>
      </c>
      <c r="C226" s="107" t="s">
        <v>8</v>
      </c>
      <c r="D226" s="106" t="s">
        <v>1733</v>
      </c>
      <c r="E226" s="104">
        <v>0</v>
      </c>
      <c r="F226" s="103" t="s">
        <v>1734</v>
      </c>
      <c r="G226" s="103" t="s">
        <v>1735</v>
      </c>
      <c r="H226" s="106" t="s">
        <v>1736</v>
      </c>
      <c r="I226" s="103">
        <v>1</v>
      </c>
      <c r="J226" s="104">
        <v>2.95</v>
      </c>
      <c r="K226" s="106" t="s">
        <v>1912</v>
      </c>
      <c r="L226" s="103"/>
      <c r="M226" s="105">
        <f>E226*J226</f>
        <v>0</v>
      </c>
    </row>
    <row r="227" spans="1:13" x14ac:dyDescent="0.3">
      <c r="A227" s="106" t="s">
        <v>897</v>
      </c>
      <c r="B227" s="106" t="s">
        <v>2033</v>
      </c>
      <c r="C227" s="106" t="s">
        <v>1898</v>
      </c>
      <c r="D227" s="106" t="s">
        <v>2249</v>
      </c>
      <c r="E227" s="104">
        <v>0</v>
      </c>
      <c r="F227" s="103"/>
      <c r="G227" s="103"/>
      <c r="H227" s="107" t="s">
        <v>2250</v>
      </c>
      <c r="J227" s="111">
        <v>4.5</v>
      </c>
      <c r="K227" s="107" t="s">
        <v>1912</v>
      </c>
    </row>
    <row r="228" spans="1:13" x14ac:dyDescent="0.3">
      <c r="A228" s="107" t="s">
        <v>897</v>
      </c>
      <c r="B228" s="107" t="s">
        <v>2033</v>
      </c>
      <c r="C228" s="107" t="s">
        <v>8</v>
      </c>
      <c r="D228" s="106" t="s">
        <v>1120</v>
      </c>
      <c r="E228" s="104">
        <v>5</v>
      </c>
      <c r="F228" s="103" t="s">
        <v>1121</v>
      </c>
      <c r="G228" s="103" t="s">
        <v>1122</v>
      </c>
      <c r="H228" s="106" t="s">
        <v>1123</v>
      </c>
      <c r="I228" s="103">
        <v>1</v>
      </c>
      <c r="J228" s="104">
        <v>1.95</v>
      </c>
      <c r="K228" s="106" t="s">
        <v>1911</v>
      </c>
      <c r="L228" s="103"/>
      <c r="M228" s="105">
        <f>E228*J228</f>
        <v>9.75</v>
      </c>
    </row>
    <row r="229" spans="1:13" x14ac:dyDescent="0.3">
      <c r="A229" s="107" t="s">
        <v>897</v>
      </c>
      <c r="B229" s="107" t="s">
        <v>2033</v>
      </c>
      <c r="C229" s="107" t="s">
        <v>8</v>
      </c>
      <c r="D229" s="106" t="s">
        <v>1116</v>
      </c>
      <c r="E229" s="104">
        <v>5</v>
      </c>
      <c r="F229" s="103" t="s">
        <v>1117</v>
      </c>
      <c r="G229" s="103" t="s">
        <v>1118</v>
      </c>
      <c r="H229" s="106" t="s">
        <v>1119</v>
      </c>
      <c r="I229" s="103">
        <v>1</v>
      </c>
      <c r="J229" s="104">
        <v>1.95</v>
      </c>
      <c r="K229" s="106" t="s">
        <v>1911</v>
      </c>
      <c r="L229" s="103"/>
      <c r="M229" s="105">
        <f>E229*J229</f>
        <v>9.75</v>
      </c>
    </row>
    <row r="230" spans="1:13" x14ac:dyDescent="0.3">
      <c r="A230" s="107" t="s">
        <v>897</v>
      </c>
      <c r="B230" s="107" t="s">
        <v>2033</v>
      </c>
      <c r="C230" s="107" t="s">
        <v>8</v>
      </c>
      <c r="D230" s="106" t="s">
        <v>1124</v>
      </c>
      <c r="E230" s="104">
        <v>5</v>
      </c>
      <c r="F230" s="103" t="s">
        <v>1125</v>
      </c>
      <c r="G230" s="103" t="s">
        <v>1126</v>
      </c>
      <c r="H230" s="106" t="s">
        <v>1127</v>
      </c>
      <c r="I230" s="103">
        <v>1</v>
      </c>
      <c r="J230" s="104">
        <v>1.95</v>
      </c>
      <c r="K230" s="106" t="s">
        <v>1911</v>
      </c>
      <c r="L230" s="103"/>
      <c r="M230" s="105">
        <f>E230*J230</f>
        <v>9.75</v>
      </c>
    </row>
    <row r="231" spans="1:13" x14ac:dyDescent="0.3">
      <c r="A231" s="106" t="s">
        <v>897</v>
      </c>
      <c r="B231" s="106" t="s">
        <v>2033</v>
      </c>
      <c r="C231" s="106" t="s">
        <v>1898</v>
      </c>
      <c r="D231" s="106" t="s">
        <v>2237</v>
      </c>
      <c r="E231" s="104">
        <v>0</v>
      </c>
      <c r="F231" s="103"/>
      <c r="G231" s="103"/>
      <c r="H231" s="107" t="s">
        <v>2238</v>
      </c>
      <c r="J231" s="111">
        <v>1.95</v>
      </c>
      <c r="K231" s="107" t="s">
        <v>1910</v>
      </c>
    </row>
    <row r="232" spans="1:13" x14ac:dyDescent="0.3">
      <c r="A232" s="107" t="s">
        <v>897</v>
      </c>
      <c r="B232" s="107" t="s">
        <v>1612</v>
      </c>
      <c r="C232" s="107" t="s">
        <v>8</v>
      </c>
      <c r="D232" s="106" t="s">
        <v>1663</v>
      </c>
      <c r="E232" s="104">
        <v>0</v>
      </c>
      <c r="F232" s="103" t="s">
        <v>1664</v>
      </c>
      <c r="G232" s="103" t="s">
        <v>1665</v>
      </c>
      <c r="H232" s="106" t="s">
        <v>1666</v>
      </c>
      <c r="I232" s="103">
        <v>1</v>
      </c>
      <c r="J232" s="104">
        <v>16.95</v>
      </c>
      <c r="K232" s="106" t="s">
        <v>1910</v>
      </c>
      <c r="L232" s="103"/>
      <c r="M232" s="105">
        <f>E232*J232</f>
        <v>0</v>
      </c>
    </row>
    <row r="233" spans="1:13" x14ac:dyDescent="0.3">
      <c r="A233" s="118" t="s">
        <v>897</v>
      </c>
      <c r="B233" s="118" t="s">
        <v>1612</v>
      </c>
      <c r="C233" s="118" t="s">
        <v>1898</v>
      </c>
      <c r="D233" s="118" t="s">
        <v>2467</v>
      </c>
      <c r="E233" s="119">
        <v>1</v>
      </c>
      <c r="H233" s="118" t="s">
        <v>2466</v>
      </c>
      <c r="I233" s="120">
        <v>109</v>
      </c>
      <c r="J233" s="119">
        <v>27.5</v>
      </c>
      <c r="K233" s="102" t="s">
        <v>1910</v>
      </c>
    </row>
    <row r="234" spans="1:13" x14ac:dyDescent="0.3">
      <c r="A234" s="107" t="s">
        <v>897</v>
      </c>
      <c r="B234" s="107" t="s">
        <v>1612</v>
      </c>
      <c r="C234" s="107" t="s">
        <v>8</v>
      </c>
      <c r="D234" s="106" t="s">
        <v>1401</v>
      </c>
      <c r="E234" s="104">
        <v>0</v>
      </c>
      <c r="F234" s="103" t="s">
        <v>1402</v>
      </c>
      <c r="G234" s="103" t="s">
        <v>1403</v>
      </c>
      <c r="H234" s="106" t="s">
        <v>1404</v>
      </c>
      <c r="I234" s="103">
        <v>1</v>
      </c>
      <c r="J234" s="104">
        <v>2.5</v>
      </c>
      <c r="K234" s="106" t="s">
        <v>1912</v>
      </c>
      <c r="L234" s="103"/>
      <c r="M234" s="105">
        <f t="shared" ref="M234:M240" si="7">E234*J234</f>
        <v>0</v>
      </c>
    </row>
    <row r="235" spans="1:13" x14ac:dyDescent="0.3">
      <c r="A235" s="107" t="s">
        <v>897</v>
      </c>
      <c r="B235" s="107" t="s">
        <v>1612</v>
      </c>
      <c r="C235" s="107" t="s">
        <v>8</v>
      </c>
      <c r="D235" s="106" t="s">
        <v>1393</v>
      </c>
      <c r="E235" s="104">
        <v>0</v>
      </c>
      <c r="F235" s="103" t="s">
        <v>1394</v>
      </c>
      <c r="G235" s="103" t="s">
        <v>1395</v>
      </c>
      <c r="H235" s="106" t="s">
        <v>1396</v>
      </c>
      <c r="I235" s="103">
        <v>1</v>
      </c>
      <c r="J235" s="104">
        <v>2.5</v>
      </c>
      <c r="K235" s="106" t="s">
        <v>1912</v>
      </c>
      <c r="L235" s="103"/>
      <c r="M235" s="105">
        <f t="shared" si="7"/>
        <v>0</v>
      </c>
    </row>
    <row r="236" spans="1:13" x14ac:dyDescent="0.3">
      <c r="A236" s="107" t="s">
        <v>897</v>
      </c>
      <c r="B236" s="107" t="s">
        <v>1612</v>
      </c>
      <c r="C236" s="107" t="s">
        <v>8</v>
      </c>
      <c r="D236" s="106" t="s">
        <v>1397</v>
      </c>
      <c r="E236" s="104">
        <v>0</v>
      </c>
      <c r="F236" s="103" t="s">
        <v>1398</v>
      </c>
      <c r="G236" s="103" t="s">
        <v>1399</v>
      </c>
      <c r="H236" s="106" t="s">
        <v>1400</v>
      </c>
      <c r="I236" s="103">
        <v>1</v>
      </c>
      <c r="J236" s="104">
        <v>2.5</v>
      </c>
      <c r="K236" s="106" t="s">
        <v>1912</v>
      </c>
      <c r="L236" s="103"/>
      <c r="M236" s="105">
        <f t="shared" si="7"/>
        <v>0</v>
      </c>
    </row>
    <row r="237" spans="1:13" x14ac:dyDescent="0.3">
      <c r="A237" s="107" t="s">
        <v>897</v>
      </c>
      <c r="B237" s="107" t="s">
        <v>1612</v>
      </c>
      <c r="C237" s="107" t="s">
        <v>8</v>
      </c>
      <c r="D237" s="106" t="s">
        <v>1655</v>
      </c>
      <c r="E237" s="104">
        <v>0</v>
      </c>
      <c r="F237" s="103" t="s">
        <v>1656</v>
      </c>
      <c r="G237" s="103" t="s">
        <v>1657</v>
      </c>
      <c r="H237" s="106" t="s">
        <v>1658</v>
      </c>
      <c r="I237" s="103"/>
      <c r="J237" s="104">
        <v>2.95</v>
      </c>
      <c r="K237" s="106" t="s">
        <v>1910</v>
      </c>
      <c r="L237" s="103"/>
      <c r="M237" s="105">
        <f t="shared" si="7"/>
        <v>0</v>
      </c>
    </row>
    <row r="238" spans="1:13" x14ac:dyDescent="0.3">
      <c r="A238" s="107" t="s">
        <v>897</v>
      </c>
      <c r="B238" s="107" t="s">
        <v>1612</v>
      </c>
      <c r="C238" s="107" t="s">
        <v>8</v>
      </c>
      <c r="D238" s="106" t="s">
        <v>1389</v>
      </c>
      <c r="E238" s="104">
        <v>0</v>
      </c>
      <c r="F238" s="103" t="s">
        <v>1390</v>
      </c>
      <c r="G238" s="103" t="s">
        <v>1391</v>
      </c>
      <c r="H238" s="106" t="s">
        <v>1392</v>
      </c>
      <c r="I238" s="103">
        <v>1</v>
      </c>
      <c r="J238" s="104">
        <v>2.5</v>
      </c>
      <c r="K238" s="106" t="s">
        <v>1910</v>
      </c>
      <c r="L238" s="103"/>
      <c r="M238" s="105">
        <f t="shared" si="7"/>
        <v>0</v>
      </c>
    </row>
    <row r="239" spans="1:13" x14ac:dyDescent="0.3">
      <c r="A239" s="107" t="s">
        <v>897</v>
      </c>
      <c r="B239" s="107" t="s">
        <v>1612</v>
      </c>
      <c r="C239" s="107" t="s">
        <v>8</v>
      </c>
      <c r="D239" s="106" t="s">
        <v>1659</v>
      </c>
      <c r="E239" s="104">
        <v>0</v>
      </c>
      <c r="F239" s="103" t="s">
        <v>1660</v>
      </c>
      <c r="G239" s="103" t="s">
        <v>1661</v>
      </c>
      <c r="H239" s="106" t="s">
        <v>1662</v>
      </c>
      <c r="I239" s="103"/>
      <c r="J239" s="104">
        <v>2.95</v>
      </c>
      <c r="K239" s="106" t="s">
        <v>1910</v>
      </c>
      <c r="L239" s="103"/>
      <c r="M239" s="105">
        <f t="shared" si="7"/>
        <v>0</v>
      </c>
    </row>
    <row r="240" spans="1:13" x14ac:dyDescent="0.3">
      <c r="A240" s="107" t="s">
        <v>897</v>
      </c>
      <c r="B240" s="107" t="s">
        <v>1612</v>
      </c>
      <c r="C240" s="107" t="s">
        <v>8</v>
      </c>
      <c r="D240" s="106" t="s">
        <v>417</v>
      </c>
      <c r="E240" s="104">
        <v>2</v>
      </c>
      <c r="F240" s="103" t="s">
        <v>418</v>
      </c>
      <c r="G240" s="103" t="s">
        <v>419</v>
      </c>
      <c r="H240" s="106" t="s">
        <v>420</v>
      </c>
      <c r="I240" s="103">
        <v>1</v>
      </c>
      <c r="J240" s="104">
        <v>6.95</v>
      </c>
      <c r="K240" s="106" t="s">
        <v>1910</v>
      </c>
      <c r="L240" s="103"/>
      <c r="M240" s="105">
        <f t="shared" si="7"/>
        <v>13.9</v>
      </c>
    </row>
    <row r="241" spans="1:13" x14ac:dyDescent="0.3">
      <c r="A241" s="118" t="s">
        <v>897</v>
      </c>
      <c r="B241" s="118" t="s">
        <v>1612</v>
      </c>
      <c r="C241" s="118" t="s">
        <v>1898</v>
      </c>
      <c r="D241" s="118" t="s">
        <v>2469</v>
      </c>
      <c r="E241" s="119">
        <v>0</v>
      </c>
      <c r="H241" s="118" t="s">
        <v>2468</v>
      </c>
      <c r="I241" s="120">
        <v>110</v>
      </c>
      <c r="J241" s="119">
        <v>7.95</v>
      </c>
      <c r="K241" s="102" t="s">
        <v>1910</v>
      </c>
    </row>
    <row r="242" spans="1:13" x14ac:dyDescent="0.3">
      <c r="A242" s="107">
        <f>COUNTA(A2:A241)</f>
        <v>240</v>
      </c>
      <c r="D242" s="106"/>
      <c r="E242" s="104">
        <f>SUM(E2:E241)</f>
        <v>451</v>
      </c>
      <c r="F242" s="103"/>
      <c r="G242" s="103"/>
      <c r="H242" s="106"/>
      <c r="I242" s="103"/>
      <c r="J242" s="104">
        <f>AVERAGE(J2:J241)</f>
        <v>2.3135416666666635</v>
      </c>
      <c r="K242" s="106"/>
      <c r="L242" s="103"/>
      <c r="M242" s="105">
        <f>SUM(M2:M241)</f>
        <v>442.39999999999992</v>
      </c>
    </row>
    <row r="244" spans="1:13" x14ac:dyDescent="0.3">
      <c r="D244" s="106"/>
      <c r="E244" s="104"/>
      <c r="F244" s="103"/>
      <c r="G244" s="103"/>
      <c r="H244" s="106"/>
      <c r="I244" s="103"/>
      <c r="J244" s="104"/>
      <c r="K244" s="106"/>
      <c r="L244" s="103"/>
    </row>
    <row r="245" spans="1:13" x14ac:dyDescent="0.3">
      <c r="D245" s="106"/>
      <c r="E245" s="104"/>
      <c r="F245" s="103"/>
      <c r="G245" s="103"/>
      <c r="H245" s="106"/>
      <c r="I245" s="103"/>
      <c r="J245" s="104"/>
      <c r="K245" s="106"/>
      <c r="L245" s="103"/>
    </row>
    <row r="247" spans="1:13" x14ac:dyDescent="0.3">
      <c r="E247" s="104"/>
    </row>
    <row r="248" spans="1:13" x14ac:dyDescent="0.3">
      <c r="E248" s="104"/>
    </row>
    <row r="249" spans="1:13" x14ac:dyDescent="0.3">
      <c r="E249" s="104"/>
    </row>
    <row r="250" spans="1:13" x14ac:dyDescent="0.3">
      <c r="E250" s="104"/>
    </row>
    <row r="251" spans="1:13" x14ac:dyDescent="0.3">
      <c r="E251" s="104"/>
    </row>
    <row r="252" spans="1:13" x14ac:dyDescent="0.3">
      <c r="E252" s="104"/>
    </row>
    <row r="253" spans="1:13" x14ac:dyDescent="0.3">
      <c r="E253" s="104"/>
    </row>
    <row r="254" spans="1:13" x14ac:dyDescent="0.3">
      <c r="E254" s="104"/>
    </row>
    <row r="255" spans="1:13" x14ac:dyDescent="0.3">
      <c r="E255" s="104"/>
    </row>
    <row r="256" spans="1:13" x14ac:dyDescent="0.3">
      <c r="E256" s="104"/>
    </row>
    <row r="257" spans="5:5" x14ac:dyDescent="0.3">
      <c r="E257" s="104"/>
    </row>
  </sheetData>
  <sortState ref="B3:J241">
    <sortCondition ref="B1"/>
  </sortState>
  <conditionalFormatting sqref="A1:M1048576">
    <cfRule type="expression" dxfId="173" priority="55">
      <formula>AND(($E1=0),NOT(ISBLANK($E1)))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5EE0F9DD-13B1-4F64-80BE-1D493EA2F7EA}">
            <xm:f>$K1=FilterSpecs!$F$13</xm:f>
            <x14:dxf>
              <font>
                <b/>
                <i val="0"/>
                <color theme="0"/>
              </font>
              <fill>
                <patternFill>
                  <bgColor theme="9" tint="-0.499984740745262"/>
                </patternFill>
              </fill>
            </x14:dxf>
          </x14:cfRule>
          <x14:cfRule type="expression" priority="2" id="{FD4B95A6-09CA-4116-BBC6-86DE47B3A1D0}">
            <xm:f>$K1=FilterSpecs!$F$12</xm:f>
            <x14:dxf>
              <font>
                <b/>
                <i val="0"/>
                <color theme="0"/>
              </font>
              <fill>
                <patternFill>
                  <bgColor rgb="FFFF4F4F"/>
                </patternFill>
              </fill>
            </x14:dxf>
          </x14:cfRule>
          <x14:cfRule type="expression" priority="54" id="{BED5A1B6-6AD1-4E05-8773-172695EB1C13}">
            <xm:f>$K1=FilterSpecs!$F$9</xm:f>
            <x14:dxf>
              <font>
                <b/>
                <i val="0"/>
                <color theme="0"/>
              </font>
              <fill>
                <patternFill>
                  <bgColor rgb="FFFF0000"/>
                </patternFill>
              </fill>
            </x14:dxf>
          </x14:cfRule>
          <x14:cfRule type="expression" priority="56" id="{4D7AA265-FD90-4EE6-8997-EEA7BC9E6A3B}">
            <xm:f>$K1=FilterSpecs!$F$10</xm:f>
            <x14:dxf>
              <font>
                <b/>
                <i val="0"/>
                <color theme="0"/>
              </font>
              <fill>
                <patternFill>
                  <bgColor rgb="FF002060"/>
                </patternFill>
              </fill>
            </x14:dxf>
          </x14:cfRule>
          <x14:cfRule type="expression" priority="57" id="{4A3F3C0C-A601-4AB7-9198-80980F0BD793}">
            <xm:f>$K1=FilterSpecs!$F$7</xm:f>
            <x14:dxf>
              <font>
                <b/>
                <i val="0"/>
                <color theme="0"/>
              </font>
              <fill>
                <patternFill>
                  <bgColor rgb="FF00B0F0"/>
                </patternFill>
              </fill>
            </x14:dxf>
          </x14:cfRule>
          <x14:cfRule type="expression" priority="58" id="{221C562E-A60D-4613-97B9-22EFFCDE0B58}">
            <xm:f>$K1=FilterSpecs!$F$8</xm:f>
            <x14:dxf>
              <font>
                <b/>
                <i val="0"/>
                <color theme="0"/>
              </font>
              <fill>
                <patternFill>
                  <bgColor rgb="FFFFC000"/>
                </patternFill>
              </fill>
            </x14:dxf>
          </x14:cfRule>
          <xm:sqref>A1:M1048576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868D2-F7E3-490E-9A76-355C04C96326}">
  <sheetPr codeName="Sheet13"/>
  <dimension ref="A1:XFD543"/>
  <sheetViews>
    <sheetView workbookViewId="0">
      <selection activeCell="H11" sqref="H11"/>
    </sheetView>
  </sheetViews>
  <sheetFormatPr defaultRowHeight="14.4" x14ac:dyDescent="0.3"/>
  <cols>
    <col min="1" max="1" width="44.109375" style="107" customWidth="1"/>
    <col min="2" max="2" width="34.88671875" style="107" customWidth="1"/>
    <col min="3" max="3" width="10.21875" style="107" bestFit="1" customWidth="1"/>
    <col min="4" max="4" width="11.5546875" style="134" customWidth="1"/>
    <col min="5" max="5" width="9.21875" style="102" customWidth="1"/>
    <col min="6" max="6" width="2.33203125" style="105" hidden="1" customWidth="1"/>
    <col min="7" max="7" width="0.77734375" style="105" hidden="1" customWidth="1"/>
    <col min="8" max="8" width="59.5546875" style="102" customWidth="1"/>
    <col min="9" max="9" width="8.88671875" style="105" hidden="1" customWidth="1"/>
    <col min="10" max="10" width="12.88671875" style="111" bestFit="1" customWidth="1"/>
    <col min="11" max="11" width="4" style="107" bestFit="1" customWidth="1"/>
    <col min="12" max="12" width="68.44140625" style="105" customWidth="1"/>
    <col min="13" max="13" width="12.88671875" style="105" bestFit="1" customWidth="1"/>
    <col min="14" max="16384" width="8.88671875" style="105"/>
  </cols>
  <sheetData>
    <row r="1" spans="1:16384" s="77" customFormat="1" ht="15.6" thickTop="1" thickBot="1" x14ac:dyDescent="0.35">
      <c r="A1" s="84" t="s">
        <v>893</v>
      </c>
      <c r="B1" s="84" t="s">
        <v>163</v>
      </c>
      <c r="C1" s="84" t="s">
        <v>7</v>
      </c>
      <c r="D1" s="110" t="s">
        <v>25</v>
      </c>
      <c r="E1" s="88" t="s">
        <v>26</v>
      </c>
      <c r="F1" s="77" t="s">
        <v>27</v>
      </c>
      <c r="G1" s="77" t="s">
        <v>28</v>
      </c>
      <c r="H1" s="88" t="s">
        <v>29</v>
      </c>
      <c r="I1" s="77" t="s">
        <v>30</v>
      </c>
      <c r="J1" s="87" t="s">
        <v>31</v>
      </c>
      <c r="K1" s="84" t="s">
        <v>1918</v>
      </c>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ht="15" thickTop="1" x14ac:dyDescent="0.3">
      <c r="A2" s="107" t="s">
        <v>17</v>
      </c>
      <c r="B2" s="107" t="s">
        <v>1614</v>
      </c>
      <c r="C2" s="107" t="s">
        <v>8</v>
      </c>
      <c r="D2" s="133" t="s">
        <v>1197</v>
      </c>
      <c r="E2" s="103">
        <v>1</v>
      </c>
      <c r="F2" s="103" t="s">
        <v>1198</v>
      </c>
      <c r="G2" s="103" t="s">
        <v>1199</v>
      </c>
      <c r="H2" s="103" t="s">
        <v>1200</v>
      </c>
      <c r="I2" s="103">
        <v>1</v>
      </c>
      <c r="J2" s="104">
        <v>34.950000000000003</v>
      </c>
      <c r="K2" s="106" t="s">
        <v>1914</v>
      </c>
      <c r="M2" s="105">
        <f>E2*J2</f>
        <v>34.950000000000003</v>
      </c>
    </row>
    <row r="3" spans="1:16384" x14ac:dyDescent="0.3">
      <c r="A3" s="118" t="s">
        <v>17</v>
      </c>
      <c r="B3" s="118" t="s">
        <v>1614</v>
      </c>
      <c r="C3" s="118" t="s">
        <v>1898</v>
      </c>
      <c r="D3" s="118" t="s">
        <v>2465</v>
      </c>
      <c r="E3" s="118">
        <v>0</v>
      </c>
      <c r="H3" s="118" t="s">
        <v>2464</v>
      </c>
      <c r="I3" s="120">
        <v>108</v>
      </c>
      <c r="J3" s="119">
        <v>100</v>
      </c>
      <c r="K3" s="102" t="s">
        <v>1914</v>
      </c>
    </row>
    <row r="4" spans="1:16384" x14ac:dyDescent="0.3">
      <c r="A4" s="107" t="s">
        <v>17</v>
      </c>
      <c r="B4" s="107" t="s">
        <v>1614</v>
      </c>
      <c r="C4" s="107" t="s">
        <v>8</v>
      </c>
      <c r="D4" s="133" t="s">
        <v>1642</v>
      </c>
      <c r="E4" s="103">
        <f>0</f>
        <v>0</v>
      </c>
      <c r="F4" s="103" t="s">
        <v>1643</v>
      </c>
      <c r="G4" s="103" t="s">
        <v>1644</v>
      </c>
      <c r="H4" s="103" t="s">
        <v>1645</v>
      </c>
      <c r="I4" s="103"/>
      <c r="J4" s="104">
        <v>59.95</v>
      </c>
      <c r="K4" s="106" t="s">
        <v>1914</v>
      </c>
      <c r="M4" s="105">
        <f>E4*J4</f>
        <v>0</v>
      </c>
    </row>
    <row r="5" spans="1:16384" x14ac:dyDescent="0.3">
      <c r="A5" s="107" t="s">
        <v>17</v>
      </c>
      <c r="B5" s="107" t="s">
        <v>1614</v>
      </c>
      <c r="C5" s="107" t="s">
        <v>8</v>
      </c>
      <c r="D5" s="133" t="s">
        <v>1650</v>
      </c>
      <c r="E5" s="103">
        <v>1</v>
      </c>
      <c r="F5" s="103" t="s">
        <v>1651</v>
      </c>
      <c r="G5" s="103" t="s">
        <v>1652</v>
      </c>
      <c r="H5" s="103" t="s">
        <v>1653</v>
      </c>
      <c r="I5" s="103"/>
      <c r="J5" s="104">
        <v>4.95</v>
      </c>
      <c r="K5" s="106" t="s">
        <v>1914</v>
      </c>
      <c r="M5" s="105">
        <f>E5*J5</f>
        <v>4.95</v>
      </c>
    </row>
    <row r="6" spans="1:16384" x14ac:dyDescent="0.3">
      <c r="A6" s="107" t="s">
        <v>17</v>
      </c>
      <c r="B6" s="107" t="s">
        <v>1614</v>
      </c>
      <c r="C6" s="107" t="s">
        <v>8</v>
      </c>
      <c r="D6" s="133" t="s">
        <v>1622</v>
      </c>
      <c r="E6" s="103">
        <v>1</v>
      </c>
      <c r="F6" s="103" t="s">
        <v>1623</v>
      </c>
      <c r="G6" s="103" t="s">
        <v>1624</v>
      </c>
      <c r="H6" s="103" t="s">
        <v>1625</v>
      </c>
      <c r="I6" s="103">
        <v>1</v>
      </c>
      <c r="J6" s="104">
        <v>2.95</v>
      </c>
      <c r="K6" s="106" t="s">
        <v>1914</v>
      </c>
      <c r="M6" s="105">
        <f>E6*J6</f>
        <v>2.95</v>
      </c>
    </row>
    <row r="7" spans="1:16384" x14ac:dyDescent="0.3">
      <c r="A7" s="107" t="s">
        <v>17</v>
      </c>
      <c r="B7" s="107" t="s">
        <v>1614</v>
      </c>
      <c r="C7" s="107" t="s">
        <v>8</v>
      </c>
      <c r="D7" s="133" t="s">
        <v>1441</v>
      </c>
      <c r="E7" s="103">
        <v>1</v>
      </c>
      <c r="F7" s="103" t="s">
        <v>1442</v>
      </c>
      <c r="G7" s="103" t="s">
        <v>1443</v>
      </c>
      <c r="H7" s="103" t="s">
        <v>1444</v>
      </c>
      <c r="I7" s="103">
        <v>1</v>
      </c>
      <c r="J7" s="104">
        <v>16.95</v>
      </c>
      <c r="K7" s="106" t="s">
        <v>1914</v>
      </c>
      <c r="M7" s="105">
        <f>E7*J7</f>
        <v>16.95</v>
      </c>
    </row>
    <row r="8" spans="1:16384" x14ac:dyDescent="0.3">
      <c r="A8" s="107" t="s">
        <v>17</v>
      </c>
      <c r="B8" s="107" t="s">
        <v>1614</v>
      </c>
      <c r="C8" s="107" t="s">
        <v>8</v>
      </c>
      <c r="D8" s="133" t="s">
        <v>857</v>
      </c>
      <c r="E8" s="103">
        <v>1</v>
      </c>
      <c r="F8" s="103" t="s">
        <v>858</v>
      </c>
      <c r="G8" s="103" t="s">
        <v>859</v>
      </c>
      <c r="H8" s="103" t="s">
        <v>860</v>
      </c>
      <c r="I8" s="103"/>
      <c r="J8" s="104">
        <v>114.95</v>
      </c>
      <c r="K8" s="106" t="s">
        <v>1914</v>
      </c>
      <c r="L8" s="103"/>
      <c r="M8" s="105">
        <f>E8*J8</f>
        <v>114.95</v>
      </c>
    </row>
    <row r="9" spans="1:16384" x14ac:dyDescent="0.3">
      <c r="A9" s="106" t="s">
        <v>17</v>
      </c>
      <c r="B9" s="106" t="s">
        <v>1614</v>
      </c>
      <c r="C9" s="106" t="s">
        <v>1898</v>
      </c>
      <c r="D9" s="133" t="s">
        <v>2392</v>
      </c>
      <c r="E9" s="103">
        <v>0</v>
      </c>
      <c r="F9" s="103"/>
      <c r="G9" s="103"/>
      <c r="H9" s="102" t="s">
        <v>2393</v>
      </c>
      <c r="J9" s="111">
        <v>97.5</v>
      </c>
      <c r="K9" s="107" t="s">
        <v>1913</v>
      </c>
    </row>
    <row r="10" spans="1:16384" x14ac:dyDescent="0.3">
      <c r="A10" s="107" t="s">
        <v>17</v>
      </c>
      <c r="B10" s="107" t="s">
        <v>1614</v>
      </c>
      <c r="C10" s="107" t="s">
        <v>8</v>
      </c>
      <c r="D10" s="133" t="s">
        <v>1638</v>
      </c>
      <c r="E10" s="103">
        <v>1</v>
      </c>
      <c r="F10" s="103" t="s">
        <v>1639</v>
      </c>
      <c r="G10" s="103" t="s">
        <v>1640</v>
      </c>
      <c r="H10" s="103" t="s">
        <v>1641</v>
      </c>
      <c r="I10" s="103"/>
      <c r="J10" s="104">
        <v>14.95</v>
      </c>
      <c r="K10" s="106" t="s">
        <v>1914</v>
      </c>
      <c r="M10" s="105">
        <f>E10*J10</f>
        <v>14.95</v>
      </c>
    </row>
    <row r="11" spans="1:16384" x14ac:dyDescent="0.3">
      <c r="A11" s="107" t="s">
        <v>17</v>
      </c>
      <c r="B11" s="107" t="s">
        <v>1614</v>
      </c>
      <c r="C11" s="107" t="s">
        <v>8</v>
      </c>
      <c r="D11" s="133" t="s">
        <v>849</v>
      </c>
      <c r="E11" s="103">
        <v>0</v>
      </c>
      <c r="F11" s="103" t="s">
        <v>850</v>
      </c>
      <c r="G11" s="103" t="s">
        <v>851</v>
      </c>
      <c r="H11" s="103" t="s">
        <v>852</v>
      </c>
      <c r="I11" s="103">
        <v>1</v>
      </c>
      <c r="J11" s="104">
        <v>13.95</v>
      </c>
      <c r="K11" s="106" t="s">
        <v>1914</v>
      </c>
      <c r="L11" s="105" t="s">
        <v>1308</v>
      </c>
      <c r="M11" s="105">
        <f>E11*J11</f>
        <v>0</v>
      </c>
    </row>
    <row r="12" spans="1:16384" x14ac:dyDescent="0.3">
      <c r="A12" s="106" t="s">
        <v>17</v>
      </c>
      <c r="B12" s="106" t="s">
        <v>1614</v>
      </c>
      <c r="C12" s="106" t="s">
        <v>1898</v>
      </c>
      <c r="D12" s="133" t="s">
        <v>2396</v>
      </c>
      <c r="E12" s="103">
        <v>0</v>
      </c>
      <c r="F12" s="103"/>
      <c r="G12" s="103"/>
      <c r="H12" s="102" t="s">
        <v>2397</v>
      </c>
      <c r="J12" s="111">
        <v>9.9499999999999993</v>
      </c>
      <c r="K12" s="107" t="s">
        <v>1910</v>
      </c>
    </row>
    <row r="13" spans="1:16384" x14ac:dyDescent="0.3">
      <c r="A13" s="107" t="s">
        <v>17</v>
      </c>
      <c r="B13" s="107" t="s">
        <v>1615</v>
      </c>
      <c r="C13" s="107" t="s">
        <v>8</v>
      </c>
      <c r="D13" s="133" t="s">
        <v>881</v>
      </c>
      <c r="E13" s="103">
        <v>0</v>
      </c>
      <c r="F13" s="103" t="s">
        <v>882</v>
      </c>
      <c r="G13" s="103" t="s">
        <v>883</v>
      </c>
      <c r="H13" s="103" t="s">
        <v>884</v>
      </c>
      <c r="I13" s="103"/>
      <c r="J13" s="104">
        <v>32.950000000000003</v>
      </c>
      <c r="K13" s="106" t="s">
        <v>1914</v>
      </c>
      <c r="M13" s="105">
        <f>E13*J13</f>
        <v>0</v>
      </c>
    </row>
    <row r="14" spans="1:16384" x14ac:dyDescent="0.3">
      <c r="A14" s="107" t="s">
        <v>17</v>
      </c>
      <c r="B14" s="107" t="s">
        <v>1615</v>
      </c>
      <c r="C14" s="107" t="s">
        <v>8</v>
      </c>
      <c r="D14" s="133" t="s">
        <v>1144</v>
      </c>
      <c r="E14" s="103">
        <v>0</v>
      </c>
      <c r="F14" s="103" t="s">
        <v>1145</v>
      </c>
      <c r="G14" s="103" t="s">
        <v>1146</v>
      </c>
      <c r="H14" s="103" t="s">
        <v>1147</v>
      </c>
      <c r="I14" s="103">
        <v>1</v>
      </c>
      <c r="J14" s="104">
        <v>29.95</v>
      </c>
      <c r="K14" s="106" t="s">
        <v>1914</v>
      </c>
      <c r="M14" s="105">
        <f>E14*J14</f>
        <v>0</v>
      </c>
    </row>
    <row r="15" spans="1:16384" x14ac:dyDescent="0.3">
      <c r="A15" s="107" t="s">
        <v>17</v>
      </c>
      <c r="B15" s="107" t="s">
        <v>1615</v>
      </c>
      <c r="C15" s="107" t="s">
        <v>8</v>
      </c>
      <c r="D15" s="133" t="s">
        <v>853</v>
      </c>
      <c r="E15" s="103">
        <v>0</v>
      </c>
      <c r="F15" s="103" t="s">
        <v>854</v>
      </c>
      <c r="G15" s="103" t="s">
        <v>855</v>
      </c>
      <c r="H15" s="103" t="s">
        <v>856</v>
      </c>
      <c r="I15" s="103">
        <v>1</v>
      </c>
      <c r="J15" s="104">
        <v>9.9499999999999993</v>
      </c>
      <c r="K15" s="106" t="s">
        <v>1914</v>
      </c>
      <c r="M15" s="105">
        <f>E15*J15</f>
        <v>0</v>
      </c>
    </row>
    <row r="16" spans="1:16384" x14ac:dyDescent="0.3">
      <c r="A16" s="106" t="s">
        <v>17</v>
      </c>
      <c r="B16" s="106" t="s">
        <v>1615</v>
      </c>
      <c r="C16" s="106" t="s">
        <v>1898</v>
      </c>
      <c r="D16" s="133" t="s">
        <v>2394</v>
      </c>
      <c r="E16" s="103">
        <v>1</v>
      </c>
      <c r="F16" s="103"/>
      <c r="G16" s="103"/>
      <c r="H16" s="102" t="s">
        <v>2395</v>
      </c>
      <c r="J16" s="111">
        <v>54.95</v>
      </c>
      <c r="K16" s="107" t="s">
        <v>1914</v>
      </c>
    </row>
    <row r="17" spans="1:13" x14ac:dyDescent="0.3">
      <c r="A17" s="107" t="s">
        <v>17</v>
      </c>
      <c r="B17" s="107" t="s">
        <v>1615</v>
      </c>
      <c r="C17" s="107" t="s">
        <v>8</v>
      </c>
      <c r="D17" s="133" t="s">
        <v>873</v>
      </c>
      <c r="E17" s="103">
        <v>1</v>
      </c>
      <c r="F17" s="103" t="s">
        <v>874</v>
      </c>
      <c r="G17" s="103" t="s">
        <v>875</v>
      </c>
      <c r="H17" s="103" t="s">
        <v>876</v>
      </c>
      <c r="I17" s="103">
        <v>1</v>
      </c>
      <c r="J17" s="104">
        <v>9.9499999999999993</v>
      </c>
      <c r="K17" s="106" t="s">
        <v>1914</v>
      </c>
      <c r="M17" s="105">
        <f>E17*J17</f>
        <v>9.9499999999999993</v>
      </c>
    </row>
    <row r="18" spans="1:13" x14ac:dyDescent="0.3">
      <c r="A18" s="107" t="s">
        <v>17</v>
      </c>
      <c r="B18" s="107" t="s">
        <v>1615</v>
      </c>
      <c r="C18" s="107" t="s">
        <v>8</v>
      </c>
      <c r="D18" s="133" t="s">
        <v>128</v>
      </c>
      <c r="E18" s="103">
        <v>1</v>
      </c>
      <c r="F18" s="103" t="s">
        <v>129</v>
      </c>
      <c r="G18" s="103" t="s">
        <v>130</v>
      </c>
      <c r="H18" s="103" t="s">
        <v>131</v>
      </c>
      <c r="I18" s="103"/>
      <c r="J18" s="104">
        <v>14.95</v>
      </c>
      <c r="K18" s="106" t="s">
        <v>2487</v>
      </c>
      <c r="M18" s="105" t="e">
        <v>#REF!</v>
      </c>
    </row>
    <row r="19" spans="1:13" x14ac:dyDescent="0.3">
      <c r="A19" s="107" t="s">
        <v>17</v>
      </c>
      <c r="B19" s="107" t="s">
        <v>1615</v>
      </c>
      <c r="C19" s="107" t="s">
        <v>8</v>
      </c>
      <c r="D19" s="133" t="s">
        <v>132</v>
      </c>
      <c r="E19" s="103">
        <v>1</v>
      </c>
      <c r="F19" s="103" t="s">
        <v>133</v>
      </c>
      <c r="G19" s="103" t="s">
        <v>134</v>
      </c>
      <c r="H19" s="103" t="s">
        <v>135</v>
      </c>
      <c r="I19" s="103">
        <v>1</v>
      </c>
      <c r="J19" s="104">
        <v>0.1</v>
      </c>
      <c r="K19" s="106" t="s">
        <v>1910</v>
      </c>
      <c r="M19" s="105" t="e">
        <v>#REF!</v>
      </c>
    </row>
    <row r="20" spans="1:13" x14ac:dyDescent="0.3">
      <c r="A20" s="107" t="s">
        <v>17</v>
      </c>
      <c r="B20" s="107" t="s">
        <v>1613</v>
      </c>
      <c r="C20" s="107" t="s">
        <v>8</v>
      </c>
      <c r="D20" s="133" t="s">
        <v>1626</v>
      </c>
      <c r="E20" s="103">
        <v>1</v>
      </c>
      <c r="F20" s="103" t="s">
        <v>1627</v>
      </c>
      <c r="G20" s="103" t="s">
        <v>1628</v>
      </c>
      <c r="H20" s="103" t="s">
        <v>1629</v>
      </c>
      <c r="I20" s="103"/>
      <c r="J20" s="104">
        <v>4.95</v>
      </c>
      <c r="K20" s="106" t="s">
        <v>1914</v>
      </c>
      <c r="M20" s="105">
        <f t="shared" ref="M20:M25" si="0">E20*J20</f>
        <v>4.95</v>
      </c>
    </row>
    <row r="21" spans="1:13" x14ac:dyDescent="0.3">
      <c r="A21" s="107" t="s">
        <v>17</v>
      </c>
      <c r="B21" s="107" t="s">
        <v>1613</v>
      </c>
      <c r="C21" s="107" t="s">
        <v>8</v>
      </c>
      <c r="D21" s="133" t="s">
        <v>837</v>
      </c>
      <c r="E21" s="103">
        <v>1</v>
      </c>
      <c r="F21" s="103" t="s">
        <v>838</v>
      </c>
      <c r="G21" s="103" t="s">
        <v>839</v>
      </c>
      <c r="H21" s="103" t="s">
        <v>840</v>
      </c>
      <c r="I21" s="103"/>
      <c r="J21" s="104">
        <v>4.95</v>
      </c>
      <c r="K21" s="106" t="s">
        <v>1914</v>
      </c>
      <c r="M21" s="105">
        <f t="shared" si="0"/>
        <v>4.95</v>
      </c>
    </row>
    <row r="22" spans="1:13" x14ac:dyDescent="0.3">
      <c r="A22" s="107" t="s">
        <v>17</v>
      </c>
      <c r="B22" s="107" t="s">
        <v>1613</v>
      </c>
      <c r="C22" s="107" t="s">
        <v>8</v>
      </c>
      <c r="D22" s="133" t="s">
        <v>869</v>
      </c>
      <c r="E22" s="103">
        <v>1</v>
      </c>
      <c r="F22" s="103" t="s">
        <v>870</v>
      </c>
      <c r="G22" s="103" t="s">
        <v>871</v>
      </c>
      <c r="H22" s="103" t="s">
        <v>872</v>
      </c>
      <c r="I22" s="103">
        <v>1</v>
      </c>
      <c r="J22" s="104">
        <v>3.95</v>
      </c>
      <c r="K22" s="106" t="s">
        <v>1914</v>
      </c>
      <c r="M22" s="105">
        <f t="shared" si="0"/>
        <v>3.95</v>
      </c>
    </row>
    <row r="23" spans="1:13" x14ac:dyDescent="0.3">
      <c r="A23" s="107" t="s">
        <v>17</v>
      </c>
      <c r="B23" s="107" t="s">
        <v>1613</v>
      </c>
      <c r="C23" s="107" t="s">
        <v>8</v>
      </c>
      <c r="D23" s="133" t="s">
        <v>861</v>
      </c>
      <c r="E23" s="103">
        <v>1</v>
      </c>
      <c r="F23" s="103" t="s">
        <v>862</v>
      </c>
      <c r="G23" s="103" t="s">
        <v>863</v>
      </c>
      <c r="H23" s="103" t="s">
        <v>864</v>
      </c>
      <c r="I23" s="103">
        <v>1</v>
      </c>
      <c r="J23" s="104">
        <v>3.95</v>
      </c>
      <c r="K23" s="106" t="s">
        <v>1914</v>
      </c>
      <c r="M23" s="105">
        <f t="shared" si="0"/>
        <v>3.95</v>
      </c>
    </row>
    <row r="24" spans="1:13" x14ac:dyDescent="0.3">
      <c r="A24" s="107" t="s">
        <v>17</v>
      </c>
      <c r="B24" s="107" t="s">
        <v>1613</v>
      </c>
      <c r="C24" s="107" t="s">
        <v>8</v>
      </c>
      <c r="D24" s="133" t="s">
        <v>845</v>
      </c>
      <c r="E24" s="103">
        <v>1</v>
      </c>
      <c r="F24" s="103" t="s">
        <v>846</v>
      </c>
      <c r="G24" s="103" t="s">
        <v>847</v>
      </c>
      <c r="H24" s="103" t="s">
        <v>848</v>
      </c>
      <c r="I24" s="103">
        <v>1</v>
      </c>
      <c r="J24" s="104">
        <v>3.95</v>
      </c>
      <c r="K24" s="106" t="s">
        <v>1914</v>
      </c>
      <c r="M24" s="105">
        <f t="shared" si="0"/>
        <v>3.95</v>
      </c>
    </row>
    <row r="25" spans="1:13" x14ac:dyDescent="0.3">
      <c r="A25" s="107" t="s">
        <v>17</v>
      </c>
      <c r="B25" s="107" t="s">
        <v>1613</v>
      </c>
      <c r="C25" s="107" t="s">
        <v>8</v>
      </c>
      <c r="D25" s="133" t="s">
        <v>1646</v>
      </c>
      <c r="E25" s="103">
        <v>1</v>
      </c>
      <c r="F25" s="103" t="s">
        <v>1647</v>
      </c>
      <c r="G25" s="103" t="s">
        <v>1648</v>
      </c>
      <c r="H25" s="103" t="s">
        <v>1649</v>
      </c>
      <c r="I25" s="103">
        <v>1</v>
      </c>
      <c r="J25" s="104">
        <v>1.95</v>
      </c>
      <c r="K25" s="106" t="s">
        <v>1914</v>
      </c>
      <c r="M25" s="105">
        <f t="shared" si="0"/>
        <v>1.95</v>
      </c>
    </row>
    <row r="26" spans="1:13" x14ac:dyDescent="0.3">
      <c r="A26" s="118" t="s">
        <v>17</v>
      </c>
      <c r="B26" s="118" t="s">
        <v>1613</v>
      </c>
      <c r="C26" s="118" t="s">
        <v>1898</v>
      </c>
      <c r="D26" s="118" t="s">
        <v>2475</v>
      </c>
      <c r="E26" s="118">
        <v>0</v>
      </c>
      <c r="H26" s="118" t="s">
        <v>2474</v>
      </c>
      <c r="I26" s="120">
        <v>113</v>
      </c>
      <c r="J26" s="119">
        <v>11.95</v>
      </c>
      <c r="K26" s="102" t="s">
        <v>1910</v>
      </c>
    </row>
    <row r="27" spans="1:13" x14ac:dyDescent="0.3">
      <c r="A27" s="118" t="s">
        <v>17</v>
      </c>
      <c r="B27" s="118" t="s">
        <v>1613</v>
      </c>
      <c r="C27" s="118" t="s">
        <v>1898</v>
      </c>
      <c r="D27" s="118" t="s">
        <v>2473</v>
      </c>
      <c r="E27" s="118">
        <v>0</v>
      </c>
      <c r="H27" s="118" t="s">
        <v>2472</v>
      </c>
      <c r="I27" s="120">
        <v>112</v>
      </c>
      <c r="J27" s="119">
        <v>14.95</v>
      </c>
      <c r="K27" s="102" t="s">
        <v>1910</v>
      </c>
    </row>
    <row r="28" spans="1:13" x14ac:dyDescent="0.3">
      <c r="A28" s="107" t="s">
        <v>17</v>
      </c>
      <c r="B28" s="107" t="s">
        <v>1613</v>
      </c>
      <c r="C28" s="107" t="s">
        <v>8</v>
      </c>
      <c r="D28" s="103" t="s">
        <v>2445</v>
      </c>
      <c r="E28" s="103">
        <v>1</v>
      </c>
      <c r="F28" s="103" t="s">
        <v>2446</v>
      </c>
      <c r="G28" s="103" t="s">
        <v>2447</v>
      </c>
      <c r="H28" s="103" t="s">
        <v>2448</v>
      </c>
      <c r="I28" s="103">
        <v>1</v>
      </c>
      <c r="J28" s="104">
        <v>9.9499999999999993</v>
      </c>
      <c r="K28" s="106" t="s">
        <v>1914</v>
      </c>
    </row>
    <row r="29" spans="1:13" x14ac:dyDescent="0.3">
      <c r="A29" s="118" t="s">
        <v>17</v>
      </c>
      <c r="B29" s="118" t="s">
        <v>1613</v>
      </c>
      <c r="C29" s="118" t="s">
        <v>1898</v>
      </c>
      <c r="D29" s="118" t="s">
        <v>2471</v>
      </c>
      <c r="E29" s="118">
        <v>0</v>
      </c>
      <c r="H29" s="118" t="s">
        <v>2470</v>
      </c>
      <c r="I29" s="120">
        <v>111</v>
      </c>
      <c r="J29" s="119">
        <v>14.95</v>
      </c>
      <c r="K29" s="102" t="s">
        <v>1910</v>
      </c>
    </row>
    <row r="30" spans="1:13" x14ac:dyDescent="0.3">
      <c r="A30" s="107" t="s">
        <v>17</v>
      </c>
      <c r="B30" s="107" t="s">
        <v>1613</v>
      </c>
      <c r="C30" s="107" t="s">
        <v>8</v>
      </c>
      <c r="D30" s="133" t="s">
        <v>841</v>
      </c>
      <c r="E30" s="103">
        <v>1</v>
      </c>
      <c r="F30" s="103" t="s">
        <v>842</v>
      </c>
      <c r="G30" s="103" t="s">
        <v>843</v>
      </c>
      <c r="H30" s="103" t="s">
        <v>844</v>
      </c>
      <c r="I30" s="103">
        <v>1</v>
      </c>
      <c r="J30" s="104">
        <v>1.95</v>
      </c>
      <c r="K30" s="106" t="s">
        <v>1914</v>
      </c>
      <c r="L30" s="103"/>
      <c r="M30" s="105">
        <f t="shared" ref="M30:M36" si="1">E30*J30</f>
        <v>1.95</v>
      </c>
    </row>
    <row r="31" spans="1:13" x14ac:dyDescent="0.3">
      <c r="A31" s="107" t="s">
        <v>17</v>
      </c>
      <c r="B31" s="107" t="s">
        <v>1613</v>
      </c>
      <c r="C31" s="107" t="s">
        <v>8</v>
      </c>
      <c r="D31" s="133" t="s">
        <v>877</v>
      </c>
      <c r="E31" s="103">
        <f>0</f>
        <v>0</v>
      </c>
      <c r="F31" s="103" t="s">
        <v>878</v>
      </c>
      <c r="G31" s="103" t="s">
        <v>879</v>
      </c>
      <c r="H31" s="103" t="s">
        <v>880</v>
      </c>
      <c r="I31" s="103">
        <v>1</v>
      </c>
      <c r="J31" s="104">
        <v>6.95</v>
      </c>
      <c r="K31" s="106" t="s">
        <v>1914</v>
      </c>
      <c r="L31" s="103" t="s">
        <v>1209</v>
      </c>
      <c r="M31" s="105">
        <f t="shared" si="1"/>
        <v>0</v>
      </c>
    </row>
    <row r="32" spans="1:13" x14ac:dyDescent="0.3">
      <c r="A32" s="107" t="s">
        <v>17</v>
      </c>
      <c r="B32" s="107" t="s">
        <v>1613</v>
      </c>
      <c r="C32" s="107" t="s">
        <v>8</v>
      </c>
      <c r="D32" s="133" t="s">
        <v>865</v>
      </c>
      <c r="E32" s="103">
        <v>1</v>
      </c>
      <c r="F32" s="103" t="s">
        <v>866</v>
      </c>
      <c r="G32" s="103" t="s">
        <v>867</v>
      </c>
      <c r="H32" s="103" t="s">
        <v>868</v>
      </c>
      <c r="I32" s="103">
        <v>1</v>
      </c>
      <c r="J32" s="104">
        <v>2.95</v>
      </c>
      <c r="K32" s="106" t="s">
        <v>1914</v>
      </c>
      <c r="M32" s="105">
        <f t="shared" si="1"/>
        <v>2.95</v>
      </c>
    </row>
    <row r="33" spans="1:13" x14ac:dyDescent="0.3">
      <c r="A33" s="107" t="s">
        <v>17</v>
      </c>
      <c r="B33" s="107" t="s">
        <v>1613</v>
      </c>
      <c r="C33" s="107" t="s">
        <v>8</v>
      </c>
      <c r="D33" s="133" t="s">
        <v>1176</v>
      </c>
      <c r="E33" s="103">
        <v>1</v>
      </c>
      <c r="F33" s="103" t="s">
        <v>1177</v>
      </c>
      <c r="G33" s="103" t="s">
        <v>1178</v>
      </c>
      <c r="H33" s="103" t="s">
        <v>1179</v>
      </c>
      <c r="I33" s="103"/>
      <c r="J33" s="104">
        <v>1.95</v>
      </c>
      <c r="K33" s="106" t="s">
        <v>1914</v>
      </c>
      <c r="M33" s="105">
        <f t="shared" si="1"/>
        <v>1.95</v>
      </c>
    </row>
    <row r="34" spans="1:13" x14ac:dyDescent="0.3">
      <c r="A34" s="107" t="s">
        <v>17</v>
      </c>
      <c r="B34" s="107" t="s">
        <v>1613</v>
      </c>
      <c r="C34" s="107" t="s">
        <v>8</v>
      </c>
      <c r="D34" s="133" t="s">
        <v>833</v>
      </c>
      <c r="E34" s="103">
        <v>1</v>
      </c>
      <c r="F34" s="103" t="s">
        <v>834</v>
      </c>
      <c r="G34" s="103" t="s">
        <v>835</v>
      </c>
      <c r="H34" s="103" t="s">
        <v>836</v>
      </c>
      <c r="I34" s="103"/>
      <c r="J34" s="104">
        <v>4.8</v>
      </c>
      <c r="K34" s="106" t="s">
        <v>1914</v>
      </c>
      <c r="M34" s="105">
        <f t="shared" si="1"/>
        <v>4.8</v>
      </c>
    </row>
    <row r="35" spans="1:13" x14ac:dyDescent="0.3">
      <c r="A35" s="107" t="s">
        <v>17</v>
      </c>
      <c r="B35" s="107" t="s">
        <v>1654</v>
      </c>
      <c r="C35" s="107" t="s">
        <v>8</v>
      </c>
      <c r="D35" s="133" t="s">
        <v>1630</v>
      </c>
      <c r="E35" s="103">
        <v>0</v>
      </c>
      <c r="F35" s="103" t="s">
        <v>1631</v>
      </c>
      <c r="G35" s="103" t="s">
        <v>1632</v>
      </c>
      <c r="H35" s="103" t="s">
        <v>1633</v>
      </c>
      <c r="I35" s="103"/>
      <c r="J35" s="104">
        <v>3.95</v>
      </c>
      <c r="K35" s="106" t="s">
        <v>1910</v>
      </c>
      <c r="M35" s="105">
        <f t="shared" si="1"/>
        <v>0</v>
      </c>
    </row>
    <row r="36" spans="1:13" x14ac:dyDescent="0.3">
      <c r="A36" s="107" t="s">
        <v>17</v>
      </c>
      <c r="B36" s="107" t="s">
        <v>1654</v>
      </c>
      <c r="C36" s="107" t="s">
        <v>8</v>
      </c>
      <c r="D36" s="133" t="s">
        <v>1634</v>
      </c>
      <c r="E36" s="103">
        <v>0</v>
      </c>
      <c r="F36" s="103" t="s">
        <v>1635</v>
      </c>
      <c r="G36" s="103" t="s">
        <v>1636</v>
      </c>
      <c r="H36" s="103" t="s">
        <v>1637</v>
      </c>
      <c r="I36" s="103"/>
      <c r="J36" s="104">
        <v>3.95</v>
      </c>
      <c r="K36" s="106" t="s">
        <v>1910</v>
      </c>
      <c r="M36" s="105">
        <f t="shared" si="1"/>
        <v>0</v>
      </c>
    </row>
    <row r="37" spans="1:13" x14ac:dyDescent="0.3">
      <c r="A37" s="106" t="s">
        <v>17</v>
      </c>
      <c r="B37" s="106" t="s">
        <v>1654</v>
      </c>
      <c r="C37" s="106" t="s">
        <v>1898</v>
      </c>
      <c r="D37" s="133" t="s">
        <v>2087</v>
      </c>
      <c r="E37" s="103">
        <v>0</v>
      </c>
      <c r="F37" s="103"/>
      <c r="G37" s="103"/>
      <c r="H37" s="102" t="s">
        <v>2086</v>
      </c>
      <c r="J37" s="111">
        <v>2.5</v>
      </c>
      <c r="K37" s="107" t="s">
        <v>1910</v>
      </c>
    </row>
    <row r="38" spans="1:13" x14ac:dyDescent="0.3">
      <c r="A38" s="106" t="s">
        <v>17</v>
      </c>
      <c r="B38" s="106" t="s">
        <v>1654</v>
      </c>
      <c r="C38" s="106" t="s">
        <v>1898</v>
      </c>
      <c r="D38" s="133" t="s">
        <v>2085</v>
      </c>
      <c r="E38" s="103">
        <v>1</v>
      </c>
      <c r="F38" s="103"/>
      <c r="G38" s="103"/>
      <c r="H38" s="102" t="s">
        <v>2084</v>
      </c>
      <c r="J38" s="111">
        <v>2.95</v>
      </c>
      <c r="K38" s="107" t="s">
        <v>1910</v>
      </c>
    </row>
    <row r="39" spans="1:13" x14ac:dyDescent="0.3">
      <c r="A39" s="106" t="s">
        <v>17</v>
      </c>
      <c r="B39" s="106" t="s">
        <v>1654</v>
      </c>
      <c r="C39" s="106" t="s">
        <v>1898</v>
      </c>
      <c r="D39" s="133" t="s">
        <v>2081</v>
      </c>
      <c r="E39" s="103">
        <v>1</v>
      </c>
      <c r="F39" s="103"/>
      <c r="G39" s="103"/>
      <c r="H39" s="102" t="s">
        <v>2080</v>
      </c>
      <c r="J39" s="111">
        <v>2.95</v>
      </c>
      <c r="K39" s="107" t="s">
        <v>1910</v>
      </c>
    </row>
    <row r="40" spans="1:13" x14ac:dyDescent="0.3">
      <c r="A40" s="106" t="s">
        <v>17</v>
      </c>
      <c r="B40" s="106" t="s">
        <v>1654</v>
      </c>
      <c r="C40" s="106" t="s">
        <v>1898</v>
      </c>
      <c r="D40" s="133" t="s">
        <v>2083</v>
      </c>
      <c r="E40" s="103">
        <v>1</v>
      </c>
      <c r="F40" s="103"/>
      <c r="G40" s="103"/>
      <c r="H40" s="102" t="s">
        <v>2082</v>
      </c>
      <c r="J40" s="111">
        <v>3.95</v>
      </c>
      <c r="K40" s="107" t="s">
        <v>1910</v>
      </c>
    </row>
    <row r="41" spans="1:13" x14ac:dyDescent="0.3">
      <c r="A41" s="106" t="s">
        <v>17</v>
      </c>
      <c r="B41" s="106" t="s">
        <v>1654</v>
      </c>
      <c r="C41" s="106" t="s">
        <v>1898</v>
      </c>
      <c r="D41" s="133" t="s">
        <v>2077</v>
      </c>
      <c r="E41" s="103">
        <v>1</v>
      </c>
      <c r="F41" s="103"/>
      <c r="G41" s="103"/>
      <c r="H41" s="102" t="s">
        <v>2076</v>
      </c>
      <c r="J41" s="111">
        <v>3.95</v>
      </c>
      <c r="K41" s="107" t="s">
        <v>1910</v>
      </c>
    </row>
    <row r="42" spans="1:13" x14ac:dyDescent="0.3">
      <c r="A42" s="107">
        <f>COUNTA(A2:A41)</f>
        <v>40</v>
      </c>
      <c r="C42" s="107">
        <f>SUM(C25:C31,C33:C34)</f>
        <v>0</v>
      </c>
      <c r="D42" s="133">
        <f>F42/E42</f>
        <v>0</v>
      </c>
      <c r="E42" s="102">
        <f>SUM(E2:E36)</f>
        <v>21</v>
      </c>
      <c r="J42" s="111">
        <f>AVERAGE(J2:J36)</f>
        <v>20.738571428571451</v>
      </c>
      <c r="M42" s="105" t="e">
        <f>SUM(M2:M36)</f>
        <v>#REF!</v>
      </c>
    </row>
    <row r="43" spans="1:13" x14ac:dyDescent="0.3">
      <c r="D43" s="133"/>
      <c r="E43" s="103"/>
      <c r="F43" s="103"/>
      <c r="G43" s="103"/>
      <c r="H43" s="103"/>
      <c r="I43" s="103"/>
      <c r="J43" s="104"/>
      <c r="K43" s="106"/>
    </row>
    <row r="45" spans="1:13" x14ac:dyDescent="0.3">
      <c r="D45" s="133"/>
      <c r="E45" s="103"/>
      <c r="F45" s="103"/>
      <c r="G45" s="103"/>
      <c r="H45" s="103"/>
      <c r="I45" s="103"/>
      <c r="J45" s="104"/>
      <c r="K45" s="106"/>
    </row>
    <row r="46" spans="1:13" x14ac:dyDescent="0.3">
      <c r="D46" s="133"/>
      <c r="E46" s="103"/>
      <c r="F46" s="103"/>
      <c r="G46" s="103"/>
      <c r="H46" s="103"/>
      <c r="I46" s="103"/>
      <c r="J46" s="104"/>
      <c r="K46" s="106"/>
    </row>
    <row r="47" spans="1:13" x14ac:dyDescent="0.3">
      <c r="D47" s="133"/>
      <c r="E47" s="103"/>
      <c r="F47" s="103"/>
      <c r="G47" s="103"/>
      <c r="H47" s="103"/>
      <c r="I47" s="103"/>
      <c r="J47" s="104"/>
      <c r="K47" s="106"/>
    </row>
    <row r="48" spans="1:13" x14ac:dyDescent="0.3">
      <c r="D48" s="133"/>
      <c r="E48" s="103"/>
      <c r="F48" s="103"/>
      <c r="G48" s="103"/>
      <c r="H48" s="103"/>
      <c r="I48" s="103"/>
      <c r="J48" s="104"/>
      <c r="K48" s="106"/>
    </row>
    <row r="49" spans="4:11" x14ac:dyDescent="0.3">
      <c r="D49" s="133"/>
      <c r="E49" s="103"/>
      <c r="F49" s="103"/>
      <c r="G49" s="103"/>
      <c r="H49" s="103"/>
      <c r="I49" s="103"/>
      <c r="J49" s="104"/>
      <c r="K49" s="106"/>
    </row>
    <row r="50" spans="4:11" x14ac:dyDescent="0.3">
      <c r="D50" s="133"/>
      <c r="E50" s="103"/>
      <c r="F50" s="103"/>
      <c r="G50" s="103"/>
      <c r="H50" s="103"/>
      <c r="I50" s="103"/>
      <c r="J50" s="104"/>
      <c r="K50" s="106"/>
    </row>
    <row r="51" spans="4:11" x14ac:dyDescent="0.3">
      <c r="D51" s="133"/>
      <c r="E51" s="103"/>
      <c r="F51" s="103"/>
      <c r="G51" s="103"/>
      <c r="H51" s="103"/>
      <c r="I51" s="103"/>
      <c r="J51" s="104"/>
      <c r="K51" s="106"/>
    </row>
    <row r="52" spans="4:11" x14ac:dyDescent="0.3">
      <c r="D52" s="133"/>
      <c r="E52" s="103"/>
      <c r="F52" s="103"/>
      <c r="G52" s="103"/>
      <c r="H52" s="103"/>
      <c r="I52" s="103"/>
      <c r="J52" s="104"/>
      <c r="K52" s="106"/>
    </row>
    <row r="53" spans="4:11" x14ac:dyDescent="0.3">
      <c r="D53" s="133"/>
      <c r="E53" s="103"/>
      <c r="F53" s="103"/>
      <c r="G53" s="103"/>
      <c r="H53" s="103"/>
      <c r="I53" s="103"/>
      <c r="J53" s="104"/>
      <c r="K53" s="106"/>
    </row>
    <row r="54" spans="4:11" x14ac:dyDescent="0.3">
      <c r="D54" s="133"/>
      <c r="E54" s="103"/>
      <c r="F54" s="103"/>
      <c r="G54" s="103"/>
      <c r="H54" s="103"/>
      <c r="I54" s="103"/>
      <c r="J54" s="104"/>
      <c r="K54" s="106"/>
    </row>
    <row r="55" spans="4:11" x14ac:dyDescent="0.3">
      <c r="D55" s="133"/>
      <c r="E55" s="103"/>
      <c r="F55" s="103"/>
      <c r="G55" s="103"/>
      <c r="H55" s="103"/>
      <c r="I55" s="103"/>
      <c r="J55" s="104"/>
      <c r="K55" s="106"/>
    </row>
    <row r="56" spans="4:11" x14ac:dyDescent="0.3">
      <c r="D56" s="133"/>
      <c r="E56" s="103"/>
      <c r="F56" s="103"/>
      <c r="G56" s="103"/>
      <c r="H56" s="103"/>
      <c r="I56" s="103"/>
      <c r="J56" s="104"/>
      <c r="K56" s="106"/>
    </row>
    <row r="57" spans="4:11" x14ac:dyDescent="0.3">
      <c r="D57" s="133"/>
      <c r="E57" s="103"/>
      <c r="F57" s="103"/>
      <c r="G57" s="103"/>
      <c r="H57" s="103"/>
      <c r="I57" s="103"/>
      <c r="J57" s="104"/>
      <c r="K57" s="106"/>
    </row>
    <row r="58" spans="4:11" x14ac:dyDescent="0.3">
      <c r="D58" s="133"/>
      <c r="E58" s="103"/>
      <c r="F58" s="103"/>
      <c r="G58" s="103"/>
      <c r="H58" s="103"/>
      <c r="I58" s="103"/>
      <c r="J58" s="104"/>
      <c r="K58" s="106"/>
    </row>
    <row r="59" spans="4:11" x14ac:dyDescent="0.3">
      <c r="D59" s="133"/>
      <c r="E59" s="103"/>
      <c r="F59" s="103"/>
      <c r="G59" s="103"/>
      <c r="H59" s="103"/>
      <c r="I59" s="103"/>
      <c r="J59" s="104"/>
      <c r="K59" s="106"/>
    </row>
    <row r="60" spans="4:11" x14ac:dyDescent="0.3">
      <c r="D60" s="133"/>
      <c r="E60" s="103"/>
      <c r="F60" s="103"/>
      <c r="G60" s="103"/>
      <c r="H60" s="103"/>
      <c r="I60" s="103"/>
      <c r="J60" s="104"/>
      <c r="K60" s="106"/>
    </row>
    <row r="61" spans="4:11" x14ac:dyDescent="0.3">
      <c r="D61" s="133"/>
      <c r="E61" s="103"/>
      <c r="F61" s="103"/>
      <c r="G61" s="103"/>
      <c r="H61" s="103"/>
      <c r="I61" s="103"/>
      <c r="J61" s="104"/>
      <c r="K61" s="106"/>
    </row>
    <row r="62" spans="4:11" x14ac:dyDescent="0.3">
      <c r="D62" s="133"/>
      <c r="E62" s="103"/>
      <c r="F62" s="103"/>
      <c r="G62" s="103"/>
      <c r="H62" s="103"/>
      <c r="I62" s="103"/>
      <c r="J62" s="104"/>
      <c r="K62" s="106"/>
    </row>
    <row r="63" spans="4:11" x14ac:dyDescent="0.3">
      <c r="D63" s="133"/>
      <c r="E63" s="103"/>
      <c r="F63" s="103"/>
      <c r="G63" s="103"/>
      <c r="H63" s="103"/>
      <c r="I63" s="103"/>
      <c r="J63" s="104"/>
      <c r="K63" s="106"/>
    </row>
    <row r="64" spans="4:11" x14ac:dyDescent="0.3">
      <c r="D64" s="133"/>
      <c r="E64" s="103"/>
      <c r="F64" s="103"/>
      <c r="G64" s="103"/>
      <c r="H64" s="103"/>
      <c r="I64" s="103"/>
      <c r="J64" s="104"/>
      <c r="K64" s="106"/>
    </row>
    <row r="65" spans="4:11" x14ac:dyDescent="0.3">
      <c r="D65" s="133"/>
      <c r="E65" s="103"/>
      <c r="F65" s="103"/>
      <c r="G65" s="103"/>
      <c r="H65" s="103"/>
      <c r="I65" s="103"/>
      <c r="J65" s="104"/>
      <c r="K65" s="106"/>
    </row>
    <row r="66" spans="4:11" x14ac:dyDescent="0.3">
      <c r="D66" s="133"/>
      <c r="E66" s="103"/>
      <c r="F66" s="103"/>
      <c r="G66" s="103"/>
      <c r="H66" s="103"/>
      <c r="I66" s="103"/>
      <c r="J66" s="104"/>
      <c r="K66" s="106"/>
    </row>
    <row r="67" spans="4:11" x14ac:dyDescent="0.3">
      <c r="D67" s="133"/>
      <c r="E67" s="103"/>
      <c r="F67" s="103"/>
      <c r="G67" s="103"/>
      <c r="H67" s="103"/>
      <c r="I67" s="103"/>
      <c r="J67" s="104"/>
      <c r="K67" s="106"/>
    </row>
    <row r="68" spans="4:11" x14ac:dyDescent="0.3">
      <c r="D68" s="133"/>
      <c r="E68" s="103"/>
      <c r="F68" s="103"/>
      <c r="G68" s="103"/>
      <c r="H68" s="103"/>
      <c r="I68" s="103"/>
      <c r="J68" s="104"/>
      <c r="K68" s="106"/>
    </row>
    <row r="69" spans="4:11" x14ac:dyDescent="0.3">
      <c r="D69" s="133"/>
      <c r="E69" s="103"/>
      <c r="F69" s="103"/>
      <c r="G69" s="103"/>
      <c r="H69" s="103"/>
      <c r="I69" s="103"/>
      <c r="J69" s="104"/>
      <c r="K69" s="106"/>
    </row>
    <row r="70" spans="4:11" x14ac:dyDescent="0.3">
      <c r="D70" s="133"/>
      <c r="E70" s="103"/>
      <c r="F70" s="103"/>
      <c r="G70" s="103"/>
      <c r="H70" s="103"/>
      <c r="I70" s="103"/>
      <c r="J70" s="104"/>
      <c r="K70" s="106"/>
    </row>
    <row r="71" spans="4:11" x14ac:dyDescent="0.3">
      <c r="D71" s="133"/>
      <c r="E71" s="103"/>
      <c r="F71" s="103"/>
      <c r="G71" s="103"/>
      <c r="H71" s="103"/>
      <c r="I71" s="103"/>
      <c r="J71" s="104"/>
      <c r="K71" s="106"/>
    </row>
    <row r="72" spans="4:11" x14ac:dyDescent="0.3">
      <c r="D72" s="133"/>
      <c r="E72" s="103"/>
      <c r="F72" s="103"/>
      <c r="G72" s="103"/>
      <c r="H72" s="103"/>
      <c r="I72" s="103"/>
      <c r="J72" s="104"/>
      <c r="K72" s="106"/>
    </row>
    <row r="73" spans="4:11" x14ac:dyDescent="0.3">
      <c r="D73" s="133"/>
      <c r="E73" s="103"/>
      <c r="F73" s="103"/>
      <c r="G73" s="103"/>
      <c r="H73" s="103"/>
      <c r="I73" s="103"/>
      <c r="J73" s="104"/>
      <c r="K73" s="106"/>
    </row>
    <row r="74" spans="4:11" x14ac:dyDescent="0.3">
      <c r="D74" s="133"/>
      <c r="E74" s="103"/>
      <c r="F74" s="103"/>
      <c r="G74" s="103"/>
      <c r="H74" s="103"/>
      <c r="I74" s="103"/>
      <c r="J74" s="104"/>
      <c r="K74" s="106"/>
    </row>
    <row r="75" spans="4:11" x14ac:dyDescent="0.3">
      <c r="D75" s="133"/>
      <c r="E75" s="103"/>
      <c r="F75" s="103"/>
      <c r="G75" s="103"/>
      <c r="H75" s="103"/>
      <c r="I75" s="103"/>
      <c r="J75" s="104"/>
      <c r="K75" s="106"/>
    </row>
    <row r="76" spans="4:11" x14ac:dyDescent="0.3">
      <c r="D76" s="133"/>
      <c r="E76" s="103"/>
      <c r="F76" s="103"/>
      <c r="G76" s="103"/>
      <c r="H76" s="103"/>
      <c r="I76" s="103"/>
      <c r="J76" s="104"/>
      <c r="K76" s="106"/>
    </row>
    <row r="77" spans="4:11" x14ac:dyDescent="0.3">
      <c r="D77" s="133"/>
      <c r="E77" s="103"/>
      <c r="F77" s="103"/>
      <c r="G77" s="103"/>
      <c r="H77" s="103"/>
      <c r="I77" s="103"/>
      <c r="J77" s="104"/>
      <c r="K77" s="106"/>
    </row>
    <row r="78" spans="4:11" x14ac:dyDescent="0.3">
      <c r="D78" s="133"/>
      <c r="E78" s="103"/>
      <c r="F78" s="103"/>
      <c r="G78" s="103"/>
      <c r="H78" s="103"/>
      <c r="I78" s="103"/>
      <c r="J78" s="104"/>
      <c r="K78" s="106"/>
    </row>
    <row r="79" spans="4:11" x14ac:dyDescent="0.3">
      <c r="D79" s="133"/>
      <c r="E79" s="103"/>
      <c r="F79" s="103"/>
      <c r="G79" s="103"/>
      <c r="H79" s="103"/>
      <c r="I79" s="103"/>
      <c r="J79" s="104"/>
      <c r="K79" s="106"/>
    </row>
    <row r="80" spans="4:11" x14ac:dyDescent="0.3">
      <c r="D80" s="133"/>
      <c r="E80" s="103"/>
      <c r="F80" s="103"/>
      <c r="G80" s="103"/>
      <c r="H80" s="103"/>
      <c r="I80" s="103"/>
      <c r="J80" s="104"/>
      <c r="K80" s="106"/>
    </row>
    <row r="81" spans="4:11" x14ac:dyDescent="0.3">
      <c r="D81" s="133"/>
      <c r="E81" s="103"/>
      <c r="F81" s="103"/>
      <c r="G81" s="103"/>
      <c r="H81" s="103"/>
      <c r="I81" s="103"/>
      <c r="J81" s="104"/>
      <c r="K81" s="106"/>
    </row>
    <row r="82" spans="4:11" x14ac:dyDescent="0.3">
      <c r="D82" s="133"/>
      <c r="E82" s="103"/>
      <c r="F82" s="103"/>
      <c r="G82" s="103"/>
      <c r="H82" s="103"/>
      <c r="I82" s="103"/>
      <c r="J82" s="104"/>
      <c r="K82" s="106"/>
    </row>
    <row r="83" spans="4:11" x14ac:dyDescent="0.3">
      <c r="D83" s="133"/>
      <c r="E83" s="103"/>
      <c r="F83" s="103"/>
      <c r="G83" s="103"/>
      <c r="H83" s="103"/>
      <c r="I83" s="103"/>
      <c r="J83" s="104"/>
      <c r="K83" s="106"/>
    </row>
    <row r="84" spans="4:11" x14ac:dyDescent="0.3">
      <c r="D84" s="133"/>
      <c r="E84" s="103"/>
      <c r="F84" s="103"/>
      <c r="G84" s="103"/>
      <c r="H84" s="103"/>
      <c r="I84" s="103"/>
      <c r="J84" s="104"/>
      <c r="K84" s="106"/>
    </row>
    <row r="85" spans="4:11" x14ac:dyDescent="0.3">
      <c r="D85" s="133"/>
      <c r="E85" s="103"/>
      <c r="F85" s="103"/>
      <c r="G85" s="103"/>
      <c r="H85" s="103"/>
      <c r="I85" s="103"/>
      <c r="J85" s="104"/>
      <c r="K85" s="106"/>
    </row>
    <row r="86" spans="4:11" x14ac:dyDescent="0.3">
      <c r="D86" s="133"/>
      <c r="E86" s="103"/>
      <c r="F86" s="103"/>
      <c r="G86" s="103"/>
      <c r="H86" s="103"/>
      <c r="I86" s="103"/>
      <c r="J86" s="104"/>
      <c r="K86" s="106"/>
    </row>
    <row r="87" spans="4:11" x14ac:dyDescent="0.3">
      <c r="D87" s="133"/>
      <c r="E87" s="103"/>
      <c r="F87" s="103"/>
      <c r="G87" s="103"/>
      <c r="H87" s="103"/>
      <c r="I87" s="103"/>
      <c r="J87" s="104"/>
      <c r="K87" s="106"/>
    </row>
    <row r="88" spans="4:11" x14ac:dyDescent="0.3">
      <c r="D88" s="133"/>
      <c r="E88" s="103"/>
      <c r="F88" s="103"/>
      <c r="G88" s="103"/>
      <c r="H88" s="103"/>
      <c r="I88" s="103"/>
      <c r="J88" s="104"/>
      <c r="K88" s="106"/>
    </row>
    <row r="89" spans="4:11" x14ac:dyDescent="0.3">
      <c r="D89" s="133"/>
      <c r="E89" s="103"/>
      <c r="F89" s="103"/>
      <c r="G89" s="103"/>
      <c r="H89" s="103"/>
      <c r="I89" s="103"/>
      <c r="J89" s="104"/>
      <c r="K89" s="106"/>
    </row>
    <row r="90" spans="4:11" x14ac:dyDescent="0.3">
      <c r="D90" s="133"/>
      <c r="E90" s="103"/>
      <c r="F90" s="103"/>
      <c r="G90" s="103"/>
      <c r="H90" s="103"/>
      <c r="I90" s="103"/>
      <c r="J90" s="104"/>
      <c r="K90" s="106"/>
    </row>
    <row r="91" spans="4:11" x14ac:dyDescent="0.3">
      <c r="D91" s="133"/>
      <c r="E91" s="103"/>
      <c r="F91" s="103"/>
      <c r="G91" s="103"/>
      <c r="H91" s="103"/>
      <c r="I91" s="103"/>
      <c r="J91" s="104"/>
      <c r="K91" s="106"/>
    </row>
    <row r="92" spans="4:11" x14ac:dyDescent="0.3">
      <c r="D92" s="133"/>
      <c r="E92" s="103"/>
      <c r="F92" s="103"/>
      <c r="G92" s="103"/>
      <c r="H92" s="103"/>
      <c r="I92" s="103"/>
      <c r="J92" s="104"/>
      <c r="K92" s="106"/>
    </row>
    <row r="93" spans="4:11" x14ac:dyDescent="0.3">
      <c r="D93" s="133"/>
      <c r="E93" s="103"/>
      <c r="F93" s="103"/>
      <c r="G93" s="103"/>
      <c r="H93" s="103"/>
      <c r="I93" s="103"/>
      <c r="J93" s="104"/>
      <c r="K93" s="106"/>
    </row>
    <row r="94" spans="4:11" x14ac:dyDescent="0.3">
      <c r="D94" s="133"/>
      <c r="E94" s="103"/>
      <c r="F94" s="103"/>
      <c r="G94" s="103"/>
      <c r="H94" s="103"/>
      <c r="I94" s="103"/>
      <c r="J94" s="104"/>
      <c r="K94" s="106"/>
    </row>
    <row r="95" spans="4:11" x14ac:dyDescent="0.3">
      <c r="D95" s="133"/>
      <c r="E95" s="103"/>
      <c r="F95" s="103"/>
      <c r="G95" s="103"/>
      <c r="H95" s="103"/>
      <c r="I95" s="103"/>
      <c r="J95" s="104"/>
      <c r="K95" s="106"/>
    </row>
    <row r="96" spans="4:11" x14ac:dyDescent="0.3">
      <c r="D96" s="133"/>
      <c r="E96" s="103"/>
      <c r="F96" s="103"/>
      <c r="G96" s="103"/>
      <c r="H96" s="103"/>
      <c r="I96" s="103"/>
      <c r="J96" s="104"/>
      <c r="K96" s="106"/>
    </row>
    <row r="97" spans="4:11" x14ac:dyDescent="0.3">
      <c r="D97" s="133"/>
      <c r="E97" s="103"/>
      <c r="F97" s="103"/>
      <c r="G97" s="103"/>
      <c r="H97" s="103"/>
      <c r="I97" s="103"/>
      <c r="J97" s="104"/>
      <c r="K97" s="106"/>
    </row>
    <row r="98" spans="4:11" x14ac:dyDescent="0.3">
      <c r="D98" s="133"/>
      <c r="E98" s="103"/>
      <c r="F98" s="103"/>
      <c r="G98" s="103"/>
      <c r="H98" s="103"/>
      <c r="I98" s="103"/>
      <c r="J98" s="104"/>
      <c r="K98" s="106"/>
    </row>
    <row r="99" spans="4:11" x14ac:dyDescent="0.3">
      <c r="D99" s="133"/>
      <c r="E99" s="103"/>
      <c r="F99" s="103"/>
      <c r="G99" s="103"/>
      <c r="H99" s="103"/>
      <c r="I99" s="103"/>
      <c r="J99" s="104"/>
      <c r="K99" s="106"/>
    </row>
    <row r="100" spans="4:11" x14ac:dyDescent="0.3">
      <c r="D100" s="133"/>
      <c r="E100" s="103"/>
      <c r="F100" s="103"/>
      <c r="G100" s="103"/>
      <c r="H100" s="103"/>
      <c r="I100" s="103"/>
      <c r="J100" s="104"/>
      <c r="K100" s="106"/>
    </row>
    <row r="101" spans="4:11" x14ac:dyDescent="0.3">
      <c r="D101" s="133"/>
      <c r="E101" s="103"/>
      <c r="F101" s="103"/>
      <c r="G101" s="103"/>
      <c r="H101" s="103"/>
      <c r="I101" s="103"/>
      <c r="J101" s="104"/>
      <c r="K101" s="106"/>
    </row>
    <row r="102" spans="4:11" x14ac:dyDescent="0.3">
      <c r="D102" s="133"/>
      <c r="E102" s="103"/>
      <c r="F102" s="103"/>
      <c r="G102" s="103"/>
      <c r="H102" s="103"/>
      <c r="I102" s="103"/>
      <c r="J102" s="104"/>
      <c r="K102" s="106"/>
    </row>
    <row r="103" spans="4:11" x14ac:dyDescent="0.3">
      <c r="D103" s="133"/>
      <c r="E103" s="103"/>
      <c r="F103" s="103"/>
      <c r="G103" s="103"/>
      <c r="H103" s="103"/>
      <c r="I103" s="103"/>
      <c r="J103" s="104"/>
      <c r="K103" s="106"/>
    </row>
    <row r="104" spans="4:11" x14ac:dyDescent="0.3">
      <c r="D104" s="133"/>
      <c r="E104" s="103"/>
      <c r="F104" s="103"/>
      <c r="G104" s="103"/>
      <c r="H104" s="103"/>
      <c r="I104" s="103"/>
      <c r="J104" s="104"/>
      <c r="K104" s="106"/>
    </row>
    <row r="105" spans="4:11" x14ac:dyDescent="0.3">
      <c r="D105" s="133"/>
      <c r="E105" s="103"/>
      <c r="F105" s="103"/>
      <c r="G105" s="103"/>
      <c r="H105" s="103"/>
      <c r="I105" s="103"/>
      <c r="J105" s="104"/>
      <c r="K105" s="106"/>
    </row>
    <row r="106" spans="4:11" x14ac:dyDescent="0.3">
      <c r="D106" s="133"/>
      <c r="E106" s="103"/>
      <c r="F106" s="103"/>
      <c r="G106" s="103"/>
      <c r="H106" s="103"/>
      <c r="I106" s="103"/>
      <c r="J106" s="104"/>
      <c r="K106" s="106"/>
    </row>
    <row r="107" spans="4:11" x14ac:dyDescent="0.3">
      <c r="D107" s="133"/>
      <c r="E107" s="103"/>
      <c r="F107" s="103"/>
      <c r="G107" s="103"/>
      <c r="H107" s="103"/>
      <c r="I107" s="103"/>
      <c r="J107" s="104"/>
      <c r="K107" s="106"/>
    </row>
    <row r="108" spans="4:11" x14ac:dyDescent="0.3">
      <c r="D108" s="133"/>
      <c r="E108" s="103"/>
      <c r="F108" s="103"/>
      <c r="G108" s="103"/>
      <c r="H108" s="103"/>
      <c r="I108" s="103"/>
      <c r="J108" s="104"/>
      <c r="K108" s="106"/>
    </row>
    <row r="109" spans="4:11" x14ac:dyDescent="0.3">
      <c r="D109" s="133"/>
      <c r="E109" s="103"/>
      <c r="F109" s="103"/>
      <c r="G109" s="103"/>
      <c r="H109" s="103"/>
      <c r="I109" s="103"/>
      <c r="J109" s="104"/>
      <c r="K109" s="106"/>
    </row>
    <row r="110" spans="4:11" x14ac:dyDescent="0.3">
      <c r="D110" s="133"/>
      <c r="E110" s="103"/>
      <c r="F110" s="103"/>
      <c r="G110" s="103"/>
      <c r="H110" s="103"/>
      <c r="I110" s="103"/>
      <c r="J110" s="104"/>
      <c r="K110" s="106"/>
    </row>
    <row r="111" spans="4:11" x14ac:dyDescent="0.3">
      <c r="D111" s="133"/>
      <c r="E111" s="103"/>
      <c r="F111" s="103"/>
      <c r="G111" s="103"/>
      <c r="H111" s="103"/>
      <c r="I111" s="103"/>
      <c r="J111" s="104"/>
      <c r="K111" s="106"/>
    </row>
    <row r="112" spans="4:11" x14ac:dyDescent="0.3">
      <c r="D112" s="133"/>
      <c r="E112" s="103"/>
      <c r="F112" s="103"/>
      <c r="G112" s="103"/>
      <c r="H112" s="103"/>
      <c r="I112" s="103"/>
      <c r="J112" s="104"/>
      <c r="K112" s="106"/>
    </row>
    <row r="113" spans="4:11" x14ac:dyDescent="0.3">
      <c r="D113" s="133"/>
      <c r="E113" s="103"/>
      <c r="F113" s="103"/>
      <c r="G113" s="103"/>
      <c r="H113" s="103"/>
      <c r="I113" s="103"/>
      <c r="J113" s="104"/>
      <c r="K113" s="106"/>
    </row>
    <row r="114" spans="4:11" x14ac:dyDescent="0.3">
      <c r="D114" s="133"/>
      <c r="E114" s="103"/>
      <c r="F114" s="103"/>
      <c r="G114" s="103"/>
      <c r="H114" s="103"/>
      <c r="I114" s="103"/>
      <c r="J114" s="104"/>
      <c r="K114" s="106"/>
    </row>
    <row r="115" spans="4:11" x14ac:dyDescent="0.3">
      <c r="D115" s="133"/>
      <c r="E115" s="103"/>
      <c r="F115" s="103"/>
      <c r="G115" s="103"/>
      <c r="H115" s="103"/>
      <c r="I115" s="103"/>
      <c r="J115" s="104"/>
      <c r="K115" s="106"/>
    </row>
    <row r="116" spans="4:11" x14ac:dyDescent="0.3">
      <c r="D116" s="133"/>
      <c r="E116" s="103"/>
      <c r="F116" s="103"/>
      <c r="G116" s="103"/>
      <c r="H116" s="103"/>
      <c r="I116" s="103"/>
      <c r="J116" s="104"/>
      <c r="K116" s="106"/>
    </row>
    <row r="117" spans="4:11" x14ac:dyDescent="0.3">
      <c r="D117" s="133"/>
      <c r="E117" s="103"/>
      <c r="F117" s="103"/>
      <c r="G117" s="103"/>
      <c r="H117" s="103"/>
      <c r="I117" s="103"/>
      <c r="J117" s="104"/>
      <c r="K117" s="106"/>
    </row>
    <row r="118" spans="4:11" x14ac:dyDescent="0.3">
      <c r="D118" s="133"/>
      <c r="E118" s="103"/>
      <c r="F118" s="103"/>
      <c r="G118" s="103"/>
      <c r="H118" s="103"/>
      <c r="I118" s="103"/>
      <c r="J118" s="104"/>
      <c r="K118" s="106"/>
    </row>
    <row r="119" spans="4:11" x14ac:dyDescent="0.3">
      <c r="D119" s="133"/>
      <c r="E119" s="103"/>
      <c r="F119" s="103"/>
      <c r="G119" s="103"/>
      <c r="H119" s="103"/>
      <c r="I119" s="103"/>
      <c r="J119" s="104"/>
      <c r="K119" s="106"/>
    </row>
    <row r="120" spans="4:11" x14ac:dyDescent="0.3">
      <c r="D120" s="133"/>
      <c r="E120" s="103"/>
      <c r="F120" s="103"/>
      <c r="G120" s="103"/>
      <c r="H120" s="103"/>
      <c r="I120" s="103"/>
      <c r="J120" s="104"/>
      <c r="K120" s="106"/>
    </row>
    <row r="121" spans="4:11" x14ac:dyDescent="0.3">
      <c r="D121" s="133"/>
      <c r="E121" s="103"/>
      <c r="F121" s="103"/>
      <c r="G121" s="103"/>
      <c r="H121" s="103"/>
      <c r="I121" s="103"/>
      <c r="J121" s="104"/>
      <c r="K121" s="106"/>
    </row>
    <row r="122" spans="4:11" x14ac:dyDescent="0.3">
      <c r="D122" s="133"/>
      <c r="E122" s="103"/>
      <c r="F122" s="103"/>
      <c r="G122" s="103"/>
      <c r="H122" s="103"/>
      <c r="I122" s="103"/>
      <c r="J122" s="104"/>
      <c r="K122" s="106"/>
    </row>
    <row r="123" spans="4:11" x14ac:dyDescent="0.3">
      <c r="D123" s="133"/>
      <c r="E123" s="103"/>
      <c r="F123" s="103"/>
      <c r="G123" s="103"/>
      <c r="H123" s="103"/>
      <c r="I123" s="103"/>
      <c r="J123" s="104"/>
      <c r="K123" s="106"/>
    </row>
    <row r="124" spans="4:11" x14ac:dyDescent="0.3">
      <c r="D124" s="133"/>
      <c r="E124" s="103"/>
      <c r="F124" s="103"/>
      <c r="G124" s="103"/>
      <c r="H124" s="103"/>
      <c r="I124" s="103"/>
      <c r="J124" s="104"/>
      <c r="K124" s="106"/>
    </row>
    <row r="125" spans="4:11" x14ac:dyDescent="0.3">
      <c r="D125" s="133"/>
      <c r="E125" s="103"/>
      <c r="F125" s="103"/>
      <c r="G125" s="103"/>
      <c r="H125" s="103"/>
      <c r="I125" s="103"/>
      <c r="J125" s="104"/>
      <c r="K125" s="106"/>
    </row>
    <row r="126" spans="4:11" x14ac:dyDescent="0.3">
      <c r="D126" s="133"/>
      <c r="E126" s="103"/>
      <c r="F126" s="103"/>
      <c r="G126" s="103"/>
      <c r="H126" s="103"/>
      <c r="I126" s="103"/>
      <c r="J126" s="104"/>
      <c r="K126" s="106"/>
    </row>
    <row r="127" spans="4:11" x14ac:dyDescent="0.3">
      <c r="D127" s="133"/>
      <c r="E127" s="103"/>
      <c r="F127" s="103"/>
      <c r="G127" s="103"/>
      <c r="H127" s="103"/>
      <c r="I127" s="103"/>
      <c r="J127" s="104"/>
      <c r="K127" s="106"/>
    </row>
    <row r="128" spans="4:11" x14ac:dyDescent="0.3">
      <c r="D128" s="133"/>
      <c r="E128" s="103"/>
      <c r="F128" s="103"/>
      <c r="G128" s="103"/>
      <c r="H128" s="103"/>
      <c r="I128" s="103"/>
      <c r="J128" s="104"/>
      <c r="K128" s="106"/>
    </row>
    <row r="129" spans="4:11" x14ac:dyDescent="0.3">
      <c r="D129" s="133"/>
      <c r="E129" s="103"/>
      <c r="F129" s="103"/>
      <c r="G129" s="103"/>
      <c r="H129" s="103"/>
      <c r="I129" s="103"/>
      <c r="J129" s="104"/>
      <c r="K129" s="106"/>
    </row>
    <row r="130" spans="4:11" x14ac:dyDescent="0.3">
      <c r="D130" s="133"/>
      <c r="E130" s="103"/>
      <c r="F130" s="103"/>
      <c r="G130" s="103"/>
      <c r="H130" s="103"/>
      <c r="I130" s="103"/>
      <c r="J130" s="104"/>
      <c r="K130" s="106"/>
    </row>
    <row r="131" spans="4:11" x14ac:dyDescent="0.3">
      <c r="D131" s="133"/>
      <c r="E131" s="103"/>
      <c r="F131" s="103"/>
      <c r="G131" s="103"/>
      <c r="H131" s="103"/>
      <c r="I131" s="103"/>
      <c r="J131" s="104"/>
      <c r="K131" s="106"/>
    </row>
    <row r="132" spans="4:11" x14ac:dyDescent="0.3">
      <c r="D132" s="133"/>
      <c r="E132" s="103"/>
      <c r="F132" s="103"/>
      <c r="G132" s="103"/>
      <c r="H132" s="103"/>
      <c r="I132" s="103"/>
      <c r="J132" s="104"/>
      <c r="K132" s="106"/>
    </row>
    <row r="133" spans="4:11" x14ac:dyDescent="0.3">
      <c r="D133" s="133"/>
      <c r="E133" s="103"/>
      <c r="F133" s="103"/>
      <c r="G133" s="103"/>
      <c r="H133" s="103"/>
      <c r="I133" s="103"/>
      <c r="J133" s="104"/>
      <c r="K133" s="106"/>
    </row>
    <row r="134" spans="4:11" x14ac:dyDescent="0.3">
      <c r="D134" s="133"/>
      <c r="E134" s="103"/>
      <c r="F134" s="103"/>
      <c r="G134" s="103"/>
      <c r="H134" s="103"/>
      <c r="I134" s="103"/>
      <c r="J134" s="104"/>
      <c r="K134" s="106"/>
    </row>
    <row r="135" spans="4:11" x14ac:dyDescent="0.3">
      <c r="D135" s="133"/>
      <c r="E135" s="103"/>
      <c r="F135" s="103"/>
      <c r="G135" s="103"/>
      <c r="H135" s="103"/>
      <c r="I135" s="103"/>
      <c r="J135" s="104"/>
      <c r="K135" s="106"/>
    </row>
    <row r="136" spans="4:11" x14ac:dyDescent="0.3">
      <c r="D136" s="133"/>
      <c r="E136" s="103"/>
      <c r="F136" s="103"/>
      <c r="G136" s="103"/>
      <c r="H136" s="103"/>
      <c r="I136" s="103"/>
      <c r="J136" s="104"/>
      <c r="K136" s="106"/>
    </row>
    <row r="137" spans="4:11" x14ac:dyDescent="0.3">
      <c r="D137" s="133"/>
      <c r="E137" s="103"/>
      <c r="F137" s="103"/>
      <c r="G137" s="103"/>
      <c r="H137" s="103"/>
      <c r="I137" s="103"/>
      <c r="J137" s="104"/>
      <c r="K137" s="106"/>
    </row>
    <row r="138" spans="4:11" x14ac:dyDescent="0.3">
      <c r="D138" s="133"/>
      <c r="E138" s="103"/>
      <c r="F138" s="103"/>
      <c r="G138" s="103"/>
      <c r="H138" s="103"/>
      <c r="I138" s="103"/>
      <c r="J138" s="104"/>
      <c r="K138" s="106"/>
    </row>
    <row r="139" spans="4:11" x14ac:dyDescent="0.3">
      <c r="D139" s="133"/>
      <c r="E139" s="103"/>
      <c r="F139" s="103"/>
      <c r="G139" s="103"/>
      <c r="H139" s="103"/>
      <c r="I139" s="103"/>
      <c r="J139" s="104"/>
      <c r="K139" s="106"/>
    </row>
    <row r="140" spans="4:11" x14ac:dyDescent="0.3">
      <c r="D140" s="133"/>
      <c r="E140" s="103"/>
      <c r="F140" s="103"/>
      <c r="G140" s="103"/>
      <c r="H140" s="103"/>
      <c r="I140" s="103"/>
      <c r="J140" s="104"/>
      <c r="K140" s="106"/>
    </row>
    <row r="141" spans="4:11" x14ac:dyDescent="0.3">
      <c r="D141" s="133"/>
      <c r="E141" s="103"/>
      <c r="F141" s="103"/>
      <c r="G141" s="103"/>
      <c r="H141" s="103"/>
      <c r="I141" s="103"/>
      <c r="J141" s="104"/>
      <c r="K141" s="106"/>
    </row>
    <row r="142" spans="4:11" x14ac:dyDescent="0.3">
      <c r="D142" s="133"/>
      <c r="E142" s="103"/>
      <c r="F142" s="103"/>
      <c r="G142" s="103"/>
      <c r="H142" s="103"/>
      <c r="I142" s="103"/>
      <c r="J142" s="104"/>
      <c r="K142" s="106"/>
    </row>
    <row r="143" spans="4:11" x14ac:dyDescent="0.3">
      <c r="D143" s="133"/>
      <c r="E143" s="103"/>
      <c r="F143" s="103"/>
      <c r="G143" s="103"/>
      <c r="H143" s="103"/>
      <c r="I143" s="103"/>
      <c r="J143" s="104"/>
      <c r="K143" s="106"/>
    </row>
    <row r="144" spans="4:11" x14ac:dyDescent="0.3">
      <c r="D144" s="133"/>
      <c r="E144" s="103"/>
      <c r="F144" s="103"/>
      <c r="G144" s="103"/>
      <c r="H144" s="103"/>
      <c r="I144" s="103"/>
      <c r="J144" s="104"/>
      <c r="K144" s="106"/>
    </row>
    <row r="145" spans="4:11" x14ac:dyDescent="0.3">
      <c r="D145" s="133"/>
      <c r="E145" s="103"/>
      <c r="F145" s="103"/>
      <c r="G145" s="103"/>
      <c r="H145" s="103"/>
      <c r="I145" s="103"/>
      <c r="J145" s="104"/>
      <c r="K145" s="106"/>
    </row>
    <row r="146" spans="4:11" x14ac:dyDescent="0.3">
      <c r="D146" s="133"/>
      <c r="E146" s="103"/>
      <c r="F146" s="103"/>
      <c r="G146" s="103"/>
      <c r="H146" s="103"/>
      <c r="I146" s="103"/>
      <c r="J146" s="104"/>
      <c r="K146" s="106"/>
    </row>
    <row r="147" spans="4:11" x14ac:dyDescent="0.3">
      <c r="D147" s="133"/>
      <c r="E147" s="103"/>
      <c r="F147" s="103"/>
      <c r="G147" s="103"/>
      <c r="H147" s="103"/>
      <c r="I147" s="103"/>
      <c r="J147" s="104"/>
      <c r="K147" s="106"/>
    </row>
    <row r="148" spans="4:11" x14ac:dyDescent="0.3">
      <c r="D148" s="133"/>
      <c r="E148" s="103"/>
      <c r="F148" s="103"/>
      <c r="G148" s="103"/>
      <c r="H148" s="103"/>
      <c r="I148" s="103"/>
      <c r="J148" s="104"/>
      <c r="K148" s="106"/>
    </row>
    <row r="149" spans="4:11" x14ac:dyDescent="0.3">
      <c r="D149" s="133"/>
      <c r="E149" s="103"/>
      <c r="F149" s="103"/>
      <c r="G149" s="103"/>
      <c r="H149" s="103"/>
      <c r="I149" s="103"/>
      <c r="J149" s="104"/>
      <c r="K149" s="106"/>
    </row>
    <row r="150" spans="4:11" x14ac:dyDescent="0.3">
      <c r="D150" s="133"/>
      <c r="E150" s="103"/>
      <c r="F150" s="103"/>
      <c r="G150" s="103"/>
      <c r="H150" s="103"/>
      <c r="I150" s="103"/>
      <c r="J150" s="104"/>
      <c r="K150" s="106"/>
    </row>
    <row r="151" spans="4:11" x14ac:dyDescent="0.3">
      <c r="D151" s="133"/>
      <c r="E151" s="103"/>
      <c r="F151" s="103"/>
      <c r="G151" s="103"/>
      <c r="H151" s="103"/>
      <c r="I151" s="103"/>
      <c r="J151" s="104"/>
      <c r="K151" s="106"/>
    </row>
    <row r="152" spans="4:11" x14ac:dyDescent="0.3">
      <c r="D152" s="133"/>
      <c r="E152" s="103"/>
      <c r="F152" s="103"/>
      <c r="G152" s="103"/>
      <c r="H152" s="103"/>
      <c r="I152" s="103"/>
      <c r="J152" s="104"/>
      <c r="K152" s="106"/>
    </row>
    <row r="153" spans="4:11" x14ac:dyDescent="0.3">
      <c r="D153" s="133"/>
      <c r="E153" s="103"/>
      <c r="F153" s="103"/>
      <c r="G153" s="103"/>
      <c r="H153" s="103"/>
      <c r="I153" s="103"/>
      <c r="J153" s="104"/>
      <c r="K153" s="106"/>
    </row>
    <row r="154" spans="4:11" x14ac:dyDescent="0.3">
      <c r="D154" s="133"/>
      <c r="E154" s="103"/>
      <c r="F154" s="103"/>
      <c r="G154" s="103"/>
      <c r="H154" s="103"/>
      <c r="I154" s="103"/>
      <c r="J154" s="104"/>
      <c r="K154" s="106"/>
    </row>
    <row r="155" spans="4:11" x14ac:dyDescent="0.3">
      <c r="D155" s="133"/>
      <c r="E155" s="103"/>
      <c r="F155" s="103"/>
      <c r="G155" s="103"/>
      <c r="H155" s="103"/>
      <c r="I155" s="103"/>
      <c r="J155" s="104"/>
      <c r="K155" s="106"/>
    </row>
    <row r="156" spans="4:11" x14ac:dyDescent="0.3">
      <c r="D156" s="133"/>
      <c r="E156" s="103"/>
      <c r="F156" s="103"/>
      <c r="G156" s="103"/>
      <c r="H156" s="103"/>
      <c r="I156" s="103"/>
      <c r="J156" s="104"/>
      <c r="K156" s="106"/>
    </row>
    <row r="157" spans="4:11" x14ac:dyDescent="0.3">
      <c r="D157" s="133"/>
      <c r="E157" s="103"/>
      <c r="F157" s="103"/>
      <c r="G157" s="103"/>
      <c r="H157" s="103"/>
      <c r="I157" s="103"/>
      <c r="J157" s="104"/>
      <c r="K157" s="106"/>
    </row>
    <row r="158" spans="4:11" x14ac:dyDescent="0.3">
      <c r="D158" s="133"/>
      <c r="E158" s="103"/>
      <c r="F158" s="103"/>
      <c r="G158" s="103"/>
      <c r="H158" s="103"/>
      <c r="I158" s="103"/>
      <c r="J158" s="104"/>
      <c r="K158" s="106"/>
    </row>
    <row r="159" spans="4:11" x14ac:dyDescent="0.3">
      <c r="D159" s="133"/>
      <c r="E159" s="103"/>
      <c r="F159" s="103"/>
      <c r="G159" s="103"/>
      <c r="H159" s="103"/>
      <c r="I159" s="103"/>
      <c r="J159" s="104"/>
      <c r="K159" s="106"/>
    </row>
    <row r="160" spans="4:11" x14ac:dyDescent="0.3">
      <c r="D160" s="133"/>
      <c r="E160" s="103"/>
      <c r="F160" s="103"/>
      <c r="G160" s="103"/>
      <c r="H160" s="103"/>
      <c r="I160" s="103"/>
      <c r="J160" s="104"/>
      <c r="K160" s="106"/>
    </row>
    <row r="161" spans="4:11" x14ac:dyDescent="0.3">
      <c r="D161" s="133"/>
      <c r="E161" s="103"/>
      <c r="F161" s="103"/>
      <c r="G161" s="103"/>
      <c r="H161" s="103"/>
      <c r="I161" s="103"/>
      <c r="J161" s="104"/>
      <c r="K161" s="106"/>
    </row>
    <row r="162" spans="4:11" x14ac:dyDescent="0.3">
      <c r="D162" s="133"/>
      <c r="E162" s="103"/>
      <c r="F162" s="103"/>
      <c r="G162" s="103"/>
      <c r="H162" s="103"/>
      <c r="I162" s="103"/>
      <c r="J162" s="104"/>
      <c r="K162" s="106"/>
    </row>
    <row r="163" spans="4:11" x14ac:dyDescent="0.3">
      <c r="D163" s="133"/>
      <c r="E163" s="103"/>
      <c r="F163" s="103"/>
      <c r="G163" s="103"/>
      <c r="H163" s="103"/>
      <c r="I163" s="103"/>
      <c r="J163" s="104"/>
      <c r="K163" s="106"/>
    </row>
    <row r="164" spans="4:11" x14ac:dyDescent="0.3">
      <c r="D164" s="133"/>
      <c r="E164" s="103"/>
      <c r="F164" s="103"/>
      <c r="G164" s="103"/>
      <c r="H164" s="103"/>
      <c r="I164" s="103"/>
      <c r="J164" s="104"/>
      <c r="K164" s="106"/>
    </row>
    <row r="165" spans="4:11" x14ac:dyDescent="0.3">
      <c r="D165" s="133"/>
      <c r="E165" s="103"/>
      <c r="F165" s="103"/>
      <c r="G165" s="103"/>
      <c r="H165" s="103"/>
      <c r="I165" s="103"/>
      <c r="J165" s="104"/>
      <c r="K165" s="106"/>
    </row>
    <row r="166" spans="4:11" x14ac:dyDescent="0.3">
      <c r="D166" s="133"/>
      <c r="E166" s="103"/>
      <c r="F166" s="103"/>
      <c r="G166" s="103"/>
      <c r="H166" s="103"/>
      <c r="I166" s="103"/>
      <c r="J166" s="104"/>
      <c r="K166" s="106"/>
    </row>
    <row r="167" spans="4:11" x14ac:dyDescent="0.3">
      <c r="D167" s="133"/>
      <c r="E167" s="103"/>
      <c r="F167" s="103"/>
      <c r="G167" s="103"/>
      <c r="H167" s="103"/>
      <c r="I167" s="103"/>
      <c r="J167" s="104"/>
      <c r="K167" s="106"/>
    </row>
    <row r="168" spans="4:11" x14ac:dyDescent="0.3">
      <c r="D168" s="133"/>
      <c r="E168" s="103"/>
      <c r="F168" s="103"/>
      <c r="G168" s="103"/>
      <c r="H168" s="103"/>
      <c r="I168" s="103"/>
      <c r="J168" s="104"/>
      <c r="K168" s="106"/>
    </row>
    <row r="169" spans="4:11" x14ac:dyDescent="0.3">
      <c r="D169" s="133"/>
      <c r="E169" s="103"/>
      <c r="F169" s="103"/>
      <c r="G169" s="103"/>
      <c r="H169" s="103"/>
      <c r="I169" s="103"/>
      <c r="J169" s="104"/>
      <c r="K169" s="106"/>
    </row>
    <row r="170" spans="4:11" x14ac:dyDescent="0.3">
      <c r="D170" s="133"/>
      <c r="E170" s="103"/>
      <c r="F170" s="103"/>
      <c r="G170" s="103"/>
      <c r="H170" s="103"/>
      <c r="I170" s="103"/>
      <c r="J170" s="104"/>
      <c r="K170" s="106"/>
    </row>
    <row r="171" spans="4:11" x14ac:dyDescent="0.3">
      <c r="D171" s="133"/>
      <c r="E171" s="103"/>
      <c r="F171" s="103"/>
      <c r="G171" s="103"/>
      <c r="H171" s="103"/>
      <c r="I171" s="103"/>
      <c r="J171" s="104"/>
      <c r="K171" s="106"/>
    </row>
    <row r="172" spans="4:11" x14ac:dyDescent="0.3">
      <c r="D172" s="133"/>
      <c r="E172" s="103"/>
      <c r="F172" s="103"/>
      <c r="G172" s="103"/>
      <c r="H172" s="103"/>
      <c r="I172" s="103"/>
      <c r="J172" s="104"/>
      <c r="K172" s="106"/>
    </row>
    <row r="173" spans="4:11" x14ac:dyDescent="0.3">
      <c r="D173" s="133"/>
      <c r="E173" s="103"/>
      <c r="F173" s="103"/>
      <c r="G173" s="103"/>
      <c r="H173" s="103"/>
      <c r="I173" s="103"/>
      <c r="J173" s="104"/>
      <c r="K173" s="106"/>
    </row>
    <row r="174" spans="4:11" x14ac:dyDescent="0.3">
      <c r="D174" s="133"/>
      <c r="E174" s="103"/>
      <c r="F174" s="103"/>
      <c r="G174" s="103"/>
      <c r="H174" s="103"/>
      <c r="I174" s="103"/>
      <c r="J174" s="104"/>
      <c r="K174" s="106"/>
    </row>
    <row r="175" spans="4:11" x14ac:dyDescent="0.3">
      <c r="D175" s="133"/>
      <c r="E175" s="103"/>
      <c r="F175" s="103"/>
      <c r="G175" s="103"/>
      <c r="H175" s="103"/>
      <c r="I175" s="103"/>
      <c r="J175" s="104"/>
      <c r="K175" s="106"/>
    </row>
    <row r="176" spans="4:11" x14ac:dyDescent="0.3">
      <c r="D176" s="133"/>
      <c r="E176" s="103"/>
      <c r="F176" s="103"/>
      <c r="G176" s="103"/>
      <c r="H176" s="103"/>
      <c r="I176" s="103"/>
      <c r="J176" s="104"/>
      <c r="K176" s="106"/>
    </row>
    <row r="177" spans="4:11" x14ac:dyDescent="0.3">
      <c r="D177" s="133"/>
      <c r="E177" s="103"/>
      <c r="F177" s="103"/>
      <c r="G177" s="103"/>
      <c r="H177" s="103"/>
      <c r="I177" s="103"/>
      <c r="J177" s="104"/>
      <c r="K177" s="106"/>
    </row>
    <row r="178" spans="4:11" x14ac:dyDescent="0.3">
      <c r="D178" s="133"/>
      <c r="E178" s="103"/>
      <c r="F178" s="103"/>
      <c r="G178" s="103"/>
      <c r="H178" s="103"/>
      <c r="I178" s="103"/>
      <c r="J178" s="104"/>
      <c r="K178" s="106"/>
    </row>
    <row r="179" spans="4:11" x14ac:dyDescent="0.3">
      <c r="D179" s="133"/>
      <c r="E179" s="103"/>
      <c r="F179" s="103"/>
      <c r="G179" s="103"/>
      <c r="H179" s="103"/>
      <c r="I179" s="103"/>
      <c r="J179" s="104"/>
      <c r="K179" s="106"/>
    </row>
    <row r="180" spans="4:11" x14ac:dyDescent="0.3">
      <c r="D180" s="133"/>
      <c r="E180" s="103"/>
      <c r="F180" s="103"/>
      <c r="G180" s="103"/>
      <c r="H180" s="103"/>
      <c r="I180" s="103"/>
      <c r="J180" s="104"/>
      <c r="K180" s="106"/>
    </row>
    <row r="181" spans="4:11" x14ac:dyDescent="0.3">
      <c r="D181" s="133"/>
      <c r="E181" s="103"/>
      <c r="F181" s="103"/>
      <c r="G181" s="103"/>
      <c r="H181" s="103"/>
      <c r="I181" s="103"/>
      <c r="J181" s="104"/>
      <c r="K181" s="106"/>
    </row>
    <row r="182" spans="4:11" x14ac:dyDescent="0.3">
      <c r="D182" s="133"/>
      <c r="E182" s="103"/>
      <c r="F182" s="103"/>
      <c r="G182" s="103"/>
      <c r="H182" s="103"/>
      <c r="I182" s="103"/>
      <c r="J182" s="104"/>
      <c r="K182" s="106"/>
    </row>
    <row r="183" spans="4:11" x14ac:dyDescent="0.3">
      <c r="D183" s="133"/>
      <c r="E183" s="103"/>
      <c r="F183" s="103"/>
      <c r="G183" s="103"/>
      <c r="H183" s="103"/>
      <c r="I183" s="103"/>
      <c r="J183" s="104"/>
      <c r="K183" s="106"/>
    </row>
    <row r="184" spans="4:11" x14ac:dyDescent="0.3">
      <c r="D184" s="133"/>
      <c r="E184" s="103"/>
      <c r="F184" s="103"/>
      <c r="G184" s="103"/>
      <c r="H184" s="103"/>
      <c r="I184" s="103"/>
      <c r="J184" s="104"/>
      <c r="K184" s="106"/>
    </row>
    <row r="185" spans="4:11" x14ac:dyDescent="0.3">
      <c r="D185" s="133"/>
      <c r="E185" s="103"/>
      <c r="F185" s="103"/>
      <c r="G185" s="103"/>
      <c r="H185" s="103"/>
      <c r="I185" s="103"/>
      <c r="J185" s="104"/>
      <c r="K185" s="106"/>
    </row>
    <row r="186" spans="4:11" x14ac:dyDescent="0.3">
      <c r="D186" s="133"/>
      <c r="E186" s="103"/>
      <c r="F186" s="103"/>
      <c r="G186" s="103"/>
      <c r="H186" s="103"/>
      <c r="I186" s="103"/>
      <c r="J186" s="104"/>
      <c r="K186" s="106"/>
    </row>
    <row r="187" spans="4:11" x14ac:dyDescent="0.3">
      <c r="D187" s="133"/>
      <c r="E187" s="103"/>
      <c r="F187" s="103"/>
      <c r="G187" s="103"/>
      <c r="H187" s="103"/>
      <c r="I187" s="103"/>
      <c r="J187" s="104"/>
      <c r="K187" s="106"/>
    </row>
    <row r="188" spans="4:11" x14ac:dyDescent="0.3">
      <c r="D188" s="133"/>
      <c r="E188" s="103"/>
      <c r="F188" s="103"/>
      <c r="G188" s="103"/>
      <c r="H188" s="103"/>
      <c r="I188" s="103"/>
      <c r="J188" s="104"/>
      <c r="K188" s="106"/>
    </row>
    <row r="189" spans="4:11" x14ac:dyDescent="0.3">
      <c r="D189" s="133"/>
      <c r="E189" s="103"/>
      <c r="F189" s="103"/>
      <c r="G189" s="103"/>
      <c r="H189" s="103"/>
      <c r="I189" s="103"/>
      <c r="J189" s="104"/>
      <c r="K189" s="106"/>
    </row>
    <row r="190" spans="4:11" x14ac:dyDescent="0.3">
      <c r="D190" s="133"/>
      <c r="E190" s="103"/>
      <c r="F190" s="103"/>
      <c r="G190" s="103"/>
      <c r="H190" s="103"/>
      <c r="I190" s="103"/>
      <c r="J190" s="104"/>
      <c r="K190" s="106"/>
    </row>
    <row r="191" spans="4:11" x14ac:dyDescent="0.3">
      <c r="D191" s="133"/>
      <c r="E191" s="103"/>
      <c r="F191" s="103"/>
      <c r="G191" s="103"/>
      <c r="H191" s="103"/>
      <c r="I191" s="103"/>
      <c r="J191" s="104"/>
      <c r="K191" s="106"/>
    </row>
    <row r="192" spans="4:11" x14ac:dyDescent="0.3">
      <c r="D192" s="133"/>
      <c r="E192" s="103"/>
      <c r="F192" s="103"/>
      <c r="G192" s="103"/>
      <c r="H192" s="103"/>
      <c r="I192" s="103"/>
      <c r="J192" s="104"/>
      <c r="K192" s="106"/>
    </row>
    <row r="193" spans="4:11" x14ac:dyDescent="0.3">
      <c r="D193" s="133"/>
      <c r="E193" s="103"/>
      <c r="F193" s="103"/>
      <c r="G193" s="103"/>
      <c r="H193" s="103"/>
      <c r="I193" s="103"/>
      <c r="J193" s="104"/>
      <c r="K193" s="106"/>
    </row>
    <row r="194" spans="4:11" x14ac:dyDescent="0.3">
      <c r="D194" s="133"/>
      <c r="E194" s="103"/>
      <c r="F194" s="103"/>
      <c r="G194" s="103"/>
      <c r="H194" s="103"/>
      <c r="I194" s="103"/>
      <c r="J194" s="104"/>
      <c r="K194" s="106"/>
    </row>
    <row r="195" spans="4:11" x14ac:dyDescent="0.3">
      <c r="D195" s="133"/>
      <c r="E195" s="103"/>
      <c r="F195" s="103"/>
      <c r="G195" s="103"/>
      <c r="H195" s="103"/>
      <c r="I195" s="103"/>
      <c r="J195" s="104"/>
      <c r="K195" s="106"/>
    </row>
    <row r="196" spans="4:11" x14ac:dyDescent="0.3">
      <c r="D196" s="133"/>
      <c r="E196" s="103"/>
      <c r="F196" s="103"/>
      <c r="G196" s="103"/>
      <c r="H196" s="103"/>
      <c r="I196" s="103"/>
      <c r="J196" s="104"/>
      <c r="K196" s="106"/>
    </row>
    <row r="197" spans="4:11" x14ac:dyDescent="0.3">
      <c r="D197" s="133"/>
      <c r="E197" s="103"/>
      <c r="F197" s="103"/>
      <c r="G197" s="103"/>
      <c r="H197" s="103"/>
      <c r="I197" s="103"/>
      <c r="J197" s="104"/>
      <c r="K197" s="106"/>
    </row>
    <row r="198" spans="4:11" x14ac:dyDescent="0.3">
      <c r="D198" s="133"/>
      <c r="E198" s="103"/>
      <c r="F198" s="103"/>
      <c r="G198" s="103"/>
      <c r="H198" s="103"/>
      <c r="I198" s="103"/>
      <c r="J198" s="104"/>
      <c r="K198" s="106"/>
    </row>
    <row r="199" spans="4:11" x14ac:dyDescent="0.3">
      <c r="D199" s="133"/>
      <c r="E199" s="103"/>
      <c r="F199" s="103"/>
      <c r="G199" s="103"/>
      <c r="H199" s="103"/>
      <c r="I199" s="103"/>
      <c r="J199" s="104"/>
      <c r="K199" s="106"/>
    </row>
    <row r="200" spans="4:11" x14ac:dyDescent="0.3">
      <c r="D200" s="133"/>
      <c r="E200" s="103"/>
      <c r="F200" s="103"/>
      <c r="G200" s="103"/>
      <c r="H200" s="103"/>
      <c r="I200" s="103"/>
      <c r="J200" s="104"/>
      <c r="K200" s="106"/>
    </row>
    <row r="201" spans="4:11" x14ac:dyDescent="0.3">
      <c r="D201" s="133"/>
      <c r="E201" s="103"/>
      <c r="F201" s="103"/>
      <c r="G201" s="103"/>
      <c r="H201" s="103"/>
      <c r="I201" s="103"/>
      <c r="J201" s="104"/>
      <c r="K201" s="106"/>
    </row>
    <row r="202" spans="4:11" x14ac:dyDescent="0.3">
      <c r="D202" s="133"/>
      <c r="E202" s="103"/>
      <c r="F202" s="103"/>
      <c r="G202" s="103"/>
      <c r="H202" s="103"/>
      <c r="I202" s="103"/>
      <c r="J202" s="104"/>
      <c r="K202" s="106"/>
    </row>
    <row r="203" spans="4:11" x14ac:dyDescent="0.3">
      <c r="D203" s="133"/>
      <c r="E203" s="103"/>
      <c r="F203" s="103"/>
      <c r="G203" s="103"/>
      <c r="H203" s="103"/>
      <c r="I203" s="103"/>
      <c r="J203" s="104"/>
      <c r="K203" s="106"/>
    </row>
    <row r="204" spans="4:11" x14ac:dyDescent="0.3">
      <c r="D204" s="133"/>
      <c r="E204" s="103"/>
      <c r="F204" s="103"/>
      <c r="G204" s="103"/>
      <c r="H204" s="103"/>
      <c r="I204" s="103"/>
      <c r="J204" s="104"/>
      <c r="K204" s="106"/>
    </row>
    <row r="205" spans="4:11" x14ac:dyDescent="0.3">
      <c r="D205" s="133"/>
    </row>
    <row r="206" spans="4:11" x14ac:dyDescent="0.3">
      <c r="D206" s="133"/>
    </row>
    <row r="207" spans="4:11" x14ac:dyDescent="0.3">
      <c r="D207" s="133"/>
    </row>
    <row r="208" spans="4:11" x14ac:dyDescent="0.3">
      <c r="D208" s="133"/>
    </row>
    <row r="209" spans="4:4" x14ac:dyDescent="0.3">
      <c r="D209" s="133"/>
    </row>
    <row r="210" spans="4:4" x14ac:dyDescent="0.3">
      <c r="D210" s="133"/>
    </row>
    <row r="211" spans="4:4" x14ac:dyDescent="0.3">
      <c r="D211" s="133"/>
    </row>
    <row r="212" spans="4:4" x14ac:dyDescent="0.3">
      <c r="D212" s="133"/>
    </row>
    <row r="213" spans="4:4" x14ac:dyDescent="0.3">
      <c r="D213" s="133"/>
    </row>
    <row r="214" spans="4:4" x14ac:dyDescent="0.3">
      <c r="D214" s="133"/>
    </row>
    <row r="215" spans="4:4" x14ac:dyDescent="0.3">
      <c r="D215" s="133"/>
    </row>
    <row r="216" spans="4:4" x14ac:dyDescent="0.3">
      <c r="D216" s="133"/>
    </row>
    <row r="217" spans="4:4" x14ac:dyDescent="0.3">
      <c r="D217" s="133"/>
    </row>
    <row r="218" spans="4:4" x14ac:dyDescent="0.3">
      <c r="D218" s="133"/>
    </row>
    <row r="219" spans="4:4" x14ac:dyDescent="0.3">
      <c r="D219" s="133"/>
    </row>
    <row r="220" spans="4:4" x14ac:dyDescent="0.3">
      <c r="D220" s="133"/>
    </row>
    <row r="221" spans="4:4" x14ac:dyDescent="0.3">
      <c r="D221" s="133"/>
    </row>
    <row r="222" spans="4:4" x14ac:dyDescent="0.3">
      <c r="D222" s="133"/>
    </row>
    <row r="223" spans="4:4" x14ac:dyDescent="0.3">
      <c r="D223" s="133"/>
    </row>
    <row r="224" spans="4:4" x14ac:dyDescent="0.3">
      <c r="D224" s="133"/>
    </row>
    <row r="225" spans="4:4" x14ac:dyDescent="0.3">
      <c r="D225" s="133"/>
    </row>
    <row r="226" spans="4:4" x14ac:dyDescent="0.3">
      <c r="D226" s="133"/>
    </row>
    <row r="227" spans="4:4" x14ac:dyDescent="0.3">
      <c r="D227" s="133"/>
    </row>
    <row r="228" spans="4:4" x14ac:dyDescent="0.3">
      <c r="D228" s="133"/>
    </row>
    <row r="229" spans="4:4" x14ac:dyDescent="0.3">
      <c r="D229" s="133"/>
    </row>
    <row r="230" spans="4:4" x14ac:dyDescent="0.3">
      <c r="D230" s="133"/>
    </row>
    <row r="231" spans="4:4" x14ac:dyDescent="0.3">
      <c r="D231" s="133"/>
    </row>
    <row r="232" spans="4:4" x14ac:dyDescent="0.3">
      <c r="D232" s="133"/>
    </row>
    <row r="233" spans="4:4" x14ac:dyDescent="0.3">
      <c r="D233" s="133"/>
    </row>
    <row r="234" spans="4:4" x14ac:dyDescent="0.3">
      <c r="D234" s="133"/>
    </row>
    <row r="235" spans="4:4" x14ac:dyDescent="0.3">
      <c r="D235" s="133"/>
    </row>
    <row r="236" spans="4:4" x14ac:dyDescent="0.3">
      <c r="D236" s="133"/>
    </row>
    <row r="237" spans="4:4" x14ac:dyDescent="0.3">
      <c r="D237" s="133"/>
    </row>
    <row r="238" spans="4:4" x14ac:dyDescent="0.3">
      <c r="D238" s="133"/>
    </row>
    <row r="239" spans="4:4" x14ac:dyDescent="0.3">
      <c r="D239" s="133"/>
    </row>
    <row r="240" spans="4:4" x14ac:dyDescent="0.3">
      <c r="D240" s="133"/>
    </row>
    <row r="241" spans="4:4" x14ac:dyDescent="0.3">
      <c r="D241" s="133"/>
    </row>
    <row r="242" spans="4:4" x14ac:dyDescent="0.3">
      <c r="D242" s="133"/>
    </row>
    <row r="243" spans="4:4" x14ac:dyDescent="0.3">
      <c r="D243" s="133"/>
    </row>
    <row r="244" spans="4:4" x14ac:dyDescent="0.3">
      <c r="D244" s="133"/>
    </row>
    <row r="245" spans="4:4" x14ac:dyDescent="0.3">
      <c r="D245" s="133"/>
    </row>
    <row r="246" spans="4:4" x14ac:dyDescent="0.3">
      <c r="D246" s="133"/>
    </row>
    <row r="247" spans="4:4" x14ac:dyDescent="0.3">
      <c r="D247" s="133"/>
    </row>
    <row r="248" spans="4:4" x14ac:dyDescent="0.3">
      <c r="D248" s="133"/>
    </row>
    <row r="249" spans="4:4" x14ac:dyDescent="0.3">
      <c r="D249" s="133"/>
    </row>
    <row r="250" spans="4:4" x14ac:dyDescent="0.3">
      <c r="D250" s="133"/>
    </row>
    <row r="251" spans="4:4" x14ac:dyDescent="0.3">
      <c r="D251" s="133"/>
    </row>
    <row r="252" spans="4:4" x14ac:dyDescent="0.3">
      <c r="D252" s="133"/>
    </row>
    <row r="253" spans="4:4" x14ac:dyDescent="0.3">
      <c r="D253" s="133"/>
    </row>
    <row r="254" spans="4:4" x14ac:dyDescent="0.3">
      <c r="D254" s="133"/>
    </row>
    <row r="255" spans="4:4" x14ac:dyDescent="0.3">
      <c r="D255" s="133"/>
    </row>
    <row r="256" spans="4:4" x14ac:dyDescent="0.3">
      <c r="D256" s="133"/>
    </row>
    <row r="257" spans="4:4" x14ac:dyDescent="0.3">
      <c r="D257" s="133"/>
    </row>
    <row r="258" spans="4:4" x14ac:dyDescent="0.3">
      <c r="D258" s="133"/>
    </row>
    <row r="259" spans="4:4" x14ac:dyDescent="0.3">
      <c r="D259" s="133"/>
    </row>
    <row r="260" spans="4:4" x14ac:dyDescent="0.3">
      <c r="D260" s="133"/>
    </row>
    <row r="261" spans="4:4" x14ac:dyDescent="0.3">
      <c r="D261" s="133"/>
    </row>
    <row r="262" spans="4:4" x14ac:dyDescent="0.3">
      <c r="D262" s="133"/>
    </row>
    <row r="263" spans="4:4" x14ac:dyDescent="0.3">
      <c r="D263" s="133"/>
    </row>
    <row r="264" spans="4:4" x14ac:dyDescent="0.3">
      <c r="D264" s="133"/>
    </row>
    <row r="265" spans="4:4" x14ac:dyDescent="0.3">
      <c r="D265" s="133"/>
    </row>
    <row r="266" spans="4:4" x14ac:dyDescent="0.3">
      <c r="D266" s="133"/>
    </row>
    <row r="267" spans="4:4" x14ac:dyDescent="0.3">
      <c r="D267" s="133"/>
    </row>
    <row r="268" spans="4:4" x14ac:dyDescent="0.3">
      <c r="D268" s="133"/>
    </row>
    <row r="269" spans="4:4" x14ac:dyDescent="0.3">
      <c r="D269" s="133"/>
    </row>
    <row r="270" spans="4:4" x14ac:dyDescent="0.3">
      <c r="D270" s="133"/>
    </row>
    <row r="271" spans="4:4" x14ac:dyDescent="0.3">
      <c r="D271" s="133"/>
    </row>
    <row r="272" spans="4:4" x14ac:dyDescent="0.3">
      <c r="D272" s="133"/>
    </row>
    <row r="273" spans="4:4" x14ac:dyDescent="0.3">
      <c r="D273" s="133"/>
    </row>
    <row r="274" spans="4:4" x14ac:dyDescent="0.3">
      <c r="D274" s="133"/>
    </row>
    <row r="275" spans="4:4" x14ac:dyDescent="0.3">
      <c r="D275" s="133"/>
    </row>
    <row r="276" spans="4:4" x14ac:dyDescent="0.3">
      <c r="D276" s="133"/>
    </row>
    <row r="277" spans="4:4" x14ac:dyDescent="0.3">
      <c r="D277" s="133"/>
    </row>
    <row r="278" spans="4:4" x14ac:dyDescent="0.3">
      <c r="D278" s="133"/>
    </row>
    <row r="279" spans="4:4" x14ac:dyDescent="0.3">
      <c r="D279" s="133"/>
    </row>
    <row r="280" spans="4:4" x14ac:dyDescent="0.3">
      <c r="D280" s="133"/>
    </row>
    <row r="281" spans="4:4" x14ac:dyDescent="0.3">
      <c r="D281" s="133"/>
    </row>
    <row r="282" spans="4:4" x14ac:dyDescent="0.3">
      <c r="D282" s="133"/>
    </row>
    <row r="283" spans="4:4" x14ac:dyDescent="0.3">
      <c r="D283" s="133"/>
    </row>
    <row r="284" spans="4:4" x14ac:dyDescent="0.3">
      <c r="D284" s="133"/>
    </row>
    <row r="285" spans="4:4" x14ac:dyDescent="0.3">
      <c r="D285" s="133"/>
    </row>
    <row r="286" spans="4:4" x14ac:dyDescent="0.3">
      <c r="D286" s="133"/>
    </row>
    <row r="287" spans="4:4" x14ac:dyDescent="0.3">
      <c r="D287" s="133"/>
    </row>
    <row r="288" spans="4:4" x14ac:dyDescent="0.3">
      <c r="D288" s="133"/>
    </row>
    <row r="289" spans="4:4" x14ac:dyDescent="0.3">
      <c r="D289" s="133"/>
    </row>
    <row r="290" spans="4:4" x14ac:dyDescent="0.3">
      <c r="D290" s="133"/>
    </row>
    <row r="291" spans="4:4" x14ac:dyDescent="0.3">
      <c r="D291" s="133"/>
    </row>
    <row r="292" spans="4:4" x14ac:dyDescent="0.3">
      <c r="D292" s="133"/>
    </row>
    <row r="293" spans="4:4" x14ac:dyDescent="0.3">
      <c r="D293" s="133"/>
    </row>
    <row r="294" spans="4:4" x14ac:dyDescent="0.3">
      <c r="D294" s="133"/>
    </row>
    <row r="295" spans="4:4" x14ac:dyDescent="0.3">
      <c r="D295" s="133"/>
    </row>
    <row r="296" spans="4:4" x14ac:dyDescent="0.3">
      <c r="D296" s="133"/>
    </row>
    <row r="297" spans="4:4" x14ac:dyDescent="0.3">
      <c r="D297" s="133"/>
    </row>
    <row r="298" spans="4:4" x14ac:dyDescent="0.3">
      <c r="D298" s="133"/>
    </row>
    <row r="299" spans="4:4" x14ac:dyDescent="0.3">
      <c r="D299" s="133"/>
    </row>
    <row r="300" spans="4:4" x14ac:dyDescent="0.3">
      <c r="D300" s="133"/>
    </row>
    <row r="301" spans="4:4" x14ac:dyDescent="0.3">
      <c r="D301" s="133"/>
    </row>
    <row r="302" spans="4:4" x14ac:dyDescent="0.3">
      <c r="D302" s="133"/>
    </row>
    <row r="303" spans="4:4" x14ac:dyDescent="0.3">
      <c r="D303" s="133"/>
    </row>
    <row r="304" spans="4:4" x14ac:dyDescent="0.3">
      <c r="D304" s="133"/>
    </row>
    <row r="305" spans="4:4" x14ac:dyDescent="0.3">
      <c r="D305" s="133"/>
    </row>
    <row r="306" spans="4:4" x14ac:dyDescent="0.3">
      <c r="D306" s="133"/>
    </row>
    <row r="307" spans="4:4" x14ac:dyDescent="0.3">
      <c r="D307" s="133"/>
    </row>
    <row r="308" spans="4:4" x14ac:dyDescent="0.3">
      <c r="D308" s="133"/>
    </row>
    <row r="309" spans="4:4" x14ac:dyDescent="0.3">
      <c r="D309" s="133"/>
    </row>
    <row r="310" spans="4:4" x14ac:dyDescent="0.3">
      <c r="D310" s="133"/>
    </row>
    <row r="311" spans="4:4" x14ac:dyDescent="0.3">
      <c r="D311" s="133"/>
    </row>
    <row r="312" spans="4:4" x14ac:dyDescent="0.3">
      <c r="D312" s="133"/>
    </row>
    <row r="313" spans="4:4" x14ac:dyDescent="0.3">
      <c r="D313" s="133"/>
    </row>
    <row r="314" spans="4:4" x14ac:dyDescent="0.3">
      <c r="D314" s="133"/>
    </row>
    <row r="315" spans="4:4" x14ac:dyDescent="0.3">
      <c r="D315" s="133"/>
    </row>
    <row r="316" spans="4:4" x14ac:dyDescent="0.3">
      <c r="D316" s="133"/>
    </row>
    <row r="317" spans="4:4" x14ac:dyDescent="0.3">
      <c r="D317" s="133"/>
    </row>
    <row r="318" spans="4:4" x14ac:dyDescent="0.3">
      <c r="D318" s="133"/>
    </row>
    <row r="319" spans="4:4" x14ac:dyDescent="0.3">
      <c r="D319" s="133"/>
    </row>
    <row r="320" spans="4:4" x14ac:dyDescent="0.3">
      <c r="D320" s="133"/>
    </row>
    <row r="321" spans="4:4" x14ac:dyDescent="0.3">
      <c r="D321" s="133"/>
    </row>
    <row r="322" spans="4:4" x14ac:dyDescent="0.3">
      <c r="D322" s="133"/>
    </row>
    <row r="323" spans="4:4" x14ac:dyDescent="0.3">
      <c r="D323" s="133"/>
    </row>
    <row r="324" spans="4:4" x14ac:dyDescent="0.3">
      <c r="D324" s="133"/>
    </row>
    <row r="325" spans="4:4" x14ac:dyDescent="0.3">
      <c r="D325" s="133"/>
    </row>
    <row r="326" spans="4:4" x14ac:dyDescent="0.3">
      <c r="D326" s="133"/>
    </row>
    <row r="327" spans="4:4" x14ac:dyDescent="0.3">
      <c r="D327" s="133"/>
    </row>
    <row r="328" spans="4:4" x14ac:dyDescent="0.3">
      <c r="D328" s="133"/>
    </row>
    <row r="329" spans="4:4" x14ac:dyDescent="0.3">
      <c r="D329" s="133"/>
    </row>
    <row r="330" spans="4:4" x14ac:dyDescent="0.3">
      <c r="D330" s="133"/>
    </row>
    <row r="331" spans="4:4" x14ac:dyDescent="0.3">
      <c r="D331" s="133"/>
    </row>
    <row r="332" spans="4:4" x14ac:dyDescent="0.3">
      <c r="D332" s="133"/>
    </row>
    <row r="333" spans="4:4" x14ac:dyDescent="0.3">
      <c r="D333" s="133"/>
    </row>
    <row r="334" spans="4:4" x14ac:dyDescent="0.3">
      <c r="D334" s="133"/>
    </row>
    <row r="335" spans="4:4" x14ac:dyDescent="0.3">
      <c r="D335" s="133"/>
    </row>
    <row r="336" spans="4:4" x14ac:dyDescent="0.3">
      <c r="D336" s="133"/>
    </row>
    <row r="337" spans="4:4" x14ac:dyDescent="0.3">
      <c r="D337" s="133"/>
    </row>
    <row r="338" spans="4:4" x14ac:dyDescent="0.3">
      <c r="D338" s="133"/>
    </row>
    <row r="339" spans="4:4" x14ac:dyDescent="0.3">
      <c r="D339" s="133"/>
    </row>
    <row r="340" spans="4:4" x14ac:dyDescent="0.3">
      <c r="D340" s="133"/>
    </row>
    <row r="341" spans="4:4" x14ac:dyDescent="0.3">
      <c r="D341" s="133"/>
    </row>
    <row r="342" spans="4:4" x14ac:dyDescent="0.3">
      <c r="D342" s="133"/>
    </row>
    <row r="343" spans="4:4" x14ac:dyDescent="0.3">
      <c r="D343" s="133"/>
    </row>
    <row r="344" spans="4:4" x14ac:dyDescent="0.3">
      <c r="D344" s="133"/>
    </row>
    <row r="345" spans="4:4" x14ac:dyDescent="0.3">
      <c r="D345" s="133"/>
    </row>
    <row r="346" spans="4:4" x14ac:dyDescent="0.3">
      <c r="D346" s="133"/>
    </row>
    <row r="347" spans="4:4" x14ac:dyDescent="0.3">
      <c r="D347" s="133"/>
    </row>
    <row r="348" spans="4:4" x14ac:dyDescent="0.3">
      <c r="D348" s="133"/>
    </row>
    <row r="349" spans="4:4" x14ac:dyDescent="0.3">
      <c r="D349" s="133"/>
    </row>
    <row r="350" spans="4:4" x14ac:dyDescent="0.3">
      <c r="D350" s="133"/>
    </row>
    <row r="351" spans="4:4" x14ac:dyDescent="0.3">
      <c r="D351" s="133"/>
    </row>
    <row r="352" spans="4:4" x14ac:dyDescent="0.3">
      <c r="D352" s="133"/>
    </row>
    <row r="353" spans="4:4" x14ac:dyDescent="0.3">
      <c r="D353" s="133"/>
    </row>
    <row r="354" spans="4:4" x14ac:dyDescent="0.3">
      <c r="D354" s="133"/>
    </row>
    <row r="355" spans="4:4" x14ac:dyDescent="0.3">
      <c r="D355" s="133"/>
    </row>
    <row r="356" spans="4:4" x14ac:dyDescent="0.3">
      <c r="D356" s="133"/>
    </row>
    <row r="357" spans="4:4" x14ac:dyDescent="0.3">
      <c r="D357" s="133"/>
    </row>
    <row r="358" spans="4:4" x14ac:dyDescent="0.3">
      <c r="D358" s="133"/>
    </row>
    <row r="359" spans="4:4" x14ac:dyDescent="0.3">
      <c r="D359" s="133"/>
    </row>
    <row r="360" spans="4:4" x14ac:dyDescent="0.3">
      <c r="D360" s="133"/>
    </row>
    <row r="361" spans="4:4" x14ac:dyDescent="0.3">
      <c r="D361" s="133"/>
    </row>
    <row r="362" spans="4:4" x14ac:dyDescent="0.3">
      <c r="D362" s="133"/>
    </row>
    <row r="363" spans="4:4" x14ac:dyDescent="0.3">
      <c r="D363" s="133"/>
    </row>
    <row r="364" spans="4:4" x14ac:dyDescent="0.3">
      <c r="D364" s="133"/>
    </row>
    <row r="365" spans="4:4" x14ac:dyDescent="0.3">
      <c r="D365" s="133"/>
    </row>
    <row r="366" spans="4:4" x14ac:dyDescent="0.3">
      <c r="D366" s="133"/>
    </row>
    <row r="367" spans="4:4" x14ac:dyDescent="0.3">
      <c r="D367" s="133"/>
    </row>
    <row r="368" spans="4:4" x14ac:dyDescent="0.3">
      <c r="D368" s="133"/>
    </row>
    <row r="369" spans="4:4" x14ac:dyDescent="0.3">
      <c r="D369" s="133"/>
    </row>
    <row r="370" spans="4:4" x14ac:dyDescent="0.3">
      <c r="D370" s="133"/>
    </row>
    <row r="371" spans="4:4" x14ac:dyDescent="0.3">
      <c r="D371" s="133"/>
    </row>
    <row r="372" spans="4:4" x14ac:dyDescent="0.3">
      <c r="D372" s="133"/>
    </row>
    <row r="373" spans="4:4" x14ac:dyDescent="0.3">
      <c r="D373" s="133"/>
    </row>
    <row r="374" spans="4:4" x14ac:dyDescent="0.3">
      <c r="D374" s="133"/>
    </row>
    <row r="375" spans="4:4" x14ac:dyDescent="0.3">
      <c r="D375" s="133"/>
    </row>
    <row r="376" spans="4:4" x14ac:dyDescent="0.3">
      <c r="D376" s="133"/>
    </row>
    <row r="377" spans="4:4" x14ac:dyDescent="0.3">
      <c r="D377" s="133"/>
    </row>
    <row r="378" spans="4:4" x14ac:dyDescent="0.3">
      <c r="D378" s="133"/>
    </row>
    <row r="379" spans="4:4" x14ac:dyDescent="0.3">
      <c r="D379" s="133"/>
    </row>
    <row r="380" spans="4:4" x14ac:dyDescent="0.3">
      <c r="D380" s="133"/>
    </row>
    <row r="381" spans="4:4" x14ac:dyDescent="0.3">
      <c r="D381" s="133"/>
    </row>
    <row r="382" spans="4:4" x14ac:dyDescent="0.3">
      <c r="D382" s="133"/>
    </row>
    <row r="383" spans="4:4" x14ac:dyDescent="0.3">
      <c r="D383" s="133"/>
    </row>
    <row r="384" spans="4:4" x14ac:dyDescent="0.3">
      <c r="D384" s="133"/>
    </row>
    <row r="385" spans="4:4" x14ac:dyDescent="0.3">
      <c r="D385" s="133"/>
    </row>
    <row r="386" spans="4:4" x14ac:dyDescent="0.3">
      <c r="D386" s="133"/>
    </row>
    <row r="387" spans="4:4" x14ac:dyDescent="0.3">
      <c r="D387" s="133"/>
    </row>
    <row r="388" spans="4:4" x14ac:dyDescent="0.3">
      <c r="D388" s="133"/>
    </row>
    <row r="389" spans="4:4" x14ac:dyDescent="0.3">
      <c r="D389" s="133"/>
    </row>
    <row r="390" spans="4:4" x14ac:dyDescent="0.3">
      <c r="D390" s="133"/>
    </row>
    <row r="391" spans="4:4" x14ac:dyDescent="0.3">
      <c r="D391" s="133"/>
    </row>
    <row r="392" spans="4:4" x14ac:dyDescent="0.3">
      <c r="D392" s="133"/>
    </row>
    <row r="393" spans="4:4" x14ac:dyDescent="0.3">
      <c r="D393" s="133"/>
    </row>
    <row r="394" spans="4:4" x14ac:dyDescent="0.3">
      <c r="D394" s="133"/>
    </row>
    <row r="395" spans="4:4" x14ac:dyDescent="0.3">
      <c r="D395" s="133"/>
    </row>
    <row r="396" spans="4:4" x14ac:dyDescent="0.3">
      <c r="D396" s="133"/>
    </row>
    <row r="397" spans="4:4" x14ac:dyDescent="0.3">
      <c r="D397" s="133"/>
    </row>
    <row r="398" spans="4:4" x14ac:dyDescent="0.3">
      <c r="D398" s="133"/>
    </row>
    <row r="399" spans="4:4" x14ac:dyDescent="0.3">
      <c r="D399" s="133"/>
    </row>
    <row r="400" spans="4:4" x14ac:dyDescent="0.3">
      <c r="D400" s="133"/>
    </row>
    <row r="401" spans="4:4" x14ac:dyDescent="0.3">
      <c r="D401" s="133"/>
    </row>
    <row r="402" spans="4:4" x14ac:dyDescent="0.3">
      <c r="D402" s="133"/>
    </row>
    <row r="403" spans="4:4" x14ac:dyDescent="0.3">
      <c r="D403" s="133"/>
    </row>
    <row r="404" spans="4:4" x14ac:dyDescent="0.3">
      <c r="D404" s="133"/>
    </row>
    <row r="405" spans="4:4" x14ac:dyDescent="0.3">
      <c r="D405" s="133"/>
    </row>
    <row r="406" spans="4:4" x14ac:dyDescent="0.3">
      <c r="D406" s="133"/>
    </row>
    <row r="407" spans="4:4" x14ac:dyDescent="0.3">
      <c r="D407" s="133"/>
    </row>
    <row r="408" spans="4:4" x14ac:dyDescent="0.3">
      <c r="D408" s="133"/>
    </row>
    <row r="409" spans="4:4" x14ac:dyDescent="0.3">
      <c r="D409" s="133"/>
    </row>
    <row r="410" spans="4:4" x14ac:dyDescent="0.3">
      <c r="D410" s="133"/>
    </row>
    <row r="411" spans="4:4" x14ac:dyDescent="0.3">
      <c r="D411" s="133"/>
    </row>
    <row r="412" spans="4:4" x14ac:dyDescent="0.3">
      <c r="D412" s="133"/>
    </row>
    <row r="413" spans="4:4" x14ac:dyDescent="0.3">
      <c r="D413" s="133"/>
    </row>
    <row r="414" spans="4:4" x14ac:dyDescent="0.3">
      <c r="D414" s="133"/>
    </row>
    <row r="415" spans="4:4" x14ac:dyDescent="0.3">
      <c r="D415" s="133"/>
    </row>
    <row r="416" spans="4:4" x14ac:dyDescent="0.3">
      <c r="D416" s="133"/>
    </row>
    <row r="417" spans="4:4" x14ac:dyDescent="0.3">
      <c r="D417" s="133"/>
    </row>
    <row r="418" spans="4:4" x14ac:dyDescent="0.3">
      <c r="D418" s="133"/>
    </row>
    <row r="419" spans="4:4" x14ac:dyDescent="0.3">
      <c r="D419" s="133"/>
    </row>
    <row r="420" spans="4:4" x14ac:dyDescent="0.3">
      <c r="D420" s="133"/>
    </row>
    <row r="421" spans="4:4" x14ac:dyDescent="0.3">
      <c r="D421" s="133"/>
    </row>
    <row r="422" spans="4:4" x14ac:dyDescent="0.3">
      <c r="D422" s="133"/>
    </row>
    <row r="423" spans="4:4" x14ac:dyDescent="0.3">
      <c r="D423" s="133"/>
    </row>
    <row r="424" spans="4:4" x14ac:dyDescent="0.3">
      <c r="D424" s="133"/>
    </row>
    <row r="425" spans="4:4" x14ac:dyDescent="0.3">
      <c r="D425" s="133"/>
    </row>
    <row r="426" spans="4:4" x14ac:dyDescent="0.3">
      <c r="D426" s="133"/>
    </row>
    <row r="427" spans="4:4" x14ac:dyDescent="0.3">
      <c r="D427" s="133"/>
    </row>
    <row r="428" spans="4:4" x14ac:dyDescent="0.3">
      <c r="D428" s="133"/>
    </row>
    <row r="429" spans="4:4" x14ac:dyDescent="0.3">
      <c r="D429" s="133"/>
    </row>
    <row r="430" spans="4:4" x14ac:dyDescent="0.3">
      <c r="D430" s="133"/>
    </row>
    <row r="431" spans="4:4" x14ac:dyDescent="0.3">
      <c r="D431" s="133"/>
    </row>
    <row r="432" spans="4:4" x14ac:dyDescent="0.3">
      <c r="D432" s="133"/>
    </row>
    <row r="433" spans="4:4" x14ac:dyDescent="0.3">
      <c r="D433" s="133"/>
    </row>
    <row r="434" spans="4:4" x14ac:dyDescent="0.3">
      <c r="D434" s="133"/>
    </row>
    <row r="435" spans="4:4" x14ac:dyDescent="0.3">
      <c r="D435" s="133"/>
    </row>
    <row r="436" spans="4:4" x14ac:dyDescent="0.3">
      <c r="D436" s="133"/>
    </row>
    <row r="437" spans="4:4" x14ac:dyDescent="0.3">
      <c r="D437" s="133"/>
    </row>
    <row r="438" spans="4:4" x14ac:dyDescent="0.3">
      <c r="D438" s="133"/>
    </row>
    <row r="439" spans="4:4" x14ac:dyDescent="0.3">
      <c r="D439" s="133"/>
    </row>
    <row r="440" spans="4:4" x14ac:dyDescent="0.3">
      <c r="D440" s="133"/>
    </row>
    <row r="441" spans="4:4" x14ac:dyDescent="0.3">
      <c r="D441" s="133"/>
    </row>
    <row r="442" spans="4:4" x14ac:dyDescent="0.3">
      <c r="D442" s="133"/>
    </row>
    <row r="443" spans="4:4" x14ac:dyDescent="0.3">
      <c r="D443" s="133"/>
    </row>
    <row r="444" spans="4:4" x14ac:dyDescent="0.3">
      <c r="D444" s="133"/>
    </row>
    <row r="445" spans="4:4" x14ac:dyDescent="0.3">
      <c r="D445" s="133"/>
    </row>
    <row r="446" spans="4:4" x14ac:dyDescent="0.3">
      <c r="D446" s="133"/>
    </row>
    <row r="447" spans="4:4" x14ac:dyDescent="0.3">
      <c r="D447" s="133"/>
    </row>
    <row r="448" spans="4:4" x14ac:dyDescent="0.3">
      <c r="D448" s="133"/>
    </row>
    <row r="449" spans="4:4" x14ac:dyDescent="0.3">
      <c r="D449" s="133"/>
    </row>
    <row r="450" spans="4:4" x14ac:dyDescent="0.3">
      <c r="D450" s="133"/>
    </row>
    <row r="451" spans="4:4" x14ac:dyDescent="0.3">
      <c r="D451" s="133"/>
    </row>
    <row r="452" spans="4:4" x14ac:dyDescent="0.3">
      <c r="D452" s="133"/>
    </row>
    <row r="453" spans="4:4" x14ac:dyDescent="0.3">
      <c r="D453" s="133"/>
    </row>
    <row r="454" spans="4:4" x14ac:dyDescent="0.3">
      <c r="D454" s="133"/>
    </row>
    <row r="455" spans="4:4" x14ac:dyDescent="0.3">
      <c r="D455" s="133"/>
    </row>
    <row r="456" spans="4:4" x14ac:dyDescent="0.3">
      <c r="D456" s="133"/>
    </row>
    <row r="457" spans="4:4" x14ac:dyDescent="0.3">
      <c r="D457" s="133"/>
    </row>
    <row r="458" spans="4:4" x14ac:dyDescent="0.3">
      <c r="D458" s="133"/>
    </row>
    <row r="459" spans="4:4" x14ac:dyDescent="0.3">
      <c r="D459" s="133"/>
    </row>
    <row r="460" spans="4:4" x14ac:dyDescent="0.3">
      <c r="D460" s="133"/>
    </row>
    <row r="461" spans="4:4" x14ac:dyDescent="0.3">
      <c r="D461" s="133"/>
    </row>
    <row r="462" spans="4:4" x14ac:dyDescent="0.3">
      <c r="D462" s="133"/>
    </row>
    <row r="463" spans="4:4" x14ac:dyDescent="0.3">
      <c r="D463" s="133"/>
    </row>
    <row r="464" spans="4:4" x14ac:dyDescent="0.3">
      <c r="D464" s="133"/>
    </row>
    <row r="465" spans="4:4" x14ac:dyDescent="0.3">
      <c r="D465" s="133"/>
    </row>
    <row r="466" spans="4:4" x14ac:dyDescent="0.3">
      <c r="D466" s="133"/>
    </row>
    <row r="467" spans="4:4" x14ac:dyDescent="0.3">
      <c r="D467" s="133"/>
    </row>
    <row r="468" spans="4:4" x14ac:dyDescent="0.3">
      <c r="D468" s="133"/>
    </row>
    <row r="469" spans="4:4" x14ac:dyDescent="0.3">
      <c r="D469" s="133"/>
    </row>
    <row r="470" spans="4:4" x14ac:dyDescent="0.3">
      <c r="D470" s="133"/>
    </row>
    <row r="471" spans="4:4" x14ac:dyDescent="0.3">
      <c r="D471" s="133"/>
    </row>
    <row r="472" spans="4:4" x14ac:dyDescent="0.3">
      <c r="D472" s="133"/>
    </row>
    <row r="473" spans="4:4" x14ac:dyDescent="0.3">
      <c r="D473" s="133"/>
    </row>
    <row r="474" spans="4:4" x14ac:dyDescent="0.3">
      <c r="D474" s="133"/>
    </row>
    <row r="475" spans="4:4" x14ac:dyDescent="0.3">
      <c r="D475" s="133"/>
    </row>
    <row r="476" spans="4:4" x14ac:dyDescent="0.3">
      <c r="D476" s="133"/>
    </row>
    <row r="477" spans="4:4" x14ac:dyDescent="0.3">
      <c r="D477" s="133"/>
    </row>
    <row r="478" spans="4:4" x14ac:dyDescent="0.3">
      <c r="D478" s="133"/>
    </row>
    <row r="479" spans="4:4" x14ac:dyDescent="0.3">
      <c r="D479" s="133"/>
    </row>
    <row r="480" spans="4:4" x14ac:dyDescent="0.3">
      <c r="D480" s="133"/>
    </row>
    <row r="481" spans="4:4" x14ac:dyDescent="0.3">
      <c r="D481" s="133"/>
    </row>
    <row r="482" spans="4:4" x14ac:dyDescent="0.3">
      <c r="D482" s="133"/>
    </row>
    <row r="483" spans="4:4" x14ac:dyDescent="0.3">
      <c r="D483" s="133"/>
    </row>
    <row r="484" spans="4:4" x14ac:dyDescent="0.3">
      <c r="D484" s="133"/>
    </row>
    <row r="485" spans="4:4" x14ac:dyDescent="0.3">
      <c r="D485" s="133"/>
    </row>
    <row r="486" spans="4:4" x14ac:dyDescent="0.3">
      <c r="D486" s="133"/>
    </row>
    <row r="487" spans="4:4" x14ac:dyDescent="0.3">
      <c r="D487" s="133"/>
    </row>
    <row r="488" spans="4:4" x14ac:dyDescent="0.3">
      <c r="D488" s="133"/>
    </row>
    <row r="489" spans="4:4" x14ac:dyDescent="0.3">
      <c r="D489" s="133"/>
    </row>
    <row r="490" spans="4:4" x14ac:dyDescent="0.3">
      <c r="D490" s="133"/>
    </row>
    <row r="491" spans="4:4" x14ac:dyDescent="0.3">
      <c r="D491" s="133"/>
    </row>
    <row r="492" spans="4:4" x14ac:dyDescent="0.3">
      <c r="D492" s="133"/>
    </row>
    <row r="493" spans="4:4" x14ac:dyDescent="0.3">
      <c r="D493" s="133"/>
    </row>
    <row r="494" spans="4:4" x14ac:dyDescent="0.3">
      <c r="D494" s="133"/>
    </row>
    <row r="495" spans="4:4" x14ac:dyDescent="0.3">
      <c r="D495" s="133"/>
    </row>
    <row r="496" spans="4:4" x14ac:dyDescent="0.3">
      <c r="D496" s="133"/>
    </row>
    <row r="497" spans="4:4" x14ac:dyDescent="0.3">
      <c r="D497" s="133"/>
    </row>
    <row r="498" spans="4:4" x14ac:dyDescent="0.3">
      <c r="D498" s="133"/>
    </row>
    <row r="499" spans="4:4" x14ac:dyDescent="0.3">
      <c r="D499" s="133"/>
    </row>
    <row r="500" spans="4:4" x14ac:dyDescent="0.3">
      <c r="D500" s="133"/>
    </row>
    <row r="501" spans="4:4" x14ac:dyDescent="0.3">
      <c r="D501" s="133"/>
    </row>
    <row r="502" spans="4:4" x14ac:dyDescent="0.3">
      <c r="D502" s="133"/>
    </row>
    <row r="503" spans="4:4" x14ac:dyDescent="0.3">
      <c r="D503" s="133"/>
    </row>
    <row r="504" spans="4:4" x14ac:dyDescent="0.3">
      <c r="D504" s="133"/>
    </row>
    <row r="505" spans="4:4" x14ac:dyDescent="0.3">
      <c r="D505" s="133"/>
    </row>
    <row r="506" spans="4:4" x14ac:dyDescent="0.3">
      <c r="D506" s="133"/>
    </row>
    <row r="507" spans="4:4" x14ac:dyDescent="0.3">
      <c r="D507" s="133"/>
    </row>
    <row r="508" spans="4:4" x14ac:dyDescent="0.3">
      <c r="D508" s="133"/>
    </row>
    <row r="509" spans="4:4" x14ac:dyDescent="0.3">
      <c r="D509" s="133"/>
    </row>
    <row r="510" spans="4:4" x14ac:dyDescent="0.3">
      <c r="D510" s="133"/>
    </row>
    <row r="511" spans="4:4" x14ac:dyDescent="0.3">
      <c r="D511" s="133"/>
    </row>
    <row r="512" spans="4:4" x14ac:dyDescent="0.3">
      <c r="D512" s="133"/>
    </row>
    <row r="513" spans="4:4" x14ac:dyDescent="0.3">
      <c r="D513" s="133"/>
    </row>
    <row r="514" spans="4:4" x14ac:dyDescent="0.3">
      <c r="D514" s="133"/>
    </row>
    <row r="515" spans="4:4" x14ac:dyDescent="0.3">
      <c r="D515" s="133"/>
    </row>
    <row r="516" spans="4:4" x14ac:dyDescent="0.3">
      <c r="D516" s="133"/>
    </row>
    <row r="517" spans="4:4" x14ac:dyDescent="0.3">
      <c r="D517" s="133"/>
    </row>
    <row r="518" spans="4:4" x14ac:dyDescent="0.3">
      <c r="D518" s="133"/>
    </row>
    <row r="519" spans="4:4" x14ac:dyDescent="0.3">
      <c r="D519" s="133"/>
    </row>
    <row r="520" spans="4:4" x14ac:dyDescent="0.3">
      <c r="D520" s="133"/>
    </row>
    <row r="521" spans="4:4" x14ac:dyDescent="0.3">
      <c r="D521" s="133"/>
    </row>
    <row r="522" spans="4:4" x14ac:dyDescent="0.3">
      <c r="D522" s="133"/>
    </row>
    <row r="523" spans="4:4" x14ac:dyDescent="0.3">
      <c r="D523" s="133"/>
    </row>
    <row r="524" spans="4:4" x14ac:dyDescent="0.3">
      <c r="D524" s="133"/>
    </row>
    <row r="525" spans="4:4" x14ac:dyDescent="0.3">
      <c r="D525" s="133"/>
    </row>
    <row r="526" spans="4:4" x14ac:dyDescent="0.3">
      <c r="D526" s="133"/>
    </row>
    <row r="527" spans="4:4" x14ac:dyDescent="0.3">
      <c r="D527" s="133"/>
    </row>
    <row r="528" spans="4:4" x14ac:dyDescent="0.3">
      <c r="D528" s="133"/>
    </row>
    <row r="529" spans="4:4" x14ac:dyDescent="0.3">
      <c r="D529" s="133"/>
    </row>
    <row r="530" spans="4:4" x14ac:dyDescent="0.3">
      <c r="D530" s="133"/>
    </row>
    <row r="531" spans="4:4" x14ac:dyDescent="0.3">
      <c r="D531" s="133"/>
    </row>
    <row r="532" spans="4:4" x14ac:dyDescent="0.3">
      <c r="D532" s="133"/>
    </row>
    <row r="533" spans="4:4" x14ac:dyDescent="0.3">
      <c r="D533" s="133"/>
    </row>
    <row r="534" spans="4:4" x14ac:dyDescent="0.3">
      <c r="D534" s="133"/>
    </row>
    <row r="535" spans="4:4" x14ac:dyDescent="0.3">
      <c r="D535" s="133"/>
    </row>
    <row r="536" spans="4:4" x14ac:dyDescent="0.3">
      <c r="D536" s="133"/>
    </row>
    <row r="537" spans="4:4" x14ac:dyDescent="0.3">
      <c r="D537" s="133"/>
    </row>
    <row r="538" spans="4:4" x14ac:dyDescent="0.3">
      <c r="D538" s="133"/>
    </row>
    <row r="539" spans="4:4" x14ac:dyDescent="0.3">
      <c r="D539" s="133"/>
    </row>
    <row r="540" spans="4:4" x14ac:dyDescent="0.3">
      <c r="D540" s="133"/>
    </row>
    <row r="541" spans="4:4" x14ac:dyDescent="0.3">
      <c r="D541" s="133"/>
    </row>
    <row r="542" spans="4:4" x14ac:dyDescent="0.3">
      <c r="D542" s="133"/>
    </row>
    <row r="543" spans="4:4" x14ac:dyDescent="0.3">
      <c r="D543" s="133"/>
    </row>
  </sheetData>
  <conditionalFormatting sqref="A1:M1048576">
    <cfRule type="expression" dxfId="166" priority="19" stopIfTrue="1">
      <formula>AND(($E1=0),NOT(ISBLANK($E1)))</formula>
    </cfRule>
  </conditionalFormatting>
  <pageMargins left="0.7" right="0.7" top="0.75" bottom="0.75" header="0.3" footer="0.3"/>
  <ignoredErrors>
    <ignoredError sqref="D40" numberStoredAsText="1"/>
  </ignoredErrors>
  <extLst>
    <ext xmlns:x14="http://schemas.microsoft.com/office/spreadsheetml/2009/9/main" uri="{78C0D931-6437-407d-A8EE-F0AAD7539E65}">
      <x14:conditionalFormattings>
        <x14:conditionalFormatting xmlns:xm="http://schemas.microsoft.com/office/excel/2006/main">
          <x14:cfRule type="expression" priority="1" id="{522B9B79-A293-446E-BD09-BAEDE5065918}">
            <xm:f>$K1=FilterSpecs!$F$13</xm:f>
            <x14:dxf>
              <font>
                <b/>
                <i val="0"/>
                <color theme="0"/>
              </font>
              <fill>
                <patternFill>
                  <bgColor theme="9" tint="-0.499984740745262"/>
                </patternFill>
              </fill>
            </x14:dxf>
          </x14:cfRule>
          <x14:cfRule type="expression" priority="2" id="{6F87E03C-BA00-42F1-B2E9-F05281497D35}">
            <xm:f>$K1=FilterSpecs!$F$12</xm:f>
            <x14:dxf>
              <font>
                <b/>
                <i val="0"/>
                <color theme="0"/>
              </font>
              <fill>
                <patternFill>
                  <bgColor rgb="FFFF4F4F"/>
                </patternFill>
              </fill>
            </x14:dxf>
          </x14:cfRule>
          <x14:cfRule type="expression" priority="18" id="{121C7119-C3C7-4BAE-96E8-F0F1DFA1876B}">
            <xm:f>$K1=FilterSpecs!$F$9</xm:f>
            <x14:dxf>
              <font>
                <b/>
                <i val="0"/>
                <color theme="0"/>
              </font>
              <fill>
                <patternFill>
                  <bgColor rgb="FFFF0000"/>
                </patternFill>
              </fill>
            </x14:dxf>
          </x14:cfRule>
          <x14:cfRule type="expression" priority="21" id="{2822D87F-0E65-403A-91E0-1A3CD53EE201}">
            <xm:f>$K1=FilterSpecs!$F$8</xm:f>
            <x14:dxf>
              <font>
                <b/>
                <i val="0"/>
                <color theme="0"/>
              </font>
              <fill>
                <patternFill>
                  <bgColor rgb="FFFFC000"/>
                </patternFill>
              </fill>
            </x14:dxf>
          </x14:cfRule>
          <x14:cfRule type="expression" priority="22" id="{968477E6-490D-49F9-BF66-6C2EEC3FD84D}">
            <xm:f>$K1=FilterSpecs!$F$7</xm:f>
            <x14:dxf>
              <font>
                <b/>
                <i val="0"/>
                <color theme="0"/>
              </font>
              <fill>
                <patternFill>
                  <bgColor rgb="FF00B0F0"/>
                </patternFill>
              </fill>
            </x14:dxf>
          </x14:cfRule>
          <x14:cfRule type="expression" priority="23" id="{ADE3BC77-1103-42A6-AE2C-C3516C6E8608}">
            <xm:f>$K1=FilterSpecs!$F$10</xm:f>
            <x14:dxf>
              <font>
                <b/>
                <i val="0"/>
                <color theme="0"/>
              </font>
              <fill>
                <patternFill>
                  <bgColor rgb="FF002060"/>
                </patternFill>
              </fill>
            </x14:dxf>
          </x14:cfRule>
          <xm:sqref>A1:M1048576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E7390-C7A4-4915-B52B-31F3C8D2B19A}">
  <sheetPr codeName="Sheet19"/>
  <dimension ref="C3:J18"/>
  <sheetViews>
    <sheetView workbookViewId="0">
      <selection activeCell="G17" sqref="G17"/>
    </sheetView>
  </sheetViews>
  <sheetFormatPr defaultRowHeight="14.4" x14ac:dyDescent="0.3"/>
  <sheetData>
    <row r="3" spans="3:10" x14ac:dyDescent="0.3">
      <c r="C3" s="12" t="s">
        <v>2547</v>
      </c>
    </row>
    <row r="11" spans="3:10" x14ac:dyDescent="0.3">
      <c r="F11" t="e">
        <f ca="1">CSVparse($C$3,F11)</f>
        <v>#NAME?</v>
      </c>
    </row>
    <row r="12" spans="3:10" ht="28.8" x14ac:dyDescent="0.3">
      <c r="F12" t="e">
        <f ca="1">CSVparse(C4,F12)</f>
        <v>#NAME?</v>
      </c>
      <c r="G12" t="e">
        <f ca="1">CSVitems(C3,",")</f>
        <v>#NAME?</v>
      </c>
      <c r="H12" t="e">
        <f t="shared" ref="H12:J12" ca="1" si="0">CSVitems(D3,",")</f>
        <v>#NAME?</v>
      </c>
      <c r="I12" t="e">
        <f t="shared" ca="1" si="0"/>
        <v>#NAME?</v>
      </c>
      <c r="J12" t="e">
        <f t="shared" ca="1" si="0"/>
        <v>#NAME?</v>
      </c>
    </row>
    <row r="13" spans="3:10" x14ac:dyDescent="0.3">
      <c r="F13" t="e">
        <f ca="1">CSVparse(C5,F13)</f>
        <v>#NAME?</v>
      </c>
      <c r="G13" t="e">
        <f t="shared" ref="G13:G15" ca="1" si="1">CSVitems(C4,",")</f>
        <v>#NAME?</v>
      </c>
    </row>
    <row r="14" spans="3:10" ht="28.8" x14ac:dyDescent="0.3">
      <c r="F14" t="e">
        <f ca="1">CSVparse(C6,F14)</f>
        <v>#NAME?</v>
      </c>
      <c r="G14" t="e">
        <f t="shared" ca="1" si="1"/>
        <v>#NAME?</v>
      </c>
    </row>
    <row r="15" spans="3:10" ht="28.8" x14ac:dyDescent="0.3">
      <c r="F15" t="e">
        <f ca="1">CSVparse(C7,F15)</f>
        <v>#NAME?</v>
      </c>
      <c r="G15" t="e">
        <f t="shared" ca="1" si="1"/>
        <v>#NAME?</v>
      </c>
    </row>
    <row r="16" spans="3:10" ht="28.8" x14ac:dyDescent="0.3">
      <c r="F16" t="e">
        <f t="shared" ref="F16:F17" ca="1" si="2">CSVparse(C8,F16)</f>
        <v>#NAME?</v>
      </c>
      <c r="G16" t="e">
        <f t="shared" ref="G16:G18" ca="1" si="3">CSVitems(C7,",")</f>
        <v>#NAME?</v>
      </c>
    </row>
    <row r="17" spans="6:7" ht="28.8" x14ac:dyDescent="0.3">
      <c r="F17" t="e">
        <f t="shared" ca="1" si="2"/>
        <v>#NAME?</v>
      </c>
      <c r="G17" t="e">
        <f t="shared" ca="1" si="3"/>
        <v>#NAME?</v>
      </c>
    </row>
    <row r="18" spans="6:7" x14ac:dyDescent="0.3">
      <c r="G18" t="e">
        <f t="shared" ca="1" si="3"/>
        <v>#NAME?</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43B09-89E6-490C-B9B5-AC888990A8FE}">
  <sheetPr codeName="Sheet14"/>
  <dimension ref="A1:L47"/>
  <sheetViews>
    <sheetView workbookViewId="0">
      <selection activeCell="H5" sqref="H5"/>
    </sheetView>
  </sheetViews>
  <sheetFormatPr defaultRowHeight="14.4" x14ac:dyDescent="0.3"/>
  <cols>
    <col min="1" max="1" width="33.109375" customWidth="1"/>
    <col min="2" max="2" width="27.77734375" bestFit="1" customWidth="1"/>
    <col min="3" max="3" width="9.6640625" bestFit="1" customWidth="1"/>
    <col min="5" max="5" width="8.77734375" customWidth="1"/>
    <col min="6" max="7" width="8.88671875" hidden="1" customWidth="1"/>
    <col min="8" max="8" width="52.88671875" customWidth="1"/>
    <col min="9" max="9" width="8.88671875" hidden="1" customWidth="1"/>
    <col min="11" max="11" width="83.6640625" customWidth="1"/>
    <col min="12" max="12" width="16.5546875" customWidth="1"/>
  </cols>
  <sheetData>
    <row r="1" spans="2:12" x14ac:dyDescent="0.3">
      <c r="B1" s="49" t="s">
        <v>163</v>
      </c>
      <c r="C1" t="s">
        <v>7</v>
      </c>
      <c r="D1" s="12" t="s">
        <v>25</v>
      </c>
      <c r="E1" s="12" t="s">
        <v>26</v>
      </c>
      <c r="F1" s="12" t="s">
        <v>27</v>
      </c>
      <c r="G1" s="12" t="s">
        <v>28</v>
      </c>
      <c r="H1" s="12" t="s">
        <v>29</v>
      </c>
      <c r="I1" s="12" t="s">
        <v>30</v>
      </c>
      <c r="J1" s="12" t="s">
        <v>31</v>
      </c>
    </row>
    <row r="2" spans="2:12" x14ac:dyDescent="0.3">
      <c r="B2" t="s">
        <v>1292</v>
      </c>
      <c r="C2" t="s">
        <v>8</v>
      </c>
      <c r="D2" s="12" t="s">
        <v>1201</v>
      </c>
      <c r="E2" s="12">
        <v>1</v>
      </c>
      <c r="F2" s="12" t="s">
        <v>1202</v>
      </c>
      <c r="G2" s="12" t="s">
        <v>1203</v>
      </c>
      <c r="H2" s="12" t="s">
        <v>1204</v>
      </c>
      <c r="I2" s="12">
        <v>1</v>
      </c>
      <c r="J2" s="12">
        <v>59.95</v>
      </c>
      <c r="L2">
        <f>E2*J2</f>
        <v>59.95</v>
      </c>
    </row>
    <row r="3" spans="2:12" x14ac:dyDescent="0.3">
      <c r="B3" t="s">
        <v>1292</v>
      </c>
      <c r="C3" t="s">
        <v>8</v>
      </c>
      <c r="D3" s="12" t="s">
        <v>1193</v>
      </c>
      <c r="E3" s="12">
        <v>1</v>
      </c>
      <c r="F3" s="12" t="s">
        <v>1194</v>
      </c>
      <c r="G3" s="12" t="s">
        <v>1195</v>
      </c>
      <c r="H3" s="12" t="s">
        <v>1196</v>
      </c>
      <c r="I3" s="12">
        <v>1</v>
      </c>
      <c r="J3" s="12">
        <v>29.95</v>
      </c>
      <c r="L3">
        <f t="shared" ref="L3:L27" si="0">E3*J3</f>
        <v>29.95</v>
      </c>
    </row>
    <row r="4" spans="2:12" x14ac:dyDescent="0.3">
      <c r="B4" t="s">
        <v>1292</v>
      </c>
      <c r="C4" t="s">
        <v>8</v>
      </c>
      <c r="D4" s="12" t="s">
        <v>1216</v>
      </c>
      <c r="E4" s="12">
        <v>1</v>
      </c>
      <c r="F4" s="12" t="s">
        <v>1217</v>
      </c>
      <c r="G4" s="12" t="s">
        <v>1218</v>
      </c>
      <c r="H4" s="12" t="s">
        <v>1219</v>
      </c>
      <c r="I4" s="12">
        <v>1</v>
      </c>
      <c r="J4" s="12">
        <v>5.95</v>
      </c>
      <c r="L4">
        <f t="shared" si="0"/>
        <v>5.95</v>
      </c>
    </row>
    <row r="5" spans="2:12" x14ac:dyDescent="0.3">
      <c r="B5" t="s">
        <v>1292</v>
      </c>
      <c r="C5" t="s">
        <v>8</v>
      </c>
      <c r="D5" s="12" t="s">
        <v>1220</v>
      </c>
      <c r="E5" s="12">
        <v>1</v>
      </c>
      <c r="F5" s="12" t="s">
        <v>1221</v>
      </c>
      <c r="G5" s="12" t="s">
        <v>1222</v>
      </c>
      <c r="H5" s="12" t="s">
        <v>1223</v>
      </c>
      <c r="I5" s="12">
        <v>1</v>
      </c>
      <c r="J5" s="12">
        <v>14.95</v>
      </c>
      <c r="L5">
        <f t="shared" si="0"/>
        <v>14.95</v>
      </c>
    </row>
    <row r="6" spans="2:12" x14ac:dyDescent="0.3">
      <c r="B6" t="s">
        <v>1292</v>
      </c>
      <c r="C6" t="s">
        <v>8</v>
      </c>
      <c r="D6" s="12" t="s">
        <v>1224</v>
      </c>
      <c r="E6" s="12">
        <v>1</v>
      </c>
      <c r="F6" s="12" t="s">
        <v>1225</v>
      </c>
      <c r="G6" s="12" t="s">
        <v>1226</v>
      </c>
      <c r="H6" s="12" t="s">
        <v>1227</v>
      </c>
      <c r="I6" s="12">
        <v>1</v>
      </c>
      <c r="J6" s="12">
        <v>89.95</v>
      </c>
      <c r="L6">
        <f t="shared" si="0"/>
        <v>89.95</v>
      </c>
    </row>
    <row r="7" spans="2:12" x14ac:dyDescent="0.3">
      <c r="B7" t="s">
        <v>1292</v>
      </c>
      <c r="C7" t="s">
        <v>8</v>
      </c>
      <c r="D7" s="12" t="s">
        <v>1280</v>
      </c>
      <c r="E7" s="12">
        <v>1</v>
      </c>
      <c r="F7" s="12" t="s">
        <v>1281</v>
      </c>
      <c r="G7" s="12" t="s">
        <v>1282</v>
      </c>
      <c r="H7" s="12" t="s">
        <v>1283</v>
      </c>
      <c r="I7" s="12">
        <v>1</v>
      </c>
      <c r="J7" s="12">
        <v>0.95</v>
      </c>
      <c r="L7">
        <f t="shared" si="0"/>
        <v>0.95</v>
      </c>
    </row>
    <row r="8" spans="2:12" x14ac:dyDescent="0.3">
      <c r="B8" t="s">
        <v>1292</v>
      </c>
      <c r="C8" t="s">
        <v>8</v>
      </c>
      <c r="D8" s="12" t="s">
        <v>1276</v>
      </c>
      <c r="E8" s="12">
        <v>1</v>
      </c>
      <c r="F8" s="12" t="s">
        <v>1277</v>
      </c>
      <c r="G8" s="12" t="s">
        <v>1278</v>
      </c>
      <c r="H8" s="12" t="s">
        <v>1279</v>
      </c>
      <c r="I8" s="12">
        <v>1</v>
      </c>
      <c r="J8" s="12">
        <v>0.25</v>
      </c>
      <c r="L8">
        <f t="shared" si="0"/>
        <v>0.25</v>
      </c>
    </row>
    <row r="9" spans="2:12" x14ac:dyDescent="0.3">
      <c r="B9" t="s">
        <v>1292</v>
      </c>
      <c r="C9" t="s">
        <v>8</v>
      </c>
      <c r="D9" s="12" t="s">
        <v>1288</v>
      </c>
      <c r="E9" s="12">
        <v>1</v>
      </c>
      <c r="F9" s="12" t="s">
        <v>1289</v>
      </c>
      <c r="G9" s="12" t="s">
        <v>1290</v>
      </c>
      <c r="H9" s="12" t="s">
        <v>1291</v>
      </c>
      <c r="I9" s="12">
        <v>1</v>
      </c>
      <c r="J9" s="12">
        <v>1.5</v>
      </c>
      <c r="L9">
        <f t="shared" si="0"/>
        <v>1.5</v>
      </c>
    </row>
    <row r="10" spans="2:12" x14ac:dyDescent="0.3">
      <c r="B10" t="s">
        <v>1292</v>
      </c>
      <c r="C10" t="s">
        <v>8</v>
      </c>
      <c r="D10" s="12" t="s">
        <v>1284</v>
      </c>
      <c r="E10" s="12">
        <v>1</v>
      </c>
      <c r="F10" s="12" t="s">
        <v>1285</v>
      </c>
      <c r="G10" s="12" t="s">
        <v>1286</v>
      </c>
      <c r="H10" s="12" t="s">
        <v>1287</v>
      </c>
      <c r="I10" s="12">
        <v>1</v>
      </c>
      <c r="J10" s="12">
        <v>0.1</v>
      </c>
      <c r="L10">
        <f t="shared" si="0"/>
        <v>0.1</v>
      </c>
    </row>
    <row r="11" spans="2:12" x14ac:dyDescent="0.3">
      <c r="B11" t="s">
        <v>1292</v>
      </c>
      <c r="C11" t="s">
        <v>8</v>
      </c>
      <c r="D11" s="12" t="s">
        <v>1232</v>
      </c>
      <c r="E11" s="12">
        <v>1</v>
      </c>
      <c r="F11" s="12" t="s">
        <v>1233</v>
      </c>
      <c r="G11" s="12" t="s">
        <v>1234</v>
      </c>
      <c r="H11" s="12" t="s">
        <v>1235</v>
      </c>
      <c r="I11" s="12">
        <v>1</v>
      </c>
      <c r="J11" s="12">
        <v>15.95</v>
      </c>
      <c r="L11">
        <f t="shared" si="0"/>
        <v>15.95</v>
      </c>
    </row>
    <row r="12" spans="2:12" x14ac:dyDescent="0.3">
      <c r="B12" t="s">
        <v>1292</v>
      </c>
      <c r="C12" t="s">
        <v>8</v>
      </c>
      <c r="D12" s="12" t="s">
        <v>1236</v>
      </c>
      <c r="E12" s="12">
        <v>1</v>
      </c>
      <c r="F12" s="12" t="s">
        <v>1237</v>
      </c>
      <c r="G12" s="12" t="s">
        <v>1238</v>
      </c>
      <c r="H12" s="12" t="s">
        <v>1239</v>
      </c>
      <c r="I12" s="12"/>
      <c r="J12" s="12">
        <v>14.95</v>
      </c>
      <c r="L12">
        <f t="shared" si="0"/>
        <v>14.95</v>
      </c>
    </row>
    <row r="13" spans="2:12" x14ac:dyDescent="0.3">
      <c r="B13" t="s">
        <v>1292</v>
      </c>
      <c r="C13" t="s">
        <v>8</v>
      </c>
      <c r="D13" s="12" t="s">
        <v>1212</v>
      </c>
      <c r="E13" s="12">
        <v>1</v>
      </c>
      <c r="F13" s="12" t="s">
        <v>1213</v>
      </c>
      <c r="G13" s="12" t="s">
        <v>1214</v>
      </c>
      <c r="H13" s="12" t="s">
        <v>1215</v>
      </c>
      <c r="I13" s="12"/>
      <c r="J13" s="12">
        <v>24.95</v>
      </c>
      <c r="L13">
        <f t="shared" si="0"/>
        <v>24.95</v>
      </c>
    </row>
    <row r="14" spans="2:12" x14ac:dyDescent="0.3">
      <c r="B14" t="s">
        <v>1292</v>
      </c>
      <c r="C14" t="s">
        <v>8</v>
      </c>
      <c r="D14" s="12" t="s">
        <v>1252</v>
      </c>
      <c r="E14" s="12">
        <v>1</v>
      </c>
      <c r="F14" s="12" t="s">
        <v>1253</v>
      </c>
      <c r="G14" s="12" t="s">
        <v>1254</v>
      </c>
      <c r="H14" s="12" t="s">
        <v>1255</v>
      </c>
      <c r="I14" s="12"/>
      <c r="J14" s="12">
        <v>9.9499999999999993</v>
      </c>
      <c r="L14">
        <f t="shared" si="0"/>
        <v>9.9499999999999993</v>
      </c>
    </row>
    <row r="15" spans="2:12" x14ac:dyDescent="0.3">
      <c r="B15" t="s">
        <v>1292</v>
      </c>
      <c r="C15" t="s">
        <v>8</v>
      </c>
      <c r="D15" s="12" t="s">
        <v>1228</v>
      </c>
      <c r="E15" s="12">
        <v>1</v>
      </c>
      <c r="F15" s="12" t="s">
        <v>1229</v>
      </c>
      <c r="G15" s="12" t="s">
        <v>1230</v>
      </c>
      <c r="H15" s="12" t="s">
        <v>1231</v>
      </c>
      <c r="I15" s="12">
        <v>1</v>
      </c>
      <c r="J15" s="12">
        <v>19.95</v>
      </c>
      <c r="L15">
        <f t="shared" si="0"/>
        <v>19.95</v>
      </c>
    </row>
    <row r="16" spans="2:12" x14ac:dyDescent="0.3">
      <c r="B16" t="s">
        <v>1292</v>
      </c>
      <c r="C16" t="s">
        <v>8</v>
      </c>
      <c r="D16" s="12" t="s">
        <v>1449</v>
      </c>
      <c r="E16" s="12">
        <v>1</v>
      </c>
      <c r="F16" s="12" t="s">
        <v>1450</v>
      </c>
      <c r="G16" s="12" t="s">
        <v>1451</v>
      </c>
      <c r="H16" s="12" t="s">
        <v>1452</v>
      </c>
      <c r="I16" s="12">
        <v>1</v>
      </c>
      <c r="J16" s="12">
        <v>1.95</v>
      </c>
      <c r="L16">
        <f t="shared" si="0"/>
        <v>1.95</v>
      </c>
    </row>
    <row r="17" spans="2:12" x14ac:dyDescent="0.3">
      <c r="B17" t="s">
        <v>1292</v>
      </c>
      <c r="C17" t="s">
        <v>8</v>
      </c>
      <c r="D17" s="12" t="s">
        <v>1453</v>
      </c>
      <c r="E17" s="12">
        <v>1</v>
      </c>
      <c r="F17" s="12" t="s">
        <v>1454</v>
      </c>
      <c r="G17" s="12" t="s">
        <v>1455</v>
      </c>
      <c r="H17" s="12" t="s">
        <v>1456</v>
      </c>
      <c r="I17" s="12">
        <v>1</v>
      </c>
      <c r="J17" s="12">
        <v>1.95</v>
      </c>
      <c r="L17">
        <f t="shared" si="0"/>
        <v>1.95</v>
      </c>
    </row>
    <row r="18" spans="2:12" x14ac:dyDescent="0.3">
      <c r="B18" t="s">
        <v>1292</v>
      </c>
      <c r="C18" t="s">
        <v>8</v>
      </c>
      <c r="D18" s="12" t="s">
        <v>1481</v>
      </c>
      <c r="E18" s="12">
        <v>1</v>
      </c>
      <c r="F18" s="12" t="s">
        <v>1482</v>
      </c>
      <c r="G18" s="12" t="s">
        <v>1483</v>
      </c>
      <c r="H18" s="12" t="s">
        <v>1484</v>
      </c>
      <c r="I18" s="12">
        <v>1</v>
      </c>
      <c r="J18" s="12">
        <v>1.95</v>
      </c>
      <c r="L18">
        <f t="shared" si="0"/>
        <v>1.95</v>
      </c>
    </row>
    <row r="19" spans="2:12" x14ac:dyDescent="0.3">
      <c r="B19" t="s">
        <v>1292</v>
      </c>
      <c r="C19" t="s">
        <v>8</v>
      </c>
      <c r="D19" s="12" t="s">
        <v>1457</v>
      </c>
      <c r="E19" s="12">
        <v>1</v>
      </c>
      <c r="F19" s="12" t="s">
        <v>1458</v>
      </c>
      <c r="G19" s="12" t="s">
        <v>1459</v>
      </c>
      <c r="H19" s="12" t="s">
        <v>1460</v>
      </c>
      <c r="I19" s="12">
        <v>1</v>
      </c>
      <c r="J19" s="12">
        <v>2.95</v>
      </c>
      <c r="L19">
        <f t="shared" si="0"/>
        <v>2.95</v>
      </c>
    </row>
    <row r="20" spans="2:12" x14ac:dyDescent="0.3">
      <c r="B20" t="s">
        <v>1292</v>
      </c>
      <c r="C20" t="s">
        <v>8</v>
      </c>
      <c r="D20" s="12" t="s">
        <v>1469</v>
      </c>
      <c r="E20" s="12">
        <v>1</v>
      </c>
      <c r="F20" s="12" t="s">
        <v>1470</v>
      </c>
      <c r="G20" s="12" t="s">
        <v>1471</v>
      </c>
      <c r="H20" s="12" t="s">
        <v>1472</v>
      </c>
      <c r="I20" s="12">
        <v>1</v>
      </c>
      <c r="J20" s="12">
        <v>2.95</v>
      </c>
      <c r="L20">
        <f t="shared" si="0"/>
        <v>2.95</v>
      </c>
    </row>
    <row r="21" spans="2:12" x14ac:dyDescent="0.3">
      <c r="B21" t="s">
        <v>1292</v>
      </c>
      <c r="C21" t="s">
        <v>8</v>
      </c>
      <c r="D21" s="12" t="s">
        <v>1465</v>
      </c>
      <c r="E21" s="12">
        <v>0</v>
      </c>
      <c r="F21" s="12" t="s">
        <v>1466</v>
      </c>
      <c r="G21" s="12" t="s">
        <v>1467</v>
      </c>
      <c r="H21" s="12" t="s">
        <v>1468</v>
      </c>
      <c r="I21" s="12">
        <v>1</v>
      </c>
      <c r="J21" s="12">
        <v>2.95</v>
      </c>
      <c r="L21">
        <f t="shared" si="0"/>
        <v>0</v>
      </c>
    </row>
    <row r="22" spans="2:12" x14ac:dyDescent="0.3">
      <c r="B22" t="s">
        <v>1292</v>
      </c>
      <c r="C22" t="s">
        <v>8</v>
      </c>
      <c r="D22" s="12" t="s">
        <v>1461</v>
      </c>
      <c r="E22" s="12">
        <v>1</v>
      </c>
      <c r="F22" s="12" t="s">
        <v>1462</v>
      </c>
      <c r="G22" s="12" t="s">
        <v>1463</v>
      </c>
      <c r="H22" s="12" t="s">
        <v>1464</v>
      </c>
      <c r="I22" s="12">
        <v>1</v>
      </c>
      <c r="J22" s="12">
        <v>3.95</v>
      </c>
      <c r="L22">
        <f t="shared" si="0"/>
        <v>3.95</v>
      </c>
    </row>
    <row r="23" spans="2:12" x14ac:dyDescent="0.3">
      <c r="B23" t="s">
        <v>1292</v>
      </c>
      <c r="C23" t="s">
        <v>8</v>
      </c>
      <c r="D23" s="12" t="s">
        <v>1485</v>
      </c>
      <c r="E23" s="12">
        <v>0</v>
      </c>
      <c r="F23" s="12" t="s">
        <v>1486</v>
      </c>
      <c r="G23" s="12" t="s">
        <v>1487</v>
      </c>
      <c r="H23" s="12" t="s">
        <v>1488</v>
      </c>
      <c r="I23" s="12">
        <v>1</v>
      </c>
      <c r="J23" s="12">
        <v>3.95</v>
      </c>
      <c r="L23">
        <f t="shared" si="0"/>
        <v>0</v>
      </c>
    </row>
    <row r="24" spans="2:12" x14ac:dyDescent="0.3">
      <c r="B24" t="s">
        <v>1292</v>
      </c>
      <c r="C24" t="s">
        <v>8</v>
      </c>
      <c r="D24" s="12" t="s">
        <v>1477</v>
      </c>
      <c r="E24" s="12">
        <v>1</v>
      </c>
      <c r="F24" s="12" t="s">
        <v>1478</v>
      </c>
      <c r="G24" s="12" t="s">
        <v>1479</v>
      </c>
      <c r="H24" s="12" t="s">
        <v>1480</v>
      </c>
      <c r="I24" s="12">
        <v>1</v>
      </c>
      <c r="J24" s="12">
        <v>3.95</v>
      </c>
      <c r="L24">
        <f t="shared" si="0"/>
        <v>3.95</v>
      </c>
    </row>
    <row r="25" spans="2:12" x14ac:dyDescent="0.3">
      <c r="B25" t="s">
        <v>1292</v>
      </c>
      <c r="C25" t="s">
        <v>8</v>
      </c>
      <c r="D25" s="12" t="s">
        <v>1473</v>
      </c>
      <c r="E25" s="12">
        <v>1</v>
      </c>
      <c r="F25" s="12" t="s">
        <v>1474</v>
      </c>
      <c r="G25" s="12" t="s">
        <v>1475</v>
      </c>
      <c r="H25" s="12" t="s">
        <v>1476</v>
      </c>
      <c r="I25" s="12">
        <v>1</v>
      </c>
      <c r="J25" s="12">
        <v>3.95</v>
      </c>
      <c r="L25">
        <f t="shared" si="0"/>
        <v>3.95</v>
      </c>
    </row>
    <row r="26" spans="2:12" x14ac:dyDescent="0.3">
      <c r="B26" t="s">
        <v>1502</v>
      </c>
      <c r="C26" t="s">
        <v>8</v>
      </c>
      <c r="D26" s="12" t="s">
        <v>1490</v>
      </c>
      <c r="E26" s="12">
        <v>1</v>
      </c>
      <c r="F26" s="12" t="s">
        <v>1491</v>
      </c>
      <c r="G26" s="12" t="s">
        <v>1492</v>
      </c>
      <c r="H26" s="12" t="s">
        <v>1493</v>
      </c>
      <c r="I26" s="12">
        <v>1</v>
      </c>
      <c r="J26" s="12">
        <v>49.95</v>
      </c>
      <c r="L26">
        <f t="shared" si="0"/>
        <v>49.95</v>
      </c>
    </row>
    <row r="27" spans="2:12" x14ac:dyDescent="0.3">
      <c r="B27" t="s">
        <v>1502</v>
      </c>
      <c r="C27" t="s">
        <v>8</v>
      </c>
      <c r="D27" s="12" t="s">
        <v>1494</v>
      </c>
      <c r="E27" s="12">
        <v>1</v>
      </c>
      <c r="F27" s="12" t="s">
        <v>1495</v>
      </c>
      <c r="G27" s="12" t="s">
        <v>1496</v>
      </c>
      <c r="H27" s="12" t="s">
        <v>1497</v>
      </c>
      <c r="I27" s="12">
        <v>1</v>
      </c>
      <c r="J27" s="12">
        <v>44.95</v>
      </c>
      <c r="L27">
        <f t="shared" si="0"/>
        <v>44.95</v>
      </c>
    </row>
    <row r="28" spans="2:12" x14ac:dyDescent="0.3">
      <c r="B28">
        <f>COUNTA(B2:B25)</f>
        <v>24</v>
      </c>
      <c r="E28">
        <f>SUM(E2:E27)</f>
        <v>24</v>
      </c>
      <c r="J28">
        <f>AVERAGE(J2:J27)</f>
        <v>15.949999999999992</v>
      </c>
      <c r="L28">
        <f>SUM(L2:L27)</f>
        <v>407.79999999999984</v>
      </c>
    </row>
    <row r="30" spans="2:12" x14ac:dyDescent="0.3">
      <c r="C30" t="s">
        <v>8</v>
      </c>
      <c r="D30" s="12" t="s">
        <v>1739</v>
      </c>
      <c r="E30" s="12">
        <v>1</v>
      </c>
      <c r="F30" s="12" t="s">
        <v>1740</v>
      </c>
      <c r="G30" s="12" t="s">
        <v>1741</v>
      </c>
      <c r="H30" s="12" t="s">
        <v>1742</v>
      </c>
      <c r="I30" s="12">
        <v>1</v>
      </c>
      <c r="J30" s="12">
        <v>45</v>
      </c>
    </row>
    <row r="31" spans="2:12" x14ac:dyDescent="0.3">
      <c r="C31" t="s">
        <v>8</v>
      </c>
      <c r="D31" s="12" t="s">
        <v>1795</v>
      </c>
      <c r="E31" s="12">
        <v>1</v>
      </c>
      <c r="F31" s="12" t="s">
        <v>1796</v>
      </c>
      <c r="G31" s="12" t="s">
        <v>1797</v>
      </c>
      <c r="H31" s="12" t="s">
        <v>1798</v>
      </c>
      <c r="I31" s="12">
        <v>1</v>
      </c>
      <c r="J31" s="12">
        <v>29.95</v>
      </c>
    </row>
    <row r="32" spans="2:12" x14ac:dyDescent="0.3">
      <c r="C32" t="s">
        <v>8</v>
      </c>
      <c r="D32" s="12" t="s">
        <v>1859</v>
      </c>
      <c r="E32" s="12">
        <v>1</v>
      </c>
      <c r="F32" s="12" t="s">
        <v>1860</v>
      </c>
      <c r="G32" s="12" t="s">
        <v>1861</v>
      </c>
      <c r="H32" s="12" t="s">
        <v>1862</v>
      </c>
      <c r="I32" s="12">
        <v>1</v>
      </c>
      <c r="J32" s="12">
        <v>2.95</v>
      </c>
    </row>
    <row r="33" spans="1:11" x14ac:dyDescent="0.3">
      <c r="C33" t="s">
        <v>8</v>
      </c>
      <c r="D33" s="12" t="s">
        <v>1799</v>
      </c>
      <c r="E33" s="12">
        <v>1</v>
      </c>
      <c r="F33" s="12" t="s">
        <v>1800</v>
      </c>
      <c r="G33" s="12" t="s">
        <v>1801</v>
      </c>
      <c r="H33" s="12" t="s">
        <v>1802</v>
      </c>
      <c r="I33" s="12">
        <v>1</v>
      </c>
      <c r="J33" s="12">
        <v>0.95</v>
      </c>
    </row>
    <row r="34" spans="1:11" x14ac:dyDescent="0.3">
      <c r="C34" t="s">
        <v>8</v>
      </c>
      <c r="D34" s="12" t="s">
        <v>1863</v>
      </c>
      <c r="E34" s="12">
        <v>1</v>
      </c>
      <c r="F34" s="12" t="s">
        <v>1864</v>
      </c>
      <c r="G34" s="12" t="s">
        <v>1865</v>
      </c>
      <c r="H34" s="12" t="s">
        <v>1866</v>
      </c>
      <c r="I34" s="12"/>
      <c r="J34" s="12">
        <v>3.95</v>
      </c>
    </row>
    <row r="35" spans="1:11" x14ac:dyDescent="0.3">
      <c r="C35" t="s">
        <v>8</v>
      </c>
      <c r="D35" s="12" t="s">
        <v>1867</v>
      </c>
      <c r="E35" s="12">
        <v>1</v>
      </c>
      <c r="F35" s="12" t="s">
        <v>1868</v>
      </c>
      <c r="G35" s="12" t="s">
        <v>1869</v>
      </c>
      <c r="H35" s="12" t="s">
        <v>1870</v>
      </c>
      <c r="I35" s="12"/>
      <c r="J35" s="12">
        <v>4.95</v>
      </c>
    </row>
    <row r="36" spans="1:11" x14ac:dyDescent="0.3">
      <c r="C36" t="s">
        <v>8</v>
      </c>
      <c r="D36" s="12" t="s">
        <v>1871</v>
      </c>
      <c r="E36" s="12">
        <v>1</v>
      </c>
      <c r="F36" s="12" t="s">
        <v>1872</v>
      </c>
      <c r="G36" s="12" t="s">
        <v>1873</v>
      </c>
      <c r="H36" s="12" t="s">
        <v>1874</v>
      </c>
      <c r="I36" s="12">
        <v>1</v>
      </c>
      <c r="J36" s="12">
        <v>14.95</v>
      </c>
    </row>
    <row r="37" spans="1:11" x14ac:dyDescent="0.3">
      <c r="C37" t="s">
        <v>8</v>
      </c>
      <c r="D37" s="12" t="s">
        <v>1875</v>
      </c>
      <c r="E37" s="12">
        <v>1</v>
      </c>
      <c r="F37" s="12" t="s">
        <v>1876</v>
      </c>
      <c r="G37" s="12" t="s">
        <v>1877</v>
      </c>
      <c r="H37" s="12" t="s">
        <v>1878</v>
      </c>
      <c r="I37" s="12"/>
      <c r="J37" s="12">
        <v>4.95</v>
      </c>
    </row>
    <row r="38" spans="1:11" x14ac:dyDescent="0.3">
      <c r="C38" t="s">
        <v>8</v>
      </c>
      <c r="D38" s="12" t="s">
        <v>1879</v>
      </c>
      <c r="E38" s="12">
        <v>1</v>
      </c>
      <c r="F38" s="12" t="s">
        <v>1880</v>
      </c>
      <c r="G38" s="12" t="s">
        <v>1881</v>
      </c>
      <c r="H38" s="12" t="s">
        <v>1882</v>
      </c>
      <c r="I38" s="12"/>
      <c r="J38" s="12">
        <v>27.95</v>
      </c>
    </row>
    <row r="39" spans="1:11" x14ac:dyDescent="0.3">
      <c r="A39" t="s">
        <v>897</v>
      </c>
      <c r="B39" t="s">
        <v>885</v>
      </c>
      <c r="C39" t="s">
        <v>8</v>
      </c>
      <c r="D39" s="12" t="s">
        <v>1579</v>
      </c>
      <c r="E39" s="12">
        <v>0</v>
      </c>
      <c r="F39" s="12" t="s">
        <v>1580</v>
      </c>
      <c r="G39" s="12" t="s">
        <v>1581</v>
      </c>
      <c r="H39" s="12" t="s">
        <v>1582</v>
      </c>
      <c r="I39" s="12">
        <v>1</v>
      </c>
      <c r="J39" s="12">
        <v>0.35</v>
      </c>
      <c r="K39">
        <f>E39*J39</f>
        <v>0</v>
      </c>
    </row>
    <row r="40" spans="1:11" x14ac:dyDescent="0.3">
      <c r="A40" t="s">
        <v>897</v>
      </c>
      <c r="B40" t="s">
        <v>885</v>
      </c>
      <c r="C40" t="s">
        <v>8</v>
      </c>
      <c r="D40" s="12" t="s">
        <v>1551</v>
      </c>
      <c r="E40" s="12">
        <v>0</v>
      </c>
      <c r="F40" s="12" t="s">
        <v>1552</v>
      </c>
      <c r="G40" s="12" t="s">
        <v>1553</v>
      </c>
      <c r="H40" s="12" t="s">
        <v>1554</v>
      </c>
      <c r="I40" s="12">
        <v>1</v>
      </c>
      <c r="J40" s="12">
        <v>0.35</v>
      </c>
      <c r="K40">
        <f>E40*J40</f>
        <v>0</v>
      </c>
    </row>
    <row r="47" spans="1:11" x14ac:dyDescent="0.3">
      <c r="D47" s="12"/>
      <c r="E47" s="12"/>
      <c r="F47" s="12"/>
      <c r="G47" s="12"/>
      <c r="H47" s="12"/>
      <c r="I47" s="12"/>
      <c r="J47" s="1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5B111-5FD6-45FF-92FB-19E5A75AE5C7}">
  <sheetPr codeName="Sheet6"/>
  <dimension ref="A1:W167"/>
  <sheetViews>
    <sheetView topLeftCell="A13" zoomScale="115" zoomScaleNormal="115" workbookViewId="0">
      <selection activeCell="B15" sqref="B15"/>
    </sheetView>
  </sheetViews>
  <sheetFormatPr defaultRowHeight="14.4" x14ac:dyDescent="0.3"/>
  <cols>
    <col min="1" max="1" width="19.44140625" customWidth="1"/>
    <col min="2" max="2" width="69.77734375" customWidth="1"/>
    <col min="3" max="3" width="6.44140625" customWidth="1"/>
    <col min="4" max="4" width="13" bestFit="1" customWidth="1"/>
    <col min="5" max="5" width="8" customWidth="1"/>
    <col min="6" max="6" width="14.88671875" bestFit="1" customWidth="1"/>
    <col min="7" max="7" width="11.44140625" bestFit="1" customWidth="1"/>
    <col min="8" max="8" width="10.5546875" customWidth="1"/>
    <col min="10" max="10" width="12.21875" customWidth="1"/>
    <col min="11" max="11" width="103.33203125" customWidth="1"/>
    <col min="12" max="15" width="11.33203125" customWidth="1"/>
    <col min="16" max="23" width="12.33203125" customWidth="1"/>
  </cols>
  <sheetData>
    <row r="1" spans="1:23" ht="19.8" customHeight="1" x14ac:dyDescent="0.3">
      <c r="A1" s="78" t="s">
        <v>994</v>
      </c>
      <c r="B1" s="78" t="b">
        <v>0</v>
      </c>
      <c r="C1" s="78" t="s">
        <v>1955</v>
      </c>
      <c r="D1" s="167" t="s">
        <v>11</v>
      </c>
      <c r="E1" s="167"/>
      <c r="F1" s="167"/>
      <c r="G1" s="167"/>
      <c r="H1" s="79"/>
      <c r="I1" s="79"/>
      <c r="J1" s="79"/>
      <c r="K1" s="79"/>
      <c r="L1" s="79"/>
      <c r="M1" s="79"/>
      <c r="N1" s="79"/>
      <c r="O1" s="79"/>
      <c r="P1" s="79"/>
      <c r="Q1" s="79"/>
      <c r="R1" s="79"/>
      <c r="S1" s="79"/>
      <c r="T1" s="79"/>
      <c r="U1" s="79"/>
      <c r="V1" s="79"/>
      <c r="W1" s="79"/>
    </row>
    <row r="2" spans="1:23" x14ac:dyDescent="0.3">
      <c r="A2" t="s">
        <v>893</v>
      </c>
      <c r="B2" t="s">
        <v>163</v>
      </c>
      <c r="C2" t="s">
        <v>1945</v>
      </c>
      <c r="D2" t="s">
        <v>1928</v>
      </c>
      <c r="E2" t="s">
        <v>1927</v>
      </c>
      <c r="F2" t="s">
        <v>1929</v>
      </c>
      <c r="G2" t="s">
        <v>1943</v>
      </c>
      <c r="H2" t="s">
        <v>1924</v>
      </c>
      <c r="I2" t="s">
        <v>13</v>
      </c>
      <c r="J2" t="s">
        <v>12</v>
      </c>
      <c r="K2" t="s">
        <v>1930</v>
      </c>
      <c r="L2" t="s">
        <v>1931</v>
      </c>
      <c r="M2" t="s">
        <v>1932</v>
      </c>
      <c r="N2" t="s">
        <v>1933</v>
      </c>
      <c r="O2" t="s">
        <v>1934</v>
      </c>
      <c r="P2" t="s">
        <v>1935</v>
      </c>
      <c r="Q2" t="s">
        <v>1936</v>
      </c>
      <c r="R2" t="s">
        <v>1937</v>
      </c>
      <c r="S2" t="s">
        <v>1938</v>
      </c>
      <c r="T2" t="s">
        <v>1939</v>
      </c>
      <c r="U2" t="s">
        <v>1940</v>
      </c>
      <c r="V2" t="s">
        <v>1941</v>
      </c>
      <c r="W2" t="s">
        <v>1942</v>
      </c>
    </row>
    <row r="3" spans="1:23" x14ac:dyDescent="0.3">
      <c r="A3" t="s">
        <v>1925</v>
      </c>
      <c r="B3" t="str">
        <f>Primary!H2</f>
        <v>WAV Trigger</v>
      </c>
      <c r="C3" s="50">
        <f>Primary!$E2</f>
        <v>1</v>
      </c>
      <c r="D3">
        <v>1</v>
      </c>
      <c r="H3">
        <v>1</v>
      </c>
    </row>
    <row r="4" spans="1:23" x14ac:dyDescent="0.3">
      <c r="A4" t="s">
        <v>1925</v>
      </c>
      <c r="B4" t="str">
        <f>Primary!H14</f>
        <v>Text-to-Speech Module - Emic 2</v>
      </c>
      <c r="C4" s="50">
        <f>Primary!$E14</f>
        <v>1</v>
      </c>
      <c r="G4">
        <v>1</v>
      </c>
    </row>
    <row r="5" spans="1:23" x14ac:dyDescent="0.3">
      <c r="A5" t="s">
        <v>1925</v>
      </c>
      <c r="B5" t="str">
        <f>Primary!H24</f>
        <v>SparkFun Logomatic v2 - Serial SD Datalogger (FAT32)</v>
      </c>
      <c r="C5" s="50">
        <f>Primary!$E24</f>
        <v>1</v>
      </c>
      <c r="E5">
        <v>1</v>
      </c>
      <c r="F5">
        <v>1</v>
      </c>
      <c r="G5">
        <v>1</v>
      </c>
      <c r="H5">
        <v>1</v>
      </c>
    </row>
    <row r="6" spans="1:23" x14ac:dyDescent="0.3">
      <c r="A6" t="s">
        <v>1925</v>
      </c>
      <c r="B6" t="str">
        <f>Primary!H25</f>
        <v>SparkFun OpenLog</v>
      </c>
      <c r="C6" s="50">
        <f>Primary!$E25</f>
        <v>1</v>
      </c>
      <c r="G6">
        <v>1</v>
      </c>
      <c r="H6">
        <v>1</v>
      </c>
    </row>
    <row r="7" spans="1:23" x14ac:dyDescent="0.3">
      <c r="A7" t="s">
        <v>1925</v>
      </c>
      <c r="B7" t="str">
        <f>Primary!H35</f>
        <v>SparkFun microSD Sniffer</v>
      </c>
      <c r="C7" s="50">
        <f>Primary!$E35</f>
        <v>1</v>
      </c>
      <c r="H7">
        <v>1</v>
      </c>
    </row>
    <row r="8" spans="1:23" x14ac:dyDescent="0.3">
      <c r="A8" t="s">
        <v>1925</v>
      </c>
      <c r="B8" t="str">
        <f>Primary!H28</f>
        <v>SparkFun SD/MMC Card Breakout</v>
      </c>
      <c r="C8" s="50">
        <f>Primary!$E28</f>
        <v>0</v>
      </c>
      <c r="H8">
        <v>1</v>
      </c>
    </row>
    <row r="9" spans="1:23" x14ac:dyDescent="0.3">
      <c r="A9" t="s">
        <v>1925</v>
      </c>
      <c r="B9" t="str">
        <f>Primary!H29</f>
        <v>SparkFun Level Shifting microSD Breakout</v>
      </c>
      <c r="C9" s="50">
        <f>Primary!$E29</f>
        <v>5</v>
      </c>
      <c r="H9">
        <v>1</v>
      </c>
    </row>
    <row r="10" spans="1:23" x14ac:dyDescent="0.3">
      <c r="A10" t="s">
        <v>1925</v>
      </c>
      <c r="B10" s="80" t="str">
        <f>Primary!H36</f>
        <v>XMEGA Xprotolab</v>
      </c>
      <c r="C10" s="50">
        <f>Primary!$E36</f>
        <v>1</v>
      </c>
    </row>
    <row r="11" spans="1:23" x14ac:dyDescent="0.3">
      <c r="A11" t="s">
        <v>1925</v>
      </c>
      <c r="B11" t="str">
        <f>Primary!H48</f>
        <v>Arduino Mega 2560 R3</v>
      </c>
      <c r="C11" s="50">
        <f>Primary!$E48</f>
        <v>5</v>
      </c>
      <c r="D11">
        <v>1</v>
      </c>
      <c r="E11">
        <v>1</v>
      </c>
      <c r="F11">
        <v>1</v>
      </c>
      <c r="I11">
        <v>1</v>
      </c>
      <c r="J11">
        <v>1</v>
      </c>
    </row>
    <row r="12" spans="1:23" x14ac:dyDescent="0.3">
      <c r="A12" t="s">
        <v>1925</v>
      </c>
      <c r="B12" t="str">
        <f>Primary!H77</f>
        <v>SparkFun LiPower Shield</v>
      </c>
      <c r="C12" s="50">
        <f>Primary!$E77</f>
        <v>5</v>
      </c>
      <c r="E12">
        <v>1</v>
      </c>
      <c r="F12">
        <v>1</v>
      </c>
    </row>
    <row r="13" spans="1:23" x14ac:dyDescent="0.3">
      <c r="A13" t="s">
        <v>1925</v>
      </c>
      <c r="B13" t="str">
        <f>Primary!H78</f>
        <v>SparkFun USB LiPoly Charger - Single Cell</v>
      </c>
      <c r="C13" s="50">
        <f>Primary!$E78</f>
        <v>5</v>
      </c>
      <c r="D13">
        <v>1</v>
      </c>
      <c r="E13">
        <v>1</v>
      </c>
      <c r="F13" t="s">
        <v>1944</v>
      </c>
    </row>
    <row r="14" spans="1:23" x14ac:dyDescent="0.3">
      <c r="A14" t="s">
        <v>1925</v>
      </c>
      <c r="B14" t="str">
        <f>Primary!H82</f>
        <v>SparkFun Breadboard Power Supply Stick - 5V/3.3V</v>
      </c>
      <c r="C14" s="50">
        <f>Primary!$E82</f>
        <v>5</v>
      </c>
      <c r="D14">
        <v>1</v>
      </c>
    </row>
    <row r="15" spans="1:23" x14ac:dyDescent="0.3">
      <c r="A15" t="s">
        <v>1925</v>
      </c>
      <c r="B15" t="str">
        <f>Primary!H83</f>
        <v>SparkFun Breadboard Power Supply 5V/3.3V</v>
      </c>
      <c r="C15" s="50">
        <f>Primary!$E83</f>
        <v>2</v>
      </c>
      <c r="D15">
        <v>1</v>
      </c>
    </row>
    <row r="16" spans="1:23" x14ac:dyDescent="0.3">
      <c r="A16" t="s">
        <v>1925</v>
      </c>
      <c r="B16" t="str">
        <f>Primary!H79</f>
        <v>SparkFun Battery Babysitter - LiPo Battery Manager</v>
      </c>
      <c r="C16" s="50">
        <f>Primary!$E79</f>
        <v>1</v>
      </c>
      <c r="E16">
        <v>1</v>
      </c>
      <c r="F16" t="s">
        <v>1944</v>
      </c>
    </row>
    <row r="17" spans="1:7" x14ac:dyDescent="0.3">
      <c r="A17" t="s">
        <v>1925</v>
      </c>
      <c r="B17" t="str">
        <f>Primary!H105</f>
        <v>SparkFun OpenPIR</v>
      </c>
      <c r="C17" s="50">
        <f>Primary!$E105</f>
        <v>5</v>
      </c>
      <c r="G17">
        <v>1</v>
      </c>
    </row>
    <row r="18" spans="1:7" x14ac:dyDescent="0.3">
      <c r="A18" t="s">
        <v>1925</v>
      </c>
      <c r="B18" t="str">
        <f>Primary!H106</f>
        <v>Ultrasonic Sensor - HC-SR04</v>
      </c>
      <c r="C18" s="50">
        <f>Primary!$E106</f>
        <v>10</v>
      </c>
      <c r="G18">
        <v>1</v>
      </c>
    </row>
    <row r="19" spans="1:7" x14ac:dyDescent="0.3">
      <c r="A19" t="s">
        <v>1925</v>
      </c>
      <c r="B19" t="str">
        <f>Primary!H107</f>
        <v>SparkFun ToF Range Finder Sensor - VL6180</v>
      </c>
      <c r="C19" s="50">
        <f>Primary!$E107</f>
        <v>0</v>
      </c>
      <c r="G19">
        <v>1</v>
      </c>
    </row>
    <row r="20" spans="1:7" x14ac:dyDescent="0.3">
      <c r="A20" t="s">
        <v>1925</v>
      </c>
      <c r="B20" t="str">
        <f>Primary!H108</f>
        <v>ZX Distance and Gesture Sensor</v>
      </c>
      <c r="C20" s="50">
        <f>Primary!$E108</f>
        <v>5</v>
      </c>
      <c r="G20">
        <v>1</v>
      </c>
    </row>
    <row r="21" spans="1:7" x14ac:dyDescent="0.3">
      <c r="A21" t="s">
        <v>1925</v>
      </c>
      <c r="B21" t="str">
        <f>Primary!H109</f>
        <v>SparkFun RGB and Gesture Sensor - APDS-9960</v>
      </c>
      <c r="C21" s="50">
        <f>Primary!$E109</f>
        <v>0</v>
      </c>
      <c r="G21">
        <v>1</v>
      </c>
    </row>
    <row r="22" spans="1:7" x14ac:dyDescent="0.3">
      <c r="A22" t="s">
        <v>1925</v>
      </c>
      <c r="B22" t="str">
        <f>Primary!H110</f>
        <v>Qwiic Distance Sensor - RFD77402</v>
      </c>
      <c r="C22" s="50">
        <f>Primary!$E110</f>
        <v>3</v>
      </c>
      <c r="G22">
        <v>1</v>
      </c>
    </row>
    <row r="23" spans="1:7" x14ac:dyDescent="0.3">
      <c r="A23" t="s">
        <v>1925</v>
      </c>
      <c r="B23" t="str">
        <f>Primary!H111</f>
        <v>Infrared Proximity Sensor - Sharp GP2Y0A21YK</v>
      </c>
      <c r="C23" s="50">
        <f>Primary!$E111</f>
        <v>0</v>
      </c>
      <c r="G23">
        <v>1</v>
      </c>
    </row>
    <row r="24" spans="1:7" x14ac:dyDescent="0.3">
      <c r="A24" t="s">
        <v>1925</v>
      </c>
      <c r="B24" t="str">
        <f>Primary!H139</f>
        <v>LCD Button Shield V2</v>
      </c>
      <c r="C24" s="50">
        <f>Primary!$E139</f>
        <v>5</v>
      </c>
      <c r="G24">
        <v>1</v>
      </c>
    </row>
    <row r="25" spans="1:7" x14ac:dyDescent="0.3">
      <c r="A25" t="s">
        <v>1925</v>
      </c>
      <c r="B25" t="str">
        <f>Primary!H141</f>
        <v>Serial Enabled 20x4 LCD - Black on Green 5V</v>
      </c>
      <c r="C25" s="50">
        <f>Primary!$E141</f>
        <v>0</v>
      </c>
      <c r="G25">
        <v>1</v>
      </c>
    </row>
    <row r="26" spans="1:7" x14ac:dyDescent="0.3">
      <c r="A26" t="s">
        <v>1925</v>
      </c>
      <c r="B26" t="str">
        <f>Primary!H140</f>
        <v>Graphic LCD 128x64 STN LED Backlight</v>
      </c>
      <c r="C26" s="50">
        <f>Primary!$E140</f>
        <v>1</v>
      </c>
      <c r="G26">
        <v>1</v>
      </c>
    </row>
    <row r="27" spans="1:7" x14ac:dyDescent="0.3">
      <c r="A27" t="s">
        <v>1925</v>
      </c>
      <c r="B27" t="str">
        <f>Primary!H146</f>
        <v>SparkFun Environmental Combo Breakout - CCS811/BME280 (Qwiic)</v>
      </c>
      <c r="C27" s="50">
        <f>Primary!$E146</f>
        <v>1</v>
      </c>
      <c r="G27">
        <v>1</v>
      </c>
    </row>
    <row r="28" spans="1:7" x14ac:dyDescent="0.3">
      <c r="A28" t="s">
        <v>1925</v>
      </c>
      <c r="B28" t="str">
        <f>Primary!H147</f>
        <v>SparkFun Particle Sensor Breakout - MAX30105</v>
      </c>
      <c r="C28" s="50">
        <f>Primary!$E147</f>
        <v>1</v>
      </c>
      <c r="G28">
        <v>1</v>
      </c>
    </row>
    <row r="29" spans="1:7" x14ac:dyDescent="0.3">
      <c r="A29" t="s">
        <v>1925</v>
      </c>
      <c r="B29" t="str">
        <f>Primary!H148</f>
        <v>Gas Sensor Breakout</v>
      </c>
      <c r="C29" s="50">
        <f>Primary!$E148</f>
        <v>1</v>
      </c>
      <c r="G29">
        <v>1</v>
      </c>
    </row>
    <row r="30" spans="1:7" x14ac:dyDescent="0.3">
      <c r="A30" t="s">
        <v>1925</v>
      </c>
      <c r="B30" t="str">
        <f>Primary!H149</f>
        <v>Carbon Monoxide Sensor - MQ-7</v>
      </c>
      <c r="C30" s="50">
        <f>Primary!$E149</f>
        <v>1</v>
      </c>
      <c r="G30">
        <v>1</v>
      </c>
    </row>
    <row r="31" spans="1:7" x14ac:dyDescent="0.3">
      <c r="A31" t="s">
        <v>1925</v>
      </c>
      <c r="B31" t="str">
        <f>Primary!H150</f>
        <v>SparkFun Luminosity Sensor Breakout - TSL2561</v>
      </c>
      <c r="C31" s="50">
        <f>Primary!$E150</f>
        <v>0</v>
      </c>
      <c r="G31">
        <v>1</v>
      </c>
    </row>
    <row r="32" spans="1:7" x14ac:dyDescent="0.3">
      <c r="A32" t="s">
        <v>1925</v>
      </c>
      <c r="B32" t="str">
        <f>Primary!H151</f>
        <v>SparkFun Ambient Light Sensor Breakout - TEMT6000</v>
      </c>
      <c r="C32" s="50">
        <f>Primary!$E151</f>
        <v>2</v>
      </c>
      <c r="G32">
        <v>1</v>
      </c>
    </row>
    <row r="33" spans="1:9" x14ac:dyDescent="0.3">
      <c r="A33" t="s">
        <v>1925</v>
      </c>
      <c r="B33" t="str">
        <f>Primary!H152</f>
        <v>Edimax WiFi Adapter (EW-7811UN)</v>
      </c>
      <c r="C33" s="50">
        <f>Primary!$E152</f>
        <v>3</v>
      </c>
      <c r="E33">
        <v>1</v>
      </c>
      <c r="I33">
        <v>1</v>
      </c>
    </row>
    <row r="34" spans="1:9" x14ac:dyDescent="0.3">
      <c r="A34" t="s">
        <v>1925</v>
      </c>
      <c r="B34" t="str">
        <f>Primary!H153</f>
        <v>WiFi Module - ESP8266</v>
      </c>
      <c r="C34" s="50">
        <f>Primary!$E153</f>
        <v>5</v>
      </c>
      <c r="G34">
        <v>1</v>
      </c>
      <c r="I34">
        <v>1</v>
      </c>
    </row>
    <row r="35" spans="1:9" x14ac:dyDescent="0.3">
      <c r="A35" t="s">
        <v>1926</v>
      </c>
      <c r="B35" t="s">
        <v>366</v>
      </c>
      <c r="C35">
        <f>Secondary!$E12</f>
        <v>1</v>
      </c>
      <c r="G35">
        <v>1</v>
      </c>
    </row>
    <row r="36" spans="1:9" x14ac:dyDescent="0.3">
      <c r="A36" t="s">
        <v>1926</v>
      </c>
      <c r="B36" t="s">
        <v>1188</v>
      </c>
      <c r="C36">
        <f>Secondary!$E13</f>
        <v>0</v>
      </c>
      <c r="G36">
        <v>1</v>
      </c>
    </row>
    <row r="37" spans="1:9" x14ac:dyDescent="0.3">
      <c r="A37" t="s">
        <v>1926</v>
      </c>
      <c r="B37" t="s">
        <v>1192</v>
      </c>
      <c r="C37">
        <f>Secondary!$E14</f>
        <v>0</v>
      </c>
      <c r="G37">
        <v>1</v>
      </c>
    </row>
    <row r="38" spans="1:9" x14ac:dyDescent="0.3">
      <c r="A38" t="s">
        <v>1926</v>
      </c>
      <c r="B38" t="s">
        <v>1830</v>
      </c>
      <c r="C38">
        <f>Secondary!$E15</f>
        <v>1</v>
      </c>
      <c r="G38">
        <v>1</v>
      </c>
    </row>
    <row r="39" spans="1:9" x14ac:dyDescent="0.3">
      <c r="A39" t="s">
        <v>1926</v>
      </c>
      <c r="B39" t="s">
        <v>1790</v>
      </c>
      <c r="C39">
        <f>Secondary!$E16</f>
        <v>0</v>
      </c>
      <c r="G39">
        <v>1</v>
      </c>
    </row>
    <row r="40" spans="1:9" ht="43.2" x14ac:dyDescent="0.3">
      <c r="A40" t="s">
        <v>1070</v>
      </c>
      <c r="B40" t="s">
        <v>1530</v>
      </c>
      <c r="C40">
        <f>'Advanced&amp;Optional'!$E2</f>
        <v>1</v>
      </c>
      <c r="D40">
        <v>1</v>
      </c>
      <c r="F40" t="s">
        <v>1946</v>
      </c>
    </row>
    <row r="41" spans="1:9" ht="43.2" x14ac:dyDescent="0.3">
      <c r="A41" t="s">
        <v>1070</v>
      </c>
      <c r="B41" t="s">
        <v>972</v>
      </c>
      <c r="C41">
        <f>'Advanced&amp;Optional'!$E4</f>
        <v>1</v>
      </c>
      <c r="D41" t="s">
        <v>1946</v>
      </c>
      <c r="F41">
        <v>1</v>
      </c>
      <c r="G41">
        <v>1</v>
      </c>
    </row>
    <row r="42" spans="1:9" ht="43.2" x14ac:dyDescent="0.3">
      <c r="A42" t="s">
        <v>1070</v>
      </c>
      <c r="B42" t="s">
        <v>992</v>
      </c>
      <c r="C42">
        <f>'Advanced&amp;Optional'!$E5</f>
        <v>0</v>
      </c>
      <c r="G42">
        <v>1</v>
      </c>
      <c r="H42">
        <v>1</v>
      </c>
    </row>
    <row r="43" spans="1:9" ht="43.2" x14ac:dyDescent="0.3">
      <c r="A43" t="s">
        <v>1070</v>
      </c>
      <c r="B43" t="s">
        <v>956</v>
      </c>
      <c r="C43">
        <f>'Advanced&amp;Optional'!$E6</f>
        <v>1</v>
      </c>
      <c r="F43">
        <v>1</v>
      </c>
      <c r="G43">
        <v>1</v>
      </c>
    </row>
    <row r="44" spans="1:9" ht="43.2" x14ac:dyDescent="0.3">
      <c r="A44" t="s">
        <v>1070</v>
      </c>
      <c r="B44" t="s">
        <v>976</v>
      </c>
      <c r="C44">
        <f>'Advanced&amp;Optional'!$E13</f>
        <v>1</v>
      </c>
      <c r="G44">
        <v>1</v>
      </c>
    </row>
    <row r="45" spans="1:9" ht="43.2" x14ac:dyDescent="0.3">
      <c r="A45" t="s">
        <v>1070</v>
      </c>
      <c r="B45" t="s">
        <v>920</v>
      </c>
      <c r="C45">
        <f>'Advanced&amp;Optional'!$E15</f>
        <v>1</v>
      </c>
      <c r="G45">
        <v>1</v>
      </c>
    </row>
    <row r="46" spans="1:9" ht="43.2" x14ac:dyDescent="0.3">
      <c r="A46" t="s">
        <v>1070</v>
      </c>
      <c r="B46" t="s">
        <v>924</v>
      </c>
      <c r="C46">
        <f>'Advanced&amp;Optional'!$E16</f>
        <v>1</v>
      </c>
      <c r="G46">
        <v>1</v>
      </c>
    </row>
    <row r="47" spans="1:9" ht="43.2" x14ac:dyDescent="0.3">
      <c r="A47" t="s">
        <v>1070</v>
      </c>
      <c r="B47" t="s">
        <v>988</v>
      </c>
      <c r="C47">
        <f>'Advanced&amp;Optional'!$E17</f>
        <v>0</v>
      </c>
      <c r="G47">
        <v>1</v>
      </c>
    </row>
    <row r="48" spans="1:9" ht="43.2" x14ac:dyDescent="0.3">
      <c r="A48" t="s">
        <v>1070</v>
      </c>
      <c r="B48" t="s">
        <v>1786</v>
      </c>
      <c r="C48">
        <f>'Advanced&amp;Optional'!$E18</f>
        <v>1</v>
      </c>
      <c r="G48">
        <v>1</v>
      </c>
    </row>
    <row r="49" spans="1:10" ht="43.2" x14ac:dyDescent="0.3">
      <c r="A49" t="s">
        <v>1070</v>
      </c>
      <c r="B49" t="s">
        <v>1750</v>
      </c>
      <c r="C49">
        <f>'Advanced&amp;Optional'!$E19</f>
        <v>0</v>
      </c>
      <c r="G49">
        <v>1</v>
      </c>
    </row>
    <row r="50" spans="1:10" ht="43.2" x14ac:dyDescent="0.3">
      <c r="A50" t="s">
        <v>1070</v>
      </c>
      <c r="B50" t="s">
        <v>984</v>
      </c>
      <c r="C50">
        <f>'Advanced&amp;Optional'!$E23</f>
        <v>1</v>
      </c>
    </row>
    <row r="51" spans="1:10" ht="43.2" x14ac:dyDescent="0.3">
      <c r="A51" t="s">
        <v>1070</v>
      </c>
      <c r="B51" t="s">
        <v>980</v>
      </c>
      <c r="C51">
        <f>'Advanced&amp;Optional'!$E24</f>
        <v>1</v>
      </c>
      <c r="G51">
        <v>1</v>
      </c>
    </row>
    <row r="52" spans="1:10" ht="43.2" x14ac:dyDescent="0.3">
      <c r="A52" t="s">
        <v>1046</v>
      </c>
      <c r="B52" t="s">
        <v>362</v>
      </c>
      <c r="C52">
        <f>'SmartHome&amp;IoT'!$E2</f>
        <v>1</v>
      </c>
      <c r="E52">
        <v>1</v>
      </c>
      <c r="F52">
        <v>1</v>
      </c>
      <c r="G52">
        <v>1</v>
      </c>
    </row>
    <row r="53" spans="1:10" ht="43.2" x14ac:dyDescent="0.3">
      <c r="A53" t="s">
        <v>1046</v>
      </c>
      <c r="B53" t="s">
        <v>1333</v>
      </c>
      <c r="C53">
        <f>'SmartHome&amp;IoT'!$E3</f>
        <v>1</v>
      </c>
      <c r="D53">
        <v>1</v>
      </c>
      <c r="E53">
        <v>1</v>
      </c>
      <c r="I53">
        <v>1</v>
      </c>
      <c r="J53">
        <v>1</v>
      </c>
    </row>
    <row r="54" spans="1:10" ht="43.2" x14ac:dyDescent="0.3">
      <c r="A54" t="s">
        <v>1046</v>
      </c>
      <c r="B54" t="s">
        <v>1321</v>
      </c>
      <c r="C54">
        <f>'SmartHome&amp;IoT'!$E4</f>
        <v>1</v>
      </c>
      <c r="G54">
        <v>1</v>
      </c>
    </row>
    <row r="55" spans="1:10" ht="43.2" x14ac:dyDescent="0.3">
      <c r="A55" t="s">
        <v>1046</v>
      </c>
      <c r="B55" t="s">
        <v>1325</v>
      </c>
      <c r="C55">
        <f>'SmartHome&amp;IoT'!$E5</f>
        <v>1</v>
      </c>
      <c r="G55">
        <v>1</v>
      </c>
    </row>
    <row r="56" spans="1:10" ht="43.2" x14ac:dyDescent="0.3">
      <c r="A56" t="s">
        <v>1046</v>
      </c>
      <c r="B56" t="s">
        <v>1329</v>
      </c>
      <c r="C56">
        <f>'SmartHome&amp;IoT'!$E6</f>
        <v>0</v>
      </c>
      <c r="G56">
        <v>1</v>
      </c>
    </row>
    <row r="57" spans="1:10" ht="43.2" x14ac:dyDescent="0.3">
      <c r="A57" t="s">
        <v>1046</v>
      </c>
      <c r="B57" t="s">
        <v>343</v>
      </c>
      <c r="C57">
        <f>'SmartHome&amp;IoT'!$E16</f>
        <v>1</v>
      </c>
      <c r="E57">
        <v>1</v>
      </c>
    </row>
    <row r="58" spans="1:10" ht="43.2" x14ac:dyDescent="0.3">
      <c r="A58" t="s">
        <v>1046</v>
      </c>
      <c r="B58" t="s">
        <v>339</v>
      </c>
      <c r="C58">
        <f>'SmartHome&amp;IoT'!$E17</f>
        <v>1</v>
      </c>
      <c r="E58">
        <v>1</v>
      </c>
      <c r="G58">
        <v>1</v>
      </c>
    </row>
    <row r="59" spans="1:10" ht="43.2" x14ac:dyDescent="0.3">
      <c r="A59" t="s">
        <v>1046</v>
      </c>
      <c r="B59" t="s">
        <v>303</v>
      </c>
      <c r="C59">
        <f>'SmartHome&amp;IoT'!$E18</f>
        <v>1</v>
      </c>
      <c r="D59">
        <v>1</v>
      </c>
      <c r="E59">
        <v>1</v>
      </c>
      <c r="H59">
        <v>1</v>
      </c>
      <c r="I59">
        <v>1</v>
      </c>
      <c r="J59">
        <v>1</v>
      </c>
    </row>
    <row r="60" spans="1:10" ht="43.2" x14ac:dyDescent="0.3">
      <c r="A60" t="s">
        <v>1046</v>
      </c>
      <c r="B60" t="s">
        <v>323</v>
      </c>
      <c r="C60">
        <f>'SmartHome&amp;IoT'!$E19</f>
        <v>1</v>
      </c>
      <c r="E60">
        <v>1</v>
      </c>
      <c r="G60">
        <v>1</v>
      </c>
    </row>
    <row r="61" spans="1:10" ht="43.2" x14ac:dyDescent="0.3">
      <c r="A61" t="s">
        <v>1046</v>
      </c>
      <c r="B61" t="s">
        <v>311</v>
      </c>
      <c r="C61">
        <f>'SmartHome&amp;IoT'!$E20</f>
        <v>1</v>
      </c>
      <c r="G61">
        <v>1</v>
      </c>
    </row>
    <row r="62" spans="1:10" ht="43.2" x14ac:dyDescent="0.3">
      <c r="A62" t="s">
        <v>1046</v>
      </c>
      <c r="B62" t="s">
        <v>315</v>
      </c>
      <c r="C62">
        <f>'SmartHome&amp;IoT'!$E21</f>
        <v>1</v>
      </c>
      <c r="G62">
        <v>1</v>
      </c>
    </row>
    <row r="63" spans="1:10" ht="43.2" x14ac:dyDescent="0.3">
      <c r="A63" t="s">
        <v>1046</v>
      </c>
      <c r="B63" t="s">
        <v>319</v>
      </c>
      <c r="C63">
        <f>'SmartHome&amp;IoT'!$E22</f>
        <v>1</v>
      </c>
      <c r="G63">
        <v>1</v>
      </c>
      <c r="H63">
        <v>1</v>
      </c>
    </row>
    <row r="64" spans="1:10" ht="43.2" x14ac:dyDescent="0.3">
      <c r="A64" t="s">
        <v>1046</v>
      </c>
      <c r="B64" t="s">
        <v>307</v>
      </c>
      <c r="C64">
        <f>'SmartHome&amp;IoT'!$E23</f>
        <v>1</v>
      </c>
      <c r="E64">
        <v>1</v>
      </c>
      <c r="F64">
        <v>1</v>
      </c>
      <c r="G64">
        <v>1</v>
      </c>
    </row>
    <row r="65" spans="1:9" ht="43.2" x14ac:dyDescent="0.3">
      <c r="A65" t="s">
        <v>1046</v>
      </c>
      <c r="B65" t="s">
        <v>1131</v>
      </c>
      <c r="C65">
        <f>'SmartHome&amp;IoT'!$E24</f>
        <v>1</v>
      </c>
      <c r="G65">
        <v>1</v>
      </c>
    </row>
    <row r="66" spans="1:9" ht="43.2" x14ac:dyDescent="0.3">
      <c r="A66" t="s">
        <v>1046</v>
      </c>
      <c r="B66" t="s">
        <v>1151</v>
      </c>
      <c r="C66">
        <f>'SmartHome&amp;IoT'!$E25</f>
        <v>1</v>
      </c>
      <c r="G66">
        <v>1</v>
      </c>
    </row>
    <row r="67" spans="1:9" ht="43.2" x14ac:dyDescent="0.3">
      <c r="A67" t="s">
        <v>1047</v>
      </c>
      <c r="B67" t="s">
        <v>1175</v>
      </c>
      <c r="C67">
        <f>'SmartHome&amp;IoT'!$E27</f>
        <v>1</v>
      </c>
      <c r="D67">
        <v>1</v>
      </c>
      <c r="E67">
        <v>1</v>
      </c>
    </row>
    <row r="68" spans="1:9" ht="43.2" x14ac:dyDescent="0.3">
      <c r="A68" t="s">
        <v>1047</v>
      </c>
      <c r="B68" t="s">
        <v>1155</v>
      </c>
      <c r="C68">
        <f>'SmartHome&amp;IoT'!$E28</f>
        <v>1</v>
      </c>
      <c r="G68">
        <v>1</v>
      </c>
      <c r="H68">
        <v>1</v>
      </c>
      <c r="I68">
        <v>1</v>
      </c>
    </row>
    <row r="69" spans="1:9" ht="43.2" x14ac:dyDescent="0.3">
      <c r="A69" t="s">
        <v>1047</v>
      </c>
      <c r="B69" t="s">
        <v>1159</v>
      </c>
      <c r="C69">
        <f>'SmartHome&amp;IoT'!$E29</f>
        <v>1</v>
      </c>
      <c r="G69">
        <v>1</v>
      </c>
    </row>
    <row r="70" spans="1:9" ht="43.2" x14ac:dyDescent="0.3">
      <c r="A70" t="s">
        <v>1047</v>
      </c>
      <c r="B70" t="s">
        <v>1167</v>
      </c>
      <c r="C70">
        <f>'SmartHome&amp;IoT'!$E30</f>
        <v>1</v>
      </c>
      <c r="G70">
        <v>1</v>
      </c>
    </row>
    <row r="71" spans="1:9" ht="43.2" x14ac:dyDescent="0.3">
      <c r="A71" t="s">
        <v>1047</v>
      </c>
      <c r="B71" t="s">
        <v>1171</v>
      </c>
      <c r="C71">
        <f>'SmartHome&amp;IoT'!$E31</f>
        <v>1</v>
      </c>
      <c r="G71">
        <v>1</v>
      </c>
    </row>
    <row r="72" spans="1:9" ht="43.2" x14ac:dyDescent="0.3">
      <c r="A72" t="s">
        <v>1047</v>
      </c>
      <c r="B72" t="s">
        <v>1079</v>
      </c>
      <c r="C72">
        <f>'SmartHome&amp;IoT'!$E34</f>
        <v>1</v>
      </c>
      <c r="E72">
        <v>1</v>
      </c>
    </row>
    <row r="73" spans="1:9" ht="43.2" x14ac:dyDescent="0.3">
      <c r="A73" t="s">
        <v>1047</v>
      </c>
      <c r="B73" t="s">
        <v>1155</v>
      </c>
      <c r="C73">
        <f>'SmartHome&amp;IoT'!$E35</f>
        <v>1</v>
      </c>
      <c r="D73">
        <v>1</v>
      </c>
      <c r="E73">
        <v>1</v>
      </c>
      <c r="G73">
        <v>1</v>
      </c>
      <c r="H73">
        <v>1</v>
      </c>
      <c r="I73">
        <v>1</v>
      </c>
    </row>
    <row r="74" spans="1:9" ht="43.2" x14ac:dyDescent="0.3">
      <c r="A74" t="s">
        <v>1047</v>
      </c>
      <c r="B74" t="s">
        <v>1163</v>
      </c>
      <c r="C74">
        <f>'SmartHome&amp;IoT'!$E36</f>
        <v>1</v>
      </c>
      <c r="E74">
        <v>1</v>
      </c>
      <c r="G74">
        <v>1</v>
      </c>
    </row>
    <row r="75" spans="1:9" ht="43.2" x14ac:dyDescent="0.3">
      <c r="A75" t="s">
        <v>1047</v>
      </c>
      <c r="B75" t="s">
        <v>1159</v>
      </c>
      <c r="C75">
        <f>'SmartHome&amp;IoT'!$E37</f>
        <v>1</v>
      </c>
      <c r="G75">
        <v>1</v>
      </c>
    </row>
    <row r="76" spans="1:9" ht="43.2" x14ac:dyDescent="0.3">
      <c r="A76" t="s">
        <v>1047</v>
      </c>
      <c r="B76" t="s">
        <v>1167</v>
      </c>
      <c r="C76">
        <f>'SmartHome&amp;IoT'!$E38</f>
        <v>1</v>
      </c>
      <c r="G76">
        <v>1</v>
      </c>
    </row>
    <row r="77" spans="1:9" ht="43.2" x14ac:dyDescent="0.3">
      <c r="A77" t="s">
        <v>1047</v>
      </c>
      <c r="B77" t="s">
        <v>358</v>
      </c>
      <c r="C77">
        <f>'SmartHome&amp;IoT'!$E39</f>
        <v>1</v>
      </c>
      <c r="E77">
        <v>1</v>
      </c>
      <c r="F77">
        <v>1</v>
      </c>
    </row>
    <row r="78" spans="1:9" ht="43.2" x14ac:dyDescent="0.3">
      <c r="A78" t="s">
        <v>1047</v>
      </c>
      <c r="B78" t="s">
        <v>327</v>
      </c>
      <c r="C78">
        <f>'SmartHome&amp;IoT'!$E40</f>
        <v>1</v>
      </c>
      <c r="G78">
        <v>1</v>
      </c>
    </row>
    <row r="79" spans="1:9" ht="43.2" x14ac:dyDescent="0.3">
      <c r="A79" t="s">
        <v>1047</v>
      </c>
      <c r="B79" t="s">
        <v>331</v>
      </c>
      <c r="C79">
        <f>'SmartHome&amp;IoT'!$E41</f>
        <v>1</v>
      </c>
      <c r="E79">
        <v>1</v>
      </c>
    </row>
    <row r="80" spans="1:9" ht="43.2" x14ac:dyDescent="0.3">
      <c r="A80" t="s">
        <v>1047</v>
      </c>
      <c r="B80" t="s">
        <v>354</v>
      </c>
      <c r="C80">
        <f>'SmartHome&amp;IoT'!$E42</f>
        <v>1</v>
      </c>
      <c r="E80">
        <v>1</v>
      </c>
      <c r="G80">
        <v>1</v>
      </c>
    </row>
    <row r="81" spans="2:10" x14ac:dyDescent="0.3">
      <c r="B81">
        <f>COUNTA(B3:B80)</f>
        <v>78</v>
      </c>
      <c r="D81">
        <f>SUMPRODUCT(Table16[Qty],Table16[BarrelJack])</f>
        <v>23</v>
      </c>
      <c r="E81">
        <f>SUMPRODUCT(Table16[Qty],Table16[USB])</f>
        <v>34</v>
      </c>
      <c r="F81">
        <f>SUMPRODUCT(Table16[Qty],Table16[LiPO Battery])</f>
        <v>16</v>
      </c>
      <c r="G81">
        <f>SUMPRODUCT(Table16[Qty],Table16[3.3V/5V])</f>
        <v>73</v>
      </c>
      <c r="H81">
        <f>SUMPRODUCT(Table16[Qty],Table16[uSD])</f>
        <v>13</v>
      </c>
      <c r="I81">
        <f>SUMPRODUCT(Table16[Qty],Table16[WiFi])</f>
        <v>17</v>
      </c>
      <c r="J81">
        <f>SUMPRODUCT(Table16[Qty],Table16[Bluetooth])</f>
        <v>7</v>
      </c>
    </row>
    <row r="83" spans="2:10" x14ac:dyDescent="0.3">
      <c r="C83" s="50" t="str">
        <f>Primary!F2</f>
        <v>https://www.sparkfun.com/products/13660</v>
      </c>
      <c r="D83" s="50" t="str">
        <f>Primary!G2</f>
        <v>https://cdn.sparkfun.com/r/92-92/assets/parts/1/1/0/7/3/12897-02.jpg</v>
      </c>
      <c r="E83" s="50" t="str">
        <f>Primary!H2</f>
        <v>WAV Trigger</v>
      </c>
    </row>
    <row r="84" spans="2:10" x14ac:dyDescent="0.3">
      <c r="B84" t="str">
        <f>"4*7+C80"</f>
        <v>4*7+C80</v>
      </c>
      <c r="C84" s="50" t="str">
        <f>Primary!F14</f>
        <v>https://www.sparkfun.com/products/11711</v>
      </c>
      <c r="D84" s="50" t="str">
        <f>Primary!G14</f>
        <v>https://cdn.sparkfun.com/r/92-92/assets/parts/7/8/9/4/11711-01.jpg</v>
      </c>
      <c r="E84" s="50" t="str">
        <f>Primary!H14</f>
        <v>Text-to-Speech Module - Emic 2</v>
      </c>
    </row>
    <row r="85" spans="2:10" x14ac:dyDescent="0.3">
      <c r="B85" t="e">
        <f ca="1">[1]!TextFormula(B84)</f>
        <v>#NAME?</v>
      </c>
      <c r="C85" s="50" t="str">
        <f>Primary!F24</f>
        <v>https://www.sparkfun.com/products/12772</v>
      </c>
      <c r="D85" s="50" t="str">
        <f>Primary!G24</f>
        <v>https://cdn.sparkfun.com/r/92-92/assets/parts/9/5/4/5/12772-01.jpg</v>
      </c>
      <c r="E85" s="50" t="str">
        <f>Primary!H24</f>
        <v>SparkFun Logomatic v2 - Serial SD Datalogger (FAT32)</v>
      </c>
    </row>
    <row r="86" spans="2:10" x14ac:dyDescent="0.3">
      <c r="C86" s="50" t="str">
        <f>Primary!F25</f>
        <v>https://www.sparkfun.com/products/13712</v>
      </c>
      <c r="D86" s="50" t="str">
        <f>Primary!G25</f>
        <v>https://cdn.sparkfun.com/r/92-92/assets/parts/1/1/2/0/2/13712-01a.jpg</v>
      </c>
      <c r="E86" s="50" t="str">
        <f>Primary!H25</f>
        <v>SparkFun OpenLog</v>
      </c>
    </row>
    <row r="87" spans="2:10" x14ac:dyDescent="0.3">
      <c r="C87" s="50" t="str">
        <f>Primary!F35</f>
        <v>https://www.sparkfun.com/products/9419</v>
      </c>
      <c r="D87" s="50" t="str">
        <f>Primary!G35</f>
        <v>https://cdn.sparkfun.com/r/92-92/assets/parts/3/0/5/9/09419-01a.jpg</v>
      </c>
      <c r="E87" s="50" t="str">
        <f>Primary!H35</f>
        <v>SparkFun microSD Sniffer</v>
      </c>
    </row>
    <row r="88" spans="2:10" x14ac:dyDescent="0.3">
      <c r="C88" s="50" t="str">
        <f>Primary!F28</f>
        <v>https://www.sparkfun.com/products/12941</v>
      </c>
      <c r="D88" s="50" t="str">
        <f>Primary!G28</f>
        <v>https://cdn.sparkfun.com/r/92-92/assets/parts/9/8/7/2/12941-01.jpg</v>
      </c>
      <c r="E88" s="50" t="str">
        <f>Primary!H28</f>
        <v>SparkFun SD/MMC Card Breakout</v>
      </c>
    </row>
    <row r="89" spans="2:10" x14ac:dyDescent="0.3">
      <c r="C89" s="50" t="str">
        <f>Primary!F29</f>
        <v>https://www.sparkfun.com/products/13743</v>
      </c>
      <c r="D89" s="50" t="str">
        <f>Primary!G29</f>
        <v>https://cdn.sparkfun.com/r/92-92/assets/parts/1/1/2/6/7/13743-01.jpg</v>
      </c>
      <c r="E89" s="50" t="str">
        <f>Primary!H29</f>
        <v>SparkFun Level Shifting microSD Breakout</v>
      </c>
    </row>
    <row r="90" spans="2:10" x14ac:dyDescent="0.3">
      <c r="C90" s="50" t="str">
        <f>Primary!F36</f>
        <v>https://www.sparkfun.com/products/11643</v>
      </c>
      <c r="D90" s="50" t="str">
        <f>Primary!G36</f>
        <v>https://cdn.sparkfun.com/r/92-92/assets/parts/7/7/1/7/11643-01.jpg</v>
      </c>
      <c r="E90" s="50" t="str">
        <f>Primary!H36</f>
        <v>XMEGA Xprotolab</v>
      </c>
    </row>
    <row r="91" spans="2:10" x14ac:dyDescent="0.3">
      <c r="C91" s="50" t="str">
        <f>Primary!F48</f>
        <v>https://www.sparkfun.com/products/11061</v>
      </c>
      <c r="D91" s="50" t="str">
        <f>Primary!G48</f>
        <v>https://cdn.sparkfun.com/r/92-92/assets/parts/6/4/3/3/11061-01c.jpg</v>
      </c>
      <c r="E91" s="50" t="str">
        <f>Primary!H48</f>
        <v>Arduino Mega 2560 R3</v>
      </c>
    </row>
    <row r="92" spans="2:10" x14ac:dyDescent="0.3">
      <c r="C92" s="50" t="str">
        <f>Primary!F77</f>
        <v>https://www.sparkfun.com/products/13158</v>
      </c>
      <c r="D92" s="50" t="str">
        <f>Primary!G77</f>
        <v>https://cdn.sparkfun.com/r/92-92/assets/parts/1/0/2/7/0/13158-01.jpg</v>
      </c>
      <c r="E92" s="50" t="str">
        <f>Primary!H77</f>
        <v>SparkFun LiPower Shield</v>
      </c>
    </row>
    <row r="93" spans="2:10" x14ac:dyDescent="0.3">
      <c r="C93" s="50" t="str">
        <f>Primary!F78</f>
        <v>https://www.sparkfun.com/products/12711</v>
      </c>
      <c r="D93" s="50" t="str">
        <f>Primary!G78</f>
        <v>https://cdn.sparkfun.com/r/92-92/assets/parts/9/4/5/6/12711-01.jpg</v>
      </c>
      <c r="E93" s="50" t="str">
        <f>Primary!H78</f>
        <v>SparkFun USB LiPoly Charger - Single Cell</v>
      </c>
    </row>
    <row r="94" spans="2:10" x14ac:dyDescent="0.3">
      <c r="C94" s="50" t="str">
        <f>Primary!F82</f>
        <v>https://www.sparkfun.com/products/13032</v>
      </c>
      <c r="D94" s="50" t="str">
        <f>Primary!G82</f>
        <v>https://cdn.sparkfun.com/r/92-92/assets/parts/1/0/0/3/2/13032-01.jpg</v>
      </c>
      <c r="E94" s="50" t="str">
        <f>Primary!H82</f>
        <v>SparkFun Breadboard Power Supply Stick - 5V/3.3V</v>
      </c>
    </row>
    <row r="95" spans="2:10" x14ac:dyDescent="0.3">
      <c r="C95" s="50" t="str">
        <f>Primary!F83</f>
        <v>https://www.sparkfun.com/products/114</v>
      </c>
      <c r="D95" s="50" t="str">
        <f>Primary!G83</f>
        <v>https://cdn.sparkfun.com/r/92-92/assets/parts/1/0/4/00114-05.jpg</v>
      </c>
      <c r="E95" s="50" t="str">
        <f>Primary!H83</f>
        <v>SparkFun Breadboard Power Supply 5V/3.3V</v>
      </c>
    </row>
    <row r="96" spans="2:10" x14ac:dyDescent="0.3">
      <c r="C96" s="50" t="str">
        <f>Primary!F79</f>
        <v>https://www.sparkfun.com/products/13777</v>
      </c>
      <c r="D96" s="50" t="str">
        <f>Primary!G79</f>
        <v>https://cdn.sparkfun.com/r/92-92/assets/parts/1/1/3/3/1/13777-01.jpg</v>
      </c>
      <c r="E96" s="50" t="str">
        <f>Primary!H79</f>
        <v>SparkFun Battery Babysitter - LiPo Battery Manager</v>
      </c>
    </row>
    <row r="97" spans="3:5" x14ac:dyDescent="0.3">
      <c r="C97" s="50" t="str">
        <f>Primary!F105</f>
        <v>https://www.sparkfun.com/products/13968</v>
      </c>
      <c r="D97" s="50" t="str">
        <f>Primary!G105</f>
        <v>https://cdn.sparkfun.com/r/92-92/assets/parts/1/1/7/0/6/13968-01.jpg</v>
      </c>
      <c r="E97" s="50" t="str">
        <f>Primary!H105</f>
        <v>SparkFun OpenPIR</v>
      </c>
    </row>
    <row r="98" spans="3:5" x14ac:dyDescent="0.3">
      <c r="C98" s="50" t="str">
        <f>Primary!F106</f>
        <v>https://www.sparkfun.com/products/13959</v>
      </c>
      <c r="D98" s="50" t="str">
        <f>Primary!G106</f>
        <v>https://cdn.sparkfun.com/r/92-92/assets/parts/1/1/6/6/8/13959-01a.jpg</v>
      </c>
      <c r="E98" s="50" t="str">
        <f>Primary!H106</f>
        <v>Ultrasonic Sensor - HC-SR04</v>
      </c>
    </row>
    <row r="99" spans="3:5" x14ac:dyDescent="0.3">
      <c r="C99" s="50" t="str">
        <f>Primary!F107</f>
        <v>https://www.sparkfun.com/products/12785</v>
      </c>
      <c r="D99" s="50" t="str">
        <f>Primary!G107</f>
        <v>https://cdn.sparkfun.com/r/92-92/assets/parts/9/5/9/7/12785-01.jpg</v>
      </c>
      <c r="E99" s="50" t="str">
        <f>Primary!H107</f>
        <v>SparkFun ToF Range Finder Sensor - VL6180</v>
      </c>
    </row>
    <row r="100" spans="3:5" x14ac:dyDescent="0.3">
      <c r="C100" s="50" t="str">
        <f>Primary!F108</f>
        <v>https://www.sparkfun.com/products/13162</v>
      </c>
      <c r="D100" s="50" t="str">
        <f>Primary!G108</f>
        <v>https://cdn.sparkfun.com/r/92-92/assets/parts/1/0/2/7/9/13162-01a.jpg</v>
      </c>
      <c r="E100" s="50" t="str">
        <f>Primary!H108</f>
        <v>ZX Distance and Gesture Sensor</v>
      </c>
    </row>
    <row r="101" spans="3:5" x14ac:dyDescent="0.3">
      <c r="C101" s="50" t="str">
        <f>Primary!F109</f>
        <v>https://www.sparkfun.com/products/12787</v>
      </c>
      <c r="D101" s="50" t="str">
        <f>Primary!G109</f>
        <v>https://cdn.sparkfun.com/r/92-92/assets/parts/9/6/0/3/12787-01.jpg</v>
      </c>
      <c r="E101" s="50" t="str">
        <f>Primary!H109</f>
        <v>SparkFun RGB and Gesture Sensor - APDS-9960</v>
      </c>
    </row>
    <row r="102" spans="3:5" x14ac:dyDescent="0.3">
      <c r="C102" s="50" t="str">
        <f>Primary!F110</f>
        <v>https://www.sparkfun.com/products/14343</v>
      </c>
      <c r="D102" s="50" t="str">
        <f>Primary!G110</f>
        <v>https://cdn.sparkfun.com/r/92-92/assets/parts/1/2/3/1/9/ToFQuarter.jpg</v>
      </c>
      <c r="E102" s="50" t="str">
        <f>Primary!H110</f>
        <v>Qwiic Distance Sensor - RFD77402</v>
      </c>
    </row>
    <row r="103" spans="3:5" x14ac:dyDescent="0.3">
      <c r="C103" s="50" t="str">
        <f>Primary!F111</f>
        <v>https://www.sparkfun.com/products/242</v>
      </c>
      <c r="D103" s="50" t="str">
        <f>Primary!G111</f>
        <v>https://cdn.sparkfun.com/r/92-92/assets/parts/1/8/4/00242-1.jpg</v>
      </c>
      <c r="E103" s="50" t="str">
        <f>Primary!H111</f>
        <v>Infrared Proximity Sensor - Sharp GP2Y0A21YK</v>
      </c>
    </row>
    <row r="104" spans="3:5" x14ac:dyDescent="0.3">
      <c r="C104" s="50" t="str">
        <f>Primary!F139</f>
        <v>https://www.sparkfun.com/products/13293</v>
      </c>
      <c r="D104" s="50" t="str">
        <f>Primary!G139</f>
        <v>https://cdn.sparkfun.com/r/92-92/assets/parts/1/0/5/4/6/13293-01.jpg</v>
      </c>
      <c r="E104" s="50" t="str">
        <f>Primary!H139</f>
        <v>LCD Button Shield V2</v>
      </c>
    </row>
    <row r="105" spans="3:5" x14ac:dyDescent="0.3">
      <c r="C105" s="50" t="str">
        <f>Primary!F141</f>
        <v>https://www.sparkfun.com/products/9568</v>
      </c>
      <c r="D105" s="50" t="str">
        <f>Primary!G141</f>
        <v>https://cdn.sparkfun.com/r/92-92/assets/parts/3/3/4/6/09568Actiona.jpg</v>
      </c>
      <c r="E105" s="50" t="str">
        <f>Primary!H141</f>
        <v>Serial Enabled 20x4 LCD - Black on Green 5V</v>
      </c>
    </row>
    <row r="106" spans="3:5" x14ac:dyDescent="0.3">
      <c r="C106" s="50" t="str">
        <f>Primary!F140</f>
        <v>https://www.sparkfun.com/products/710</v>
      </c>
      <c r="D106" s="50" t="str">
        <f>Primary!G140</f>
        <v>https://cdn.sparkfun.com/r/92-92/assets/parts/4/9/2/00710-01.jpg</v>
      </c>
      <c r="E106" s="50" t="str">
        <f>Primary!H140</f>
        <v>Graphic LCD 128x64 STN LED Backlight</v>
      </c>
    </row>
    <row r="107" spans="3:5" x14ac:dyDescent="0.3">
      <c r="C107" s="50" t="str">
        <f>Primary!F146</f>
        <v>https://www.sparkfun.com/products/14348</v>
      </c>
      <c r="D107" s="50" t="str">
        <f>Primary!G146</f>
        <v>https://cdn.sparkfun.com/r/92-92/assets/parts/1/2/3/2/9/14348-01.jpg</v>
      </c>
      <c r="E107" s="50" t="str">
        <f>Primary!H146</f>
        <v>SparkFun Environmental Combo Breakout - CCS811/BME280 (Qwiic)</v>
      </c>
    </row>
    <row r="108" spans="3:5" x14ac:dyDescent="0.3">
      <c r="C108" s="50" t="str">
        <f>Primary!F147</f>
        <v>https://www.sparkfun.com/products/14045</v>
      </c>
      <c r="D108" s="50" t="str">
        <f>Primary!G147</f>
        <v>https://cdn.sparkfun.com/r/92-92/assets/parts/1/1/8/7/4/14045-01.jpg</v>
      </c>
      <c r="E108" s="50" t="str">
        <f>Primary!H147</f>
        <v>SparkFun Particle Sensor Breakout - MAX30105</v>
      </c>
    </row>
    <row r="109" spans="3:5" x14ac:dyDescent="0.3">
      <c r="C109" s="50" t="str">
        <f>Primary!F148</f>
        <v>https://www.sparkfun.com/products/8891</v>
      </c>
      <c r="D109" s="50" t="str">
        <f>Primary!G148</f>
        <v>https://cdn.sparkfun.com/r/92-92/assets/parts/2/1/6/8/08891-01.jpg</v>
      </c>
      <c r="E109" s="50" t="str">
        <f>Primary!H148</f>
        <v>Gas Sensor Breakout</v>
      </c>
    </row>
    <row r="110" spans="3:5" x14ac:dyDescent="0.3">
      <c r="C110" s="50" t="str">
        <f>Primary!F149</f>
        <v>https://www.sparkfun.com/products/9403</v>
      </c>
      <c r="D110" s="50" t="str">
        <f>Primary!G149</f>
        <v>https://cdn.sparkfun.com/r/92-92/assets/parts/3/0/1/8/09403-01.jpg</v>
      </c>
      <c r="E110" s="50" t="str">
        <f>Primary!H149</f>
        <v>Carbon Monoxide Sensor - MQ-7</v>
      </c>
    </row>
    <row r="111" spans="3:5" x14ac:dyDescent="0.3">
      <c r="C111" s="50" t="str">
        <f>Primary!F150</f>
        <v>https://www.sparkfun.com/products/12055</v>
      </c>
      <c r="D111" s="50" t="str">
        <f>Primary!G150</f>
        <v>https://cdn.sparkfun.com/r/92-92/assets/parts/8/6/4/4/12055-01.jpg</v>
      </c>
      <c r="E111" s="50" t="str">
        <f>Primary!H150</f>
        <v>SparkFun Luminosity Sensor Breakout - TSL2561</v>
      </c>
    </row>
    <row r="112" spans="3:5" x14ac:dyDescent="0.3">
      <c r="C112" s="50" t="str">
        <f>Primary!F151</f>
        <v>https://www.sparkfun.com/products/8688</v>
      </c>
      <c r="D112" s="50" t="str">
        <f>Primary!G151</f>
        <v>https://cdn.sparkfun.com/r/92-92/assets/parts/1/8/5/9/08688-01.jpg</v>
      </c>
      <c r="E112" s="50" t="str">
        <f>Primary!H151</f>
        <v>SparkFun Ambient Light Sensor Breakout - TEMT6000</v>
      </c>
    </row>
    <row r="113" spans="3:5" x14ac:dyDescent="0.3">
      <c r="C113" s="50" t="str">
        <f>Primary!F152</f>
        <v>https://www.sparkfun.com/products/13677</v>
      </c>
      <c r="D113" s="50" t="str">
        <f>Primary!G152</f>
        <v>https://cdn.sparkfun.com/r/92-92/assets/parts/1/1/1/2/7/13677-01.jpg</v>
      </c>
      <c r="E113" s="50" t="str">
        <f>Primary!H152</f>
        <v>Edimax WiFi Adapter (EW-7811UN)</v>
      </c>
    </row>
    <row r="114" spans="3:5" x14ac:dyDescent="0.3">
      <c r="C114" s="50" t="str">
        <f>Primary!F153</f>
        <v>https://www.sparkfun.com/products/13678</v>
      </c>
      <c r="D114" s="50" t="str">
        <f>Primary!G153</f>
        <v>https://cdn.sparkfun.com/r/92-92/assets/parts/1/1/1/2/9/13678-01.jpg</v>
      </c>
      <c r="E114" s="50" t="str">
        <f>Primary!H153</f>
        <v>WiFi Module - ESP8266</v>
      </c>
    </row>
    <row r="115" spans="3:5" x14ac:dyDescent="0.3">
      <c r="C115" s="50" t="str">
        <f>Secondary!F12</f>
        <v>https://www.sparkfun.com/products/14291</v>
      </c>
      <c r="D115" s="50" t="str">
        <f>Secondary!G12</f>
        <v>https://cdn.sparkfun.com/r/92-92/assets/parts/1/2/2/5/0/1Wire_to_Qwiic_Bridge_DS28E17_05.jpg</v>
      </c>
      <c r="E115" s="50" t="str">
        <f>Secondary!H12</f>
        <v>1-Wire to Qwiic Bridge - DS28E17</v>
      </c>
    </row>
    <row r="116" spans="3:5" x14ac:dyDescent="0.3">
      <c r="C116" s="50" t="str">
        <f>Secondary!F13</f>
        <v>https://www.sparkfun.com/products/14286</v>
      </c>
      <c r="D116" s="50" t="str">
        <f>Secondary!G13</f>
        <v>https://cdn.sparkfun.com/r/92-92/assets/parts/1/2/2/4/5/Qwiic_Shield_for_Arduino_X1.1_04.jpg</v>
      </c>
      <c r="E116" s="50" t="str">
        <f>Secondary!H13</f>
        <v>Qwiic Shield for Arduino</v>
      </c>
    </row>
    <row r="117" spans="3:5" x14ac:dyDescent="0.3">
      <c r="C117" s="50" t="str">
        <f>Secondary!F14</f>
        <v>https://www.sparkfun.com/products/14257</v>
      </c>
      <c r="D117" s="50" t="str">
        <f>Secondary!G14</f>
        <v>https://cdn.sparkfun.com/r/92-92/assets/parts/1/2/2/0/5/Qwiic_Mux_Shield_Arduino_04.jpg</v>
      </c>
      <c r="E117" s="50" t="str">
        <f>Secondary!H14</f>
        <v>Qwiic Mux Shield for Arduino - PCA9548A</v>
      </c>
    </row>
    <row r="118" spans="3:5" x14ac:dyDescent="0.3">
      <c r="C118" s="50" t="str">
        <f>Secondary!F15</f>
        <v>https://www.sparkfun.com/products/14293</v>
      </c>
      <c r="D118" s="50" t="str">
        <f>Secondary!G15</f>
        <v>https://cdn.sparkfun.com/r/92-92/assets/parts/1/2/2/5/2/Qwiic-Mux-PCA9548A-3.jpg</v>
      </c>
      <c r="E118" s="50" t="str">
        <f>Secondary!H15</f>
        <v>Qwiic Mux - PCA9548A</v>
      </c>
    </row>
    <row r="119" spans="3:5" x14ac:dyDescent="0.3">
      <c r="C119" s="50" t="str">
        <f>Secondary!F16</f>
        <v>https://www.sparkfun.com/products/14289</v>
      </c>
      <c r="D119" s="50" t="str">
        <f>Secondary!G16</f>
        <v>https://cdn.sparkfun.com/r/92-92/assets/parts/1/2/2/4/8/Qwiic-AK9750-3.jpg</v>
      </c>
      <c r="E119" s="50" t="str">
        <f>Secondary!H16</f>
        <v>Qwiic Human Presence Sensor - AK9750</v>
      </c>
    </row>
    <row r="120" spans="3:5" x14ac:dyDescent="0.3">
      <c r="C120" s="50" t="str">
        <f>'Advanced&amp;Optional'!F2</f>
        <v>https://www.sparkfun.com/products/12885</v>
      </c>
      <c r="D120" s="50" t="str">
        <f>'Advanced&amp;Optional'!G2</f>
        <v>https://cdn.sparkfun.com/r/92-92/assets/parts/9/7/7/2/12885-01.jpg</v>
      </c>
      <c r="E120" s="50" t="str">
        <f>'Advanced&amp;Optional'!H2</f>
        <v>SparkFun Sunny Buddy - MPPT Solar Charger</v>
      </c>
    </row>
    <row r="121" spans="3:5" x14ac:dyDescent="0.3">
      <c r="C121" s="50" t="str">
        <f>'Advanced&amp;Optional'!F4</f>
        <v>https://www.sparkfun.com/products/14416</v>
      </c>
      <c r="D121" s="50" t="str">
        <f>'Advanced&amp;Optional'!G4</f>
        <v>https://cdn.sparkfun.com/r/92-92/assets/parts/1/2/4/4/2/20170801_112457_Scaled.jpg</v>
      </c>
      <c r="E121" s="50" t="str">
        <f>'Advanced&amp;Optional'!H4</f>
        <v>GeoFence - GPS Boundary Widget</v>
      </c>
    </row>
    <row r="122" spans="3:5" x14ac:dyDescent="0.3">
      <c r="C122" s="50" t="str">
        <f>'Advanced&amp;Optional'!F5</f>
        <v>https://www.sparkfun.com/products/13750</v>
      </c>
      <c r="D122" s="50" t="str">
        <f>'Advanced&amp;Optional'!G5</f>
        <v>https://cdn.sparkfun.com/r/92-92/assets/parts/1/1/2/8/4/13750-01.jpg</v>
      </c>
      <c r="E122" s="50" t="str">
        <f>'Advanced&amp;Optional'!H5</f>
        <v>SparkFun GPS Logger Shield</v>
      </c>
    </row>
    <row r="123" spans="3:5" x14ac:dyDescent="0.3">
      <c r="C123" s="50" t="str">
        <f>'Advanced&amp;Optional'!F6</f>
        <v>https://www.sparkfun.com/products/10920</v>
      </c>
      <c r="D123" s="50" t="str">
        <f>'Advanced&amp;Optional'!G6</f>
        <v>https://cdn.sparkfun.com/r/92-92/assets/parts/6/0/5/3/10920-01a.jpg</v>
      </c>
      <c r="E123" s="50" t="str">
        <f>'Advanced&amp;Optional'!H6</f>
        <v>SparkFun Venus GPS Logger - SMA Connector</v>
      </c>
    </row>
    <row r="124" spans="3:5" x14ac:dyDescent="0.3">
      <c r="C124" s="50" t="str">
        <f>'Advanced&amp;Optional'!F13</f>
        <v>https://www.sparkfun.com/products/14117</v>
      </c>
      <c r="D124" s="50" t="str">
        <f>'Advanced&amp;Optional'!G13</f>
        <v>https://cdn.sparkfun.com/r/92-92/assets/parts/1/2/0/0/3/14117-04a.jpg</v>
      </c>
      <c r="E124" s="50" t="str">
        <f>'Advanced&amp;Optional'!H13</f>
        <v>Scanse Sweep</v>
      </c>
    </row>
    <row r="125" spans="3:5" x14ac:dyDescent="0.3">
      <c r="C125" s="50" t="str">
        <f>'Advanced&amp;Optional'!F15</f>
        <v>https://www.sparkfun.com/products/13284</v>
      </c>
      <c r="D125" s="50" t="str">
        <f>'Advanced&amp;Optional'!G15</f>
        <v>https://cdn.sparkfun.com/r/92-92/assets/parts/1/0/5/3/3/13284-02.jpg</v>
      </c>
      <c r="E125" s="50" t="str">
        <f>'Advanced&amp;Optional'!H15</f>
        <v>SparkFun 9DoF IMU Breakout - LSM9DS1</v>
      </c>
    </row>
    <row r="126" spans="3:5" x14ac:dyDescent="0.3">
      <c r="C126" s="50" t="str">
        <f>'Advanced&amp;Optional'!F16</f>
        <v>https://www.sparkfun.com/products/13762</v>
      </c>
      <c r="D126" s="50" t="str">
        <f>'Advanced&amp;Optional'!G16</f>
        <v>https://cdn.sparkfun.com/r/92-92/assets/parts/1/1/3/0/6/13762-00a.jpg</v>
      </c>
      <c r="E126" s="50" t="str">
        <f>'Advanced&amp;Optional'!H16</f>
        <v>SparkFun IMU Breakout - MPU-9250</v>
      </c>
    </row>
    <row r="127" spans="3:5" x14ac:dyDescent="0.3">
      <c r="C127" s="50" t="str">
        <f>'Advanced&amp;Optional'!F17</f>
        <v>https://www.sparkfun.com/products/12725</v>
      </c>
      <c r="D127" s="50" t="str">
        <f>'Advanced&amp;Optional'!G17</f>
        <v>https://cdn.sparkfun.com/r/92-92/assets/parts/9/4/8/2/12725-01.jpg</v>
      </c>
      <c r="E127" s="50" t="str">
        <f>'Advanced&amp;Optional'!H17</f>
        <v>Display Module - 7\" Touchscreen LCD</v>
      </c>
    </row>
    <row r="128" spans="3:5" x14ac:dyDescent="0.3">
      <c r="C128" s="50" t="str">
        <f>'Advanced&amp;Optional'!F18</f>
        <v>https://www.sparkfun.com/products/11741</v>
      </c>
      <c r="D128" s="50" t="str">
        <f>'Advanced&amp;Optional'!G18</f>
        <v>https://cdn.sparkfun.com/r/92-92/assets/parts/7/9/6/3/11741-01a.jpg</v>
      </c>
      <c r="E128" s="50" t="str">
        <f>'Advanced&amp;Optional'!H18</f>
        <v>Arduino Display Module - 3.2\" Touchscreen LCD</v>
      </c>
    </row>
    <row r="129" spans="3:5" x14ac:dyDescent="0.3">
      <c r="C129" s="50" t="str">
        <f>'Advanced&amp;Optional'!F19</f>
        <v>https://www.sparkfun.com/products/11677</v>
      </c>
      <c r="D129" s="50" t="str">
        <f>'Advanced&amp;Optional'!G19</f>
        <v>https://cdn.sparkfun.com/r/92-92/assets/parts/7/7/7/7/11677-01.jpg</v>
      </c>
      <c r="E129" s="50" t="str">
        <f>'Advanced&amp;Optional'!H19</f>
        <v>Serial TFT LCD - 3.2\" with Touchscreen (uLCD-32PTU-GFX)</v>
      </c>
    </row>
    <row r="130" spans="3:5" x14ac:dyDescent="0.3">
      <c r="C130" s="50" t="str">
        <f>'Advanced&amp;Optional'!F23</f>
        <v>https://www.sparkfun.com/products/14022</v>
      </c>
      <c r="D130" s="50" t="str">
        <f>'Advanced&amp;Optional'!G23</f>
        <v>https://cdn.sparkfun.com/r/92-92/assets/parts/1/1/8/2/8/14022-01a.jpg</v>
      </c>
      <c r="E130" s="50" t="str">
        <f>'Advanced&amp;Optional'!H23</f>
        <v>BITalino (r)evolution Board Kit</v>
      </c>
    </row>
    <row r="131" spans="3:5" x14ac:dyDescent="0.3">
      <c r="C131" s="50" t="str">
        <f>'Advanced&amp;Optional'!F24</f>
        <v>https://www.sparkfun.com/products/13316</v>
      </c>
      <c r="D131" s="50" t="str">
        <f>'Advanced&amp;Optional'!G24</f>
        <v>https://cdn.sparkfun.com/r/92-92/assets/parts/1/0/6/0/0/13316-01a.jpg</v>
      </c>
      <c r="E131" s="50" t="str">
        <f>'Advanced&amp;Optional'!H24</f>
        <v>EasyVR Shield 3.0 - Voice Recognition Shield</v>
      </c>
    </row>
    <row r="132" spans="3:5" x14ac:dyDescent="0.3">
      <c r="C132" s="50" t="str">
        <f>'SmartHome&amp;IoT'!F2</f>
        <v>https://www.sparkfun.com/products/14135</v>
      </c>
      <c r="D132" s="50" t="str">
        <f>'SmartHome&amp;IoT'!G2</f>
        <v>https://cdn.sparkfun.com/r/92-92/assets/parts/1/2/0/3/4/14135-03.jpg</v>
      </c>
      <c r="E132" s="50" t="str">
        <f>'SmartHome&amp;IoT'!H2</f>
        <v>Arduino Tian</v>
      </c>
    </row>
    <row r="133" spans="3:5" x14ac:dyDescent="0.3">
      <c r="C133" s="50" t="str">
        <f>'SmartHome&amp;IoT'!F3</f>
        <v>https://www.sparkfun.com/products/14162</v>
      </c>
      <c r="D133" s="50" t="str">
        <f>'SmartHome&amp;IoT'!G3</f>
        <v>https://cdn.sparkfun.com/r/92-92/assets/parts/1/2/0/7/6/14162-02.jpg</v>
      </c>
      <c r="E133" s="50" t="str">
        <f>'SmartHome&amp;IoT'!H3</f>
        <v>BeagleBone Black Wireless</v>
      </c>
    </row>
    <row r="134" spans="3:5" x14ac:dyDescent="0.3">
      <c r="C134" s="50" t="str">
        <f>'SmartHome&amp;IoT'!F4</f>
        <v>https://www.sparkfun.com/products/12774</v>
      </c>
      <c r="D134" s="50" t="str">
        <f>'SmartHome&amp;IoT'!G4</f>
        <v>https://cdn.sparkfun.com/r/92-92/assets/parts/9/5/5/9/12774-02.jpg</v>
      </c>
      <c r="E134" s="50" t="str">
        <f>'SmartHome&amp;IoT'!H4</f>
        <v>SparkFun BeagleBone Black Proto Cape</v>
      </c>
    </row>
    <row r="135" spans="3:5" x14ac:dyDescent="0.3">
      <c r="C135" s="50" t="str">
        <f>'SmartHome&amp;IoT'!F5</f>
        <v>https://www.sparkfun.com/products/12086</v>
      </c>
      <c r="D135" s="50" t="str">
        <f>'SmartHome&amp;IoT'!G5</f>
        <v>https://cdn.sparkfun.com/r/92-92/assets/parts/8/7/1/8/12086-01.jpg</v>
      </c>
      <c r="E135" s="50" t="str">
        <f>'SmartHome&amp;IoT'!H5</f>
        <v>BeagleBone Black Cape - LCD (7.0\")</v>
      </c>
    </row>
    <row r="136" spans="3:5" x14ac:dyDescent="0.3">
      <c r="C136" s="50" t="str">
        <f>'SmartHome&amp;IoT'!F6</f>
        <v>https://www.sparkfun.com/products/12085</v>
      </c>
      <c r="D136" s="50" t="str">
        <f>'SmartHome&amp;IoT'!G6</f>
        <v>https://cdn.sparkfun.com/r/92-92/assets/parts/8/7/1/7/12085-01.jpg</v>
      </c>
      <c r="E136" s="50" t="str">
        <f>'SmartHome&amp;IoT'!H6</f>
        <v>BeagleBone Black Cape - LCD (4.3\")</v>
      </c>
    </row>
    <row r="137" spans="3:5" x14ac:dyDescent="0.3">
      <c r="C137" s="50" t="str">
        <f>'SmartHome&amp;IoT'!F16</f>
        <v>https://www.sparkfun.com/products/9564</v>
      </c>
      <c r="D137" s="50" t="str">
        <f>'SmartHome&amp;IoT'!G16</f>
        <v>https://cdn.sparkfun.com/r/92-92/assets/parts/3/3/3/6/09564-05.jpg</v>
      </c>
      <c r="E137" s="50" t="str">
        <f>'SmartHome&amp;IoT'!H16</f>
        <v>mbed - LPC1768 (Cortex-M3)</v>
      </c>
    </row>
    <row r="138" spans="3:5" x14ac:dyDescent="0.3">
      <c r="C138" s="50" t="str">
        <f>'SmartHome&amp;IoT'!F17</f>
        <v>https://www.sparkfun.com/products/11695</v>
      </c>
      <c r="D138" s="50" t="str">
        <f>'SmartHome&amp;IoT'!G17</f>
        <v>https://cdn.sparkfun.com/r/92-92/assets/parts/7/8/5/9/11695-01.jpg</v>
      </c>
      <c r="E138" s="50" t="str">
        <f>'SmartHome&amp;IoT'!H17</f>
        <v>mbed Application Board</v>
      </c>
    </row>
    <row r="139" spans="3:5" x14ac:dyDescent="0.3">
      <c r="C139" s="50" t="str">
        <f>'SmartHome&amp;IoT'!F18</f>
        <v>https://www.sparkfun.com/products/13097</v>
      </c>
      <c r="D139" s="50" t="str">
        <f>'SmartHome&amp;IoT'!G18</f>
        <v>https://cdn.sparkfun.com/r/92-92/assets/parts/1/0/1/3/9/13097-06.jpg</v>
      </c>
      <c r="E139" s="50" t="str">
        <f>'SmartHome&amp;IoT'!H18</f>
        <v>IntelÂ® Edison and Arduino Breakout Kit</v>
      </c>
    </row>
    <row r="140" spans="3:5" x14ac:dyDescent="0.3">
      <c r="C140" s="50" t="str">
        <f>'SmartHome&amp;IoT'!F19</f>
        <v>https://www.sparkfun.com/products/13045</v>
      </c>
      <c r="D140" s="50" t="str">
        <f>'SmartHome&amp;IoT'!G19</f>
        <v>https://cdn.sparkfun.com/r/92-92/assets/parts/1/0/0/4/7/13045-01.jpg</v>
      </c>
      <c r="E140" s="50" t="str">
        <f>'SmartHome&amp;IoT'!H19</f>
        <v>SparkFun Block for IntelÂ® Edison - Base</v>
      </c>
    </row>
    <row r="141" spans="3:5" x14ac:dyDescent="0.3">
      <c r="C141" s="50" t="str">
        <f>'SmartHome&amp;IoT'!F20</f>
        <v>https://www.sparkfun.com/products/13038</v>
      </c>
      <c r="D141" s="50" t="str">
        <f>'SmartHome&amp;IoT'!G20</f>
        <v>https://cdn.sparkfun.com/r/92-92/assets/parts/1/0/0/3/9/13038-04.jpg</v>
      </c>
      <c r="E141" s="50" t="str">
        <f>'SmartHome&amp;IoT'!H20</f>
        <v>SparkFun Block for IntelÂ® Edison - GPIO</v>
      </c>
    </row>
    <row r="142" spans="3:5" x14ac:dyDescent="0.3">
      <c r="C142" s="50" t="str">
        <f>'SmartHome&amp;IoT'!F21</f>
        <v>https://www.sparkfun.com/products/13034</v>
      </c>
      <c r="D142" s="50" t="str">
        <f>'SmartHome&amp;IoT'!G21</f>
        <v>https://cdn.sparkfun.com/r/92-92/assets/parts/1/0/0/3/5/13034-01_1.jpg</v>
      </c>
      <c r="E142" s="50" t="str">
        <f>'SmartHome&amp;IoT'!H21</f>
        <v>SparkFun Block for IntelÂ® Edison - I2C</v>
      </c>
    </row>
    <row r="143" spans="3:5" x14ac:dyDescent="0.3">
      <c r="C143" s="50" t="str">
        <f>'SmartHome&amp;IoT'!F22</f>
        <v>https://www.sparkfun.com/products/13041</v>
      </c>
      <c r="D143" s="50" t="str">
        <f>'SmartHome&amp;IoT'!G22</f>
        <v>https://cdn.sparkfun.com/r/92-92/assets/parts/1/0/0/4/2/13041-01.jpg</v>
      </c>
      <c r="E143" s="50" t="str">
        <f>'SmartHome&amp;IoT'!H22</f>
        <v>SparkFun Block for IntelÂ® Edison - microSD</v>
      </c>
    </row>
    <row r="144" spans="3:5" x14ac:dyDescent="0.3">
      <c r="C144" s="50" t="str">
        <f>'SmartHome&amp;IoT'!F23</f>
        <v>https://www.sparkfun.com/products/13727</v>
      </c>
      <c r="D144" s="50" t="str">
        <f>'SmartHome&amp;IoT'!G23</f>
        <v>https://cdn.sparkfun.com/r/92-92/assets/parts/1/1/2/3/7/13727-01.jpg</v>
      </c>
      <c r="E144" s="50" t="str">
        <f>'SmartHome&amp;IoT'!H23</f>
        <v>SparkFun Block for IntelÂ® Edison - Power</v>
      </c>
    </row>
    <row r="145" spans="3:5" x14ac:dyDescent="0.3">
      <c r="C145" s="50" t="str">
        <f>'SmartHome&amp;IoT'!F24</f>
        <v>https://www.sparkfun.com/products/13035</v>
      </c>
      <c r="D145" s="50" t="str">
        <f>'SmartHome&amp;IoT'!G24</f>
        <v>https://cdn.sparkfun.com/r/92-92/assets/parts/1/0/0/3/6/13035-01.jpg</v>
      </c>
      <c r="E145" s="50" t="str">
        <f>'SmartHome&amp;IoT'!H24</f>
        <v>SparkFun Block for IntelÂ® Edison - OLED</v>
      </c>
    </row>
    <row r="146" spans="3:5" x14ac:dyDescent="0.3">
      <c r="C146" s="50" t="str">
        <f>'SmartHome&amp;IoT'!F25</f>
        <v>https://www.sparkfun.com/products/13770</v>
      </c>
      <c r="D146" s="50" t="str">
        <f>'SmartHome&amp;IoT'!G25</f>
        <v>https://cdn.sparkfun.com/r/92-92/assets/parts/1/1/3/2/1/13770-00.jpg</v>
      </c>
      <c r="E146" s="50" t="str">
        <f>'SmartHome&amp;IoT'!H25</f>
        <v>SparkFun Block for Intel Edison - ADC</v>
      </c>
    </row>
    <row r="147" spans="3:5" x14ac:dyDescent="0.3">
      <c r="C147" s="50" t="str">
        <f>'SmartHome&amp;IoT'!F26</f>
        <v>https://www.sparkfun.com/products/13187</v>
      </c>
      <c r="D147" s="50" t="str">
        <f>'SmartHome&amp;IoT'!G26</f>
        <v>https://cdn.sparkfun.com/r/92-92/assets/parts/1/0/3/2/4/13187-01.jpg</v>
      </c>
      <c r="E147" s="50" t="str">
        <f>'SmartHome&amp;IoT'!H26</f>
        <v>IntelÂ® Edison Hardware Pack</v>
      </c>
    </row>
    <row r="148" spans="3:5" x14ac:dyDescent="0.3">
      <c r="C148" s="50" t="str">
        <f>'SmartHome&amp;IoT'!F27</f>
        <v>https://www.sparkfun.com/products/14438</v>
      </c>
      <c r="D148" s="50" t="str">
        <f>'SmartHome&amp;IoT'!G27</f>
        <v>https://cdn.sparkfun.com/r/92-92/assets/parts/1/2/4/6/8/14438-01.jpg</v>
      </c>
      <c r="E148" s="50" t="str">
        <f>'SmartHome&amp;IoT'!H27</f>
        <v>Arduino Dock R2 for Onion Omega</v>
      </c>
    </row>
    <row r="149" spans="3:5" x14ac:dyDescent="0.3">
      <c r="C149" s="50" t="str">
        <f>'SmartHome&amp;IoT'!F28</f>
        <v>https://www.sparkfun.com/products/14431</v>
      </c>
      <c r="D149" s="50" t="str">
        <f>'SmartHome&amp;IoT'!G28</f>
        <v>https://cdn.sparkfun.com/r/92-92/assets/parts/1/2/4/6/1/14431-01.jpg</v>
      </c>
      <c r="E149" s="50" t="str">
        <f>'SmartHome&amp;IoT'!H28</f>
        <v>Onion Omega2+ IoT Computer</v>
      </c>
    </row>
    <row r="150" spans="3:5" x14ac:dyDescent="0.3">
      <c r="C150" s="50" t="str">
        <f>'SmartHome&amp;IoT'!F29</f>
        <v>https://www.sparkfun.com/products/14443</v>
      </c>
      <c r="D150" s="50" t="str">
        <f>'SmartHome&amp;IoT'!G29</f>
        <v>https://cdn.sparkfun.com/r/92-92/assets/parts/1/2/4/7/3/14443-01.jpg</v>
      </c>
      <c r="E150" s="50" t="str">
        <f>'SmartHome&amp;IoT'!H29</f>
        <v>Proto Expansion Board for Onion Omega</v>
      </c>
    </row>
    <row r="151" spans="3:5" x14ac:dyDescent="0.3">
      <c r="C151" s="50" t="str">
        <f>'SmartHome&amp;IoT'!F30</f>
        <v>https://www.sparkfun.com/products/14442</v>
      </c>
      <c r="D151" s="50" t="str">
        <f>'SmartHome&amp;IoT'!G30</f>
        <v>https://cdn.sparkfun.com/r/92-92/assets/parts/1/2/4/7/2/14442-01.jpg</v>
      </c>
      <c r="E151" s="50" t="str">
        <f>'SmartHome&amp;IoT'!H30</f>
        <v>OLED Expansion Board for Onion Omega</v>
      </c>
    </row>
    <row r="152" spans="3:5" x14ac:dyDescent="0.3">
      <c r="C152" s="50" t="str">
        <f>'SmartHome&amp;IoT'!F31</f>
        <v>https://www.sparkfun.com/products/14441</v>
      </c>
      <c r="D152" s="50" t="str">
        <f>'SmartHome&amp;IoT'!G31</f>
        <v>https://cdn.sparkfun.com/r/92-92/assets/parts/1/2/4/7/1/14441-02.jpg</v>
      </c>
      <c r="E152" s="50" t="str">
        <f>'SmartHome&amp;IoT'!H31</f>
        <v>Ethernet Expansion Board for Onion Omega</v>
      </c>
    </row>
    <row r="153" spans="3:5" x14ac:dyDescent="0.3">
      <c r="C153" s="50" t="str">
        <f>'SmartHome&amp;IoT'!F34</f>
        <v>https://www.sparkfun.com/products/14439</v>
      </c>
      <c r="D153" s="50" t="str">
        <f>'SmartHome&amp;IoT'!G34</f>
        <v>https://cdn.sparkfun.com/r/92-92/assets/parts/1/2/4/6/9/14439-03.jpg</v>
      </c>
      <c r="E153" s="50" t="str">
        <f>'SmartHome&amp;IoT'!H34</f>
        <v>Expansion Dock for Onion Omega</v>
      </c>
    </row>
    <row r="154" spans="3:5" x14ac:dyDescent="0.3">
      <c r="C154" s="50" t="str">
        <f>'SmartHome&amp;IoT'!F35</f>
        <v>https://www.sparkfun.com/products/14431</v>
      </c>
      <c r="D154" s="50" t="str">
        <f>'SmartHome&amp;IoT'!G35</f>
        <v>https://cdn.sparkfun.com/r/92-92/assets/parts/1/2/4/6/1/14431-01.jpg</v>
      </c>
      <c r="E154" s="50" t="str">
        <f>'SmartHome&amp;IoT'!H35</f>
        <v>Onion Omega2+ IoT Computer</v>
      </c>
    </row>
    <row r="155" spans="3:5" x14ac:dyDescent="0.3">
      <c r="C155" s="50" t="str">
        <f>'SmartHome&amp;IoT'!F36</f>
        <v>https://www.sparkfun.com/products/14446</v>
      </c>
      <c r="D155" s="50" t="str">
        <f>'SmartHome&amp;IoT'!G36</f>
        <v>https://cdn.sparkfun.com/r/92-92/assets/parts/1/2/4/7/6/14446-01.jpg</v>
      </c>
      <c r="E155" s="50" t="str">
        <f>'SmartHome&amp;IoT'!H36</f>
        <v>GPS Expansion Board for Onion Omega</v>
      </c>
    </row>
    <row r="156" spans="3:5" x14ac:dyDescent="0.3">
      <c r="C156" s="50" t="str">
        <f>'SmartHome&amp;IoT'!F37</f>
        <v>https://www.sparkfun.com/products/14443</v>
      </c>
      <c r="D156" s="50" t="str">
        <f>'SmartHome&amp;IoT'!G37</f>
        <v>https://cdn.sparkfun.com/r/92-92/assets/parts/1/2/4/7/3/14443-01.jpg</v>
      </c>
      <c r="E156" s="50" t="str">
        <f>'SmartHome&amp;IoT'!H37</f>
        <v>Proto Expansion Board for Onion Omega</v>
      </c>
    </row>
    <row r="157" spans="3:5" x14ac:dyDescent="0.3">
      <c r="C157" s="50" t="str">
        <f>'SmartHome&amp;IoT'!F38</f>
        <v>https://www.sparkfun.com/products/14442</v>
      </c>
      <c r="D157" s="50" t="str">
        <f>'SmartHome&amp;IoT'!G38</f>
        <v>https://cdn.sparkfun.com/r/92-92/assets/parts/1/2/4/7/2/14442-01.jpg</v>
      </c>
      <c r="E157" s="50" t="str">
        <f>'SmartHome&amp;IoT'!H38</f>
        <v>OLED Expansion Board for Onion Omega</v>
      </c>
    </row>
    <row r="158" spans="3:5" x14ac:dyDescent="0.3">
      <c r="C158" s="50" t="str">
        <f>'SmartHome&amp;IoT'!F39</f>
        <v>https://www.sparkfun.com/products/13613</v>
      </c>
      <c r="D158" s="50" t="str">
        <f>'SmartHome&amp;IoT'!G39</f>
        <v>https://cdn.sparkfun.com/r/92-92/assets/parts/1/0/9/8/3/13613-01.jpg</v>
      </c>
      <c r="E158" s="50" t="str">
        <f>'SmartHome&amp;IoT'!H39</f>
        <v>IOIO-OTG - V2.2</v>
      </c>
    </row>
    <row r="159" spans="3:5" x14ac:dyDescent="0.3">
      <c r="C159" s="50" t="str">
        <f>'SmartHome&amp;IoT'!F40</f>
        <v>https://www.sparkfun.com/products/12923</v>
      </c>
      <c r="D159" s="50" t="str">
        <f>'SmartHome&amp;IoT'!G40</f>
        <v>https://cdn.sparkfun.com/r/92-92/assets/parts/9/8/4/5/12923-01.jpg</v>
      </c>
      <c r="E159" s="50" t="str">
        <f>'SmartHome&amp;IoT'!H40</f>
        <v>SparkFun MicroView - OLED Arduino Module</v>
      </c>
    </row>
    <row r="160" spans="3:5" x14ac:dyDescent="0.3">
      <c r="C160" s="50" t="str">
        <f>'SmartHome&amp;IoT'!F41</f>
        <v>https://www.sparkfun.com/products/12924</v>
      </c>
      <c r="D160" s="50" t="str">
        <f>'SmartHome&amp;IoT'!G41</f>
        <v>https://cdn.sparkfun.com/r/92-92/assets/parts/9/8/4/6/12924-01.jpg</v>
      </c>
      <c r="E160" s="50" t="str">
        <f>'SmartHome&amp;IoT'!H41</f>
        <v>SparkFun MicroView - USB Programmer</v>
      </c>
    </row>
    <row r="161" spans="2:5" x14ac:dyDescent="0.3">
      <c r="C161" s="50" t="str">
        <f>'SmartHome&amp;IoT'!F42</f>
        <v>https://www.sparkfun.com/products/14280</v>
      </c>
      <c r="D161" s="50" t="str">
        <f>'SmartHome&amp;IoT'!G42</f>
        <v>https://cdn.sparkfun.com/r/92-92/assets/parts/1/2/2/3/6/14280-01.jpg</v>
      </c>
      <c r="E161" s="50" t="str">
        <f>'SmartHome&amp;IoT'!H42</f>
        <v>Realtek Ameba Board</v>
      </c>
    </row>
    <row r="164" spans="2:5" s="50" customFormat="1" x14ac:dyDescent="0.3">
      <c r="B164" s="50">
        <v>5</v>
      </c>
      <c r="C164" s="50" t="s">
        <v>57</v>
      </c>
      <c r="D164" s="50" t="s">
        <v>58</v>
      </c>
      <c r="E164" s="50" t="s">
        <v>59</v>
      </c>
    </row>
    <row r="165" spans="2:5" s="50" customFormat="1" x14ac:dyDescent="0.3">
      <c r="B165" s="50">
        <v>5</v>
      </c>
      <c r="C165" s="50" t="s">
        <v>61</v>
      </c>
      <c r="D165" s="50" t="s">
        <v>62</v>
      </c>
      <c r="E165" s="50" t="s">
        <v>63</v>
      </c>
    </row>
    <row r="166" spans="2:5" s="50" customFormat="1" x14ac:dyDescent="0.3">
      <c r="B166" s="50">
        <v>5</v>
      </c>
      <c r="C166" s="50" t="s">
        <v>65</v>
      </c>
      <c r="D166" s="50" t="s">
        <v>66</v>
      </c>
      <c r="E166" s="50" t="s">
        <v>67</v>
      </c>
    </row>
    <row r="167" spans="2:5" s="50" customFormat="1" x14ac:dyDescent="0.3">
      <c r="B167" s="50">
        <v>10</v>
      </c>
      <c r="C167" s="50" t="s">
        <v>69</v>
      </c>
      <c r="D167" s="50" t="s">
        <v>70</v>
      </c>
      <c r="E167" s="50" t="s">
        <v>71</v>
      </c>
    </row>
  </sheetData>
  <mergeCells count="1">
    <mergeCell ref="D1:G1"/>
  </mergeCells>
  <pageMargins left="0.7" right="0.7" top="0.75" bottom="0.75" header="0.3" footer="0.3"/>
  <pageSetup orientation="portrait" horizontalDpi="4294967294" verticalDpi="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3FD9-9B14-42ED-9E77-C54A6E4442FC}">
  <sheetPr codeName="Sheet18"/>
  <dimension ref="A1:R38"/>
  <sheetViews>
    <sheetView workbookViewId="0">
      <selection activeCell="J5" sqref="J5"/>
    </sheetView>
  </sheetViews>
  <sheetFormatPr defaultRowHeight="14.4" x14ac:dyDescent="0.3"/>
  <cols>
    <col min="1" max="1" width="2" customWidth="1"/>
    <col min="2" max="2" width="4.44140625" hidden="1" customWidth="1"/>
    <col min="3" max="3" width="12.21875" hidden="1" customWidth="1"/>
    <col min="4" max="4" width="59" customWidth="1"/>
    <col min="5" max="5" width="8.88671875" style="51" hidden="1" customWidth="1"/>
    <col min="6" max="6" width="6" bestFit="1" customWidth="1"/>
    <col min="7" max="7" width="13.77734375" customWidth="1"/>
    <col min="8" max="8" width="15.33203125" bestFit="1" customWidth="1"/>
    <col min="9" max="10" width="15.33203125" customWidth="1"/>
    <col min="11" max="11" width="16" bestFit="1" customWidth="1"/>
    <col min="12" max="12" width="2.21875" bestFit="1" customWidth="1"/>
    <col min="13" max="13" width="42.44140625" bestFit="1" customWidth="1"/>
    <col min="14" max="14" width="43.21875" bestFit="1" customWidth="1"/>
    <col min="16" max="16" width="10.77734375" bestFit="1" customWidth="1"/>
    <col min="17" max="17" width="166.88671875" bestFit="1" customWidth="1"/>
  </cols>
  <sheetData>
    <row r="1" spans="1:18" x14ac:dyDescent="0.3">
      <c r="G1" t="s">
        <v>2511</v>
      </c>
      <c r="H1" t="s">
        <v>2512</v>
      </c>
      <c r="I1" t="s">
        <v>2515</v>
      </c>
      <c r="J1" t="s">
        <v>2513</v>
      </c>
      <c r="K1" t="s">
        <v>2518</v>
      </c>
    </row>
    <row r="2" spans="1:18" x14ac:dyDescent="0.3">
      <c r="A2" s="89">
        <v>1</v>
      </c>
      <c r="B2" s="12" t="s">
        <v>137</v>
      </c>
      <c r="C2" s="12" t="s">
        <v>138</v>
      </c>
      <c r="D2" s="12" t="s">
        <v>139</v>
      </c>
      <c r="E2" s="12">
        <v>1</v>
      </c>
      <c r="F2" s="89">
        <v>49.95</v>
      </c>
      <c r="G2" s="104" t="s">
        <v>2516</v>
      </c>
      <c r="H2" s="111" t="s">
        <v>2409</v>
      </c>
      <c r="K2" t="s">
        <v>2528</v>
      </c>
      <c r="L2" s="12" t="s">
        <v>1910</v>
      </c>
      <c r="M2" s="51" t="s">
        <v>894</v>
      </c>
      <c r="N2" s="51" t="s">
        <v>888</v>
      </c>
      <c r="O2" s="51" t="s">
        <v>8</v>
      </c>
    </row>
    <row r="3" spans="1:18" s="105" customFormat="1" x14ac:dyDescent="0.3">
      <c r="A3" s="104">
        <v>1</v>
      </c>
      <c r="B3" s="103" t="s">
        <v>231</v>
      </c>
      <c r="C3" s="103" t="s">
        <v>232</v>
      </c>
      <c r="D3" s="103" t="s">
        <v>198</v>
      </c>
      <c r="E3" s="103">
        <v>1</v>
      </c>
      <c r="F3" s="104">
        <v>54.95</v>
      </c>
      <c r="G3" s="104" t="s">
        <v>194</v>
      </c>
      <c r="H3" s="104" t="s">
        <v>2514</v>
      </c>
      <c r="I3" s="104" t="s">
        <v>2514</v>
      </c>
      <c r="J3" s="104" t="s">
        <v>2514</v>
      </c>
      <c r="K3" s="104"/>
      <c r="L3" s="103" t="s">
        <v>1910</v>
      </c>
      <c r="M3" s="102" t="s">
        <v>894</v>
      </c>
      <c r="N3" s="102" t="s">
        <v>1896</v>
      </c>
      <c r="O3" s="102" t="s">
        <v>8</v>
      </c>
      <c r="P3" s="103" t="s">
        <v>230</v>
      </c>
      <c r="R3" s="105">
        <v>54.95</v>
      </c>
    </row>
    <row r="4" spans="1:18" s="105" customFormat="1" x14ac:dyDescent="0.3">
      <c r="A4" s="104">
        <v>5</v>
      </c>
      <c r="B4" s="103" t="s">
        <v>33</v>
      </c>
      <c r="C4" s="103" t="s">
        <v>34</v>
      </c>
      <c r="D4" s="103" t="s">
        <v>35</v>
      </c>
      <c r="E4" s="103">
        <v>1</v>
      </c>
      <c r="F4" s="104">
        <v>45.95</v>
      </c>
      <c r="G4" s="104" t="s">
        <v>2516</v>
      </c>
      <c r="H4" s="104"/>
      <c r="I4" s="104"/>
      <c r="J4" s="104"/>
      <c r="K4" s="104"/>
      <c r="L4" s="103" t="s">
        <v>1911</v>
      </c>
      <c r="M4" s="102" t="s">
        <v>894</v>
      </c>
      <c r="N4" s="102" t="s">
        <v>1616</v>
      </c>
      <c r="O4" s="102" t="s">
        <v>8</v>
      </c>
      <c r="P4" s="103" t="s">
        <v>32</v>
      </c>
      <c r="R4" s="105">
        <v>229.75</v>
      </c>
    </row>
    <row r="5" spans="1:18" s="105" customFormat="1" x14ac:dyDescent="0.3">
      <c r="A5" s="104">
        <v>5</v>
      </c>
      <c r="B5" s="103" t="s">
        <v>37</v>
      </c>
      <c r="C5" s="103" t="s">
        <v>38</v>
      </c>
      <c r="D5" s="102" t="s">
        <v>39</v>
      </c>
      <c r="E5" s="102">
        <v>1</v>
      </c>
      <c r="F5" s="111">
        <v>29.95</v>
      </c>
      <c r="G5" s="111" t="s">
        <v>2409</v>
      </c>
      <c r="H5" s="111" t="s">
        <v>2409</v>
      </c>
      <c r="I5" s="111"/>
      <c r="J5" s="111" t="s">
        <v>2526</v>
      </c>
      <c r="K5" s="111" t="s">
        <v>194</v>
      </c>
      <c r="L5" s="102" t="s">
        <v>1911</v>
      </c>
      <c r="M5" s="103" t="s">
        <v>894</v>
      </c>
      <c r="N5" s="103" t="s">
        <v>2040</v>
      </c>
      <c r="O5" s="103" t="s">
        <v>8</v>
      </c>
      <c r="P5" s="103" t="s">
        <v>36</v>
      </c>
      <c r="R5" s="105">
        <v>149.75</v>
      </c>
    </row>
    <row r="6" spans="1:18" s="105" customFormat="1" ht="43.2" x14ac:dyDescent="0.3">
      <c r="A6" s="104">
        <v>5</v>
      </c>
      <c r="B6" s="103" t="s">
        <v>41</v>
      </c>
      <c r="C6" s="103" t="s">
        <v>42</v>
      </c>
      <c r="D6" s="102" t="s">
        <v>43</v>
      </c>
      <c r="E6" s="102">
        <v>1</v>
      </c>
      <c r="F6" s="111">
        <v>14.95</v>
      </c>
      <c r="G6" s="136" t="s">
        <v>2527</v>
      </c>
      <c r="H6" s="111" t="s">
        <v>2409</v>
      </c>
      <c r="I6" s="111"/>
      <c r="J6" s="111" t="s">
        <v>194</v>
      </c>
      <c r="K6" s="111" t="s">
        <v>194</v>
      </c>
      <c r="L6" s="102" t="s">
        <v>1911</v>
      </c>
      <c r="M6" s="103" t="s">
        <v>894</v>
      </c>
      <c r="N6" s="103" t="s">
        <v>2040</v>
      </c>
      <c r="O6" s="103" t="s">
        <v>8</v>
      </c>
      <c r="P6" s="103" t="s">
        <v>40</v>
      </c>
      <c r="R6" s="105">
        <v>74.75</v>
      </c>
    </row>
    <row r="7" spans="1:18" s="105" customFormat="1" x14ac:dyDescent="0.3">
      <c r="A7" s="104">
        <v>1</v>
      </c>
      <c r="B7" s="103" t="s">
        <v>49</v>
      </c>
      <c r="C7" s="103" t="s">
        <v>50</v>
      </c>
      <c r="D7" s="102" t="s">
        <v>51</v>
      </c>
      <c r="E7" s="102">
        <v>1</v>
      </c>
      <c r="F7" s="111">
        <v>19.95</v>
      </c>
      <c r="G7" s="111" t="s">
        <v>2409</v>
      </c>
      <c r="H7" s="111" t="s">
        <v>2409</v>
      </c>
      <c r="I7" s="111"/>
      <c r="J7" s="104" t="s">
        <v>2514</v>
      </c>
      <c r="K7" s="104" t="s">
        <v>2514</v>
      </c>
      <c r="L7" s="102" t="s">
        <v>1910</v>
      </c>
      <c r="M7" s="103" t="s">
        <v>894</v>
      </c>
      <c r="N7" s="103" t="s">
        <v>2040</v>
      </c>
      <c r="O7" s="103" t="s">
        <v>8</v>
      </c>
      <c r="P7" s="103" t="s">
        <v>48</v>
      </c>
      <c r="R7" s="105">
        <v>19.95</v>
      </c>
    </row>
    <row r="8" spans="1:18" s="105" customFormat="1" x14ac:dyDescent="0.3">
      <c r="A8" s="104">
        <v>5</v>
      </c>
      <c r="B8" s="103" t="s">
        <v>45</v>
      </c>
      <c r="C8" s="103" t="s">
        <v>46</v>
      </c>
      <c r="D8" s="102" t="s">
        <v>47</v>
      </c>
      <c r="E8" s="102">
        <v>1</v>
      </c>
      <c r="F8" s="111">
        <v>9.9499999999999993</v>
      </c>
      <c r="G8" s="104" t="s">
        <v>2516</v>
      </c>
      <c r="H8" s="111"/>
      <c r="I8" s="111"/>
      <c r="J8" s="111"/>
      <c r="K8" s="111"/>
      <c r="L8" s="102" t="s">
        <v>1911</v>
      </c>
      <c r="M8" s="103" t="s">
        <v>894</v>
      </c>
      <c r="N8" s="103" t="s">
        <v>2034</v>
      </c>
      <c r="O8" s="103" t="s">
        <v>8</v>
      </c>
      <c r="P8" s="103" t="s">
        <v>44</v>
      </c>
      <c r="R8" s="105">
        <v>49.75</v>
      </c>
    </row>
    <row r="9" spans="1:18" s="105" customFormat="1" x14ac:dyDescent="0.3">
      <c r="A9" s="104">
        <v>2</v>
      </c>
      <c r="B9" s="103" t="s">
        <v>1206</v>
      </c>
      <c r="C9" s="103" t="s">
        <v>1207</v>
      </c>
      <c r="D9" s="102" t="s">
        <v>1208</v>
      </c>
      <c r="E9" s="102">
        <v>1</v>
      </c>
      <c r="F9" s="111">
        <v>9.9499999999999993</v>
      </c>
      <c r="G9" s="104" t="s">
        <v>2516</v>
      </c>
      <c r="H9" s="111"/>
      <c r="I9" s="111"/>
      <c r="J9" s="111"/>
      <c r="K9" s="111"/>
      <c r="L9" s="102" t="s">
        <v>1913</v>
      </c>
      <c r="M9" s="103" t="s">
        <v>894</v>
      </c>
      <c r="N9" s="103" t="s">
        <v>2034</v>
      </c>
      <c r="O9" s="103" t="s">
        <v>8</v>
      </c>
      <c r="P9" s="103" t="s">
        <v>1205</v>
      </c>
      <c r="R9" s="105">
        <v>19.899999999999999</v>
      </c>
    </row>
    <row r="10" spans="1:18" s="105" customFormat="1" x14ac:dyDescent="0.3">
      <c r="A10" s="104">
        <v>0</v>
      </c>
      <c r="B10" s="103"/>
      <c r="C10" s="103"/>
      <c r="D10" s="102" t="s">
        <v>2288</v>
      </c>
      <c r="E10" s="102"/>
      <c r="F10" s="111">
        <v>14.95</v>
      </c>
      <c r="G10" s="104" t="s">
        <v>2516</v>
      </c>
      <c r="H10" s="111"/>
      <c r="I10" s="111"/>
      <c r="J10" s="111"/>
      <c r="K10" s="111"/>
      <c r="L10" s="102" t="s">
        <v>1910</v>
      </c>
      <c r="M10" s="103" t="s">
        <v>894</v>
      </c>
      <c r="N10" s="103" t="s">
        <v>2034</v>
      </c>
      <c r="O10" s="103" t="s">
        <v>1898</v>
      </c>
      <c r="P10" s="103" t="s">
        <v>2287</v>
      </c>
    </row>
    <row r="11" spans="1:18" s="105" customFormat="1" x14ac:dyDescent="0.3">
      <c r="A11" s="104">
        <v>1</v>
      </c>
      <c r="B11" s="103" t="s">
        <v>1528</v>
      </c>
      <c r="C11" s="103" t="s">
        <v>1529</v>
      </c>
      <c r="D11" s="103" t="s">
        <v>1530</v>
      </c>
      <c r="E11" s="103">
        <v>1</v>
      </c>
      <c r="F11" s="104">
        <v>24.95</v>
      </c>
      <c r="G11" s="104" t="s">
        <v>2516</v>
      </c>
      <c r="H11" s="104"/>
      <c r="I11" s="104"/>
      <c r="J11" s="104" t="s">
        <v>194</v>
      </c>
      <c r="K11" s="104"/>
      <c r="L11" s="103" t="s">
        <v>1914</v>
      </c>
      <c r="M11" s="102" t="s">
        <v>1070</v>
      </c>
      <c r="N11" s="102" t="s">
        <v>1603</v>
      </c>
      <c r="O11" s="102" t="s">
        <v>8</v>
      </c>
      <c r="P11" s="103" t="s">
        <v>1527</v>
      </c>
      <c r="R11" s="105">
        <v>24.95</v>
      </c>
    </row>
    <row r="12" spans="1:18" s="70" customFormat="1" x14ac:dyDescent="0.3">
      <c r="A12" s="98">
        <v>1</v>
      </c>
      <c r="B12" s="69" t="s">
        <v>970</v>
      </c>
      <c r="C12" s="69" t="s">
        <v>971</v>
      </c>
      <c r="D12" s="69" t="s">
        <v>972</v>
      </c>
      <c r="E12" s="69">
        <v>1</v>
      </c>
      <c r="F12" s="98">
        <v>49.95</v>
      </c>
      <c r="G12" s="104" t="s">
        <v>194</v>
      </c>
      <c r="H12" s="104" t="s">
        <v>2514</v>
      </c>
      <c r="I12" s="104" t="s">
        <v>2514</v>
      </c>
      <c r="J12" s="104" t="s">
        <v>2514</v>
      </c>
      <c r="K12" s="104"/>
      <c r="L12" s="69" t="s">
        <v>1914</v>
      </c>
      <c r="M12" s="99" t="s">
        <v>1070</v>
      </c>
      <c r="N12" s="99" t="s">
        <v>1013</v>
      </c>
      <c r="O12" s="99" t="s">
        <v>8</v>
      </c>
      <c r="P12" s="69" t="s">
        <v>969</v>
      </c>
      <c r="Q12" s="69" t="s">
        <v>1056</v>
      </c>
      <c r="R12" s="69">
        <v>49.95</v>
      </c>
    </row>
    <row r="13" spans="1:18" s="70" customFormat="1" x14ac:dyDescent="0.3">
      <c r="A13" s="98">
        <v>0</v>
      </c>
      <c r="B13" s="69" t="s">
        <v>990</v>
      </c>
      <c r="C13" s="69" t="s">
        <v>991</v>
      </c>
      <c r="D13" s="69" t="s">
        <v>992</v>
      </c>
      <c r="E13" s="69">
        <v>1</v>
      </c>
      <c r="F13" s="98">
        <v>44.95</v>
      </c>
      <c r="G13" s="98"/>
      <c r="H13" s="98"/>
      <c r="I13" s="98"/>
      <c r="J13" s="98"/>
      <c r="K13" s="98"/>
      <c r="L13" s="69" t="s">
        <v>1914</v>
      </c>
      <c r="M13" s="99" t="s">
        <v>1070</v>
      </c>
      <c r="N13" s="100" t="s">
        <v>1013</v>
      </c>
      <c r="O13" s="100" t="s">
        <v>8</v>
      </c>
      <c r="P13" s="69" t="s">
        <v>989</v>
      </c>
      <c r="Q13" s="69" t="s">
        <v>1057</v>
      </c>
      <c r="R13" s="69">
        <v>0</v>
      </c>
    </row>
    <row r="14" spans="1:18" s="70" customFormat="1" x14ac:dyDescent="0.3">
      <c r="A14" s="98">
        <v>1</v>
      </c>
      <c r="B14" s="69" t="s">
        <v>954</v>
      </c>
      <c r="C14" s="69" t="s">
        <v>955</v>
      </c>
      <c r="D14" s="69" t="s">
        <v>956</v>
      </c>
      <c r="E14" s="69">
        <v>1</v>
      </c>
      <c r="F14" s="98">
        <v>59.95</v>
      </c>
      <c r="G14" s="98" t="s">
        <v>2523</v>
      </c>
      <c r="H14" s="98" t="s">
        <v>2409</v>
      </c>
      <c r="I14" s="98"/>
      <c r="J14" s="98"/>
      <c r="K14" s="98"/>
      <c r="L14" s="69" t="s">
        <v>1914</v>
      </c>
      <c r="M14" s="99" t="s">
        <v>1070</v>
      </c>
      <c r="N14" s="99" t="s">
        <v>1013</v>
      </c>
      <c r="O14" s="99" t="s">
        <v>8</v>
      </c>
      <c r="P14" s="69" t="s">
        <v>953</v>
      </c>
      <c r="Q14" s="69" t="s">
        <v>1057</v>
      </c>
      <c r="R14" s="69">
        <v>59.95</v>
      </c>
    </row>
    <row r="15" spans="1:18" x14ac:dyDescent="0.3">
      <c r="A15" s="89">
        <v>0</v>
      </c>
      <c r="B15" s="12"/>
      <c r="C15" s="12"/>
      <c r="D15" s="12" t="s">
        <v>2095</v>
      </c>
      <c r="E15" s="12"/>
      <c r="F15" s="89">
        <v>44.95</v>
      </c>
      <c r="G15" s="89" t="s">
        <v>2409</v>
      </c>
      <c r="H15" s="89" t="s">
        <v>2409</v>
      </c>
      <c r="I15" s="89"/>
      <c r="J15" s="89"/>
      <c r="K15" s="89"/>
      <c r="L15" s="12" t="s">
        <v>1910</v>
      </c>
      <c r="M15" s="12" t="s">
        <v>1070</v>
      </c>
      <c r="N15" s="12" t="s">
        <v>1013</v>
      </c>
      <c r="O15" s="12" t="s">
        <v>1898</v>
      </c>
      <c r="P15" s="12" t="s">
        <v>2094</v>
      </c>
    </row>
    <row r="16" spans="1:18" x14ac:dyDescent="0.3">
      <c r="A16" s="89">
        <v>1</v>
      </c>
      <c r="B16" s="12"/>
      <c r="C16" s="12"/>
      <c r="D16" s="12" t="s">
        <v>2072</v>
      </c>
      <c r="E16" s="12"/>
      <c r="F16" s="89">
        <v>39.950000000000003</v>
      </c>
      <c r="G16" s="89"/>
      <c r="H16" s="89"/>
      <c r="I16" s="89"/>
      <c r="J16" s="89"/>
      <c r="K16" s="89"/>
      <c r="L16" s="12" t="s">
        <v>1910</v>
      </c>
      <c r="M16" s="12" t="s">
        <v>1070</v>
      </c>
      <c r="N16" s="12" t="s">
        <v>2065</v>
      </c>
      <c r="O16" s="12" t="s">
        <v>1898</v>
      </c>
      <c r="P16" s="12" t="s">
        <v>2073</v>
      </c>
    </row>
    <row r="17" spans="1:18" s="70" customFormat="1" x14ac:dyDescent="0.3">
      <c r="A17" s="98">
        <v>1</v>
      </c>
      <c r="B17" s="69" t="s">
        <v>974</v>
      </c>
      <c r="C17" s="69" t="s">
        <v>975</v>
      </c>
      <c r="D17" s="69" t="s">
        <v>976</v>
      </c>
      <c r="E17" s="69">
        <v>1</v>
      </c>
      <c r="F17" s="98">
        <v>349</v>
      </c>
      <c r="G17" s="98"/>
      <c r="H17" s="98"/>
      <c r="I17" s="98"/>
      <c r="J17" s="98"/>
      <c r="K17" s="98"/>
      <c r="L17" s="69" t="s">
        <v>1914</v>
      </c>
      <c r="M17" s="99" t="s">
        <v>1070</v>
      </c>
      <c r="N17" s="100" t="s">
        <v>1014</v>
      </c>
      <c r="O17" s="100" t="s">
        <v>8</v>
      </c>
      <c r="P17" s="69" t="s">
        <v>973</v>
      </c>
      <c r="Q17" s="69" t="s">
        <v>1058</v>
      </c>
      <c r="R17" s="69">
        <v>349</v>
      </c>
    </row>
    <row r="18" spans="1:18" s="105" customFormat="1" x14ac:dyDescent="0.3">
      <c r="A18" s="104">
        <v>1</v>
      </c>
      <c r="B18" s="103" t="s">
        <v>978</v>
      </c>
      <c r="C18" s="103" t="s">
        <v>979</v>
      </c>
      <c r="D18" s="103" t="s">
        <v>980</v>
      </c>
      <c r="E18" s="103">
        <v>1</v>
      </c>
      <c r="F18" s="104">
        <v>49.95</v>
      </c>
      <c r="G18" s="104"/>
      <c r="H18" s="104"/>
      <c r="I18" s="104"/>
      <c r="J18" s="104"/>
      <c r="K18" s="104"/>
      <c r="L18" s="103" t="s">
        <v>1910</v>
      </c>
      <c r="M18" s="102" t="s">
        <v>1070</v>
      </c>
      <c r="N18" s="117" t="s">
        <v>1437</v>
      </c>
      <c r="O18" s="117" t="s">
        <v>8</v>
      </c>
      <c r="P18" s="103" t="s">
        <v>977</v>
      </c>
      <c r="Q18" s="103" t="s">
        <v>1061</v>
      </c>
      <c r="R18" s="103">
        <v>49.95</v>
      </c>
    </row>
    <row r="19" spans="1:18" s="105" customFormat="1" x14ac:dyDescent="0.3">
      <c r="A19" s="104">
        <v>1</v>
      </c>
      <c r="B19" s="103" t="s">
        <v>360</v>
      </c>
      <c r="C19" s="103" t="s">
        <v>361</v>
      </c>
      <c r="D19" s="103" t="s">
        <v>362</v>
      </c>
      <c r="E19" s="103">
        <v>1</v>
      </c>
      <c r="F19" s="104">
        <v>94.95</v>
      </c>
      <c r="G19" s="104" t="s">
        <v>2514</v>
      </c>
      <c r="H19" s="104" t="s">
        <v>2524</v>
      </c>
      <c r="I19" s="104" t="s">
        <v>2514</v>
      </c>
      <c r="J19" s="104"/>
      <c r="K19" s="104" t="s">
        <v>2519</v>
      </c>
      <c r="L19" s="103" t="s">
        <v>1913</v>
      </c>
      <c r="M19" s="102" t="s">
        <v>1046</v>
      </c>
      <c r="N19" s="102" t="s">
        <v>1068</v>
      </c>
      <c r="O19" s="102" t="s">
        <v>8</v>
      </c>
      <c r="P19" s="103" t="s">
        <v>359</v>
      </c>
      <c r="Q19" s="103" t="s">
        <v>1054</v>
      </c>
      <c r="R19" s="103">
        <v>94.95</v>
      </c>
    </row>
    <row r="20" spans="1:18" s="105" customFormat="1" ht="43.2" x14ac:dyDescent="0.3">
      <c r="A20" s="104">
        <v>1</v>
      </c>
      <c r="B20" s="103" t="s">
        <v>1331</v>
      </c>
      <c r="C20" s="103" t="s">
        <v>1332</v>
      </c>
      <c r="D20" s="103" t="s">
        <v>1333</v>
      </c>
      <c r="E20" s="103">
        <v>1</v>
      </c>
      <c r="F20" s="104">
        <v>69.95</v>
      </c>
      <c r="G20" s="136" t="s">
        <v>2520</v>
      </c>
      <c r="H20" s="104" t="s">
        <v>2514</v>
      </c>
      <c r="I20" s="104" t="s">
        <v>2514</v>
      </c>
      <c r="J20" s="104"/>
      <c r="K20" s="104" t="s">
        <v>2519</v>
      </c>
      <c r="L20" s="103" t="s">
        <v>1914</v>
      </c>
      <c r="M20" s="102" t="s">
        <v>1046</v>
      </c>
      <c r="N20" s="102" t="s">
        <v>1409</v>
      </c>
      <c r="O20" s="102" t="s">
        <v>8</v>
      </c>
      <c r="P20" s="103" t="s">
        <v>1330</v>
      </c>
      <c r="Q20" s="103" t="s">
        <v>1350</v>
      </c>
      <c r="R20" s="103">
        <v>69.95</v>
      </c>
    </row>
    <row r="21" spans="1:18" s="105" customFormat="1" x14ac:dyDescent="0.3">
      <c r="A21" s="104">
        <v>0</v>
      </c>
      <c r="B21" s="103" t="s">
        <v>337</v>
      </c>
      <c r="C21" s="103" t="s">
        <v>338</v>
      </c>
      <c r="D21" s="103" t="s">
        <v>339</v>
      </c>
      <c r="E21" s="103"/>
      <c r="F21" s="104">
        <v>59.95</v>
      </c>
      <c r="G21" s="104" t="s">
        <v>2516</v>
      </c>
      <c r="H21" s="104"/>
      <c r="I21" s="104"/>
      <c r="J21" s="104"/>
      <c r="K21" s="104" t="s">
        <v>2525</v>
      </c>
      <c r="L21" s="103" t="s">
        <v>1913</v>
      </c>
      <c r="M21" s="102" t="s">
        <v>1046</v>
      </c>
      <c r="N21" s="102" t="s">
        <v>1042</v>
      </c>
      <c r="O21" s="102" t="s">
        <v>8</v>
      </c>
      <c r="P21" s="103" t="s">
        <v>336</v>
      </c>
      <c r="Q21" s="103" t="s">
        <v>1045</v>
      </c>
      <c r="R21" s="103">
        <v>0</v>
      </c>
    </row>
    <row r="22" spans="1:18" s="105" customFormat="1" x14ac:dyDescent="0.3">
      <c r="A22" s="104">
        <v>1</v>
      </c>
      <c r="B22" s="103" t="s">
        <v>301</v>
      </c>
      <c r="C22" s="103" t="s">
        <v>302</v>
      </c>
      <c r="D22" s="103" t="s">
        <v>303</v>
      </c>
      <c r="E22" s="103">
        <v>1</v>
      </c>
      <c r="F22" s="104">
        <v>99.95</v>
      </c>
      <c r="G22" s="104"/>
      <c r="H22" s="104"/>
      <c r="I22" s="104"/>
      <c r="J22" s="104"/>
      <c r="K22" s="104"/>
      <c r="L22" s="103" t="s">
        <v>1914</v>
      </c>
      <c r="M22" s="102" t="s">
        <v>1046</v>
      </c>
      <c r="N22" s="102" t="s">
        <v>1043</v>
      </c>
      <c r="O22" s="102" t="s">
        <v>8</v>
      </c>
      <c r="P22" s="103" t="s">
        <v>300</v>
      </c>
      <c r="Q22" s="103" t="s">
        <v>1052</v>
      </c>
      <c r="R22" s="103">
        <v>99.95</v>
      </c>
    </row>
    <row r="23" spans="1:18" s="70" customFormat="1" ht="28.8" x14ac:dyDescent="0.3">
      <c r="A23" s="98">
        <v>1</v>
      </c>
      <c r="B23" s="69" t="s">
        <v>1173</v>
      </c>
      <c r="C23" s="69" t="s">
        <v>1174</v>
      </c>
      <c r="D23" s="69" t="s">
        <v>1175</v>
      </c>
      <c r="E23" s="69"/>
      <c r="F23" s="98">
        <v>20</v>
      </c>
      <c r="G23" s="136" t="s">
        <v>2517</v>
      </c>
      <c r="H23" s="104" t="s">
        <v>2514</v>
      </c>
      <c r="I23" s="98"/>
      <c r="J23" s="98"/>
      <c r="K23" s="98" t="s">
        <v>2519</v>
      </c>
      <c r="L23" s="69" t="s">
        <v>1914</v>
      </c>
      <c r="M23" s="99" t="s">
        <v>1046</v>
      </c>
      <c r="N23" s="99" t="s">
        <v>1737</v>
      </c>
      <c r="O23" s="99" t="s">
        <v>8</v>
      </c>
      <c r="P23" s="69" t="s">
        <v>1172</v>
      </c>
      <c r="Q23" s="71" t="s">
        <v>1050</v>
      </c>
      <c r="R23" s="69">
        <v>20</v>
      </c>
    </row>
    <row r="24" spans="1:18" x14ac:dyDescent="0.3">
      <c r="A24" s="89">
        <v>1</v>
      </c>
      <c r="B24" s="12" t="s">
        <v>2438</v>
      </c>
      <c r="C24" s="12" t="s">
        <v>2439</v>
      </c>
      <c r="D24" s="12" t="s">
        <v>2440</v>
      </c>
      <c r="E24" s="12"/>
      <c r="F24" s="89">
        <v>15</v>
      </c>
      <c r="G24" s="136" t="s">
        <v>2522</v>
      </c>
      <c r="H24" s="104" t="s">
        <v>2514</v>
      </c>
      <c r="I24" s="98"/>
      <c r="J24" s="98"/>
      <c r="K24" s="98" t="s">
        <v>2519</v>
      </c>
      <c r="L24" s="12" t="s">
        <v>1914</v>
      </c>
      <c r="M24" s="51" t="s">
        <v>1046</v>
      </c>
      <c r="N24" s="51" t="s">
        <v>1180</v>
      </c>
      <c r="O24" s="51" t="s">
        <v>8</v>
      </c>
      <c r="P24" s="12" t="s">
        <v>2437</v>
      </c>
      <c r="Q24" s="12" t="s">
        <v>1050</v>
      </c>
      <c r="R24" s="69">
        <v>15</v>
      </c>
    </row>
    <row r="25" spans="1:18" x14ac:dyDescent="0.3">
      <c r="A25" s="89">
        <v>1</v>
      </c>
      <c r="B25" s="12" t="s">
        <v>2442</v>
      </c>
      <c r="C25" s="12" t="s">
        <v>2443</v>
      </c>
      <c r="D25" s="12" t="s">
        <v>2444</v>
      </c>
      <c r="E25" s="12"/>
      <c r="F25" s="89">
        <v>10</v>
      </c>
      <c r="G25" s="136" t="s">
        <v>2522</v>
      </c>
      <c r="H25" s="89"/>
      <c r="I25" s="89"/>
      <c r="J25" s="89"/>
      <c r="K25" s="89"/>
      <c r="L25" s="12" t="s">
        <v>1914</v>
      </c>
      <c r="M25" s="51" t="s">
        <v>1046</v>
      </c>
      <c r="N25" s="51" t="s">
        <v>1180</v>
      </c>
      <c r="O25" s="51" t="s">
        <v>8</v>
      </c>
      <c r="P25" s="12" t="s">
        <v>2441</v>
      </c>
      <c r="Q25" s="12" t="s">
        <v>1050</v>
      </c>
      <c r="R25" s="69">
        <v>10</v>
      </c>
    </row>
    <row r="26" spans="1:18" s="70" customFormat="1" ht="16.2" x14ac:dyDescent="0.3">
      <c r="A26" s="98">
        <v>1</v>
      </c>
      <c r="B26" s="69" t="s">
        <v>1077</v>
      </c>
      <c r="C26" s="69" t="s">
        <v>1078</v>
      </c>
      <c r="D26" s="69" t="s">
        <v>1079</v>
      </c>
      <c r="E26" s="69"/>
      <c r="F26" s="98">
        <v>15</v>
      </c>
      <c r="G26" s="136" t="s">
        <v>2522</v>
      </c>
      <c r="H26" s="104" t="s">
        <v>2514</v>
      </c>
      <c r="I26" s="98"/>
      <c r="J26" s="98"/>
      <c r="K26" s="98" t="s">
        <v>2519</v>
      </c>
      <c r="L26" s="69" t="s">
        <v>1914</v>
      </c>
      <c r="M26" s="99" t="s">
        <v>1047</v>
      </c>
      <c r="N26" s="99" t="s">
        <v>1738</v>
      </c>
      <c r="O26" s="99" t="s">
        <v>8</v>
      </c>
      <c r="P26" s="69" t="s">
        <v>1076</v>
      </c>
      <c r="Q26" s="71" t="s">
        <v>1050</v>
      </c>
      <c r="R26" s="69">
        <v>15</v>
      </c>
    </row>
    <row r="27" spans="1:18" s="70" customFormat="1" x14ac:dyDescent="0.3">
      <c r="A27" s="98">
        <v>1</v>
      </c>
      <c r="B27" s="69" t="s">
        <v>352</v>
      </c>
      <c r="C27" s="69" t="s">
        <v>353</v>
      </c>
      <c r="D27" s="69" t="s">
        <v>354</v>
      </c>
      <c r="E27" s="69"/>
      <c r="F27" s="98">
        <v>24.95</v>
      </c>
      <c r="G27" s="104" t="s">
        <v>2514</v>
      </c>
      <c r="H27" s="104" t="s">
        <v>2521</v>
      </c>
      <c r="I27" s="104" t="s">
        <v>2514</v>
      </c>
      <c r="J27" s="104" t="s">
        <v>2514</v>
      </c>
      <c r="K27" s="104"/>
      <c r="L27" s="69" t="s">
        <v>1914</v>
      </c>
      <c r="M27" s="99" t="s">
        <v>1047</v>
      </c>
      <c r="N27" s="99" t="s">
        <v>1067</v>
      </c>
      <c r="O27" s="99" t="s">
        <v>8</v>
      </c>
      <c r="P27" s="69" t="s">
        <v>351</v>
      </c>
      <c r="Q27" s="69" t="s">
        <v>1051</v>
      </c>
      <c r="R27" s="69">
        <v>24.95</v>
      </c>
    </row>
    <row r="28" spans="1:18" s="70" customFormat="1" x14ac:dyDescent="0.3">
      <c r="A28" s="98">
        <v>1</v>
      </c>
      <c r="B28" s="69" t="s">
        <v>356</v>
      </c>
      <c r="C28" s="69" t="s">
        <v>357</v>
      </c>
      <c r="D28" s="69" t="s">
        <v>358</v>
      </c>
      <c r="E28" s="69">
        <v>1</v>
      </c>
      <c r="F28" s="98">
        <v>39.950000000000003</v>
      </c>
      <c r="G28" s="104" t="s">
        <v>194</v>
      </c>
      <c r="H28" s="98"/>
      <c r="I28" s="98"/>
      <c r="J28" s="98"/>
      <c r="K28" s="136" t="s">
        <v>2522</v>
      </c>
      <c r="L28" s="69" t="s">
        <v>1914</v>
      </c>
      <c r="M28" s="99" t="s">
        <v>1047</v>
      </c>
      <c r="N28" s="99" t="s">
        <v>1618</v>
      </c>
      <c r="O28" s="99" t="s">
        <v>8</v>
      </c>
      <c r="P28" s="69" t="s">
        <v>355</v>
      </c>
      <c r="Q28" s="69" t="s">
        <v>1044</v>
      </c>
      <c r="R28" s="69">
        <v>39.950000000000003</v>
      </c>
    </row>
    <row r="29" spans="1:18" s="70" customFormat="1" x14ac:dyDescent="0.3">
      <c r="A29" s="98">
        <v>1</v>
      </c>
      <c r="B29" s="69" t="s">
        <v>325</v>
      </c>
      <c r="C29" s="69" t="s">
        <v>326</v>
      </c>
      <c r="D29" s="69" t="s">
        <v>327</v>
      </c>
      <c r="E29" s="69">
        <v>1</v>
      </c>
      <c r="F29" s="98">
        <v>39.950000000000003</v>
      </c>
      <c r="G29" s="98"/>
      <c r="H29" s="98"/>
      <c r="I29" s="98"/>
      <c r="J29" s="98"/>
      <c r="K29" s="98"/>
      <c r="L29" s="69" t="s">
        <v>1914</v>
      </c>
      <c r="M29" s="99" t="s">
        <v>1047</v>
      </c>
      <c r="N29" s="99" t="s">
        <v>1066</v>
      </c>
      <c r="O29" s="99" t="s">
        <v>8</v>
      </c>
      <c r="P29" s="69" t="s">
        <v>324</v>
      </c>
      <c r="Q29" s="69" t="s">
        <v>1055</v>
      </c>
      <c r="R29" s="69">
        <v>39.950000000000003</v>
      </c>
    </row>
    <row r="31" spans="1:18" s="70" customFormat="1" x14ac:dyDescent="0.3">
      <c r="A31" s="51"/>
      <c r="B31" s="51"/>
      <c r="C31" s="51"/>
      <c r="D31" s="12"/>
      <c r="E31" s="89"/>
      <c r="F31" s="12"/>
      <c r="G31" s="12"/>
      <c r="H31" s="12"/>
      <c r="I31" s="12"/>
      <c r="J31" s="89"/>
      <c r="K31" s="12"/>
      <c r="L31"/>
      <c r="M31"/>
    </row>
    <row r="33" spans="4:13" x14ac:dyDescent="0.3">
      <c r="D33" s="12"/>
      <c r="E33" s="12"/>
      <c r="F33" s="12"/>
    </row>
    <row r="35" spans="4:13" x14ac:dyDescent="0.3">
      <c r="D35" s="51"/>
      <c r="F35" s="51"/>
      <c r="G35" s="12"/>
    </row>
    <row r="38" spans="4:13" x14ac:dyDescent="0.3">
      <c r="H38" s="12"/>
      <c r="I38" s="89"/>
      <c r="J38" s="12"/>
      <c r="K38" s="12"/>
      <c r="L38" s="12"/>
      <c r="M38" s="12"/>
    </row>
  </sheetData>
  <conditionalFormatting sqref="A3:R29">
    <cfRule type="expression" dxfId="159" priority="148">
      <formula>AND($A3=0,NOT(ISBLANK($A3)))</formula>
    </cfRule>
  </conditionalFormatting>
  <conditionalFormatting sqref="G2">
    <cfRule type="expression" dxfId="158" priority="137">
      <formula>AND($A2=0,NOT(ISBLANK($A2)))</formula>
    </cfRule>
  </conditionalFormatting>
  <conditionalFormatting sqref="H2">
    <cfRule type="expression" dxfId="157" priority="126">
      <formula>AND($A2=0,NOT(ISBLANK($A2)))</formula>
    </cfRule>
  </conditionalFormatting>
  <conditionalFormatting sqref="A31:M31">
    <cfRule type="expression" dxfId="156" priority="115">
      <formula>AND($E31=0,NOT(ISBLANK($E31)))</formula>
    </cfRule>
  </conditionalFormatting>
  <conditionalFormatting sqref="D2:F2">
    <cfRule type="expression" dxfId="155" priority="104">
      <formula>AND($E2=0,NOT(ISBLANK($E2)))</formula>
    </cfRule>
  </conditionalFormatting>
  <conditionalFormatting sqref="D33:F33">
    <cfRule type="expression" dxfId="154" priority="93">
      <formula>AND($E33=0,NOT(ISBLANK($E33)))</formula>
    </cfRule>
  </conditionalFormatting>
  <conditionalFormatting sqref="H38:M38">
    <cfRule type="expression" dxfId="153" priority="82">
      <formula>AND($E38=0,NOT(ISBLANK($E38)))</formula>
    </cfRule>
  </conditionalFormatting>
  <conditionalFormatting sqref="A2">
    <cfRule type="expression" dxfId="152" priority="71">
      <formula>AND($E2=0,NOT(ISBLANK($E2)))</formula>
    </cfRule>
  </conditionalFormatting>
  <conditionalFormatting sqref="M2">
    <cfRule type="expression" dxfId="151" priority="60">
      <formula>AND($E2=0,NOT(ISBLANK($E2)))</formula>
    </cfRule>
  </conditionalFormatting>
  <conditionalFormatting sqref="L2">
    <cfRule type="expression" dxfId="150" priority="49">
      <formula>AND($E2=0,NOT(ISBLANK($E2)))</formula>
    </cfRule>
  </conditionalFormatting>
  <conditionalFormatting sqref="D35:G35">
    <cfRule type="expression" dxfId="149" priority="38">
      <formula>AND($E35=0,NOT(ISBLANK($E35)))</formula>
    </cfRule>
  </conditionalFormatting>
  <conditionalFormatting sqref="O2">
    <cfRule type="expression" dxfId="148" priority="27">
      <formula>AND($E2=0,NOT(ISBLANK($E2)))</formula>
    </cfRule>
  </conditionalFormatting>
  <conditionalFormatting sqref="N2">
    <cfRule type="expression" dxfId="147" priority="16">
      <formula>AND($E2=0,NOT(ISBLANK($E2)))</formula>
    </cfRule>
  </conditionalFormatting>
  <conditionalFormatting sqref="B2:C2">
    <cfRule type="expression" dxfId="146" priority="5">
      <formula>AND($E2=0,NOT(ISBLANK($E2)))</formula>
    </cfRule>
  </conditionalFormatting>
  <dataValidations count="1">
    <dataValidation type="list" allowBlank="1" showInputMessage="1" showErrorMessage="1" sqref="M25:N25" xr:uid="{B824D933-6E27-4A7C-A806-CBA2D96697A5}">
      <formula1>$C$6:$C$13</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44" id="{A703928D-30D9-4A92-995A-D7BACB0827E2}">
            <xm:f>$L3=FilterSpecs!$F$13</xm:f>
            <x14:dxf>
              <font>
                <b/>
                <i val="0"/>
                <color theme="0"/>
              </font>
              <fill>
                <patternFill>
                  <bgColor theme="9" tint="-0.499984740745262"/>
                </patternFill>
              </fill>
            </x14:dxf>
          </x14:cfRule>
          <x14:cfRule type="expression" priority="145" id="{BE442DF7-401E-4A92-9C36-4CBC4F13EDA9}">
            <xm:f>$L3=FilterSpecs!$E$13</xm:f>
            <x14:dxf>
              <font>
                <b/>
                <i val="0"/>
                <color theme="0"/>
              </font>
              <fill>
                <patternFill>
                  <bgColor theme="9" tint="-0.499984740745262"/>
                </patternFill>
              </fill>
            </x14:dxf>
          </x14:cfRule>
          <x14:cfRule type="expression" priority="146" id="{414BE13B-B6FB-4292-8E7D-841AD78422B0}">
            <xm:f>$L3=FilterSpecs!$F$12</xm:f>
            <x14:dxf>
              <font>
                <b/>
                <i val="0"/>
                <color theme="0"/>
              </font>
              <fill>
                <patternFill>
                  <bgColor rgb="FFFF4F4F"/>
                </patternFill>
              </fill>
            </x14:dxf>
          </x14:cfRule>
          <x14:cfRule type="expression" priority="147" id="{C476FCE9-7440-481A-8489-E9DF53328ADE}">
            <xm:f>$L3=FilterSpecs!$F$9</xm:f>
            <x14:dxf>
              <font>
                <b/>
                <i val="0"/>
                <color theme="0"/>
              </font>
              <fill>
                <patternFill>
                  <bgColor rgb="FFFF0000"/>
                </patternFill>
              </fill>
            </x14:dxf>
          </x14:cfRule>
          <x14:cfRule type="expression" priority="149" id="{C0AF9D5E-B41B-4DA4-9E51-3B4E9C732698}">
            <xm:f>$L3=FilterSpecs!$F$7</xm:f>
            <x14:dxf>
              <font>
                <b/>
                <i val="0"/>
                <color theme="0"/>
              </font>
              <fill>
                <patternFill>
                  <bgColor rgb="FF00B0F0"/>
                </patternFill>
              </fill>
            </x14:dxf>
          </x14:cfRule>
          <x14:cfRule type="expression" priority="150" id="{247BB0B7-F921-4098-A6E6-E6741A426D43}">
            <xm:f>$L3=FilterSpecs!$F$10</xm:f>
            <x14:dxf>
              <font>
                <b/>
                <i val="0"/>
                <color theme="0"/>
              </font>
              <fill>
                <patternFill>
                  <bgColor rgb="FF002060"/>
                </patternFill>
              </fill>
            </x14:dxf>
          </x14:cfRule>
          <x14:cfRule type="expression" priority="151" id="{A0435D68-3CE9-499B-9224-D48C0EE59F87}">
            <xm:f>$L3=FilterSpecs!$F$8</xm:f>
            <x14:dxf>
              <font>
                <b/>
                <i val="0"/>
                <color theme="0"/>
              </font>
              <fill>
                <patternFill>
                  <bgColor rgb="FFFFC000"/>
                </patternFill>
              </fill>
            </x14:dxf>
          </x14:cfRule>
          <x14:cfRule type="expression" priority="152" id="{9D501C1F-4785-426E-A072-759B20F342E6}">
            <xm:f>$L3=FilterSpecs!$F$10</xm:f>
            <x14:dxf>
              <font>
                <b/>
                <i val="0"/>
                <color theme="0"/>
              </font>
              <fill>
                <patternFill>
                  <bgColor rgb="FF002060"/>
                </patternFill>
              </fill>
            </x14:dxf>
          </x14:cfRule>
          <x14:cfRule type="expression" priority="153" id="{D4CC68EC-774A-4FDC-B2BA-A650D20EF801}">
            <xm:f>$L3=FilterSpecs!$F$8</xm:f>
            <x14:dxf>
              <font>
                <b/>
                <i val="0"/>
                <color theme="0"/>
              </font>
              <fill>
                <patternFill>
                  <bgColor rgb="FFFFC000"/>
                </patternFill>
              </fill>
            </x14:dxf>
          </x14:cfRule>
          <x14:cfRule type="expression" priority="154" id="{D48E6108-B514-4D16-8853-3721FC7B72A4}">
            <xm:f>$L3=FilterSpecs!$F$7</xm:f>
            <x14:dxf>
              <font>
                <b/>
                <i val="0"/>
                <color theme="0"/>
              </font>
              <fill>
                <patternFill>
                  <bgColor rgb="FF00B0F0"/>
                </patternFill>
              </fill>
            </x14:dxf>
          </x14:cfRule>
          <xm:sqref>A3:R29</xm:sqref>
        </x14:conditionalFormatting>
        <x14:conditionalFormatting xmlns:xm="http://schemas.microsoft.com/office/excel/2006/main">
          <x14:cfRule type="expression" priority="133" id="{4BA33A91-22A2-43B6-8838-60BE792A67EB}">
            <xm:f>$L2=FilterSpecs!$F$13</xm:f>
            <x14:dxf>
              <font>
                <b/>
                <i val="0"/>
                <color theme="0"/>
              </font>
              <fill>
                <patternFill>
                  <bgColor theme="9" tint="-0.499984740745262"/>
                </patternFill>
              </fill>
            </x14:dxf>
          </x14:cfRule>
          <x14:cfRule type="expression" priority="134" id="{956EED72-F01E-4D91-BDE0-4F948BC1D63C}">
            <xm:f>$L2=FilterSpecs!$E$13</xm:f>
            <x14:dxf>
              <font>
                <b/>
                <i val="0"/>
                <color theme="0"/>
              </font>
              <fill>
                <patternFill>
                  <bgColor theme="9" tint="-0.499984740745262"/>
                </patternFill>
              </fill>
            </x14:dxf>
          </x14:cfRule>
          <x14:cfRule type="expression" priority="135" id="{05929D29-E78E-4886-9069-3F5999BBF821}">
            <xm:f>$L2=FilterSpecs!$F$12</xm:f>
            <x14:dxf>
              <font>
                <b/>
                <i val="0"/>
                <color theme="0"/>
              </font>
              <fill>
                <patternFill>
                  <bgColor rgb="FFFF4F4F"/>
                </patternFill>
              </fill>
            </x14:dxf>
          </x14:cfRule>
          <x14:cfRule type="expression" priority="136" id="{D45D6527-BD40-4042-94A9-A4BD5556C72D}">
            <xm:f>$L2=FilterSpecs!$F$9</xm:f>
            <x14:dxf>
              <font>
                <b/>
                <i val="0"/>
                <color theme="0"/>
              </font>
              <fill>
                <patternFill>
                  <bgColor rgb="FFFF0000"/>
                </patternFill>
              </fill>
            </x14:dxf>
          </x14:cfRule>
          <x14:cfRule type="expression" priority="138" id="{9E8A434B-A175-437A-98F8-FB39905AEF83}">
            <xm:f>$L2=FilterSpecs!$F$7</xm:f>
            <x14:dxf>
              <font>
                <b/>
                <i val="0"/>
                <color theme="0"/>
              </font>
              <fill>
                <patternFill>
                  <bgColor rgb="FF00B0F0"/>
                </patternFill>
              </fill>
            </x14:dxf>
          </x14:cfRule>
          <x14:cfRule type="expression" priority="139" id="{6F52EE48-19A8-4BAF-95C8-177CAE9BF0B5}">
            <xm:f>$L2=FilterSpecs!$F$10</xm:f>
            <x14:dxf>
              <font>
                <b/>
                <i val="0"/>
                <color theme="0"/>
              </font>
              <fill>
                <patternFill>
                  <bgColor rgb="FF002060"/>
                </patternFill>
              </fill>
            </x14:dxf>
          </x14:cfRule>
          <x14:cfRule type="expression" priority="140" id="{4BBD832C-9371-4756-A43D-B57D41A0EBD3}">
            <xm:f>$L2=FilterSpecs!$F$8</xm:f>
            <x14:dxf>
              <font>
                <b/>
                <i val="0"/>
                <color theme="0"/>
              </font>
              <fill>
                <patternFill>
                  <bgColor rgb="FFFFC000"/>
                </patternFill>
              </fill>
            </x14:dxf>
          </x14:cfRule>
          <x14:cfRule type="expression" priority="141" id="{99C4F107-6887-4E3C-A66D-1AD7AC0BCA1A}">
            <xm:f>$L2=FilterSpecs!$F$10</xm:f>
            <x14:dxf>
              <font>
                <b/>
                <i val="0"/>
                <color theme="0"/>
              </font>
              <fill>
                <patternFill>
                  <bgColor rgb="FF002060"/>
                </patternFill>
              </fill>
            </x14:dxf>
          </x14:cfRule>
          <x14:cfRule type="expression" priority="142" id="{D5FF84B7-4730-4AC7-8D0E-D2A154295239}">
            <xm:f>$L2=FilterSpecs!$F$8</xm:f>
            <x14:dxf>
              <font>
                <b/>
                <i val="0"/>
                <color theme="0"/>
              </font>
              <fill>
                <patternFill>
                  <bgColor rgb="FFFFC000"/>
                </patternFill>
              </fill>
            </x14:dxf>
          </x14:cfRule>
          <x14:cfRule type="expression" priority="143" id="{A49236B6-8F93-4966-BB50-ED663B4AFC90}">
            <xm:f>$L2=FilterSpecs!$F$7</xm:f>
            <x14:dxf>
              <font>
                <b/>
                <i val="0"/>
                <color theme="0"/>
              </font>
              <fill>
                <patternFill>
                  <bgColor rgb="FF00B0F0"/>
                </patternFill>
              </fill>
            </x14:dxf>
          </x14:cfRule>
          <xm:sqref>G2</xm:sqref>
        </x14:conditionalFormatting>
        <x14:conditionalFormatting xmlns:xm="http://schemas.microsoft.com/office/excel/2006/main">
          <x14:cfRule type="expression" priority="122" id="{358A34C0-987B-4105-B430-FB61A9971583}">
            <xm:f>$L2=FilterSpecs!$F$13</xm:f>
            <x14:dxf>
              <font>
                <b/>
                <i val="0"/>
                <color theme="0"/>
              </font>
              <fill>
                <patternFill>
                  <bgColor theme="9" tint="-0.499984740745262"/>
                </patternFill>
              </fill>
            </x14:dxf>
          </x14:cfRule>
          <x14:cfRule type="expression" priority="123" id="{251C16DB-3F76-40E5-BFBA-EE96FF077247}">
            <xm:f>$L2=FilterSpecs!$E$13</xm:f>
            <x14:dxf>
              <font>
                <b/>
                <i val="0"/>
                <color theme="0"/>
              </font>
              <fill>
                <patternFill>
                  <bgColor theme="9" tint="-0.499984740745262"/>
                </patternFill>
              </fill>
            </x14:dxf>
          </x14:cfRule>
          <x14:cfRule type="expression" priority="124" id="{FD72ED0F-6961-4DB7-BF93-4CA7E77F32C2}">
            <xm:f>$L2=FilterSpecs!$F$12</xm:f>
            <x14:dxf>
              <font>
                <b/>
                <i val="0"/>
                <color theme="0"/>
              </font>
              <fill>
                <patternFill>
                  <bgColor rgb="FFFF4F4F"/>
                </patternFill>
              </fill>
            </x14:dxf>
          </x14:cfRule>
          <x14:cfRule type="expression" priority="125" id="{51AE1B2A-5D84-401F-A470-EA44D46CA27A}">
            <xm:f>$L2=FilterSpecs!$F$9</xm:f>
            <x14:dxf>
              <font>
                <b/>
                <i val="0"/>
                <color theme="0"/>
              </font>
              <fill>
                <patternFill>
                  <bgColor rgb="FFFF0000"/>
                </patternFill>
              </fill>
            </x14:dxf>
          </x14:cfRule>
          <x14:cfRule type="expression" priority="127" id="{B969E1B1-0148-44F8-86A8-AA0AFBC2E4D8}">
            <xm:f>$L2=FilterSpecs!$F$7</xm:f>
            <x14:dxf>
              <font>
                <b/>
                <i val="0"/>
                <color theme="0"/>
              </font>
              <fill>
                <patternFill>
                  <bgColor rgb="FF00B0F0"/>
                </patternFill>
              </fill>
            </x14:dxf>
          </x14:cfRule>
          <x14:cfRule type="expression" priority="128" id="{C397C986-C9D3-4FA8-A8B2-A0FE59836EDF}">
            <xm:f>$L2=FilterSpecs!$F$10</xm:f>
            <x14:dxf>
              <font>
                <b/>
                <i val="0"/>
                <color theme="0"/>
              </font>
              <fill>
                <patternFill>
                  <bgColor rgb="FF002060"/>
                </patternFill>
              </fill>
            </x14:dxf>
          </x14:cfRule>
          <x14:cfRule type="expression" priority="129" id="{5448A93E-D924-41BE-B13D-03026B08F6FD}">
            <xm:f>$L2=FilterSpecs!$F$8</xm:f>
            <x14:dxf>
              <font>
                <b/>
                <i val="0"/>
                <color theme="0"/>
              </font>
              <fill>
                <patternFill>
                  <bgColor rgb="FFFFC000"/>
                </patternFill>
              </fill>
            </x14:dxf>
          </x14:cfRule>
          <x14:cfRule type="expression" priority="130" id="{9BF349C3-8B9B-4E22-B452-EDE9D6780984}">
            <xm:f>$L2=FilterSpecs!$F$10</xm:f>
            <x14:dxf>
              <font>
                <b/>
                <i val="0"/>
                <color theme="0"/>
              </font>
              <fill>
                <patternFill>
                  <bgColor rgb="FF002060"/>
                </patternFill>
              </fill>
            </x14:dxf>
          </x14:cfRule>
          <x14:cfRule type="expression" priority="131" id="{C37BC8BE-E11A-4633-94A0-B54EC4501027}">
            <xm:f>$L2=FilterSpecs!$F$8</xm:f>
            <x14:dxf>
              <font>
                <b/>
                <i val="0"/>
                <color theme="0"/>
              </font>
              <fill>
                <patternFill>
                  <bgColor rgb="FFFFC000"/>
                </patternFill>
              </fill>
            </x14:dxf>
          </x14:cfRule>
          <x14:cfRule type="expression" priority="132" id="{9970F637-B9AB-4AB4-9897-CC8C8D6462B9}">
            <xm:f>$L2=FilterSpecs!$F$7</xm:f>
            <x14:dxf>
              <font>
                <b/>
                <i val="0"/>
                <color theme="0"/>
              </font>
              <fill>
                <patternFill>
                  <bgColor rgb="FF00B0F0"/>
                </patternFill>
              </fill>
            </x14:dxf>
          </x14:cfRule>
          <xm:sqref>H2</xm:sqref>
        </x14:conditionalFormatting>
        <x14:conditionalFormatting xmlns:xm="http://schemas.microsoft.com/office/excel/2006/main">
          <x14:cfRule type="expression" priority="111" id="{0C962AA2-24C1-4CA0-BFA4-DCBFE58E0155}">
            <xm:f>$K31=FilterSpecs!$F$13</xm:f>
            <x14:dxf>
              <font>
                <b/>
                <i val="0"/>
                <color theme="0"/>
              </font>
              <fill>
                <patternFill>
                  <bgColor theme="9" tint="-0.499984740745262"/>
                </patternFill>
              </fill>
            </x14:dxf>
          </x14:cfRule>
          <x14:cfRule type="expression" priority="112" id="{71B6D6BD-885C-4628-9887-7AC6E8A6F874}">
            <xm:f>$K31=FilterSpecs!$E$13</xm:f>
            <x14:dxf>
              <font>
                <b/>
                <i val="0"/>
                <color theme="0"/>
              </font>
              <fill>
                <patternFill>
                  <bgColor theme="9" tint="-0.499984740745262"/>
                </patternFill>
              </fill>
            </x14:dxf>
          </x14:cfRule>
          <x14:cfRule type="expression" priority="113" id="{B2CA8DBA-E272-463F-BDFA-30BFCE544C54}">
            <xm:f>$K31=FilterSpecs!$F$12</xm:f>
            <x14:dxf>
              <font>
                <b/>
                <i val="0"/>
                <color theme="0"/>
              </font>
              <fill>
                <patternFill>
                  <bgColor rgb="FFFF4F4F"/>
                </patternFill>
              </fill>
            </x14:dxf>
          </x14:cfRule>
          <x14:cfRule type="expression" priority="114" id="{1A5B9AFC-3969-4F18-A255-F922B25A631A}">
            <xm:f>$K31=FilterSpecs!$F$9</xm:f>
            <x14:dxf>
              <font>
                <b/>
                <i val="0"/>
                <color theme="0"/>
              </font>
              <fill>
                <patternFill>
                  <bgColor rgb="FFFF0000"/>
                </patternFill>
              </fill>
            </x14:dxf>
          </x14:cfRule>
          <x14:cfRule type="expression" priority="116" id="{81B3E519-38DF-4591-B5F3-5B7C1702DB02}">
            <xm:f>$K31=FilterSpecs!$F$7</xm:f>
            <x14:dxf>
              <font>
                <b/>
                <i val="0"/>
                <color theme="0"/>
              </font>
              <fill>
                <patternFill>
                  <bgColor rgb="FF00B0F0"/>
                </patternFill>
              </fill>
            </x14:dxf>
          </x14:cfRule>
          <x14:cfRule type="expression" priority="117" id="{375952B3-DA18-4945-9196-D9EACD7F6CBF}">
            <xm:f>$K31=FilterSpecs!$F$10</xm:f>
            <x14:dxf>
              <font>
                <b/>
                <i val="0"/>
                <color theme="0"/>
              </font>
              <fill>
                <patternFill>
                  <bgColor rgb="FF002060"/>
                </patternFill>
              </fill>
            </x14:dxf>
          </x14:cfRule>
          <x14:cfRule type="expression" priority="118" id="{13B49586-67C3-4D28-A448-9531636396CF}">
            <xm:f>$K31=FilterSpecs!$F$8</xm:f>
            <x14:dxf>
              <font>
                <b/>
                <i val="0"/>
                <color theme="0"/>
              </font>
              <fill>
                <patternFill>
                  <bgColor rgb="FFFFC000"/>
                </patternFill>
              </fill>
            </x14:dxf>
          </x14:cfRule>
          <x14:cfRule type="expression" priority="119" id="{51E8D22F-C6FA-4F6B-BFF4-92B5CCA209BB}">
            <xm:f>$K31=FilterSpecs!$F$10</xm:f>
            <x14:dxf>
              <font>
                <b/>
                <i val="0"/>
                <color theme="0"/>
              </font>
              <fill>
                <patternFill>
                  <bgColor rgb="FF002060"/>
                </patternFill>
              </fill>
            </x14:dxf>
          </x14:cfRule>
          <x14:cfRule type="expression" priority="120" id="{36C429A3-5F1F-4B3C-A18C-F5F8039523D0}">
            <xm:f>$K31=FilterSpecs!$F$8</xm:f>
            <x14:dxf>
              <font>
                <b/>
                <i val="0"/>
                <color theme="0"/>
              </font>
              <fill>
                <patternFill>
                  <bgColor rgb="FFFFC000"/>
                </patternFill>
              </fill>
            </x14:dxf>
          </x14:cfRule>
          <x14:cfRule type="expression" priority="121" id="{87FD2326-3D2A-4959-BCCB-CA2E556B0CE9}">
            <xm:f>$K31=FilterSpecs!$F$7</xm:f>
            <x14:dxf>
              <font>
                <b/>
                <i val="0"/>
                <color theme="0"/>
              </font>
              <fill>
                <patternFill>
                  <bgColor rgb="FF00B0F0"/>
                </patternFill>
              </fill>
            </x14:dxf>
          </x14:cfRule>
          <xm:sqref>A31:M31</xm:sqref>
        </x14:conditionalFormatting>
        <x14:conditionalFormatting xmlns:xm="http://schemas.microsoft.com/office/excel/2006/main">
          <x14:cfRule type="expression" priority="100" id="{536FC80A-D889-426E-B3C6-09446724B11C}">
            <xm:f>$K2=FilterSpecs!$F$13</xm:f>
            <x14:dxf>
              <font>
                <b/>
                <i val="0"/>
                <color theme="0"/>
              </font>
              <fill>
                <patternFill>
                  <bgColor theme="9" tint="-0.499984740745262"/>
                </patternFill>
              </fill>
            </x14:dxf>
          </x14:cfRule>
          <x14:cfRule type="expression" priority="101" id="{275CD4B9-261D-4CC2-A8BD-9E0BE9AA4134}">
            <xm:f>$K2=FilterSpecs!$E$13</xm:f>
            <x14:dxf>
              <font>
                <b/>
                <i val="0"/>
                <color theme="0"/>
              </font>
              <fill>
                <patternFill>
                  <bgColor theme="9" tint="-0.499984740745262"/>
                </patternFill>
              </fill>
            </x14:dxf>
          </x14:cfRule>
          <x14:cfRule type="expression" priority="102" id="{21923DF2-17F7-4FB4-9661-C90FB346EFE0}">
            <xm:f>$K2=FilterSpecs!$F$12</xm:f>
            <x14:dxf>
              <font>
                <b/>
                <i val="0"/>
                <color theme="0"/>
              </font>
              <fill>
                <patternFill>
                  <bgColor rgb="FFFF4F4F"/>
                </patternFill>
              </fill>
            </x14:dxf>
          </x14:cfRule>
          <x14:cfRule type="expression" priority="103" id="{53FBF865-F686-4BE9-9A2D-B45225069690}">
            <xm:f>$K2=FilterSpecs!$F$9</xm:f>
            <x14:dxf>
              <font>
                <b/>
                <i val="0"/>
                <color theme="0"/>
              </font>
              <fill>
                <patternFill>
                  <bgColor rgb="FFFF0000"/>
                </patternFill>
              </fill>
            </x14:dxf>
          </x14:cfRule>
          <x14:cfRule type="expression" priority="105" id="{749756F9-47D7-42AD-8DD7-001FDDAA0876}">
            <xm:f>$K2=FilterSpecs!$F$7</xm:f>
            <x14:dxf>
              <font>
                <b/>
                <i val="0"/>
                <color theme="0"/>
              </font>
              <fill>
                <patternFill>
                  <bgColor rgb="FF00B0F0"/>
                </patternFill>
              </fill>
            </x14:dxf>
          </x14:cfRule>
          <x14:cfRule type="expression" priority="106" id="{F0D5AEAE-5416-47B1-8350-CAD04C9B137B}">
            <xm:f>$K2=FilterSpecs!$F$10</xm:f>
            <x14:dxf>
              <font>
                <b/>
                <i val="0"/>
                <color theme="0"/>
              </font>
              <fill>
                <patternFill>
                  <bgColor rgb="FF002060"/>
                </patternFill>
              </fill>
            </x14:dxf>
          </x14:cfRule>
          <x14:cfRule type="expression" priority="107" id="{A93678DD-F27E-43E5-9156-77B9B9B29AE6}">
            <xm:f>$K2=FilterSpecs!$F$8</xm:f>
            <x14:dxf>
              <font>
                <b/>
                <i val="0"/>
                <color theme="0"/>
              </font>
              <fill>
                <patternFill>
                  <bgColor rgb="FFFFC000"/>
                </patternFill>
              </fill>
            </x14:dxf>
          </x14:cfRule>
          <x14:cfRule type="expression" priority="108" id="{5842775D-8BD8-4FF8-AE25-6A1120B874ED}">
            <xm:f>$K2=FilterSpecs!$F$10</xm:f>
            <x14:dxf>
              <font>
                <b/>
                <i val="0"/>
                <color theme="0"/>
              </font>
              <fill>
                <patternFill>
                  <bgColor rgb="FF002060"/>
                </patternFill>
              </fill>
            </x14:dxf>
          </x14:cfRule>
          <x14:cfRule type="expression" priority="109" id="{5D9C9ED9-FEA6-497C-B739-7C46CA8E6C18}">
            <xm:f>$K2=FilterSpecs!$F$8</xm:f>
            <x14:dxf>
              <font>
                <b/>
                <i val="0"/>
                <color theme="0"/>
              </font>
              <fill>
                <patternFill>
                  <bgColor rgb="FFFFC000"/>
                </patternFill>
              </fill>
            </x14:dxf>
          </x14:cfRule>
          <x14:cfRule type="expression" priority="110" id="{04995DDF-C6FF-4C82-B1A9-E4C8DB89024C}">
            <xm:f>$K2=FilterSpecs!$F$7</xm:f>
            <x14:dxf>
              <font>
                <b/>
                <i val="0"/>
                <color theme="0"/>
              </font>
              <fill>
                <patternFill>
                  <bgColor rgb="FF00B0F0"/>
                </patternFill>
              </fill>
            </x14:dxf>
          </x14:cfRule>
          <xm:sqref>D2:F2</xm:sqref>
        </x14:conditionalFormatting>
        <x14:conditionalFormatting xmlns:xm="http://schemas.microsoft.com/office/excel/2006/main">
          <x14:cfRule type="expression" priority="89" id="{4030F607-4F61-463C-A674-4B68C4D3683F}">
            <xm:f>$K33=FilterSpecs!$F$13</xm:f>
            <x14:dxf>
              <font>
                <b/>
                <i val="0"/>
                <color theme="0"/>
              </font>
              <fill>
                <patternFill>
                  <bgColor theme="9" tint="-0.499984740745262"/>
                </patternFill>
              </fill>
            </x14:dxf>
          </x14:cfRule>
          <x14:cfRule type="expression" priority="90" id="{07E08655-58E8-4A1F-B7DE-FE04E0CFD3D4}">
            <xm:f>$K33=FilterSpecs!$E$13</xm:f>
            <x14:dxf>
              <font>
                <b/>
                <i val="0"/>
                <color theme="0"/>
              </font>
              <fill>
                <patternFill>
                  <bgColor theme="9" tint="-0.499984740745262"/>
                </patternFill>
              </fill>
            </x14:dxf>
          </x14:cfRule>
          <x14:cfRule type="expression" priority="91" id="{7FACD61C-310E-44EC-9558-63D543D429E1}">
            <xm:f>$K33=FilterSpecs!$F$12</xm:f>
            <x14:dxf>
              <font>
                <b/>
                <i val="0"/>
                <color theme="0"/>
              </font>
              <fill>
                <patternFill>
                  <bgColor rgb="FFFF4F4F"/>
                </patternFill>
              </fill>
            </x14:dxf>
          </x14:cfRule>
          <x14:cfRule type="expression" priority="92" id="{341E062C-762F-4E7F-BAC7-D365FCB9462F}">
            <xm:f>$K33=FilterSpecs!$F$9</xm:f>
            <x14:dxf>
              <font>
                <b/>
                <i val="0"/>
                <color theme="0"/>
              </font>
              <fill>
                <patternFill>
                  <bgColor rgb="FFFF0000"/>
                </patternFill>
              </fill>
            </x14:dxf>
          </x14:cfRule>
          <x14:cfRule type="expression" priority="94" id="{4C5D7B65-BB6A-4725-854C-3B4D0C5A6CD7}">
            <xm:f>$K33=FilterSpecs!$F$7</xm:f>
            <x14:dxf>
              <font>
                <b/>
                <i val="0"/>
                <color theme="0"/>
              </font>
              <fill>
                <patternFill>
                  <bgColor rgb="FF00B0F0"/>
                </patternFill>
              </fill>
            </x14:dxf>
          </x14:cfRule>
          <x14:cfRule type="expression" priority="95" id="{D409FF45-BEB7-4FCD-8928-DFF8D6A770DB}">
            <xm:f>$K33=FilterSpecs!$F$10</xm:f>
            <x14:dxf>
              <font>
                <b/>
                <i val="0"/>
                <color theme="0"/>
              </font>
              <fill>
                <patternFill>
                  <bgColor rgb="FF002060"/>
                </patternFill>
              </fill>
            </x14:dxf>
          </x14:cfRule>
          <x14:cfRule type="expression" priority="96" id="{6EF87AD3-FF7C-4A3F-A622-A9C394218C90}">
            <xm:f>$K33=FilterSpecs!$F$8</xm:f>
            <x14:dxf>
              <font>
                <b/>
                <i val="0"/>
                <color theme="0"/>
              </font>
              <fill>
                <patternFill>
                  <bgColor rgb="FFFFC000"/>
                </patternFill>
              </fill>
            </x14:dxf>
          </x14:cfRule>
          <x14:cfRule type="expression" priority="97" id="{9145F522-6B14-4F58-8038-B79101717777}">
            <xm:f>$K33=FilterSpecs!$F$10</xm:f>
            <x14:dxf>
              <font>
                <b/>
                <i val="0"/>
                <color theme="0"/>
              </font>
              <fill>
                <patternFill>
                  <bgColor rgb="FF002060"/>
                </patternFill>
              </fill>
            </x14:dxf>
          </x14:cfRule>
          <x14:cfRule type="expression" priority="98" id="{59177DC3-0C76-44FE-A63E-6D821FE6DD4A}">
            <xm:f>$K33=FilterSpecs!$F$8</xm:f>
            <x14:dxf>
              <font>
                <b/>
                <i val="0"/>
                <color theme="0"/>
              </font>
              <fill>
                <patternFill>
                  <bgColor rgb="FFFFC000"/>
                </patternFill>
              </fill>
            </x14:dxf>
          </x14:cfRule>
          <x14:cfRule type="expression" priority="99" id="{2C1926B1-FC96-4706-9E63-B9D85853A416}">
            <xm:f>$K33=FilterSpecs!$F$7</xm:f>
            <x14:dxf>
              <font>
                <b/>
                <i val="0"/>
                <color theme="0"/>
              </font>
              <fill>
                <patternFill>
                  <bgColor rgb="FF00B0F0"/>
                </patternFill>
              </fill>
            </x14:dxf>
          </x14:cfRule>
          <xm:sqref>D33:F33</xm:sqref>
        </x14:conditionalFormatting>
        <x14:conditionalFormatting xmlns:xm="http://schemas.microsoft.com/office/excel/2006/main">
          <x14:cfRule type="expression" priority="78" id="{EB1221B1-E49E-4059-8342-EF4D89A710DF}">
            <xm:f>$K38=FilterSpecs!$F$13</xm:f>
            <x14:dxf>
              <font>
                <b/>
                <i val="0"/>
                <color theme="0"/>
              </font>
              <fill>
                <patternFill>
                  <bgColor theme="9" tint="-0.499984740745262"/>
                </patternFill>
              </fill>
            </x14:dxf>
          </x14:cfRule>
          <x14:cfRule type="expression" priority="79" id="{63DD6BB5-123D-4DDB-BA31-8BC23361B562}">
            <xm:f>$K38=FilterSpecs!$E$13</xm:f>
            <x14:dxf>
              <font>
                <b/>
                <i val="0"/>
                <color theme="0"/>
              </font>
              <fill>
                <patternFill>
                  <bgColor theme="9" tint="-0.499984740745262"/>
                </patternFill>
              </fill>
            </x14:dxf>
          </x14:cfRule>
          <x14:cfRule type="expression" priority="80" id="{517AB8CC-35AF-450E-9BBE-06E6A547D5D7}">
            <xm:f>$K38=FilterSpecs!$F$12</xm:f>
            <x14:dxf>
              <font>
                <b/>
                <i val="0"/>
                <color theme="0"/>
              </font>
              <fill>
                <patternFill>
                  <bgColor rgb="FFFF4F4F"/>
                </patternFill>
              </fill>
            </x14:dxf>
          </x14:cfRule>
          <x14:cfRule type="expression" priority="81" id="{B1FD4247-08BE-4315-A80A-9A5A65350E9D}">
            <xm:f>$K38=FilterSpecs!$F$9</xm:f>
            <x14:dxf>
              <font>
                <b/>
                <i val="0"/>
                <color theme="0"/>
              </font>
              <fill>
                <patternFill>
                  <bgColor rgb="FFFF0000"/>
                </patternFill>
              </fill>
            </x14:dxf>
          </x14:cfRule>
          <x14:cfRule type="expression" priority="83" id="{0E02F78F-8A00-4782-804E-7ECFD03C4512}">
            <xm:f>$K38=FilterSpecs!$F$7</xm:f>
            <x14:dxf>
              <font>
                <b/>
                <i val="0"/>
                <color theme="0"/>
              </font>
              <fill>
                <patternFill>
                  <bgColor rgb="FF00B0F0"/>
                </patternFill>
              </fill>
            </x14:dxf>
          </x14:cfRule>
          <x14:cfRule type="expression" priority="84" id="{765F39EC-4103-4258-A392-CF7C96340ED3}">
            <xm:f>$K38=FilterSpecs!$F$10</xm:f>
            <x14:dxf>
              <font>
                <b/>
                <i val="0"/>
                <color theme="0"/>
              </font>
              <fill>
                <patternFill>
                  <bgColor rgb="FF002060"/>
                </patternFill>
              </fill>
            </x14:dxf>
          </x14:cfRule>
          <x14:cfRule type="expression" priority="85" id="{67E40E19-D54B-4ED5-BBF9-2A8B712DD7CF}">
            <xm:f>$K38=FilterSpecs!$F$8</xm:f>
            <x14:dxf>
              <font>
                <b/>
                <i val="0"/>
                <color theme="0"/>
              </font>
              <fill>
                <patternFill>
                  <bgColor rgb="FFFFC000"/>
                </patternFill>
              </fill>
            </x14:dxf>
          </x14:cfRule>
          <x14:cfRule type="expression" priority="86" id="{3EEBB8BF-629E-446C-99EA-081FCD6B2D45}">
            <xm:f>$K38=FilterSpecs!$F$10</xm:f>
            <x14:dxf>
              <font>
                <b/>
                <i val="0"/>
                <color theme="0"/>
              </font>
              <fill>
                <patternFill>
                  <bgColor rgb="FF002060"/>
                </patternFill>
              </fill>
            </x14:dxf>
          </x14:cfRule>
          <x14:cfRule type="expression" priority="87" id="{C1326F9B-B70B-4988-8C3D-F70A0E6CDA17}">
            <xm:f>$K38=FilterSpecs!$F$8</xm:f>
            <x14:dxf>
              <font>
                <b/>
                <i val="0"/>
                <color theme="0"/>
              </font>
              <fill>
                <patternFill>
                  <bgColor rgb="FFFFC000"/>
                </patternFill>
              </fill>
            </x14:dxf>
          </x14:cfRule>
          <x14:cfRule type="expression" priority="88" id="{F608F0BA-8160-4ED6-A6FC-5FBDEEB31235}">
            <xm:f>$K38=FilterSpecs!$F$7</xm:f>
            <x14:dxf>
              <font>
                <b/>
                <i val="0"/>
                <color theme="0"/>
              </font>
              <fill>
                <patternFill>
                  <bgColor rgb="FF00B0F0"/>
                </patternFill>
              </fill>
            </x14:dxf>
          </x14:cfRule>
          <xm:sqref>H38:M38</xm:sqref>
        </x14:conditionalFormatting>
        <x14:conditionalFormatting xmlns:xm="http://schemas.microsoft.com/office/excel/2006/main">
          <x14:cfRule type="expression" priority="67" id="{D4E014DB-BD5C-4F88-9AF8-47B6B410C2D7}">
            <xm:f>$K2=FilterSpecs!$F$13</xm:f>
            <x14:dxf>
              <font>
                <b/>
                <i val="0"/>
                <color theme="0"/>
              </font>
              <fill>
                <patternFill>
                  <bgColor theme="9" tint="-0.499984740745262"/>
                </patternFill>
              </fill>
            </x14:dxf>
          </x14:cfRule>
          <x14:cfRule type="expression" priority="68" id="{A724D21E-22F4-44D2-B448-DC7AD0F42C5D}">
            <xm:f>$K2=FilterSpecs!$E$13</xm:f>
            <x14:dxf>
              <font>
                <b/>
                <i val="0"/>
                <color theme="0"/>
              </font>
              <fill>
                <patternFill>
                  <bgColor theme="9" tint="-0.499984740745262"/>
                </patternFill>
              </fill>
            </x14:dxf>
          </x14:cfRule>
          <x14:cfRule type="expression" priority="69" id="{A69A15EC-A12D-4126-B571-B061F8B0A73F}">
            <xm:f>$K2=FilterSpecs!$F$12</xm:f>
            <x14:dxf>
              <font>
                <b/>
                <i val="0"/>
                <color theme="0"/>
              </font>
              <fill>
                <patternFill>
                  <bgColor rgb="FFFF4F4F"/>
                </patternFill>
              </fill>
            </x14:dxf>
          </x14:cfRule>
          <x14:cfRule type="expression" priority="70" id="{DFC7364F-1F46-4A87-821D-0B7A28BE7A52}">
            <xm:f>$K2=FilterSpecs!$F$9</xm:f>
            <x14:dxf>
              <font>
                <b/>
                <i val="0"/>
                <color theme="0"/>
              </font>
              <fill>
                <patternFill>
                  <bgColor rgb="FFFF0000"/>
                </patternFill>
              </fill>
            </x14:dxf>
          </x14:cfRule>
          <x14:cfRule type="expression" priority="72" id="{4FADDD3A-973D-40CE-839A-6F1AF10C8284}">
            <xm:f>$K2=FilterSpecs!$F$7</xm:f>
            <x14:dxf>
              <font>
                <b/>
                <i val="0"/>
                <color theme="0"/>
              </font>
              <fill>
                <patternFill>
                  <bgColor rgb="FF00B0F0"/>
                </patternFill>
              </fill>
            </x14:dxf>
          </x14:cfRule>
          <x14:cfRule type="expression" priority="73" id="{AB2301F7-426C-48A1-9EDB-A6067ED90C83}">
            <xm:f>$K2=FilterSpecs!$F$10</xm:f>
            <x14:dxf>
              <font>
                <b/>
                <i val="0"/>
                <color theme="0"/>
              </font>
              <fill>
                <patternFill>
                  <bgColor rgb="FF002060"/>
                </patternFill>
              </fill>
            </x14:dxf>
          </x14:cfRule>
          <x14:cfRule type="expression" priority="74" id="{6CF818E1-9430-46BA-88F0-7E3DC53917CB}">
            <xm:f>$K2=FilterSpecs!$F$8</xm:f>
            <x14:dxf>
              <font>
                <b/>
                <i val="0"/>
                <color theme="0"/>
              </font>
              <fill>
                <patternFill>
                  <bgColor rgb="FFFFC000"/>
                </patternFill>
              </fill>
            </x14:dxf>
          </x14:cfRule>
          <x14:cfRule type="expression" priority="75" id="{6AAAC920-60E9-4401-809A-7AF8E18698C1}">
            <xm:f>$K2=FilterSpecs!$F$10</xm:f>
            <x14:dxf>
              <font>
                <b/>
                <i val="0"/>
                <color theme="0"/>
              </font>
              <fill>
                <patternFill>
                  <bgColor rgb="FF002060"/>
                </patternFill>
              </fill>
            </x14:dxf>
          </x14:cfRule>
          <x14:cfRule type="expression" priority="76" id="{15C32F2E-CD12-4EF7-A285-F8D4EE9CBF05}">
            <xm:f>$K2=FilterSpecs!$F$8</xm:f>
            <x14:dxf>
              <font>
                <b/>
                <i val="0"/>
                <color theme="0"/>
              </font>
              <fill>
                <patternFill>
                  <bgColor rgb="FFFFC000"/>
                </patternFill>
              </fill>
            </x14:dxf>
          </x14:cfRule>
          <x14:cfRule type="expression" priority="77" id="{BDB5CEA5-9B64-442F-AF1D-B67E8C355549}">
            <xm:f>$K2=FilterSpecs!$F$7</xm:f>
            <x14:dxf>
              <font>
                <b/>
                <i val="0"/>
                <color theme="0"/>
              </font>
              <fill>
                <patternFill>
                  <bgColor rgb="FF00B0F0"/>
                </patternFill>
              </fill>
            </x14:dxf>
          </x14:cfRule>
          <xm:sqref>A2</xm:sqref>
        </x14:conditionalFormatting>
        <x14:conditionalFormatting xmlns:xm="http://schemas.microsoft.com/office/excel/2006/main">
          <x14:cfRule type="expression" priority="56" id="{DF36E852-409F-4235-972B-A4770AD1368B}">
            <xm:f>$K2=FilterSpecs!$F$13</xm:f>
            <x14:dxf>
              <font>
                <b/>
                <i val="0"/>
                <color theme="0"/>
              </font>
              <fill>
                <patternFill>
                  <bgColor theme="9" tint="-0.499984740745262"/>
                </patternFill>
              </fill>
            </x14:dxf>
          </x14:cfRule>
          <x14:cfRule type="expression" priority="57" id="{A98CC1DC-8AAC-4D11-9B6C-CCD2516DD86A}">
            <xm:f>$K2=FilterSpecs!$E$13</xm:f>
            <x14:dxf>
              <font>
                <b/>
                <i val="0"/>
                <color theme="0"/>
              </font>
              <fill>
                <patternFill>
                  <bgColor theme="9" tint="-0.499984740745262"/>
                </patternFill>
              </fill>
            </x14:dxf>
          </x14:cfRule>
          <x14:cfRule type="expression" priority="58" id="{B4DBBCE7-B759-4801-9589-C608A96D6C68}">
            <xm:f>$K2=FilterSpecs!$F$12</xm:f>
            <x14:dxf>
              <font>
                <b/>
                <i val="0"/>
                <color theme="0"/>
              </font>
              <fill>
                <patternFill>
                  <bgColor rgb="FFFF4F4F"/>
                </patternFill>
              </fill>
            </x14:dxf>
          </x14:cfRule>
          <x14:cfRule type="expression" priority="59" id="{16C628F5-9E4A-4B7D-A8AD-EAC2F7862118}">
            <xm:f>$K2=FilterSpecs!$F$9</xm:f>
            <x14:dxf>
              <font>
                <b/>
                <i val="0"/>
                <color theme="0"/>
              </font>
              <fill>
                <patternFill>
                  <bgColor rgb="FFFF0000"/>
                </patternFill>
              </fill>
            </x14:dxf>
          </x14:cfRule>
          <x14:cfRule type="expression" priority="61" id="{59034E80-A576-47BA-A627-FA722C7A0EC3}">
            <xm:f>$K2=FilterSpecs!$F$7</xm:f>
            <x14:dxf>
              <font>
                <b/>
                <i val="0"/>
                <color theme="0"/>
              </font>
              <fill>
                <patternFill>
                  <bgColor rgb="FF00B0F0"/>
                </patternFill>
              </fill>
            </x14:dxf>
          </x14:cfRule>
          <x14:cfRule type="expression" priority="62" id="{D0D4AD5E-2996-471F-8616-B049C056E39E}">
            <xm:f>$K2=FilterSpecs!$F$10</xm:f>
            <x14:dxf>
              <font>
                <b/>
                <i val="0"/>
                <color theme="0"/>
              </font>
              <fill>
                <patternFill>
                  <bgColor rgb="FF002060"/>
                </patternFill>
              </fill>
            </x14:dxf>
          </x14:cfRule>
          <x14:cfRule type="expression" priority="63" id="{D95F2E3F-5ACB-4FF8-989F-A93413DBDF17}">
            <xm:f>$K2=FilterSpecs!$F$8</xm:f>
            <x14:dxf>
              <font>
                <b/>
                <i val="0"/>
                <color theme="0"/>
              </font>
              <fill>
                <patternFill>
                  <bgColor rgb="FFFFC000"/>
                </patternFill>
              </fill>
            </x14:dxf>
          </x14:cfRule>
          <x14:cfRule type="expression" priority="64" id="{5C2E0E73-CFD8-4216-9D4D-EDAED8FECD61}">
            <xm:f>$K2=FilterSpecs!$F$10</xm:f>
            <x14:dxf>
              <font>
                <b/>
                <i val="0"/>
                <color theme="0"/>
              </font>
              <fill>
                <patternFill>
                  <bgColor rgb="FF002060"/>
                </patternFill>
              </fill>
            </x14:dxf>
          </x14:cfRule>
          <x14:cfRule type="expression" priority="65" id="{C7215C56-3E74-4792-9EA2-90E8F67B0D18}">
            <xm:f>$K2=FilterSpecs!$F$8</xm:f>
            <x14:dxf>
              <font>
                <b/>
                <i val="0"/>
                <color theme="0"/>
              </font>
              <fill>
                <patternFill>
                  <bgColor rgb="FFFFC000"/>
                </patternFill>
              </fill>
            </x14:dxf>
          </x14:cfRule>
          <x14:cfRule type="expression" priority="66" id="{04500508-FAD8-47E3-8061-F74FDA743F83}">
            <xm:f>$K2=FilterSpecs!$F$7</xm:f>
            <x14:dxf>
              <font>
                <b/>
                <i val="0"/>
                <color theme="0"/>
              </font>
              <fill>
                <patternFill>
                  <bgColor rgb="FF00B0F0"/>
                </patternFill>
              </fill>
            </x14:dxf>
          </x14:cfRule>
          <xm:sqref>M2</xm:sqref>
        </x14:conditionalFormatting>
        <x14:conditionalFormatting xmlns:xm="http://schemas.microsoft.com/office/excel/2006/main">
          <x14:cfRule type="expression" priority="45" id="{0A253BBA-EADD-4C4C-8B49-96266535C15C}">
            <xm:f>$K2=FilterSpecs!$F$13</xm:f>
            <x14:dxf>
              <font>
                <b/>
                <i val="0"/>
                <color theme="0"/>
              </font>
              <fill>
                <patternFill>
                  <bgColor theme="9" tint="-0.499984740745262"/>
                </patternFill>
              </fill>
            </x14:dxf>
          </x14:cfRule>
          <x14:cfRule type="expression" priority="46" id="{BF1879B0-41AA-4244-9E0A-47E1705AAAE4}">
            <xm:f>$K2=FilterSpecs!$E$13</xm:f>
            <x14:dxf>
              <font>
                <b/>
                <i val="0"/>
                <color theme="0"/>
              </font>
              <fill>
                <patternFill>
                  <bgColor theme="9" tint="-0.499984740745262"/>
                </patternFill>
              </fill>
            </x14:dxf>
          </x14:cfRule>
          <x14:cfRule type="expression" priority="47" id="{34C145BD-4F92-4B95-A12C-C66D0A74017E}">
            <xm:f>$K2=FilterSpecs!$F$12</xm:f>
            <x14:dxf>
              <font>
                <b/>
                <i val="0"/>
                <color theme="0"/>
              </font>
              <fill>
                <patternFill>
                  <bgColor rgb="FFFF4F4F"/>
                </patternFill>
              </fill>
            </x14:dxf>
          </x14:cfRule>
          <x14:cfRule type="expression" priority="48" id="{0BBC400D-828B-49F9-AB4C-9DC13969815E}">
            <xm:f>$K2=FilterSpecs!$F$9</xm:f>
            <x14:dxf>
              <font>
                <b/>
                <i val="0"/>
                <color theme="0"/>
              </font>
              <fill>
                <patternFill>
                  <bgColor rgb="FFFF0000"/>
                </patternFill>
              </fill>
            </x14:dxf>
          </x14:cfRule>
          <x14:cfRule type="expression" priority="50" id="{6CBFE79E-F724-473D-839D-82CE9C1C9C7B}">
            <xm:f>$K2=FilterSpecs!$F$7</xm:f>
            <x14:dxf>
              <font>
                <b/>
                <i val="0"/>
                <color theme="0"/>
              </font>
              <fill>
                <patternFill>
                  <bgColor rgb="FF00B0F0"/>
                </patternFill>
              </fill>
            </x14:dxf>
          </x14:cfRule>
          <x14:cfRule type="expression" priority="51" id="{17D0A59E-8183-4894-8B27-C577FE9FBF8A}">
            <xm:f>$K2=FilterSpecs!$F$10</xm:f>
            <x14:dxf>
              <font>
                <b/>
                <i val="0"/>
                <color theme="0"/>
              </font>
              <fill>
                <patternFill>
                  <bgColor rgb="FF002060"/>
                </patternFill>
              </fill>
            </x14:dxf>
          </x14:cfRule>
          <x14:cfRule type="expression" priority="52" id="{ACEAF1E8-4326-450E-91D7-DDB864877974}">
            <xm:f>$K2=FilterSpecs!$F$8</xm:f>
            <x14:dxf>
              <font>
                <b/>
                <i val="0"/>
                <color theme="0"/>
              </font>
              <fill>
                <patternFill>
                  <bgColor rgb="FFFFC000"/>
                </patternFill>
              </fill>
            </x14:dxf>
          </x14:cfRule>
          <x14:cfRule type="expression" priority="53" id="{88CE02C0-84EE-446D-A8B2-22D38467FDE6}">
            <xm:f>$K2=FilterSpecs!$F$10</xm:f>
            <x14:dxf>
              <font>
                <b/>
                <i val="0"/>
                <color theme="0"/>
              </font>
              <fill>
                <patternFill>
                  <bgColor rgb="FF002060"/>
                </patternFill>
              </fill>
            </x14:dxf>
          </x14:cfRule>
          <x14:cfRule type="expression" priority="54" id="{0614A00B-D898-4DE1-91B7-13D03A56BA96}">
            <xm:f>$K2=FilterSpecs!$F$8</xm:f>
            <x14:dxf>
              <font>
                <b/>
                <i val="0"/>
                <color theme="0"/>
              </font>
              <fill>
                <patternFill>
                  <bgColor rgb="FFFFC000"/>
                </patternFill>
              </fill>
            </x14:dxf>
          </x14:cfRule>
          <x14:cfRule type="expression" priority="55" id="{A3776212-BE9F-4359-8D03-F174D2904B6F}">
            <xm:f>$K2=FilterSpecs!$F$7</xm:f>
            <x14:dxf>
              <font>
                <b/>
                <i val="0"/>
                <color theme="0"/>
              </font>
              <fill>
                <patternFill>
                  <bgColor rgb="FF00B0F0"/>
                </patternFill>
              </fill>
            </x14:dxf>
          </x14:cfRule>
          <xm:sqref>L2</xm:sqref>
        </x14:conditionalFormatting>
        <x14:conditionalFormatting xmlns:xm="http://schemas.microsoft.com/office/excel/2006/main">
          <x14:cfRule type="expression" priority="34" id="{27702E1D-1265-404B-919A-28A8FE4A64DA}">
            <xm:f>$K35=FilterSpecs!$F$13</xm:f>
            <x14:dxf>
              <font>
                <b/>
                <i val="0"/>
                <color theme="0"/>
              </font>
              <fill>
                <patternFill>
                  <bgColor theme="9" tint="-0.499984740745262"/>
                </patternFill>
              </fill>
            </x14:dxf>
          </x14:cfRule>
          <x14:cfRule type="expression" priority="35" id="{AE440CC4-BBB8-4CA8-A66B-DE350CD92173}">
            <xm:f>$K35=FilterSpecs!$E$13</xm:f>
            <x14:dxf>
              <font>
                <b/>
                <i val="0"/>
                <color theme="0"/>
              </font>
              <fill>
                <patternFill>
                  <bgColor theme="9" tint="-0.499984740745262"/>
                </patternFill>
              </fill>
            </x14:dxf>
          </x14:cfRule>
          <x14:cfRule type="expression" priority="36" id="{A7B55CED-A882-44AC-B4AD-DD1FA089CC80}">
            <xm:f>$K35=FilterSpecs!$F$12</xm:f>
            <x14:dxf>
              <font>
                <b/>
                <i val="0"/>
                <color theme="0"/>
              </font>
              <fill>
                <patternFill>
                  <bgColor rgb="FFFF4F4F"/>
                </patternFill>
              </fill>
            </x14:dxf>
          </x14:cfRule>
          <x14:cfRule type="expression" priority="37" id="{E62CE0DE-FFCC-45EF-AE27-7DE2DF83C62E}">
            <xm:f>$K35=FilterSpecs!$F$9</xm:f>
            <x14:dxf>
              <font>
                <b/>
                <i val="0"/>
                <color theme="0"/>
              </font>
              <fill>
                <patternFill>
                  <bgColor rgb="FFFF0000"/>
                </patternFill>
              </fill>
            </x14:dxf>
          </x14:cfRule>
          <x14:cfRule type="expression" priority="39" id="{C58400CD-D6D4-4AA8-8816-C357177C53AA}">
            <xm:f>$K35=FilterSpecs!$F$7</xm:f>
            <x14:dxf>
              <font>
                <b/>
                <i val="0"/>
                <color theme="0"/>
              </font>
              <fill>
                <patternFill>
                  <bgColor rgb="FF00B0F0"/>
                </patternFill>
              </fill>
            </x14:dxf>
          </x14:cfRule>
          <x14:cfRule type="expression" priority="40" id="{C9339FD1-D77B-40D7-A67D-E859122D141A}">
            <xm:f>$K35=FilterSpecs!$F$10</xm:f>
            <x14:dxf>
              <font>
                <b/>
                <i val="0"/>
                <color theme="0"/>
              </font>
              <fill>
                <patternFill>
                  <bgColor rgb="FF002060"/>
                </patternFill>
              </fill>
            </x14:dxf>
          </x14:cfRule>
          <x14:cfRule type="expression" priority="41" id="{EF5556F2-79C1-47CD-BE18-C601C4CF55C7}">
            <xm:f>$K35=FilterSpecs!$F$8</xm:f>
            <x14:dxf>
              <font>
                <b/>
                <i val="0"/>
                <color theme="0"/>
              </font>
              <fill>
                <patternFill>
                  <bgColor rgb="FFFFC000"/>
                </patternFill>
              </fill>
            </x14:dxf>
          </x14:cfRule>
          <x14:cfRule type="expression" priority="42" id="{F7AD45F7-4AC7-40F0-B4D0-85723B2CC152}">
            <xm:f>$K35=FilterSpecs!$F$10</xm:f>
            <x14:dxf>
              <font>
                <b/>
                <i val="0"/>
                <color theme="0"/>
              </font>
              <fill>
                <patternFill>
                  <bgColor rgb="FF002060"/>
                </patternFill>
              </fill>
            </x14:dxf>
          </x14:cfRule>
          <x14:cfRule type="expression" priority="43" id="{899A7DB0-B290-489B-9B03-59A3300B7496}">
            <xm:f>$K35=FilterSpecs!$F$8</xm:f>
            <x14:dxf>
              <font>
                <b/>
                <i val="0"/>
                <color theme="0"/>
              </font>
              <fill>
                <patternFill>
                  <bgColor rgb="FFFFC000"/>
                </patternFill>
              </fill>
            </x14:dxf>
          </x14:cfRule>
          <x14:cfRule type="expression" priority="44" id="{5A18264C-17FE-4CAE-83D4-08A111E3C17E}">
            <xm:f>$K35=FilterSpecs!$F$7</xm:f>
            <x14:dxf>
              <font>
                <b/>
                <i val="0"/>
                <color theme="0"/>
              </font>
              <fill>
                <patternFill>
                  <bgColor rgb="FF00B0F0"/>
                </patternFill>
              </fill>
            </x14:dxf>
          </x14:cfRule>
          <xm:sqref>D35:G35</xm:sqref>
        </x14:conditionalFormatting>
        <x14:conditionalFormatting xmlns:xm="http://schemas.microsoft.com/office/excel/2006/main">
          <x14:cfRule type="expression" priority="23" id="{310DAC3B-ED60-438E-976A-BA0DB903F9FD}">
            <xm:f>$K2=FilterSpecs!$F$13</xm:f>
            <x14:dxf>
              <font>
                <b/>
                <i val="0"/>
                <color theme="0"/>
              </font>
              <fill>
                <patternFill>
                  <bgColor theme="9" tint="-0.499984740745262"/>
                </patternFill>
              </fill>
            </x14:dxf>
          </x14:cfRule>
          <x14:cfRule type="expression" priority="24" id="{3A7E5181-F1BC-41C9-BCEB-F5770FC870AF}">
            <xm:f>$K2=FilterSpecs!$E$13</xm:f>
            <x14:dxf>
              <font>
                <b/>
                <i val="0"/>
                <color theme="0"/>
              </font>
              <fill>
                <patternFill>
                  <bgColor theme="9" tint="-0.499984740745262"/>
                </patternFill>
              </fill>
            </x14:dxf>
          </x14:cfRule>
          <x14:cfRule type="expression" priority="25" id="{675DB4EC-5048-429D-861A-4EB7654D2972}">
            <xm:f>$K2=FilterSpecs!$F$12</xm:f>
            <x14:dxf>
              <font>
                <b/>
                <i val="0"/>
                <color theme="0"/>
              </font>
              <fill>
                <patternFill>
                  <bgColor rgb="FFFF4F4F"/>
                </patternFill>
              </fill>
            </x14:dxf>
          </x14:cfRule>
          <x14:cfRule type="expression" priority="26" id="{5A402E83-D37F-4F04-A72B-775B79869074}">
            <xm:f>$K2=FilterSpecs!$F$9</xm:f>
            <x14:dxf>
              <font>
                <b/>
                <i val="0"/>
                <color theme="0"/>
              </font>
              <fill>
                <patternFill>
                  <bgColor rgb="FFFF0000"/>
                </patternFill>
              </fill>
            </x14:dxf>
          </x14:cfRule>
          <x14:cfRule type="expression" priority="28" id="{4177050A-84F7-45D0-A2F8-44E9F6D97839}">
            <xm:f>$K2=FilterSpecs!$F$7</xm:f>
            <x14:dxf>
              <font>
                <b/>
                <i val="0"/>
                <color theme="0"/>
              </font>
              <fill>
                <patternFill>
                  <bgColor rgb="FF00B0F0"/>
                </patternFill>
              </fill>
            </x14:dxf>
          </x14:cfRule>
          <x14:cfRule type="expression" priority="29" id="{235CEDA7-A912-470C-97D6-C6F7476D2A14}">
            <xm:f>$K2=FilterSpecs!$F$10</xm:f>
            <x14:dxf>
              <font>
                <b/>
                <i val="0"/>
                <color theme="0"/>
              </font>
              <fill>
                <patternFill>
                  <bgColor rgb="FF002060"/>
                </patternFill>
              </fill>
            </x14:dxf>
          </x14:cfRule>
          <x14:cfRule type="expression" priority="30" id="{44FC1B6B-30E8-4940-9298-8896ACDBAC1D}">
            <xm:f>$K2=FilterSpecs!$F$8</xm:f>
            <x14:dxf>
              <font>
                <b/>
                <i val="0"/>
                <color theme="0"/>
              </font>
              <fill>
                <patternFill>
                  <bgColor rgb="FFFFC000"/>
                </patternFill>
              </fill>
            </x14:dxf>
          </x14:cfRule>
          <x14:cfRule type="expression" priority="31" id="{1DB10A51-2CF2-422D-BA13-B4F55757CF32}">
            <xm:f>$K2=FilterSpecs!$F$10</xm:f>
            <x14:dxf>
              <font>
                <b/>
                <i val="0"/>
                <color theme="0"/>
              </font>
              <fill>
                <patternFill>
                  <bgColor rgb="FF002060"/>
                </patternFill>
              </fill>
            </x14:dxf>
          </x14:cfRule>
          <x14:cfRule type="expression" priority="32" id="{067C8408-924C-4152-8B85-15BB9577AF31}">
            <xm:f>$K2=FilterSpecs!$F$8</xm:f>
            <x14:dxf>
              <font>
                <b/>
                <i val="0"/>
                <color theme="0"/>
              </font>
              <fill>
                <patternFill>
                  <bgColor rgb="FFFFC000"/>
                </patternFill>
              </fill>
            </x14:dxf>
          </x14:cfRule>
          <x14:cfRule type="expression" priority="33" id="{D6F60E28-2EF3-4279-8D3A-755A595D1994}">
            <xm:f>$K2=FilterSpecs!$F$7</xm:f>
            <x14:dxf>
              <font>
                <b/>
                <i val="0"/>
                <color theme="0"/>
              </font>
              <fill>
                <patternFill>
                  <bgColor rgb="FF00B0F0"/>
                </patternFill>
              </fill>
            </x14:dxf>
          </x14:cfRule>
          <xm:sqref>O2</xm:sqref>
        </x14:conditionalFormatting>
        <x14:conditionalFormatting xmlns:xm="http://schemas.microsoft.com/office/excel/2006/main">
          <x14:cfRule type="expression" priority="12" id="{A5F14C4E-E1A3-44D8-AE95-2EA0EAFF259C}">
            <xm:f>$K2=FilterSpecs!$F$13</xm:f>
            <x14:dxf>
              <font>
                <b/>
                <i val="0"/>
                <color theme="0"/>
              </font>
              <fill>
                <patternFill>
                  <bgColor theme="9" tint="-0.499984740745262"/>
                </patternFill>
              </fill>
            </x14:dxf>
          </x14:cfRule>
          <x14:cfRule type="expression" priority="13" id="{7C318D4F-87DC-40AC-8F31-C26F4A333E69}">
            <xm:f>$K2=FilterSpecs!$E$13</xm:f>
            <x14:dxf>
              <font>
                <b/>
                <i val="0"/>
                <color theme="0"/>
              </font>
              <fill>
                <patternFill>
                  <bgColor theme="9" tint="-0.499984740745262"/>
                </patternFill>
              </fill>
            </x14:dxf>
          </x14:cfRule>
          <x14:cfRule type="expression" priority="14" id="{FCBDA2E1-9E18-43C2-914E-2A2A30506A59}">
            <xm:f>$K2=FilterSpecs!$F$12</xm:f>
            <x14:dxf>
              <font>
                <b/>
                <i val="0"/>
                <color theme="0"/>
              </font>
              <fill>
                <patternFill>
                  <bgColor rgb="FFFF4F4F"/>
                </patternFill>
              </fill>
            </x14:dxf>
          </x14:cfRule>
          <x14:cfRule type="expression" priority="15" id="{A3C37212-8FD2-44C8-AE24-D443C2377648}">
            <xm:f>$K2=FilterSpecs!$F$9</xm:f>
            <x14:dxf>
              <font>
                <b/>
                <i val="0"/>
                <color theme="0"/>
              </font>
              <fill>
                <patternFill>
                  <bgColor rgb="FFFF0000"/>
                </patternFill>
              </fill>
            </x14:dxf>
          </x14:cfRule>
          <x14:cfRule type="expression" priority="17" id="{93928085-11CC-4F36-B8DC-AB874E75DC41}">
            <xm:f>$K2=FilterSpecs!$F$7</xm:f>
            <x14:dxf>
              <font>
                <b/>
                <i val="0"/>
                <color theme="0"/>
              </font>
              <fill>
                <patternFill>
                  <bgColor rgb="FF00B0F0"/>
                </patternFill>
              </fill>
            </x14:dxf>
          </x14:cfRule>
          <x14:cfRule type="expression" priority="18" id="{75B71D5D-A2D3-4802-8CF0-B111EF1D258E}">
            <xm:f>$K2=FilterSpecs!$F$10</xm:f>
            <x14:dxf>
              <font>
                <b/>
                <i val="0"/>
                <color theme="0"/>
              </font>
              <fill>
                <patternFill>
                  <bgColor rgb="FF002060"/>
                </patternFill>
              </fill>
            </x14:dxf>
          </x14:cfRule>
          <x14:cfRule type="expression" priority="19" id="{B7347E50-1409-4F64-B085-1D1EC9BC2369}">
            <xm:f>$K2=FilterSpecs!$F$8</xm:f>
            <x14:dxf>
              <font>
                <b/>
                <i val="0"/>
                <color theme="0"/>
              </font>
              <fill>
                <patternFill>
                  <bgColor rgb="FFFFC000"/>
                </patternFill>
              </fill>
            </x14:dxf>
          </x14:cfRule>
          <x14:cfRule type="expression" priority="20" id="{3DDD8C28-C092-413F-A640-29FCB05E3374}">
            <xm:f>$K2=FilterSpecs!$F$10</xm:f>
            <x14:dxf>
              <font>
                <b/>
                <i val="0"/>
                <color theme="0"/>
              </font>
              <fill>
                <patternFill>
                  <bgColor rgb="FF002060"/>
                </patternFill>
              </fill>
            </x14:dxf>
          </x14:cfRule>
          <x14:cfRule type="expression" priority="21" id="{17DA5CBE-6AB9-4795-ACEB-23E3A882F880}">
            <xm:f>$K2=FilterSpecs!$F$8</xm:f>
            <x14:dxf>
              <font>
                <b/>
                <i val="0"/>
                <color theme="0"/>
              </font>
              <fill>
                <patternFill>
                  <bgColor rgb="FFFFC000"/>
                </patternFill>
              </fill>
            </x14:dxf>
          </x14:cfRule>
          <x14:cfRule type="expression" priority="22" id="{81A43008-D170-4589-9014-7EE2DA29E738}">
            <xm:f>$K2=FilterSpecs!$F$7</xm:f>
            <x14:dxf>
              <font>
                <b/>
                <i val="0"/>
                <color theme="0"/>
              </font>
              <fill>
                <patternFill>
                  <bgColor rgb="FF00B0F0"/>
                </patternFill>
              </fill>
            </x14:dxf>
          </x14:cfRule>
          <xm:sqref>N2</xm:sqref>
        </x14:conditionalFormatting>
        <x14:conditionalFormatting xmlns:xm="http://schemas.microsoft.com/office/excel/2006/main">
          <x14:cfRule type="expression" priority="1" id="{55B1BAB1-51BD-4086-827F-AF5AF1E29B04}">
            <xm:f>$K2=FilterSpecs!$F$13</xm:f>
            <x14:dxf>
              <font>
                <b/>
                <i val="0"/>
                <color theme="0"/>
              </font>
              <fill>
                <patternFill>
                  <bgColor theme="9" tint="-0.499984740745262"/>
                </patternFill>
              </fill>
            </x14:dxf>
          </x14:cfRule>
          <x14:cfRule type="expression" priority="2" id="{C6E9CD94-376C-49BB-A900-9AD21EDC155F}">
            <xm:f>$K2=FilterSpecs!$E$13</xm:f>
            <x14:dxf>
              <font>
                <b/>
                <i val="0"/>
                <color theme="0"/>
              </font>
              <fill>
                <patternFill>
                  <bgColor theme="9" tint="-0.499984740745262"/>
                </patternFill>
              </fill>
            </x14:dxf>
          </x14:cfRule>
          <x14:cfRule type="expression" priority="3" id="{C65B4243-6762-40D7-9AD3-91E6335F6E0B}">
            <xm:f>$K2=FilterSpecs!$F$12</xm:f>
            <x14:dxf>
              <font>
                <b/>
                <i val="0"/>
                <color theme="0"/>
              </font>
              <fill>
                <patternFill>
                  <bgColor rgb="FFFF4F4F"/>
                </patternFill>
              </fill>
            </x14:dxf>
          </x14:cfRule>
          <x14:cfRule type="expression" priority="4" id="{A2C361CE-9DA1-4991-A281-D2D9AC0BBB98}">
            <xm:f>$K2=FilterSpecs!$F$9</xm:f>
            <x14:dxf>
              <font>
                <b/>
                <i val="0"/>
                <color theme="0"/>
              </font>
              <fill>
                <patternFill>
                  <bgColor rgb="FFFF0000"/>
                </patternFill>
              </fill>
            </x14:dxf>
          </x14:cfRule>
          <x14:cfRule type="expression" priority="6" id="{3E1BB6D1-FFFF-4CC0-9FB3-83219AB6B88C}">
            <xm:f>$K2=FilterSpecs!$F$7</xm:f>
            <x14:dxf>
              <font>
                <b/>
                <i val="0"/>
                <color theme="0"/>
              </font>
              <fill>
                <patternFill>
                  <bgColor rgb="FF00B0F0"/>
                </patternFill>
              </fill>
            </x14:dxf>
          </x14:cfRule>
          <x14:cfRule type="expression" priority="7" id="{8D692616-6B71-4F97-818C-3E0A84FCCC3E}">
            <xm:f>$K2=FilterSpecs!$F$10</xm:f>
            <x14:dxf>
              <font>
                <b/>
                <i val="0"/>
                <color theme="0"/>
              </font>
              <fill>
                <patternFill>
                  <bgColor rgb="FF002060"/>
                </patternFill>
              </fill>
            </x14:dxf>
          </x14:cfRule>
          <x14:cfRule type="expression" priority="8" id="{DFCBECC9-92BB-420D-94DD-FB3D7DD7080D}">
            <xm:f>$K2=FilterSpecs!$F$8</xm:f>
            <x14:dxf>
              <font>
                <b/>
                <i val="0"/>
                <color theme="0"/>
              </font>
              <fill>
                <patternFill>
                  <bgColor rgb="FFFFC000"/>
                </patternFill>
              </fill>
            </x14:dxf>
          </x14:cfRule>
          <x14:cfRule type="expression" priority="9" id="{82C5F977-993C-4CA4-9A7B-836F33E5D07E}">
            <xm:f>$K2=FilterSpecs!$F$10</xm:f>
            <x14:dxf>
              <font>
                <b/>
                <i val="0"/>
                <color theme="0"/>
              </font>
              <fill>
                <patternFill>
                  <bgColor rgb="FF002060"/>
                </patternFill>
              </fill>
            </x14:dxf>
          </x14:cfRule>
          <x14:cfRule type="expression" priority="10" id="{13BD88BE-2CCC-43FD-BA4B-816B2EB0E8C8}">
            <xm:f>$K2=FilterSpecs!$F$8</xm:f>
            <x14:dxf>
              <font>
                <b/>
                <i val="0"/>
                <color theme="0"/>
              </font>
              <fill>
                <patternFill>
                  <bgColor rgb="FFFFC000"/>
                </patternFill>
              </fill>
            </x14:dxf>
          </x14:cfRule>
          <x14:cfRule type="expression" priority="11" id="{9B0AA41C-DBB1-43E4-BCBE-437FBC9B24C6}">
            <xm:f>$K2=FilterSpecs!$F$7</xm:f>
            <x14:dxf>
              <font>
                <b/>
                <i val="0"/>
                <color theme="0"/>
              </font>
              <fill>
                <patternFill>
                  <bgColor rgb="FF00B0F0"/>
                </patternFill>
              </fill>
            </x14:dxf>
          </x14:cfRule>
          <xm:sqref>B2:C2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62FECBB-BF62-4213-A881-E8A97D904C2A}">
          <x14:formula1>
            <xm:f>FilterSpecs!$C$6:$C$13</xm:f>
          </x14:formula1>
          <xm:sqref>M24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AC446-75B8-4504-96A9-5D9F34C59B0A}">
  <sheetPr codeName="Sheet5">
    <tabColor theme="7"/>
  </sheetPr>
  <dimension ref="A1:S44"/>
  <sheetViews>
    <sheetView zoomScale="85" zoomScaleNormal="85" workbookViewId="0">
      <selection activeCell="C9" sqref="C9"/>
    </sheetView>
  </sheetViews>
  <sheetFormatPr defaultRowHeight="21" x14ac:dyDescent="0.3"/>
  <cols>
    <col min="1" max="1" width="12" customWidth="1"/>
    <col min="2" max="2" width="10" customWidth="1"/>
    <col min="3" max="3" width="86.77734375" customWidth="1"/>
    <col min="4" max="4" width="39.6640625" bestFit="1" customWidth="1"/>
    <col min="5" max="5" width="39.21875" customWidth="1"/>
    <col min="6" max="6" width="37.33203125" bestFit="1" customWidth="1"/>
    <col min="7" max="7" width="31.21875" bestFit="1" customWidth="1"/>
    <col min="8" max="8" width="19.6640625" style="43" customWidth="1"/>
    <col min="9" max="9" width="48.77734375" customWidth="1"/>
    <col min="10" max="10" width="110.5546875" customWidth="1"/>
  </cols>
  <sheetData>
    <row r="1" spans="1:10" x14ac:dyDescent="0.4">
      <c r="A1" s="44" t="s">
        <v>164</v>
      </c>
      <c r="B1" s="44" t="s">
        <v>2400</v>
      </c>
      <c r="C1" s="37" t="s">
        <v>190</v>
      </c>
      <c r="D1" s="37" t="s">
        <v>184</v>
      </c>
      <c r="E1" s="38" t="s">
        <v>185</v>
      </c>
      <c r="F1" s="37" t="s">
        <v>186</v>
      </c>
      <c r="G1" s="37" t="s">
        <v>229</v>
      </c>
      <c r="H1" s="37" t="s">
        <v>187</v>
      </c>
      <c r="I1" s="37" t="s">
        <v>192</v>
      </c>
      <c r="J1" s="37" t="s">
        <v>189</v>
      </c>
    </row>
    <row r="2" spans="1:10" x14ac:dyDescent="0.4">
      <c r="A2" s="46">
        <v>14.95</v>
      </c>
      <c r="B2" s="46" t="s">
        <v>2401</v>
      </c>
      <c r="C2" s="40" t="s">
        <v>83</v>
      </c>
      <c r="D2" s="40"/>
      <c r="E2" s="38" t="s">
        <v>165</v>
      </c>
      <c r="F2" s="39" t="s">
        <v>166</v>
      </c>
      <c r="G2" s="39"/>
      <c r="H2" s="37"/>
      <c r="I2" s="43"/>
      <c r="J2" s="43"/>
    </row>
    <row r="3" spans="1:10" x14ac:dyDescent="0.4">
      <c r="A3" s="45">
        <v>3.95</v>
      </c>
      <c r="B3" s="46" t="s">
        <v>2401</v>
      </c>
      <c r="C3" s="40" t="s">
        <v>87</v>
      </c>
      <c r="D3" s="40"/>
      <c r="E3" s="39" t="s">
        <v>167</v>
      </c>
      <c r="F3" s="38"/>
      <c r="G3" s="38" t="s">
        <v>2420</v>
      </c>
      <c r="H3" s="37" t="s">
        <v>168</v>
      </c>
      <c r="I3" s="43">
        <v>4</v>
      </c>
      <c r="J3" s="43"/>
    </row>
    <row r="4" spans="1:10" x14ac:dyDescent="0.4">
      <c r="A4" s="46">
        <v>1.95</v>
      </c>
      <c r="B4" s="46" t="s">
        <v>2401</v>
      </c>
      <c r="C4" s="40" t="s">
        <v>79</v>
      </c>
      <c r="D4" s="37"/>
      <c r="E4" s="39" t="s">
        <v>191</v>
      </c>
      <c r="F4" s="37" t="s">
        <v>182</v>
      </c>
      <c r="G4" s="37"/>
      <c r="H4" s="37"/>
      <c r="I4" s="43"/>
      <c r="J4" s="43"/>
    </row>
    <row r="5" spans="1:10" x14ac:dyDescent="0.4">
      <c r="A5" s="44">
        <v>0.95</v>
      </c>
      <c r="B5" s="46" t="s">
        <v>2401</v>
      </c>
      <c r="C5" s="40" t="s">
        <v>75</v>
      </c>
      <c r="D5" s="37"/>
      <c r="E5" s="39" t="s">
        <v>183</v>
      </c>
      <c r="F5" s="37"/>
      <c r="G5" s="37"/>
      <c r="H5" s="37"/>
      <c r="I5" s="43"/>
      <c r="J5" s="43"/>
    </row>
    <row r="6" spans="1:10" x14ac:dyDescent="0.4">
      <c r="A6" s="46">
        <v>24.95</v>
      </c>
      <c r="B6" s="46" t="s">
        <v>2401</v>
      </c>
      <c r="C6" s="40" t="s">
        <v>95</v>
      </c>
      <c r="D6" s="40" t="s">
        <v>169</v>
      </c>
      <c r="E6" s="41" t="s">
        <v>170</v>
      </c>
      <c r="F6" s="39" t="s">
        <v>188</v>
      </c>
      <c r="G6" s="39"/>
      <c r="H6" s="37"/>
      <c r="I6" s="43" t="s">
        <v>193</v>
      </c>
      <c r="J6" s="43"/>
    </row>
    <row r="7" spans="1:10" x14ac:dyDescent="0.4">
      <c r="A7" s="46"/>
      <c r="B7" s="46" t="s">
        <v>2401</v>
      </c>
      <c r="C7" s="40"/>
      <c r="D7" s="40" t="s">
        <v>171</v>
      </c>
      <c r="E7" s="41" t="s">
        <v>172</v>
      </c>
      <c r="F7" s="38"/>
      <c r="G7" s="38"/>
      <c r="H7" s="37"/>
      <c r="I7" s="43"/>
      <c r="J7" s="43"/>
    </row>
    <row r="8" spans="1:10" x14ac:dyDescent="0.4">
      <c r="A8" s="46">
        <v>14.95</v>
      </c>
      <c r="B8" s="46" t="s">
        <v>2401</v>
      </c>
      <c r="C8" s="40" t="s">
        <v>99</v>
      </c>
      <c r="D8" s="40"/>
      <c r="E8" s="39" t="s">
        <v>176</v>
      </c>
      <c r="F8" s="38"/>
      <c r="G8" s="38"/>
      <c r="H8" s="37"/>
      <c r="I8" s="43" t="s">
        <v>2418</v>
      </c>
      <c r="J8" s="43" t="s">
        <v>2404</v>
      </c>
    </row>
    <row r="9" spans="1:10" x14ac:dyDescent="0.4">
      <c r="A9" s="46">
        <v>24.95</v>
      </c>
      <c r="B9" s="46" t="s">
        <v>2401</v>
      </c>
      <c r="C9" s="40" t="s">
        <v>91</v>
      </c>
      <c r="D9" s="40"/>
      <c r="E9" s="39" t="s">
        <v>173</v>
      </c>
      <c r="F9" s="39" t="s">
        <v>174</v>
      </c>
      <c r="G9" s="39"/>
      <c r="H9" s="37"/>
      <c r="I9" s="43" t="s">
        <v>2418</v>
      </c>
      <c r="J9" s="43" t="s">
        <v>2404</v>
      </c>
    </row>
    <row r="10" spans="1:10" x14ac:dyDescent="0.4">
      <c r="A10" s="45">
        <v>14.95</v>
      </c>
      <c r="B10" s="46" t="s">
        <v>2401</v>
      </c>
      <c r="C10" s="40" t="s">
        <v>175</v>
      </c>
      <c r="D10" s="40"/>
      <c r="E10" s="39" t="s">
        <v>173</v>
      </c>
      <c r="F10" s="39" t="s">
        <v>174</v>
      </c>
      <c r="G10" s="39"/>
      <c r="H10" s="37"/>
      <c r="I10" s="43"/>
      <c r="J10" s="43"/>
    </row>
    <row r="11" spans="1:10" x14ac:dyDescent="0.4">
      <c r="A11" s="46">
        <v>14.95</v>
      </c>
      <c r="B11" s="46" t="s">
        <v>2402</v>
      </c>
      <c r="C11" s="40" t="s">
        <v>2321</v>
      </c>
      <c r="D11" s="40"/>
      <c r="E11" s="39" t="s">
        <v>2405</v>
      </c>
      <c r="F11" s="38" t="s">
        <v>2406</v>
      </c>
      <c r="G11" s="38" t="s">
        <v>2407</v>
      </c>
      <c r="H11" s="37" t="s">
        <v>168</v>
      </c>
      <c r="I11" s="43" t="s">
        <v>2409</v>
      </c>
      <c r="J11" s="43" t="s">
        <v>2404</v>
      </c>
    </row>
    <row r="12" spans="1:10" x14ac:dyDescent="0.4">
      <c r="A12" s="46">
        <v>13.95</v>
      </c>
      <c r="B12" s="46" t="s">
        <v>2402</v>
      </c>
      <c r="C12" s="40" t="s">
        <v>2323</v>
      </c>
      <c r="D12" s="40"/>
      <c r="E12" s="39" t="s">
        <v>2408</v>
      </c>
      <c r="F12" s="38" t="s">
        <v>2416</v>
      </c>
      <c r="G12" s="38" t="s">
        <v>2417</v>
      </c>
      <c r="H12" s="37" t="s">
        <v>168</v>
      </c>
      <c r="I12" s="43" t="s">
        <v>2418</v>
      </c>
      <c r="J12" s="43" t="s">
        <v>2404</v>
      </c>
    </row>
    <row r="13" spans="1:10" x14ac:dyDescent="0.4">
      <c r="A13" s="46">
        <v>19.95</v>
      </c>
      <c r="B13" s="46" t="s">
        <v>2401</v>
      </c>
      <c r="C13" s="40" t="s">
        <v>103</v>
      </c>
      <c r="E13" s="39" t="s">
        <v>227</v>
      </c>
      <c r="G13" s="37" t="s">
        <v>228</v>
      </c>
      <c r="H13" s="37"/>
      <c r="I13" s="43" t="s">
        <v>2419</v>
      </c>
    </row>
    <row r="14" spans="1:10" x14ac:dyDescent="0.4">
      <c r="A14" s="46">
        <v>13.95</v>
      </c>
      <c r="B14" s="46" t="s">
        <v>2401</v>
      </c>
      <c r="C14" s="40" t="s">
        <v>107</v>
      </c>
      <c r="D14" s="40"/>
      <c r="E14" s="39" t="s">
        <v>177</v>
      </c>
      <c r="F14" s="38"/>
      <c r="G14" s="38"/>
      <c r="H14" s="37"/>
      <c r="I14" s="43" t="s">
        <v>194</v>
      </c>
      <c r="J14" s="43" t="s">
        <v>2415</v>
      </c>
    </row>
    <row r="15" spans="1:10" x14ac:dyDescent="0.4">
      <c r="A15" s="46">
        <v>14.95</v>
      </c>
      <c r="B15" s="46" t="s">
        <v>2401</v>
      </c>
      <c r="C15" s="40" t="s">
        <v>178</v>
      </c>
      <c r="D15" s="40"/>
      <c r="E15" s="39" t="s">
        <v>179</v>
      </c>
      <c r="F15" s="38"/>
      <c r="G15" s="38"/>
      <c r="H15" s="37"/>
      <c r="I15" s="43" t="s">
        <v>194</v>
      </c>
      <c r="J15" s="43"/>
    </row>
    <row r="16" spans="1:10" x14ac:dyDescent="0.4">
      <c r="A16" s="46">
        <v>13.95</v>
      </c>
      <c r="B16" s="46" t="s">
        <v>2401</v>
      </c>
      <c r="C16" s="40" t="s">
        <v>180</v>
      </c>
      <c r="D16" s="40"/>
      <c r="E16" s="39" t="s">
        <v>181</v>
      </c>
      <c r="F16" s="38"/>
      <c r="G16" s="38"/>
      <c r="H16" s="37"/>
      <c r="I16" s="43" t="s">
        <v>194</v>
      </c>
      <c r="J16" s="43"/>
    </row>
    <row r="17" spans="1:19" x14ac:dyDescent="0.4">
      <c r="A17" s="46"/>
      <c r="B17" s="46" t="s">
        <v>2402</v>
      </c>
      <c r="C17" s="40" t="s">
        <v>2325</v>
      </c>
      <c r="D17" s="40"/>
      <c r="E17" s="39" t="s">
        <v>2410</v>
      </c>
      <c r="F17" s="38"/>
      <c r="G17" s="38"/>
      <c r="H17" s="37"/>
      <c r="I17" s="43" t="s">
        <v>194</v>
      </c>
      <c r="J17" s="43" t="s">
        <v>2411</v>
      </c>
      <c r="S17" s="39"/>
    </row>
    <row r="18" spans="1:19" x14ac:dyDescent="0.4">
      <c r="A18" s="46"/>
      <c r="B18" s="46" t="s">
        <v>2402</v>
      </c>
      <c r="C18" s="40" t="s">
        <v>2327</v>
      </c>
      <c r="D18" s="40"/>
      <c r="E18" s="39" t="s">
        <v>2403</v>
      </c>
      <c r="F18" s="38"/>
      <c r="G18" s="38"/>
      <c r="H18" s="37"/>
      <c r="I18" s="43" t="s">
        <v>194</v>
      </c>
      <c r="J18" s="43" t="s">
        <v>2413</v>
      </c>
    </row>
    <row r="19" spans="1:19" x14ac:dyDescent="0.4">
      <c r="A19" s="46"/>
      <c r="B19" s="46" t="s">
        <v>2402</v>
      </c>
      <c r="C19" s="40" t="s">
        <v>2329</v>
      </c>
      <c r="D19" s="40"/>
      <c r="E19" s="39" t="s">
        <v>2412</v>
      </c>
      <c r="F19" s="38"/>
      <c r="G19" s="109" t="s">
        <v>2414</v>
      </c>
      <c r="H19" s="37"/>
      <c r="I19" s="43" t="s">
        <v>194</v>
      </c>
      <c r="J19" s="43" t="s">
        <v>2413</v>
      </c>
    </row>
    <row r="20" spans="1:19" x14ac:dyDescent="0.3">
      <c r="B20" s="48"/>
    </row>
    <row r="21" spans="1:19" x14ac:dyDescent="0.3">
      <c r="C21" s="42" t="s">
        <v>199</v>
      </c>
      <c r="D21" s="42" t="s">
        <v>200</v>
      </c>
      <c r="E21" s="42" t="s">
        <v>196</v>
      </c>
      <c r="F21" s="42" t="s">
        <v>207</v>
      </c>
    </row>
    <row r="22" spans="1:19" x14ac:dyDescent="0.3">
      <c r="C22" s="47" t="s">
        <v>139</v>
      </c>
      <c r="D22" s="42" t="s">
        <v>195</v>
      </c>
      <c r="E22" s="42" t="s">
        <v>202</v>
      </c>
      <c r="F22" s="42"/>
    </row>
    <row r="23" spans="1:19" x14ac:dyDescent="0.3">
      <c r="C23" s="47" t="s">
        <v>147</v>
      </c>
      <c r="D23" s="42">
        <v>5</v>
      </c>
      <c r="E23" s="42" t="s">
        <v>202</v>
      </c>
      <c r="F23" s="42"/>
    </row>
    <row r="24" spans="1:19" x14ac:dyDescent="0.3">
      <c r="C24" s="47" t="s">
        <v>143</v>
      </c>
      <c r="D24" s="42">
        <v>6</v>
      </c>
      <c r="E24" s="42" t="s">
        <v>201</v>
      </c>
      <c r="F24" s="42" t="s">
        <v>206</v>
      </c>
    </row>
    <row r="25" spans="1:19" x14ac:dyDescent="0.3">
      <c r="C25" s="47" t="s">
        <v>198</v>
      </c>
      <c r="D25" s="42" t="s">
        <v>197</v>
      </c>
      <c r="E25" s="42" t="s">
        <v>202</v>
      </c>
      <c r="F25" s="42"/>
    </row>
    <row r="26" spans="1:19" x14ac:dyDescent="0.3">
      <c r="C26" s="47" t="s">
        <v>203</v>
      </c>
      <c r="D26" s="42">
        <v>10</v>
      </c>
      <c r="E26" s="42" t="s">
        <v>202</v>
      </c>
      <c r="F26" s="42"/>
    </row>
    <row r="27" spans="1:19" x14ac:dyDescent="0.3">
      <c r="C27" s="47" t="s">
        <v>204</v>
      </c>
      <c r="D27" s="42">
        <v>8</v>
      </c>
      <c r="E27" s="42" t="s">
        <v>202</v>
      </c>
      <c r="F27" s="42"/>
    </row>
    <row r="28" spans="1:19" x14ac:dyDescent="0.3">
      <c r="C28" s="47" t="s">
        <v>205</v>
      </c>
      <c r="D28" s="42">
        <v>8</v>
      </c>
      <c r="E28" s="42" t="s">
        <v>202</v>
      </c>
      <c r="F28" s="42"/>
    </row>
    <row r="29" spans="1:19" x14ac:dyDescent="0.3">
      <c r="C29" s="47" t="s">
        <v>91</v>
      </c>
      <c r="D29" s="42">
        <v>6</v>
      </c>
      <c r="E29" s="42" t="s">
        <v>202</v>
      </c>
      <c r="F29" s="42"/>
    </row>
    <row r="30" spans="1:19" x14ac:dyDescent="0.3">
      <c r="C30" s="47" t="s">
        <v>87</v>
      </c>
      <c r="D30" s="42">
        <v>4</v>
      </c>
      <c r="E30" s="42" t="s">
        <v>201</v>
      </c>
      <c r="F30" s="42" t="s">
        <v>206</v>
      </c>
    </row>
    <row r="31" spans="1:19" x14ac:dyDescent="0.3">
      <c r="C31" s="47" t="s">
        <v>208</v>
      </c>
      <c r="D31" s="42" t="s">
        <v>209</v>
      </c>
      <c r="E31" s="42" t="s">
        <v>202</v>
      </c>
      <c r="F31" s="42"/>
    </row>
    <row r="32" spans="1:19" x14ac:dyDescent="0.3">
      <c r="C32" s="47" t="s">
        <v>210</v>
      </c>
      <c r="D32" s="42" t="s">
        <v>211</v>
      </c>
      <c r="E32" s="42" t="s">
        <v>202</v>
      </c>
      <c r="F32" s="42"/>
    </row>
    <row r="33" spans="3:6" x14ac:dyDescent="0.3">
      <c r="C33" s="47" t="s">
        <v>212</v>
      </c>
      <c r="D33" s="42">
        <v>5</v>
      </c>
      <c r="E33" s="42"/>
      <c r="F33" s="42"/>
    </row>
    <row r="34" spans="3:6" x14ac:dyDescent="0.3">
      <c r="C34" s="47" t="s">
        <v>213</v>
      </c>
      <c r="D34" s="42">
        <v>6</v>
      </c>
      <c r="E34" s="42"/>
      <c r="F34" s="42"/>
    </row>
    <row r="35" spans="3:6" x14ac:dyDescent="0.3">
      <c r="C35" s="47" t="s">
        <v>214</v>
      </c>
      <c r="D35" s="42" t="s">
        <v>215</v>
      </c>
      <c r="E35" s="42"/>
      <c r="F35" s="42"/>
    </row>
    <row r="36" spans="3:6" x14ac:dyDescent="0.3">
      <c r="C36" s="47" t="s">
        <v>216</v>
      </c>
      <c r="D36" s="42" t="s">
        <v>217</v>
      </c>
      <c r="E36" s="42"/>
      <c r="F36" s="42"/>
    </row>
    <row r="37" spans="3:6" x14ac:dyDescent="0.3">
      <c r="C37" s="47" t="s">
        <v>218</v>
      </c>
      <c r="D37" s="42" t="s">
        <v>219</v>
      </c>
      <c r="E37" s="42"/>
      <c r="F37" s="42"/>
    </row>
    <row r="38" spans="3:6" x14ac:dyDescent="0.3">
      <c r="C38" s="47" t="s">
        <v>220</v>
      </c>
      <c r="D38" s="42">
        <v>3</v>
      </c>
      <c r="E38" s="42"/>
      <c r="F38" s="42"/>
    </row>
    <row r="39" spans="3:6" x14ac:dyDescent="0.3">
      <c r="C39" s="47" t="s">
        <v>221</v>
      </c>
      <c r="D39" s="42" t="s">
        <v>222</v>
      </c>
      <c r="E39" s="42"/>
      <c r="F39" s="42"/>
    </row>
    <row r="40" spans="3:6" x14ac:dyDescent="0.3">
      <c r="C40" s="47" t="s">
        <v>223</v>
      </c>
      <c r="D40" s="42">
        <v>7</v>
      </c>
      <c r="E40" s="42"/>
      <c r="F40" s="42"/>
    </row>
    <row r="41" spans="3:6" x14ac:dyDescent="0.3">
      <c r="C41" s="47" t="s">
        <v>224</v>
      </c>
      <c r="D41" s="42">
        <v>6</v>
      </c>
      <c r="E41" s="42" t="s">
        <v>201</v>
      </c>
      <c r="F41" s="42" t="s">
        <v>225</v>
      </c>
    </row>
    <row r="42" spans="3:6" x14ac:dyDescent="0.3">
      <c r="C42" s="47" t="s">
        <v>83</v>
      </c>
      <c r="D42" s="42" t="s">
        <v>226</v>
      </c>
      <c r="E42" s="42"/>
      <c r="F42" s="42"/>
    </row>
    <row r="44" spans="3:6" x14ac:dyDescent="0.3">
      <c r="C44" s="43" t="s">
        <v>2484</v>
      </c>
    </row>
  </sheetData>
  <hyperlinks>
    <hyperlink ref="C31" r:id="rId1" display="https://www.sparkfun.com/products/12009" xr:uid="{D804F47F-0385-48A2-9F7E-09641427A5F9}"/>
  </hyperlinks>
  <pageMargins left="0.7" right="0.7" top="0.75" bottom="0.75" header="0.3" footer="0.3"/>
  <tableParts count="2">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3"/>
    <pageSetUpPr autoPageBreaks="0" fitToPage="1"/>
  </sheetPr>
  <dimension ref="A1:M39"/>
  <sheetViews>
    <sheetView showGridLines="0" topLeftCell="A3" zoomScale="85" zoomScaleNormal="85" workbookViewId="0">
      <selection activeCell="C39" sqref="A1:M39"/>
    </sheetView>
  </sheetViews>
  <sheetFormatPr defaultRowHeight="30" customHeight="1" x14ac:dyDescent="0.3"/>
  <cols>
    <col min="1" max="1" width="8.109375" style="5" customWidth="1"/>
    <col min="2" max="2" width="9.109375" style="2" customWidth="1"/>
    <col min="3" max="3" width="10.5546875" style="2" customWidth="1"/>
    <col min="4" max="4" width="20.33203125" style="2" customWidth="1"/>
    <col min="5" max="5" width="34.44140625" style="2" customWidth="1"/>
    <col min="6" max="6" width="48.88671875" style="2" customWidth="1"/>
    <col min="7" max="7" width="15.5546875" style="2" customWidth="1"/>
    <col min="8" max="8" width="8.6640625" style="11" customWidth="1"/>
    <col min="9" max="9" width="8.88671875" style="2" customWidth="1"/>
    <col min="10" max="10" width="10.44140625" style="1" customWidth="1"/>
    <col min="11" max="11" width="1.109375" style="16" customWidth="1"/>
    <col min="12" max="12" width="14.33203125" bestFit="1" customWidth="1"/>
    <col min="13" max="13" width="43.33203125" customWidth="1"/>
  </cols>
  <sheetData>
    <row r="1" spans="1:13" ht="65.099999999999994" customHeight="1" thickBot="1" x14ac:dyDescent="0.35">
      <c r="A1" s="3"/>
      <c r="B1" s="159" t="s">
        <v>3</v>
      </c>
      <c r="C1" s="159"/>
      <c r="D1" s="159"/>
      <c r="E1" s="159"/>
      <c r="G1" s="4" t="s">
        <v>162</v>
      </c>
      <c r="H1" s="10"/>
      <c r="I1" s="3"/>
      <c r="J1" s="9"/>
      <c r="L1" s="17"/>
      <c r="M1" s="17"/>
    </row>
    <row r="2" spans="1:13" ht="30" customHeight="1" thickTop="1" thickBot="1" x14ac:dyDescent="0.35">
      <c r="A2" s="3"/>
      <c r="B2" s="168" t="s">
        <v>19</v>
      </c>
      <c r="C2" s="169"/>
      <c r="D2" s="31"/>
      <c r="E2" s="18">
        <f>SUM(Equipment[[#Totals],[Price]])</f>
        <v>64.650000000000006</v>
      </c>
      <c r="G2" s="168" t="s">
        <v>20</v>
      </c>
      <c r="H2" s="169"/>
      <c r="I2" s="170">
        <f ca="1">TODAY()</f>
        <v>43064</v>
      </c>
      <c r="J2" s="170"/>
      <c r="K2" s="170"/>
      <c r="L2" s="170"/>
    </row>
    <row r="3" spans="1:13" ht="81" customHeight="1" thickTop="1" x14ac:dyDescent="0.3">
      <c r="A3" s="3"/>
      <c r="B3" s="30" t="s">
        <v>2</v>
      </c>
      <c r="C3" s="3"/>
      <c r="D3" s="3"/>
      <c r="E3" s="3"/>
      <c r="F3" s="3"/>
      <c r="G3" s="3"/>
      <c r="H3" s="10"/>
      <c r="I3" s="3"/>
      <c r="J3" s="3"/>
    </row>
    <row r="4" spans="1:13" ht="69" customHeight="1" thickBot="1" x14ac:dyDescent="0.35">
      <c r="A4" s="3"/>
      <c r="B4" s="30"/>
      <c r="C4" s="3"/>
      <c r="D4" s="3"/>
      <c r="E4" s="3"/>
      <c r="F4" s="3"/>
      <c r="G4" s="3"/>
      <c r="H4" s="10"/>
      <c r="I4" s="3"/>
      <c r="J4" s="3"/>
    </row>
    <row r="5" spans="1:13" ht="6" customHeight="1" thickTop="1" x14ac:dyDescent="0.3">
      <c r="A5" s="3"/>
      <c r="B5" s="32"/>
      <c r="C5" s="36"/>
      <c r="D5" s="36"/>
      <c r="E5" s="36"/>
      <c r="F5" s="36"/>
      <c r="G5" s="36"/>
      <c r="H5" s="36"/>
      <c r="I5" s="36"/>
      <c r="J5" s="36"/>
      <c r="K5" s="36"/>
      <c r="L5" s="36"/>
      <c r="M5" s="36"/>
    </row>
    <row r="6" spans="1:13" ht="30" customHeight="1" x14ac:dyDescent="0.3">
      <c r="B6" s="33" t="s">
        <v>1</v>
      </c>
      <c r="C6" s="20" t="s">
        <v>7</v>
      </c>
      <c r="D6" s="20" t="s">
        <v>893</v>
      </c>
      <c r="E6" s="20" t="s">
        <v>23</v>
      </c>
      <c r="F6" s="20" t="s">
        <v>22</v>
      </c>
      <c r="G6" s="20" t="s">
        <v>161</v>
      </c>
      <c r="H6" s="21" t="s">
        <v>6</v>
      </c>
      <c r="I6" s="20" t="s">
        <v>4</v>
      </c>
      <c r="J6" s="20" t="s">
        <v>5</v>
      </c>
      <c r="K6" s="22" t="s">
        <v>160</v>
      </c>
      <c r="L6" s="20" t="s">
        <v>24</v>
      </c>
      <c r="M6" s="20" t="s">
        <v>21</v>
      </c>
    </row>
    <row r="7" spans="1:13" ht="49.95" hidden="1" customHeight="1" x14ac:dyDescent="0.3">
      <c r="B7" s="34">
        <f>ROW($A1)</f>
        <v>1</v>
      </c>
      <c r="C7" s="20" t="s">
        <v>8</v>
      </c>
      <c r="D7" s="20" t="s">
        <v>894</v>
      </c>
      <c r="E7" s="20" t="s">
        <v>10</v>
      </c>
      <c r="F7" s="12" t="s">
        <v>35</v>
      </c>
      <c r="G7" s="12" t="s">
        <v>32</v>
      </c>
      <c r="H7" s="12">
        <v>5</v>
      </c>
      <c r="I7" s="14">
        <v>45.95</v>
      </c>
      <c r="J7" s="23">
        <f>Equipment[[#This Row],[Unit
 Price]]*Equipment[[#This Row],[Units]]</f>
        <v>229.75</v>
      </c>
      <c r="K7" s="13" t="s">
        <v>34</v>
      </c>
      <c r="L7" s="20"/>
      <c r="M7" s="15" t="s">
        <v>33</v>
      </c>
    </row>
    <row r="8" spans="1:13" ht="49.95" hidden="1" customHeight="1" x14ac:dyDescent="0.3">
      <c r="B8" s="34">
        <f>ROW($A2)</f>
        <v>2</v>
      </c>
      <c r="C8" s="20" t="s">
        <v>8</v>
      </c>
      <c r="D8" s="20" t="s">
        <v>894</v>
      </c>
      <c r="E8" s="20" t="s">
        <v>900</v>
      </c>
      <c r="F8" s="12" t="s">
        <v>39</v>
      </c>
      <c r="G8" s="12" t="s">
        <v>36</v>
      </c>
      <c r="H8" s="12">
        <v>5</v>
      </c>
      <c r="I8" s="14">
        <v>29.95</v>
      </c>
      <c r="J8" s="23">
        <f>Equipment[[#This Row],[Unit
 Price]]*Equipment[[#This Row],[Units]]</f>
        <v>149.75</v>
      </c>
      <c r="K8" s="13" t="s">
        <v>38</v>
      </c>
      <c r="L8" s="20"/>
      <c r="M8" s="15" t="s">
        <v>37</v>
      </c>
    </row>
    <row r="9" spans="1:13" ht="49.95" hidden="1" customHeight="1" x14ac:dyDescent="0.3">
      <c r="A9"/>
      <c r="B9" s="34">
        <f>ROW($A3)</f>
        <v>3</v>
      </c>
      <c r="C9" s="20" t="s">
        <v>8</v>
      </c>
      <c r="D9" s="20" t="s">
        <v>894</v>
      </c>
      <c r="E9" s="20" t="s">
        <v>900</v>
      </c>
      <c r="F9" s="12" t="s">
        <v>43</v>
      </c>
      <c r="G9" s="12" t="s">
        <v>40</v>
      </c>
      <c r="H9" s="12">
        <v>5</v>
      </c>
      <c r="I9" s="14">
        <v>14.95</v>
      </c>
      <c r="J9" s="23">
        <f>Equipment[[#This Row],[Unit
 Price]]*Equipment[[#This Row],[Units]]</f>
        <v>74.75</v>
      </c>
      <c r="K9" s="13" t="s">
        <v>42</v>
      </c>
      <c r="L9" s="20"/>
      <c r="M9" s="15" t="s">
        <v>41</v>
      </c>
    </row>
    <row r="10" spans="1:13" ht="49.95" hidden="1" customHeight="1" x14ac:dyDescent="0.3">
      <c r="B10" s="34">
        <f>ROW($A5)</f>
        <v>5</v>
      </c>
      <c r="C10" s="20" t="s">
        <v>8</v>
      </c>
      <c r="D10" s="20" t="s">
        <v>894</v>
      </c>
      <c r="E10" s="20" t="s">
        <v>900</v>
      </c>
      <c r="F10" s="12" t="s">
        <v>47</v>
      </c>
      <c r="G10" s="12" t="s">
        <v>44</v>
      </c>
      <c r="H10" s="12">
        <v>5</v>
      </c>
      <c r="I10" s="14">
        <v>9.9499999999999993</v>
      </c>
      <c r="J10" s="23">
        <f>Equipment[[#This Row],[Unit
 Price]]*Equipment[[#This Row],[Units]]</f>
        <v>49.75</v>
      </c>
      <c r="K10" s="13" t="s">
        <v>46</v>
      </c>
      <c r="L10" s="20"/>
      <c r="M10" s="15" t="s">
        <v>45</v>
      </c>
    </row>
    <row r="11" spans="1:13" ht="49.95" hidden="1" customHeight="1" x14ac:dyDescent="0.3">
      <c r="B11" s="34">
        <f t="shared" ref="B11:B38" si="0">ROW($A6)</f>
        <v>6</v>
      </c>
      <c r="C11" s="20" t="s">
        <v>8</v>
      </c>
      <c r="D11" s="20" t="s">
        <v>894</v>
      </c>
      <c r="E11" s="20" t="s">
        <v>900</v>
      </c>
      <c r="F11" s="12" t="s">
        <v>51</v>
      </c>
      <c r="G11" s="12" t="s">
        <v>48</v>
      </c>
      <c r="H11" s="12">
        <v>1</v>
      </c>
      <c r="I11" s="14">
        <v>19.95</v>
      </c>
      <c r="J11" s="23">
        <f>Equipment[[#This Row],[Unit
 Price]]*Equipment[[#This Row],[Units]]</f>
        <v>19.95</v>
      </c>
      <c r="K11" s="13" t="s">
        <v>50</v>
      </c>
      <c r="L11" s="20"/>
      <c r="M11" s="15" t="s">
        <v>49</v>
      </c>
    </row>
    <row r="12" spans="1:13" ht="49.95" hidden="1" customHeight="1" x14ac:dyDescent="0.3">
      <c r="B12" s="34">
        <f t="shared" si="0"/>
        <v>7</v>
      </c>
      <c r="C12" s="20" t="s">
        <v>8</v>
      </c>
      <c r="D12" s="20" t="s">
        <v>894</v>
      </c>
      <c r="E12" s="20" t="s">
        <v>900</v>
      </c>
      <c r="F12" s="12" t="s">
        <v>55</v>
      </c>
      <c r="G12" s="12" t="s">
        <v>52</v>
      </c>
      <c r="H12" s="12">
        <v>10</v>
      </c>
      <c r="I12" s="14">
        <v>29.95</v>
      </c>
      <c r="J12" s="23">
        <f>Equipment[[#This Row],[Unit
 Price]]*Equipment[[#This Row],[Units]]</f>
        <v>299.5</v>
      </c>
      <c r="K12" s="13" t="s">
        <v>54</v>
      </c>
      <c r="L12" s="20"/>
      <c r="M12" s="15" t="s">
        <v>53</v>
      </c>
    </row>
    <row r="13" spans="1:13" ht="49.95" hidden="1" customHeight="1" x14ac:dyDescent="0.3">
      <c r="B13" s="34">
        <f t="shared" si="0"/>
        <v>8</v>
      </c>
      <c r="C13" s="20" t="s">
        <v>8</v>
      </c>
      <c r="D13" s="20" t="s">
        <v>894</v>
      </c>
      <c r="E13" s="20" t="s">
        <v>12</v>
      </c>
      <c r="F13" s="12" t="s">
        <v>59</v>
      </c>
      <c r="G13" s="12" t="s">
        <v>56</v>
      </c>
      <c r="H13" s="12">
        <v>5</v>
      </c>
      <c r="I13" s="14">
        <v>9.9499999999999993</v>
      </c>
      <c r="J13" s="24">
        <f>Equipment[[#This Row],[Unit
 Price]]*Equipment[[#This Row],[Units]]</f>
        <v>49.75</v>
      </c>
      <c r="K13" s="13" t="s">
        <v>58</v>
      </c>
      <c r="L13" s="20"/>
      <c r="M13" s="15" t="s">
        <v>57</v>
      </c>
    </row>
    <row r="14" spans="1:13" ht="49.95" hidden="1" customHeight="1" x14ac:dyDescent="0.3">
      <c r="B14" s="34">
        <f t="shared" si="0"/>
        <v>9</v>
      </c>
      <c r="C14" s="20" t="s">
        <v>8</v>
      </c>
      <c r="D14" s="20" t="s">
        <v>894</v>
      </c>
      <c r="E14" s="20" t="s">
        <v>12</v>
      </c>
      <c r="F14" s="12" t="s">
        <v>63</v>
      </c>
      <c r="G14" s="12" t="s">
        <v>60</v>
      </c>
      <c r="H14" s="12">
        <v>5</v>
      </c>
      <c r="I14" s="14">
        <v>24.95</v>
      </c>
      <c r="J14" s="24">
        <f>Equipment[[#This Row],[Unit
 Price]]*Equipment[[#This Row],[Units]]</f>
        <v>124.75</v>
      </c>
      <c r="K14" s="13" t="s">
        <v>62</v>
      </c>
      <c r="L14" s="20"/>
      <c r="M14" s="15" t="s">
        <v>61</v>
      </c>
    </row>
    <row r="15" spans="1:13" ht="49.95" hidden="1" customHeight="1" x14ac:dyDescent="0.3">
      <c r="B15" s="34">
        <f t="shared" si="0"/>
        <v>10</v>
      </c>
      <c r="C15" s="20" t="s">
        <v>8</v>
      </c>
      <c r="D15" s="20" t="s">
        <v>894</v>
      </c>
      <c r="E15" s="20" t="s">
        <v>12</v>
      </c>
      <c r="F15" s="12" t="s">
        <v>67</v>
      </c>
      <c r="G15" s="12" t="s">
        <v>64</v>
      </c>
      <c r="H15" s="12">
        <v>5</v>
      </c>
      <c r="I15" s="14">
        <v>10.95</v>
      </c>
      <c r="J15" s="24">
        <f>Equipment[[#This Row],[Unit
 Price]]*Equipment[[#This Row],[Units]]</f>
        <v>54.75</v>
      </c>
      <c r="K15" s="13" t="s">
        <v>66</v>
      </c>
      <c r="L15" s="20"/>
      <c r="M15" s="15" t="s">
        <v>65</v>
      </c>
    </row>
    <row r="16" spans="1:13" ht="49.95" hidden="1" customHeight="1" x14ac:dyDescent="0.3">
      <c r="B16" s="34">
        <f t="shared" si="0"/>
        <v>11</v>
      </c>
      <c r="C16" s="20" t="s">
        <v>8</v>
      </c>
      <c r="D16" s="20" t="s">
        <v>894</v>
      </c>
      <c r="E16" s="20" t="s">
        <v>12</v>
      </c>
      <c r="F16" s="12" t="s">
        <v>71</v>
      </c>
      <c r="G16" s="12" t="s">
        <v>68</v>
      </c>
      <c r="H16" s="12">
        <v>10</v>
      </c>
      <c r="I16" s="14">
        <v>24.95</v>
      </c>
      <c r="J16" s="24">
        <f>Equipment[[#This Row],[Unit
 Price]]*Equipment[[#This Row],[Units]]</f>
        <v>249.5</v>
      </c>
      <c r="K16" s="13" t="s">
        <v>70</v>
      </c>
      <c r="L16" s="20"/>
      <c r="M16" s="15" t="s">
        <v>69</v>
      </c>
    </row>
    <row r="17" spans="2:13" ht="49.95" hidden="1" customHeight="1" x14ac:dyDescent="0.3">
      <c r="B17" s="34">
        <f t="shared" si="0"/>
        <v>12</v>
      </c>
      <c r="C17" s="20" t="s">
        <v>8</v>
      </c>
      <c r="D17" s="20" t="s">
        <v>894</v>
      </c>
      <c r="E17" s="20" t="s">
        <v>14</v>
      </c>
      <c r="F17" s="12" t="s">
        <v>75</v>
      </c>
      <c r="G17" s="12" t="s">
        <v>72</v>
      </c>
      <c r="H17" s="12">
        <v>5</v>
      </c>
      <c r="I17" s="14">
        <v>0.95</v>
      </c>
      <c r="J17" s="24">
        <f>Equipment[[#This Row],[Unit
 Price]]*Equipment[[#This Row],[Units]]</f>
        <v>4.75</v>
      </c>
      <c r="K17" s="13" t="s">
        <v>74</v>
      </c>
      <c r="L17" s="20"/>
      <c r="M17" s="15" t="s">
        <v>73</v>
      </c>
    </row>
    <row r="18" spans="2:13" ht="49.95" hidden="1" customHeight="1" x14ac:dyDescent="0.3">
      <c r="B18" s="34">
        <f t="shared" si="0"/>
        <v>13</v>
      </c>
      <c r="C18" s="20" t="s">
        <v>8</v>
      </c>
      <c r="D18" s="20" t="s">
        <v>894</v>
      </c>
      <c r="E18" s="20" t="s">
        <v>14</v>
      </c>
      <c r="F18" s="12" t="s">
        <v>79</v>
      </c>
      <c r="G18" s="12" t="s">
        <v>76</v>
      </c>
      <c r="H18" s="12">
        <v>20</v>
      </c>
      <c r="I18" s="14">
        <v>1.95</v>
      </c>
      <c r="J18" s="24">
        <f>Equipment[[#This Row],[Unit
 Price]]*Equipment[[#This Row],[Units]]</f>
        <v>39</v>
      </c>
      <c r="K18" s="13" t="s">
        <v>78</v>
      </c>
      <c r="L18" s="20"/>
      <c r="M18" s="15" t="s">
        <v>77</v>
      </c>
    </row>
    <row r="19" spans="2:13" ht="49.95" hidden="1" customHeight="1" x14ac:dyDescent="0.3">
      <c r="B19" s="34">
        <f t="shared" si="0"/>
        <v>14</v>
      </c>
      <c r="C19" s="20" t="s">
        <v>8</v>
      </c>
      <c r="D19" s="20" t="s">
        <v>894</v>
      </c>
      <c r="E19" s="20" t="s">
        <v>14</v>
      </c>
      <c r="F19" s="12" t="s">
        <v>83</v>
      </c>
      <c r="G19" s="12" t="s">
        <v>80</v>
      </c>
      <c r="H19" s="12">
        <v>5</v>
      </c>
      <c r="I19" s="14">
        <v>14.95</v>
      </c>
      <c r="J19" s="24">
        <f>Equipment[[#This Row],[Unit
 Price]]*Equipment[[#This Row],[Units]]</f>
        <v>74.75</v>
      </c>
      <c r="K19" s="13" t="s">
        <v>82</v>
      </c>
      <c r="L19" s="20"/>
      <c r="M19" s="15" t="s">
        <v>81</v>
      </c>
    </row>
    <row r="20" spans="2:13" ht="49.95" hidden="1" customHeight="1" x14ac:dyDescent="0.3">
      <c r="B20" s="34">
        <f t="shared" si="0"/>
        <v>15</v>
      </c>
      <c r="C20" s="20" t="s">
        <v>8</v>
      </c>
      <c r="D20" s="20" t="s">
        <v>894</v>
      </c>
      <c r="E20" s="20" t="s">
        <v>14</v>
      </c>
      <c r="F20" s="12" t="s">
        <v>87</v>
      </c>
      <c r="G20" s="12" t="s">
        <v>84</v>
      </c>
      <c r="H20" s="12">
        <v>10</v>
      </c>
      <c r="I20" s="14">
        <v>3.95</v>
      </c>
      <c r="J20" s="24">
        <f>Equipment[[#This Row],[Unit
 Price]]*Equipment[[#This Row],[Units]]</f>
        <v>39.5</v>
      </c>
      <c r="K20" s="13" t="s">
        <v>86</v>
      </c>
      <c r="L20" s="20"/>
      <c r="M20" s="15" t="s">
        <v>85</v>
      </c>
    </row>
    <row r="21" spans="2:13" ht="49.95" hidden="1" customHeight="1" x14ac:dyDescent="0.3">
      <c r="B21" s="34">
        <f t="shared" si="0"/>
        <v>16</v>
      </c>
      <c r="C21" s="20" t="s">
        <v>8</v>
      </c>
      <c r="D21" s="20" t="s">
        <v>894</v>
      </c>
      <c r="E21" s="20" t="s">
        <v>14</v>
      </c>
      <c r="F21" s="12" t="s">
        <v>91</v>
      </c>
      <c r="G21" s="12" t="s">
        <v>88</v>
      </c>
      <c r="H21" s="12">
        <v>5</v>
      </c>
      <c r="I21" s="14">
        <v>24.95</v>
      </c>
      <c r="J21" s="24">
        <f>Equipment[[#This Row],[Unit
 Price]]*Equipment[[#This Row],[Units]]</f>
        <v>124.75</v>
      </c>
      <c r="K21" s="13" t="s">
        <v>90</v>
      </c>
      <c r="L21" s="20"/>
      <c r="M21" s="15" t="s">
        <v>89</v>
      </c>
    </row>
    <row r="22" spans="2:13" ht="49.95" hidden="1" customHeight="1" x14ac:dyDescent="0.3">
      <c r="B22" s="34">
        <f t="shared" si="0"/>
        <v>17</v>
      </c>
      <c r="C22" s="20" t="s">
        <v>8</v>
      </c>
      <c r="D22" s="20" t="s">
        <v>894</v>
      </c>
      <c r="E22" s="20" t="s">
        <v>14</v>
      </c>
      <c r="F22" s="12" t="s">
        <v>95</v>
      </c>
      <c r="G22" s="12" t="s">
        <v>92</v>
      </c>
      <c r="H22" s="12">
        <v>10</v>
      </c>
      <c r="I22" s="14">
        <v>23.7</v>
      </c>
      <c r="J22" s="24">
        <f>Equipment[[#This Row],[Unit
 Price]]*Equipment[[#This Row],[Units]]</f>
        <v>237</v>
      </c>
      <c r="K22" s="13" t="s">
        <v>94</v>
      </c>
      <c r="L22" s="20"/>
      <c r="M22" s="15" t="s">
        <v>93</v>
      </c>
    </row>
    <row r="23" spans="2:13" ht="49.95" hidden="1" customHeight="1" x14ac:dyDescent="0.3">
      <c r="B23" s="34">
        <f t="shared" si="0"/>
        <v>18</v>
      </c>
      <c r="C23" s="20" t="s">
        <v>8</v>
      </c>
      <c r="D23" s="20" t="s">
        <v>894</v>
      </c>
      <c r="E23" s="20" t="s">
        <v>14</v>
      </c>
      <c r="F23" s="12" t="s">
        <v>99</v>
      </c>
      <c r="G23" s="12" t="s">
        <v>96</v>
      </c>
      <c r="H23" s="12">
        <v>5</v>
      </c>
      <c r="I23" s="14">
        <v>14.95</v>
      </c>
      <c r="J23" s="24">
        <f>Equipment[[#This Row],[Unit
 Price]]*Equipment[[#This Row],[Units]]</f>
        <v>74.75</v>
      </c>
      <c r="K23" s="13" t="s">
        <v>98</v>
      </c>
      <c r="L23" s="20"/>
      <c r="M23" s="15" t="s">
        <v>97</v>
      </c>
    </row>
    <row r="24" spans="2:13" ht="49.95" hidden="1" customHeight="1" x14ac:dyDescent="0.3">
      <c r="B24" s="34">
        <f t="shared" si="0"/>
        <v>19</v>
      </c>
      <c r="C24" s="20" t="s">
        <v>8</v>
      </c>
      <c r="D24" s="20" t="s">
        <v>894</v>
      </c>
      <c r="E24" s="20" t="s">
        <v>14</v>
      </c>
      <c r="F24" s="12" t="s">
        <v>103</v>
      </c>
      <c r="G24" s="12" t="s">
        <v>100</v>
      </c>
      <c r="H24" s="12">
        <v>3</v>
      </c>
      <c r="I24" s="14">
        <v>19.95</v>
      </c>
      <c r="J24" s="24">
        <f>Equipment[[#This Row],[Unit
 Price]]*Equipment[[#This Row],[Units]]</f>
        <v>59.849999999999994</v>
      </c>
      <c r="K24" s="13" t="s">
        <v>102</v>
      </c>
      <c r="L24" s="20"/>
      <c r="M24" s="15" t="s">
        <v>101</v>
      </c>
    </row>
    <row r="25" spans="2:13" ht="49.95" hidden="1" customHeight="1" x14ac:dyDescent="0.3">
      <c r="B25" s="34">
        <f t="shared" si="0"/>
        <v>20</v>
      </c>
      <c r="C25" s="20" t="s">
        <v>8</v>
      </c>
      <c r="D25" s="20" t="s">
        <v>894</v>
      </c>
      <c r="E25" s="20" t="s">
        <v>14</v>
      </c>
      <c r="F25" s="12" t="s">
        <v>107</v>
      </c>
      <c r="G25" s="12" t="s">
        <v>104</v>
      </c>
      <c r="H25" s="12">
        <v>15</v>
      </c>
      <c r="I25" s="14">
        <v>13.95</v>
      </c>
      <c r="J25" s="24">
        <f>Equipment[[#This Row],[Unit
 Price]]*Equipment[[#This Row],[Units]]</f>
        <v>209.25</v>
      </c>
      <c r="K25" s="13" t="s">
        <v>106</v>
      </c>
      <c r="L25" s="20"/>
      <c r="M25" s="15" t="s">
        <v>105</v>
      </c>
    </row>
    <row r="26" spans="2:13" ht="49.95" customHeight="1" x14ac:dyDescent="0.3">
      <c r="B26" s="34">
        <f t="shared" si="0"/>
        <v>21</v>
      </c>
      <c r="C26" s="20" t="s">
        <v>8</v>
      </c>
      <c r="D26" s="20" t="s">
        <v>894</v>
      </c>
      <c r="E26" s="20" t="s">
        <v>15</v>
      </c>
      <c r="F26" s="12" t="s">
        <v>111</v>
      </c>
      <c r="G26" s="12" t="s">
        <v>108</v>
      </c>
      <c r="H26" s="12">
        <v>5</v>
      </c>
      <c r="I26" s="14">
        <v>2.95</v>
      </c>
      <c r="J26" s="24">
        <f>Equipment[[#This Row],[Unit
 Price]]*Equipment[[#This Row],[Units]]</f>
        <v>14.75</v>
      </c>
      <c r="K26" s="13" t="s">
        <v>110</v>
      </c>
      <c r="L26" s="20"/>
      <c r="M26" s="15" t="s">
        <v>109</v>
      </c>
    </row>
    <row r="27" spans="2:13" ht="49.95" customHeight="1" x14ac:dyDescent="0.3">
      <c r="B27" s="34">
        <f t="shared" si="0"/>
        <v>22</v>
      </c>
      <c r="C27" s="20" t="s">
        <v>8</v>
      </c>
      <c r="D27" s="20" t="s">
        <v>894</v>
      </c>
      <c r="E27" s="20" t="s">
        <v>15</v>
      </c>
      <c r="F27" s="12" t="s">
        <v>115</v>
      </c>
      <c r="G27" s="12" t="s">
        <v>112</v>
      </c>
      <c r="H27" s="12">
        <v>2</v>
      </c>
      <c r="I27" s="14">
        <v>24.95</v>
      </c>
      <c r="J27" s="24">
        <f>Equipment[[#This Row],[Unit
 Price]]*Equipment[[#This Row],[Units]]</f>
        <v>49.9</v>
      </c>
      <c r="K27" s="13" t="s">
        <v>114</v>
      </c>
      <c r="L27" s="20"/>
      <c r="M27" s="15" t="s">
        <v>113</v>
      </c>
    </row>
    <row r="28" spans="2:13" ht="49.95" hidden="1" customHeight="1" x14ac:dyDescent="0.3">
      <c r="B28" s="34">
        <f t="shared" si="0"/>
        <v>23</v>
      </c>
      <c r="C28" s="20" t="s">
        <v>8</v>
      </c>
      <c r="D28" s="20" t="s">
        <v>894</v>
      </c>
      <c r="E28" s="20" t="s">
        <v>887</v>
      </c>
      <c r="F28" s="12" t="s">
        <v>119</v>
      </c>
      <c r="G28" s="12" t="s">
        <v>116</v>
      </c>
      <c r="H28" s="12">
        <v>5</v>
      </c>
      <c r="I28" s="14">
        <v>12.95</v>
      </c>
      <c r="J28" s="24">
        <f>Equipment[[#This Row],[Unit
 Price]]*Equipment[[#This Row],[Units]]</f>
        <v>64.75</v>
      </c>
      <c r="K28" s="13" t="s">
        <v>118</v>
      </c>
      <c r="L28" s="20"/>
      <c r="M28" s="15" t="s">
        <v>117</v>
      </c>
    </row>
    <row r="29" spans="2:13" ht="49.95" hidden="1" customHeight="1" x14ac:dyDescent="0.3">
      <c r="B29" s="34">
        <f t="shared" si="0"/>
        <v>24</v>
      </c>
      <c r="C29" s="20" t="s">
        <v>8</v>
      </c>
      <c r="D29" s="20" t="s">
        <v>894</v>
      </c>
      <c r="E29" s="20" t="s">
        <v>887</v>
      </c>
      <c r="F29" s="12" t="s">
        <v>123</v>
      </c>
      <c r="G29" s="12" t="s">
        <v>120</v>
      </c>
      <c r="H29" s="12">
        <v>5</v>
      </c>
      <c r="I29" s="14">
        <v>5.95</v>
      </c>
      <c r="J29" s="24">
        <f>Equipment[[#This Row],[Unit
 Price]]*Equipment[[#This Row],[Units]]</f>
        <v>29.75</v>
      </c>
      <c r="K29" s="13" t="s">
        <v>122</v>
      </c>
      <c r="L29" s="20"/>
      <c r="M29" s="15" t="s">
        <v>121</v>
      </c>
    </row>
    <row r="30" spans="2:13" ht="49.95" hidden="1" customHeight="1" x14ac:dyDescent="0.3">
      <c r="B30" s="34">
        <f t="shared" si="0"/>
        <v>25</v>
      </c>
      <c r="C30" s="20" t="s">
        <v>8</v>
      </c>
      <c r="D30" s="20" t="s">
        <v>894</v>
      </c>
      <c r="E30" s="20" t="s">
        <v>887</v>
      </c>
      <c r="F30" s="12" t="s">
        <v>127</v>
      </c>
      <c r="G30" s="12" t="s">
        <v>124</v>
      </c>
      <c r="H30" s="12">
        <v>3</v>
      </c>
      <c r="I30" s="14">
        <v>4.95</v>
      </c>
      <c r="J30" s="24">
        <f>Equipment[[#This Row],[Unit
 Price]]*Equipment[[#This Row],[Units]]</f>
        <v>14.850000000000001</v>
      </c>
      <c r="K30" s="13" t="s">
        <v>126</v>
      </c>
      <c r="L30" s="20"/>
      <c r="M30" s="15" t="s">
        <v>125</v>
      </c>
    </row>
    <row r="31" spans="2:13" ht="49.95" hidden="1" customHeight="1" x14ac:dyDescent="0.3">
      <c r="B31" s="34">
        <f t="shared" si="0"/>
        <v>26</v>
      </c>
      <c r="C31" s="20" t="s">
        <v>8</v>
      </c>
      <c r="D31" s="20" t="s">
        <v>894</v>
      </c>
      <c r="E31" s="20" t="s">
        <v>887</v>
      </c>
      <c r="F31" s="12" t="s">
        <v>131</v>
      </c>
      <c r="G31" s="12" t="s">
        <v>128</v>
      </c>
      <c r="H31" s="12">
        <v>1</v>
      </c>
      <c r="I31" s="14">
        <v>14.95</v>
      </c>
      <c r="J31" s="24">
        <f>Equipment[[#This Row],[Unit
 Price]]*Equipment[[#This Row],[Units]]</f>
        <v>14.95</v>
      </c>
      <c r="K31" s="13" t="s">
        <v>130</v>
      </c>
      <c r="L31" s="20"/>
      <c r="M31" s="15" t="s">
        <v>129</v>
      </c>
    </row>
    <row r="32" spans="2:13" ht="49.95" hidden="1" customHeight="1" x14ac:dyDescent="0.3">
      <c r="B32" s="34">
        <f t="shared" si="0"/>
        <v>27</v>
      </c>
      <c r="C32" s="20" t="s">
        <v>8</v>
      </c>
      <c r="D32" s="20" t="s">
        <v>894</v>
      </c>
      <c r="E32" s="20" t="s">
        <v>887</v>
      </c>
      <c r="F32" s="12" t="s">
        <v>135</v>
      </c>
      <c r="G32" s="12" t="s">
        <v>132</v>
      </c>
      <c r="H32" s="12">
        <v>1</v>
      </c>
      <c r="I32" s="14">
        <v>0.1</v>
      </c>
      <c r="J32" s="24">
        <f>Equipment[[#This Row],[Unit
 Price]]*Equipment[[#This Row],[Units]]</f>
        <v>0.1</v>
      </c>
      <c r="K32" s="13" t="s">
        <v>134</v>
      </c>
      <c r="L32" s="20"/>
      <c r="M32" s="15" t="s">
        <v>133</v>
      </c>
    </row>
    <row r="33" spans="2:13" ht="49.95" hidden="1" customHeight="1" x14ac:dyDescent="0.3">
      <c r="B33" s="34">
        <f t="shared" si="0"/>
        <v>28</v>
      </c>
      <c r="C33" s="20" t="s">
        <v>8</v>
      </c>
      <c r="D33" s="20" t="s">
        <v>894</v>
      </c>
      <c r="E33" s="20" t="s">
        <v>888</v>
      </c>
      <c r="F33" s="12" t="s">
        <v>139</v>
      </c>
      <c r="G33" s="12" t="s">
        <v>136</v>
      </c>
      <c r="H33" s="12">
        <v>1</v>
      </c>
      <c r="I33" s="14">
        <v>49.95</v>
      </c>
      <c r="J33" s="24">
        <f>Equipment[[#This Row],[Unit
 Price]]*Equipment[[#This Row],[Units]]</f>
        <v>49.95</v>
      </c>
      <c r="K33" s="13" t="s">
        <v>138</v>
      </c>
      <c r="L33" s="20"/>
      <c r="M33" s="15" t="s">
        <v>137</v>
      </c>
    </row>
    <row r="34" spans="2:13" ht="49.95" hidden="1" customHeight="1" x14ac:dyDescent="0.3">
      <c r="B34" s="34">
        <f t="shared" si="0"/>
        <v>29</v>
      </c>
      <c r="C34" s="20" t="s">
        <v>8</v>
      </c>
      <c r="D34" s="20" t="s">
        <v>894</v>
      </c>
      <c r="E34" s="20" t="s">
        <v>888</v>
      </c>
      <c r="F34" s="12" t="s">
        <v>143</v>
      </c>
      <c r="G34" s="12" t="s">
        <v>140</v>
      </c>
      <c r="H34" s="12">
        <v>1</v>
      </c>
      <c r="I34" s="14">
        <v>59.95</v>
      </c>
      <c r="J34" s="24">
        <f>Equipment[[#This Row],[Unit
 Price]]*Equipment[[#This Row],[Units]]</f>
        <v>59.95</v>
      </c>
      <c r="K34" s="13" t="s">
        <v>142</v>
      </c>
      <c r="L34" s="20"/>
      <c r="M34" s="15" t="s">
        <v>141</v>
      </c>
    </row>
    <row r="35" spans="2:13" ht="49.95" hidden="1" customHeight="1" x14ac:dyDescent="0.3">
      <c r="B35" s="34">
        <f t="shared" si="0"/>
        <v>30</v>
      </c>
      <c r="C35" s="20" t="s">
        <v>8</v>
      </c>
      <c r="D35" s="20" t="s">
        <v>894</v>
      </c>
      <c r="E35" s="20" t="s">
        <v>888</v>
      </c>
      <c r="F35" s="12" t="s">
        <v>147</v>
      </c>
      <c r="G35" s="12" t="s">
        <v>144</v>
      </c>
      <c r="H35" s="12">
        <v>1</v>
      </c>
      <c r="I35" s="14">
        <v>10.95</v>
      </c>
      <c r="J35" s="24">
        <f>Equipment[[#This Row],[Unit
 Price]]*Equipment[[#This Row],[Units]]</f>
        <v>10.95</v>
      </c>
      <c r="K35" s="13" t="s">
        <v>146</v>
      </c>
      <c r="L35" s="20"/>
      <c r="M35" s="15" t="s">
        <v>145</v>
      </c>
    </row>
    <row r="36" spans="2:13" ht="49.95" hidden="1" customHeight="1" x14ac:dyDescent="0.3">
      <c r="B36" s="34">
        <f t="shared" si="0"/>
        <v>31</v>
      </c>
      <c r="C36" s="20" t="s">
        <v>8</v>
      </c>
      <c r="D36" s="20" t="s">
        <v>894</v>
      </c>
      <c r="E36" s="20" t="s">
        <v>888</v>
      </c>
      <c r="F36" s="12" t="s">
        <v>151</v>
      </c>
      <c r="G36" s="12" t="s">
        <v>148</v>
      </c>
      <c r="H36" s="12">
        <v>1</v>
      </c>
      <c r="I36" s="14">
        <v>4.95</v>
      </c>
      <c r="J36" s="24">
        <f>Equipment[[#This Row],[Unit
 Price]]*Equipment[[#This Row],[Units]]</f>
        <v>4.95</v>
      </c>
      <c r="K36" s="13" t="s">
        <v>150</v>
      </c>
      <c r="L36" s="20"/>
      <c r="M36" s="15" t="s">
        <v>149</v>
      </c>
    </row>
    <row r="37" spans="2:13" ht="49.95" hidden="1" customHeight="1" x14ac:dyDescent="0.3">
      <c r="B37" s="34">
        <f t="shared" si="0"/>
        <v>32</v>
      </c>
      <c r="C37" s="20" t="s">
        <v>8</v>
      </c>
      <c r="D37" s="20" t="s">
        <v>894</v>
      </c>
      <c r="E37" s="20" t="s">
        <v>888</v>
      </c>
      <c r="F37" s="12" t="s">
        <v>155</v>
      </c>
      <c r="G37" s="12" t="s">
        <v>152</v>
      </c>
      <c r="H37" s="12">
        <v>2</v>
      </c>
      <c r="I37" s="14">
        <v>1.95</v>
      </c>
      <c r="J37" s="24">
        <f>Equipment[[#This Row],[Unit
 Price]]*Equipment[[#This Row],[Units]]</f>
        <v>3.9</v>
      </c>
      <c r="K37" s="13" t="s">
        <v>154</v>
      </c>
      <c r="L37" s="20"/>
      <c r="M37" s="15" t="s">
        <v>153</v>
      </c>
    </row>
    <row r="38" spans="2:13" ht="49.95" hidden="1" customHeight="1" x14ac:dyDescent="0.3">
      <c r="B38" s="34">
        <f t="shared" si="0"/>
        <v>33</v>
      </c>
      <c r="C38" s="20" t="s">
        <v>8</v>
      </c>
      <c r="D38" s="20" t="s">
        <v>895</v>
      </c>
      <c r="E38" s="20" t="s">
        <v>888</v>
      </c>
      <c r="F38" s="12" t="s">
        <v>159</v>
      </c>
      <c r="G38" s="12" t="s">
        <v>156</v>
      </c>
      <c r="H38" s="12">
        <v>1</v>
      </c>
      <c r="I38" s="14">
        <v>0.75</v>
      </c>
      <c r="J38" s="24">
        <f>Equipment[[#This Row],[Unit
 Price]]*Equipment[[#This Row],[Units]]</f>
        <v>0.75</v>
      </c>
      <c r="K38" s="13" t="s">
        <v>158</v>
      </c>
      <c r="L38" s="20"/>
      <c r="M38" s="15" t="s">
        <v>157</v>
      </c>
    </row>
    <row r="39" spans="2:13" ht="30" customHeight="1" x14ac:dyDescent="0.3">
      <c r="B39" s="35" t="s">
        <v>0</v>
      </c>
      <c r="C39" s="25" t="str">
        <f>"PO ITEMS: "&amp;SUBTOTAL(103,Equipment[Equipment Category])</f>
        <v>PO ITEMS: 2</v>
      </c>
      <c r="D39" s="25"/>
      <c r="E39" s="25"/>
      <c r="F39" s="25"/>
      <c r="G39" s="25"/>
      <c r="H39" s="26"/>
      <c r="I39" s="27"/>
      <c r="J39" s="27">
        <f>SUBTOTAL(109,Equipment[Price])</f>
        <v>64.650000000000006</v>
      </c>
      <c r="K39" s="28"/>
      <c r="L39" s="25"/>
      <c r="M39" s="29"/>
    </row>
  </sheetData>
  <dataConsolidate/>
  <mergeCells count="4">
    <mergeCell ref="B2:C2"/>
    <mergeCell ref="G2:H2"/>
    <mergeCell ref="I2:L2"/>
    <mergeCell ref="B1:E1"/>
  </mergeCells>
  <phoneticPr fontId="1" type="noConversion"/>
  <conditionalFormatting sqref="J7:J38">
    <cfRule type="dataBar" priority="2">
      <dataBar>
        <cfvo type="min"/>
        <cfvo type="max"/>
        <color theme="5"/>
      </dataBar>
      <extLst>
        <ext xmlns:x14="http://schemas.microsoft.com/office/spreadsheetml/2009/9/main" uri="{B025F937-C7B1-47D3-B67F-A62EFF666E3E}">
          <x14:id>{DD2554B5-7481-4F06-9B0C-4C198BA00901}</x14:id>
        </ext>
      </extLst>
    </cfRule>
  </conditionalFormatting>
  <dataValidations xWindow="158" yWindow="529" count="22">
    <dataValidation allowBlank="1" showInputMessage="1" showErrorMessage="1" prompt="Title of this worksheet is in cells B1 through D1" sqref="B1" xr:uid="{00000000-0002-0000-0000-000000000000}"/>
    <dataValidation allowBlank="1" showInputMessage="1" showErrorMessage="1" prompt="Total Estimated Value of All Items is automatically calculated in cell at right. Enter Inventory Date in cell I2" sqref="B2" xr:uid="{00000000-0002-0000-0000-000001000000}"/>
    <dataValidation allowBlank="1" showInputMessage="1" showErrorMessage="1" prompt="Total Estimated Value of All Items is automatically calculated in this cell. Enter Inventory Date in cell I2" sqref="E2" xr:uid="{00000000-0002-0000-0000-000002000000}"/>
    <dataValidation allowBlank="1" showInputMessage="1" showErrorMessage="1" prompt="Enter Inventory Date in this cell" sqref="I2" xr:uid="{00000000-0002-0000-0000-000004000000}"/>
    <dataValidation allowBlank="1" showInputMessage="1" showErrorMessage="1" prompt="Create a Home inventory in this workbook. Enter owner, insurance, and inventory details in this worksheet. Total estimated value of all inventory items is automatically calculated" sqref="A1" xr:uid="{00000000-0002-0000-0000-00000F000000}"/>
    <dataValidation allowBlank="1" showInputMessage="1" showErrorMessage="1" prompt="Enter Item number in this column under this heading. Use heading filters to find specific entries" sqref="B6" xr:uid="{00000000-0002-0000-0000-000010000000}"/>
    <dataValidation allowBlank="1" showInputMessage="1" showErrorMessage="1" promptTitle="Item Name/Description:" prompt="Enter Item/description" sqref="F6" xr:uid="{00000000-0002-0000-0000-000011000000}"/>
    <dataValidation allowBlank="1" showInputMessage="1" showErrorMessage="1" promptTitle="Equipment Category:" prompt="Select category of equipment of this item" sqref="E6" xr:uid="{00000000-0002-0000-0000-000012000000}"/>
    <dataValidation allowBlank="1" showInputMessage="1" showErrorMessage="1" promptTitle="Item SKU:" prompt="Enter vendor's SKU for this item" sqref="G6" xr:uid="{00000000-0002-0000-0000-000014000000}"/>
    <dataValidation allowBlank="1" showInputMessage="1" showErrorMessage="1" prompt="Enter Where purchased in this column under this heading" sqref="C6:D6" xr:uid="{00000000-0002-0000-0000-000016000000}"/>
    <dataValidation allowBlank="1" showInputMessage="1" showErrorMessage="1" promptTitle="Price:" prompt="Total Calculated Price = # Items * Price_x000a_" sqref="J6" xr:uid="{00000000-0002-0000-0000-000018000000}"/>
    <dataValidation allowBlank="1" showInputMessage="1" showErrorMessage="1" promptTitle="Thumbnail URL:" prompt="Enter url link to equipment item thumbnail " sqref="K6" xr:uid="{00000000-0002-0000-0000-000019000000}"/>
    <dataValidation allowBlank="1" showInputMessage="1" showErrorMessage="1" promptTitle="Link:" prompt="Enter link to equipment item page" sqref="M6" xr:uid="{00000000-0002-0000-0000-00001A000000}"/>
    <dataValidation errorStyle="warning" allowBlank="1" showInputMessage="1" showErrorMessage="1" error="Select Yes or No from the list to indicate whether a photo of the item exists. Select CANCEL, then press ALT+DOWN ARROW for options, then DOWN ARROW and ENTER to make selection" sqref="M7:M38" xr:uid="{00000000-0002-0000-0000-00001C000000}"/>
    <dataValidation type="list" errorStyle="warning" allowBlank="1" showInputMessage="1" showErrorMessage="1" error="Select Room/area from the list. Enter new Room/Area in Room Lookup worksheet. Select CANCEL, then press ALT+DOWN ARROW for options, then DOWN ARROW and ENTER to make selection" sqref="E7:E38" xr:uid="{00000000-0002-0000-0000-00001D000000}">
      <formula1>RoomList</formula1>
    </dataValidation>
    <dataValidation allowBlank="1" showInputMessage="1" showErrorMessage="1" errorTitle="Invalid Data" error="Please select an entry from the list. To add or change items, use the Room/Area table on the Room Lookup worksheet. " sqref="C7:C38" xr:uid="{00000000-0002-0000-0000-00001E000000}"/>
    <dataValidation allowBlank="1" showInputMessage="1" showErrorMessage="1" prompt="Enter Inventory Date in cell at right" sqref="G2" xr:uid="{00000000-0002-0000-0000-000003000000}"/>
    <dataValidation allowBlank="1" showInputMessage="1" showErrorMessage="1" promptTitle="Units:" prompt="Enter # of units to purchase" sqref="H6" xr:uid="{00000000-0002-0000-0000-000017000000}"/>
    <dataValidation allowBlank="1" showInputMessage="1" showErrorMessage="1" promptTitle="Thumbnail:" prompt="Enter url link to equipment item thumbnail image in previous column" sqref="L6" xr:uid="{91A1ECCA-3F02-4706-82E8-3F599501042A}"/>
    <dataValidation allowBlank="1" showInputMessage="1" showErrorMessage="1" promptTitle="Unit Price:" prompt="Enter item price per unit" sqref="I6" xr:uid="{8A77B332-769F-4FC3-9D4D-2B9A5564E948}"/>
    <dataValidation allowBlank="1" showInputMessage="1" showErrorMessage="1" promptTitle="Vendor:" prompt="Enter vendor of this item" sqref="C6:D6" xr:uid="{7ABF8C16-A6D2-4C3C-B430-498018FD9056}"/>
    <dataValidation allowBlank="1" showInputMessage="1" showErrorMessage="1" errorTitle="Invalid Data" error="Please select an entry from the list. To add or change items, use the Room/Area table on the Room Lookup worksheet. " promptTitle="Item #:" prompt="Enter list item # of this entry" sqref="B7:B38" xr:uid="{FD5547EF-4DB9-45AE-A587-FA0DB68CDF9E}"/>
  </dataValidations>
  <hyperlinks>
    <hyperlink ref="M7" r:id="rId1" xr:uid="{F6ECFD8F-7470-4DAF-AB9C-08376487510A}"/>
    <hyperlink ref="M8" r:id="rId2" xr:uid="{D77A7A15-4D4B-46EE-A9A7-D0375F87431B}"/>
    <hyperlink ref="M9" r:id="rId3" xr:uid="{B4D75A37-2C55-467B-BB6D-0A0D9C70176A}"/>
    <hyperlink ref="M10" r:id="rId4" xr:uid="{F85C94F2-CC20-44A5-8E35-40D1C157D36E}"/>
    <hyperlink ref="M11" r:id="rId5" xr:uid="{5D2B45E8-BF62-47CD-8020-8B4CCCFBA85B}"/>
    <hyperlink ref="M12" r:id="rId6" xr:uid="{E3B387ED-A287-4E5C-86B4-D3338F3D6531}"/>
    <hyperlink ref="M13" r:id="rId7" xr:uid="{17392049-0599-4659-A83D-E55ACF18F83F}"/>
    <hyperlink ref="M14" r:id="rId8" xr:uid="{2E813502-00AA-4CE9-B851-58A1660812AF}"/>
    <hyperlink ref="M15" r:id="rId9" xr:uid="{3119932D-D822-4179-B551-E6533736A117}"/>
    <hyperlink ref="M16" r:id="rId10" xr:uid="{A3C6E8B3-9A3C-477D-B03A-E4B495727304}"/>
    <hyperlink ref="M17" r:id="rId11" xr:uid="{7A2C5F0C-76C1-44C2-986B-B977EDE549D0}"/>
    <hyperlink ref="M18" r:id="rId12" xr:uid="{45D43263-E9CC-4DDD-A16E-676E595849FF}"/>
    <hyperlink ref="M19" r:id="rId13" xr:uid="{D43BAF23-8D24-49A8-BEA7-23D155408866}"/>
    <hyperlink ref="M20" r:id="rId14" xr:uid="{85450119-0A62-4520-87DD-CDB93D22A11B}"/>
    <hyperlink ref="M21" r:id="rId15" xr:uid="{E694CEF5-2EE8-42F7-ABDE-6869A43C311C}"/>
    <hyperlink ref="M22" r:id="rId16" xr:uid="{456C3710-8BE5-4EB7-9DDD-EB6252D1F304}"/>
    <hyperlink ref="M23" r:id="rId17" xr:uid="{487CB49F-21B2-4A73-AACD-129F0C97E552}"/>
    <hyperlink ref="M24" r:id="rId18" xr:uid="{F397C6FC-9557-4258-B4DC-31A6915D07D0}"/>
    <hyperlink ref="M25" r:id="rId19" xr:uid="{0B4D5FFD-EBD2-485A-9B26-264E1D5E411E}"/>
    <hyperlink ref="M26" r:id="rId20" xr:uid="{5CFDE63D-0318-46E4-9457-5B223923C39F}"/>
    <hyperlink ref="M27" r:id="rId21" xr:uid="{9C31FFF8-43EC-4C20-A494-9CB3CFC024DC}"/>
    <hyperlink ref="M28" r:id="rId22" xr:uid="{FB7B76CA-FE02-4747-B59F-522DAC5A70F1}"/>
    <hyperlink ref="M29" r:id="rId23" xr:uid="{D5146CFC-B7F9-430D-82FC-78F7AD082EBB}"/>
    <hyperlink ref="M30" r:id="rId24" xr:uid="{8002E8ED-F65A-43F7-A1F2-FAB1F883E0AA}"/>
    <hyperlink ref="M31" r:id="rId25" xr:uid="{583B163D-3D84-465B-AE5A-8BED130E5CA0}"/>
    <hyperlink ref="M32" r:id="rId26" xr:uid="{D44C5181-85D6-43C0-90E2-39818BA6C623}"/>
    <hyperlink ref="M33" r:id="rId27" xr:uid="{A3C0881E-DC9E-4197-98D1-51684453E2E5}"/>
    <hyperlink ref="M34" r:id="rId28" xr:uid="{8B3F7190-C160-4058-89F4-B3D4D45ECD5D}"/>
    <hyperlink ref="M35" r:id="rId29" xr:uid="{9150EE89-B23D-4360-B735-78A72349AD4D}"/>
    <hyperlink ref="M36" r:id="rId30" xr:uid="{BC98F63C-4C66-44DE-8849-897209663CE0}"/>
    <hyperlink ref="M37" r:id="rId31" xr:uid="{001FDCA3-9FD0-4A9B-AA4E-AF51846489EA}"/>
    <hyperlink ref="M38" r:id="rId32" xr:uid="{424C864C-7821-4B30-A052-549910DA26EF}"/>
  </hyperlinks>
  <printOptions horizontalCentered="1"/>
  <pageMargins left="0.25" right="0.25" top="0.75" bottom="0.75" header="0.3" footer="0.3"/>
  <pageSetup scale="59" fitToHeight="0" orientation="landscape" r:id="rId33"/>
  <headerFooter differentFirst="1">
    <oddFooter>Page &amp;P of &amp;N</oddFooter>
  </headerFooter>
  <drawing r:id="rId34"/>
  <tableParts count="1">
    <tablePart r:id="rId35"/>
  </tableParts>
  <extLst>
    <ext xmlns:x14="http://schemas.microsoft.com/office/spreadsheetml/2009/9/main" uri="{78C0D931-6437-407d-A8EE-F0AAD7539E65}">
      <x14:conditionalFormattings>
        <x14:conditionalFormatting xmlns:xm="http://schemas.microsoft.com/office/excel/2006/main">
          <x14:cfRule type="dataBar" id="{DD2554B5-7481-4F06-9B0C-4C198BA00901}">
            <x14:dataBar minLength="0" maxLength="100">
              <x14:cfvo type="autoMin"/>
              <x14:cfvo type="autoMax"/>
              <x14:negativeFillColor rgb="FFFF0000"/>
              <x14:axisColor rgb="FF000000"/>
            </x14:dataBar>
          </x14:cfRule>
          <xm:sqref>J7:J38</xm:sqref>
        </x14:conditionalFormatting>
      </x14:conditionalFormattings>
    </ext>
    <ext xmlns:x14="http://schemas.microsoft.com/office/spreadsheetml/2009/9/main" uri="{CCE6A557-97BC-4b89-ADB6-D9C93CAAB3DF}">
      <x14:dataValidations xmlns:xm="http://schemas.microsoft.com/office/excel/2006/main" xWindow="158" yWindow="529" count="1">
        <x14:dataValidation type="list" allowBlank="1" showInputMessage="1" showErrorMessage="1" errorTitle="Invalid Data" error="Please select an entry from the list. To add or change items, use the Room/Area table on the Room Lookup worksheet. " xr:uid="{667DBAAD-6DB9-4CBC-941F-F21230EBD7E8}">
          <x14:formula1>
            <xm:f>'Category Lookup'!$C$4:$C$81</xm:f>
          </x14:formula1>
          <xm:sqref>D7:D38</xm:sqref>
        </x14:dataValidation>
      </x14:dataValidations>
    </ext>
    <ext xmlns:x15="http://schemas.microsoft.com/office/spreadsheetml/2010/11/main" uri="{3A4CF648-6AED-40f4-86FF-DC5316D8AED3}">
      <x14:slicerList xmlns:x14="http://schemas.microsoft.com/office/spreadsheetml/2009/9/main">
        <x14:slicer r:id="rId36"/>
      </x14:slicerList>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64072-D326-406E-9CB5-70BD69A3FB97}">
  <sheetPr codeName="Sheet15"/>
  <dimension ref="A1:D65"/>
  <sheetViews>
    <sheetView workbookViewId="0">
      <selection activeCell="A20" sqref="A20"/>
    </sheetView>
  </sheetViews>
  <sheetFormatPr defaultRowHeight="14.4" x14ac:dyDescent="0.3"/>
  <cols>
    <col min="1" max="1" width="51.6640625" customWidth="1"/>
    <col min="3" max="3" width="52.5546875" customWidth="1"/>
  </cols>
  <sheetData>
    <row r="1" spans="1:4" x14ac:dyDescent="0.3">
      <c r="A1" t="s">
        <v>994</v>
      </c>
      <c r="B1" t="b">
        <v>0</v>
      </c>
      <c r="C1" t="s">
        <v>1955</v>
      </c>
      <c r="D1">
        <v>5</v>
      </c>
    </row>
    <row r="2" spans="1:4" x14ac:dyDescent="0.3">
      <c r="A2" t="s">
        <v>891</v>
      </c>
      <c r="B2" t="b">
        <v>1</v>
      </c>
      <c r="C2" t="s">
        <v>1956</v>
      </c>
      <c r="D2">
        <v>5</v>
      </c>
    </row>
    <row r="3" spans="1:4" x14ac:dyDescent="0.3">
      <c r="A3" t="s">
        <v>1884</v>
      </c>
      <c r="B3" t="b">
        <v>0</v>
      </c>
      <c r="C3" t="s">
        <v>1957</v>
      </c>
      <c r="D3">
        <v>5</v>
      </c>
    </row>
    <row r="4" spans="1:4" x14ac:dyDescent="0.3">
      <c r="A4" t="s">
        <v>1886</v>
      </c>
      <c r="B4" t="b">
        <v>0</v>
      </c>
      <c r="C4" t="s">
        <v>1958</v>
      </c>
      <c r="D4">
        <v>5</v>
      </c>
    </row>
    <row r="5" spans="1:4" x14ac:dyDescent="0.3">
      <c r="A5" t="s">
        <v>1885</v>
      </c>
      <c r="B5" t="b">
        <v>0</v>
      </c>
      <c r="C5" t="s">
        <v>1959</v>
      </c>
      <c r="D5">
        <v>5</v>
      </c>
    </row>
    <row r="6" spans="1:4" x14ac:dyDescent="0.3">
      <c r="A6" t="s">
        <v>1888</v>
      </c>
      <c r="B6" t="b">
        <v>0</v>
      </c>
      <c r="C6" t="s">
        <v>1960</v>
      </c>
      <c r="D6">
        <v>5</v>
      </c>
    </row>
    <row r="7" spans="1:4" x14ac:dyDescent="0.3">
      <c r="A7" t="s">
        <v>1887</v>
      </c>
      <c r="B7" t="b">
        <v>0</v>
      </c>
      <c r="C7" t="s">
        <v>1961</v>
      </c>
      <c r="D7">
        <v>5</v>
      </c>
    </row>
    <row r="8" spans="1:4" x14ac:dyDescent="0.3">
      <c r="A8" t="s">
        <v>1889</v>
      </c>
      <c r="B8" t="b">
        <v>0</v>
      </c>
      <c r="C8" t="s">
        <v>1962</v>
      </c>
      <c r="D8">
        <v>5</v>
      </c>
    </row>
    <row r="9" spans="1:4" x14ac:dyDescent="0.3">
      <c r="A9" t="s">
        <v>1617</v>
      </c>
      <c r="B9" t="b">
        <v>1</v>
      </c>
      <c r="C9" t="s">
        <v>1963</v>
      </c>
      <c r="D9">
        <v>5</v>
      </c>
    </row>
    <row r="10" spans="1:4" x14ac:dyDescent="0.3">
      <c r="A10" t="s">
        <v>1301</v>
      </c>
      <c r="B10" t="b">
        <v>0</v>
      </c>
      <c r="C10" t="s">
        <v>1964</v>
      </c>
      <c r="D10">
        <v>5</v>
      </c>
    </row>
    <row r="11" spans="1:4" x14ac:dyDescent="0.3">
      <c r="A11" t="s">
        <v>1890</v>
      </c>
      <c r="B11" t="b">
        <v>0</v>
      </c>
      <c r="C11" t="s">
        <v>1965</v>
      </c>
      <c r="D11">
        <v>5</v>
      </c>
    </row>
    <row r="12" spans="1:4" x14ac:dyDescent="0.3">
      <c r="A12" t="s">
        <v>890</v>
      </c>
      <c r="B12" t="b">
        <v>0</v>
      </c>
      <c r="C12" t="s">
        <v>1966</v>
      </c>
      <c r="D12">
        <v>5</v>
      </c>
    </row>
    <row r="13" spans="1:4" x14ac:dyDescent="0.3">
      <c r="A13" t="s">
        <v>1892</v>
      </c>
      <c r="B13" t="b">
        <v>0</v>
      </c>
      <c r="C13" t="s">
        <v>1967</v>
      </c>
      <c r="D13">
        <v>5</v>
      </c>
    </row>
    <row r="14" spans="1:4" x14ac:dyDescent="0.3">
      <c r="A14" t="s">
        <v>1891</v>
      </c>
      <c r="B14" t="b">
        <v>1</v>
      </c>
      <c r="C14" t="s">
        <v>1968</v>
      </c>
      <c r="D14">
        <v>5</v>
      </c>
    </row>
    <row r="15" spans="1:4" x14ac:dyDescent="0.3">
      <c r="A15" t="s">
        <v>1893</v>
      </c>
      <c r="B15" t="b">
        <v>0</v>
      </c>
      <c r="C15" t="s">
        <v>1969</v>
      </c>
      <c r="D15">
        <v>5</v>
      </c>
    </row>
    <row r="16" spans="1:4" x14ac:dyDescent="0.3">
      <c r="A16" t="s">
        <v>1302</v>
      </c>
      <c r="B16" t="b">
        <v>0</v>
      </c>
      <c r="C16" t="s">
        <v>1970</v>
      </c>
      <c r="D16">
        <v>5</v>
      </c>
    </row>
    <row r="17" spans="1:4" x14ac:dyDescent="0.3">
      <c r="A17" t="s">
        <v>1609</v>
      </c>
      <c r="B17" t="b">
        <v>0</v>
      </c>
      <c r="C17" t="s">
        <v>1971</v>
      </c>
      <c r="D17">
        <v>5</v>
      </c>
    </row>
    <row r="18" spans="1:4" x14ac:dyDescent="0.3">
      <c r="A18" t="s">
        <v>1611</v>
      </c>
      <c r="B18" t="b">
        <v>0</v>
      </c>
      <c r="C18" t="s">
        <v>1972</v>
      </c>
      <c r="D18">
        <v>5</v>
      </c>
    </row>
    <row r="19" spans="1:4" x14ac:dyDescent="0.3">
      <c r="A19" t="s">
        <v>1883</v>
      </c>
      <c r="B19" t="b">
        <v>1</v>
      </c>
      <c r="C19" t="s">
        <v>1973</v>
      </c>
      <c r="D19">
        <v>5</v>
      </c>
    </row>
    <row r="20" spans="1:4" x14ac:dyDescent="0.3">
      <c r="A20" t="s">
        <v>1608</v>
      </c>
      <c r="B20" t="b">
        <v>0</v>
      </c>
      <c r="C20" t="s">
        <v>1974</v>
      </c>
      <c r="D20">
        <v>5</v>
      </c>
    </row>
    <row r="21" spans="1:4" x14ac:dyDescent="0.3">
      <c r="A21" t="s">
        <v>1012</v>
      </c>
      <c r="B21" t="b">
        <v>1</v>
      </c>
      <c r="C21" t="s">
        <v>1975</v>
      </c>
      <c r="D21">
        <v>5</v>
      </c>
    </row>
    <row r="22" spans="1:4" x14ac:dyDescent="0.3">
      <c r="A22" t="s">
        <v>1894</v>
      </c>
      <c r="B22" t="b">
        <v>0</v>
      </c>
      <c r="C22" t="s">
        <v>1976</v>
      </c>
      <c r="D22">
        <v>5</v>
      </c>
    </row>
    <row r="23" spans="1:4" x14ac:dyDescent="0.3">
      <c r="A23" t="s">
        <v>1895</v>
      </c>
      <c r="B23" t="b">
        <v>0</v>
      </c>
      <c r="C23" t="s">
        <v>1977</v>
      </c>
      <c r="D23">
        <v>5</v>
      </c>
    </row>
    <row r="24" spans="1:4" x14ac:dyDescent="0.3">
      <c r="A24" t="s">
        <v>1610</v>
      </c>
      <c r="B24" t="b">
        <v>0</v>
      </c>
      <c r="C24" t="s">
        <v>1978</v>
      </c>
      <c r="D24">
        <v>5</v>
      </c>
    </row>
    <row r="25" spans="1:4" x14ac:dyDescent="0.3">
      <c r="A25" t="s">
        <v>1612</v>
      </c>
      <c r="B25" t="b">
        <v>0</v>
      </c>
      <c r="C25" t="s">
        <v>1979</v>
      </c>
      <c r="D25">
        <v>5</v>
      </c>
    </row>
    <row r="26" spans="1:4" x14ac:dyDescent="0.3">
      <c r="A26" t="s">
        <v>995</v>
      </c>
      <c r="B26" t="b">
        <v>0</v>
      </c>
      <c r="C26" t="s">
        <v>1980</v>
      </c>
      <c r="D26">
        <v>5</v>
      </c>
    </row>
    <row r="27" spans="1:4" x14ac:dyDescent="0.3">
      <c r="A27" t="s">
        <v>1303</v>
      </c>
      <c r="B27" t="b">
        <v>0</v>
      </c>
      <c r="C27" t="s">
        <v>1981</v>
      </c>
      <c r="D27">
        <v>5</v>
      </c>
    </row>
    <row r="28" spans="1:4" x14ac:dyDescent="0.3">
      <c r="A28" t="s">
        <v>888</v>
      </c>
      <c r="B28" t="b">
        <v>0</v>
      </c>
      <c r="C28" t="s">
        <v>1982</v>
      </c>
      <c r="D28">
        <v>5</v>
      </c>
    </row>
    <row r="29" spans="1:4" x14ac:dyDescent="0.3">
      <c r="A29" t="s">
        <v>1606</v>
      </c>
      <c r="B29" t="b">
        <v>0</v>
      </c>
      <c r="C29" t="s">
        <v>1983</v>
      </c>
      <c r="D29">
        <v>5</v>
      </c>
    </row>
    <row r="30" spans="1:4" x14ac:dyDescent="0.3">
      <c r="A30" t="s">
        <v>1409</v>
      </c>
      <c r="B30" t="b">
        <v>0</v>
      </c>
      <c r="C30" t="s">
        <v>1984</v>
      </c>
      <c r="D30">
        <v>5</v>
      </c>
    </row>
    <row r="31" spans="1:4" x14ac:dyDescent="0.3">
      <c r="A31" t="s">
        <v>12</v>
      </c>
      <c r="B31" t="b">
        <v>0</v>
      </c>
      <c r="C31" t="s">
        <v>1985</v>
      </c>
      <c r="D31">
        <v>5</v>
      </c>
    </row>
    <row r="32" spans="1:4" x14ac:dyDescent="0.3">
      <c r="A32" t="s">
        <v>1605</v>
      </c>
      <c r="B32" t="b">
        <v>0</v>
      </c>
      <c r="C32" t="s">
        <v>1986</v>
      </c>
      <c r="D32">
        <v>5</v>
      </c>
    </row>
    <row r="33" spans="1:4" x14ac:dyDescent="0.3">
      <c r="A33" t="s">
        <v>1896</v>
      </c>
      <c r="B33" t="b">
        <v>0</v>
      </c>
      <c r="C33" t="s">
        <v>1987</v>
      </c>
      <c r="D33">
        <v>5</v>
      </c>
    </row>
    <row r="34" spans="1:4" x14ac:dyDescent="0.3">
      <c r="A34" t="s">
        <v>1603</v>
      </c>
      <c r="B34" t="b">
        <v>0</v>
      </c>
      <c r="C34" t="s">
        <v>1988</v>
      </c>
      <c r="D34">
        <v>5</v>
      </c>
    </row>
    <row r="35" spans="1:4" x14ac:dyDescent="0.3">
      <c r="A35" t="s">
        <v>1013</v>
      </c>
      <c r="B35" t="b">
        <v>0</v>
      </c>
      <c r="C35" t="s">
        <v>1989</v>
      </c>
      <c r="D35">
        <v>5</v>
      </c>
    </row>
    <row r="36" spans="1:4" x14ac:dyDescent="0.3">
      <c r="A36" t="s">
        <v>1613</v>
      </c>
      <c r="B36" t="b">
        <v>0</v>
      </c>
      <c r="C36" t="s">
        <v>1990</v>
      </c>
      <c r="D36">
        <v>5</v>
      </c>
    </row>
    <row r="37" spans="1:4" x14ac:dyDescent="0.3">
      <c r="A37" t="s">
        <v>1439</v>
      </c>
      <c r="B37" t="b">
        <v>0</v>
      </c>
      <c r="C37" t="s">
        <v>1991</v>
      </c>
      <c r="D37">
        <v>5</v>
      </c>
    </row>
    <row r="38" spans="1:4" x14ac:dyDescent="0.3">
      <c r="A38" t="s">
        <v>1043</v>
      </c>
      <c r="B38" t="b">
        <v>0</v>
      </c>
      <c r="C38" t="s">
        <v>1992</v>
      </c>
      <c r="D38">
        <v>5</v>
      </c>
    </row>
    <row r="39" spans="1:4" x14ac:dyDescent="0.3">
      <c r="A39" t="s">
        <v>16</v>
      </c>
      <c r="B39" t="b">
        <v>0</v>
      </c>
      <c r="C39" t="s">
        <v>1993</v>
      </c>
      <c r="D39">
        <v>5</v>
      </c>
    </row>
    <row r="40" spans="1:4" x14ac:dyDescent="0.3">
      <c r="A40" t="s">
        <v>1014</v>
      </c>
      <c r="B40" t="b">
        <v>0</v>
      </c>
      <c r="C40" t="s">
        <v>1994</v>
      </c>
      <c r="D40">
        <v>5</v>
      </c>
    </row>
    <row r="41" spans="1:4" x14ac:dyDescent="0.3">
      <c r="A41" t="s">
        <v>1068</v>
      </c>
      <c r="B41" t="b">
        <v>0</v>
      </c>
      <c r="C41" t="s">
        <v>1995</v>
      </c>
      <c r="D41">
        <v>5</v>
      </c>
    </row>
    <row r="42" spans="1:4" x14ac:dyDescent="0.3">
      <c r="A42" t="s">
        <v>1042</v>
      </c>
      <c r="B42" t="b">
        <v>0</v>
      </c>
      <c r="C42" t="s">
        <v>1996</v>
      </c>
      <c r="D42">
        <v>5</v>
      </c>
    </row>
    <row r="43" spans="1:4" x14ac:dyDescent="0.3">
      <c r="A43" t="s">
        <v>1616</v>
      </c>
      <c r="B43" t="b">
        <v>0</v>
      </c>
      <c r="C43" t="s">
        <v>1997</v>
      </c>
      <c r="D43">
        <v>5</v>
      </c>
    </row>
    <row r="44" spans="1:4" x14ac:dyDescent="0.3">
      <c r="A44" t="s">
        <v>1066</v>
      </c>
      <c r="B44" t="b">
        <v>0</v>
      </c>
      <c r="C44" t="s">
        <v>1998</v>
      </c>
      <c r="D44">
        <v>5</v>
      </c>
    </row>
    <row r="45" spans="1:4" x14ac:dyDescent="0.3">
      <c r="A45" t="s">
        <v>993</v>
      </c>
      <c r="B45" t="b">
        <v>0</v>
      </c>
      <c r="C45" t="s">
        <v>1999</v>
      </c>
      <c r="D45">
        <v>5</v>
      </c>
    </row>
    <row r="46" spans="1:4" x14ac:dyDescent="0.3">
      <c r="A46" t="s">
        <v>1180</v>
      </c>
      <c r="B46" t="b">
        <v>0</v>
      </c>
      <c r="C46" t="s">
        <v>2000</v>
      </c>
      <c r="D46">
        <v>5</v>
      </c>
    </row>
    <row r="47" spans="1:4" x14ac:dyDescent="0.3">
      <c r="A47" t="s">
        <v>1075</v>
      </c>
      <c r="B47" t="b">
        <v>0</v>
      </c>
      <c r="C47" t="s">
        <v>2001</v>
      </c>
      <c r="D47">
        <v>5</v>
      </c>
    </row>
    <row r="48" spans="1:4" x14ac:dyDescent="0.3">
      <c r="A48" t="s">
        <v>1615</v>
      </c>
      <c r="B48" t="b">
        <v>0</v>
      </c>
      <c r="C48" t="s">
        <v>2002</v>
      </c>
      <c r="D48">
        <v>5</v>
      </c>
    </row>
    <row r="49" spans="1:4" x14ac:dyDescent="0.3">
      <c r="A49" t="s">
        <v>1618</v>
      </c>
      <c r="B49" t="b">
        <v>0</v>
      </c>
      <c r="C49" t="s">
        <v>2003</v>
      </c>
      <c r="D49">
        <v>5</v>
      </c>
    </row>
    <row r="50" spans="1:4" x14ac:dyDescent="0.3">
      <c r="A50" t="s">
        <v>11</v>
      </c>
      <c r="B50" t="b">
        <v>0</v>
      </c>
      <c r="C50" t="s">
        <v>2004</v>
      </c>
      <c r="D50">
        <v>5</v>
      </c>
    </row>
    <row r="51" spans="1:4" x14ac:dyDescent="0.3">
      <c r="A51" t="s">
        <v>14</v>
      </c>
      <c r="B51" t="b">
        <v>0</v>
      </c>
      <c r="C51" t="s">
        <v>2005</v>
      </c>
      <c r="D51">
        <v>5</v>
      </c>
    </row>
    <row r="52" spans="1:4" x14ac:dyDescent="0.3">
      <c r="A52" t="s">
        <v>899</v>
      </c>
      <c r="B52" t="b">
        <v>0</v>
      </c>
      <c r="C52" t="s">
        <v>2006</v>
      </c>
      <c r="D52">
        <v>5</v>
      </c>
    </row>
    <row r="53" spans="1:4" x14ac:dyDescent="0.3">
      <c r="A53" t="s">
        <v>1067</v>
      </c>
      <c r="B53" t="b">
        <v>0</v>
      </c>
      <c r="C53" t="s">
        <v>2007</v>
      </c>
      <c r="D53">
        <v>5</v>
      </c>
    </row>
    <row r="54" spans="1:4" x14ac:dyDescent="0.3">
      <c r="A54" t="s">
        <v>1607</v>
      </c>
      <c r="B54" t="b">
        <v>0</v>
      </c>
      <c r="C54" t="s">
        <v>2008</v>
      </c>
      <c r="D54">
        <v>5</v>
      </c>
    </row>
    <row r="55" spans="1:4" x14ac:dyDescent="0.3">
      <c r="A55" t="s">
        <v>1614</v>
      </c>
      <c r="B55" t="b">
        <v>0</v>
      </c>
      <c r="C55" t="s">
        <v>2009</v>
      </c>
      <c r="D55">
        <v>5</v>
      </c>
    </row>
    <row r="56" spans="1:4" x14ac:dyDescent="0.3">
      <c r="A56" t="s">
        <v>1654</v>
      </c>
      <c r="B56" t="b">
        <v>0</v>
      </c>
      <c r="C56" t="s">
        <v>2010</v>
      </c>
      <c r="D56">
        <v>5</v>
      </c>
    </row>
    <row r="57" spans="1:4" x14ac:dyDescent="0.3">
      <c r="A57" t="s">
        <v>15</v>
      </c>
      <c r="B57" t="b">
        <v>0</v>
      </c>
      <c r="C57" t="s">
        <v>2011</v>
      </c>
      <c r="D57">
        <v>5</v>
      </c>
    </row>
    <row r="58" spans="1:4" x14ac:dyDescent="0.3">
      <c r="A58" t="s">
        <v>1438</v>
      </c>
      <c r="B58" t="b">
        <v>0</v>
      </c>
      <c r="C58" t="s">
        <v>2012</v>
      </c>
      <c r="D58">
        <v>5</v>
      </c>
    </row>
    <row r="59" spans="1:4" x14ac:dyDescent="0.3">
      <c r="A59" t="s">
        <v>1604</v>
      </c>
      <c r="B59" t="b">
        <v>0</v>
      </c>
      <c r="C59" t="s">
        <v>2013</v>
      </c>
      <c r="D59">
        <v>5</v>
      </c>
    </row>
    <row r="60" spans="1:4" x14ac:dyDescent="0.3">
      <c r="A60" t="s">
        <v>887</v>
      </c>
      <c r="B60" t="b">
        <v>0</v>
      </c>
      <c r="C60" t="s">
        <v>2014</v>
      </c>
      <c r="D60">
        <v>5</v>
      </c>
    </row>
    <row r="61" spans="1:4" x14ac:dyDescent="0.3">
      <c r="A61" t="s">
        <v>898</v>
      </c>
      <c r="B61" t="b">
        <v>0</v>
      </c>
      <c r="C61" t="s">
        <v>2015</v>
      </c>
      <c r="D61">
        <v>5</v>
      </c>
    </row>
    <row r="62" spans="1:4" x14ac:dyDescent="0.3">
      <c r="A62" t="s">
        <v>1071</v>
      </c>
      <c r="B62" t="b">
        <v>0</v>
      </c>
      <c r="C62" t="s">
        <v>2016</v>
      </c>
      <c r="D62">
        <v>5</v>
      </c>
    </row>
    <row r="63" spans="1:4" x14ac:dyDescent="0.3">
      <c r="A63" t="s">
        <v>1437</v>
      </c>
      <c r="B63" t="b">
        <v>0</v>
      </c>
      <c r="C63" t="s">
        <v>2017</v>
      </c>
      <c r="D63">
        <v>5</v>
      </c>
    </row>
    <row r="64" spans="1:4" x14ac:dyDescent="0.3">
      <c r="A64" t="s">
        <v>1410</v>
      </c>
      <c r="B64" t="b">
        <v>0</v>
      </c>
      <c r="C64" t="s">
        <v>2018</v>
      </c>
      <c r="D64">
        <v>5</v>
      </c>
    </row>
    <row r="65" spans="1:4" x14ac:dyDescent="0.3">
      <c r="A65" t="s">
        <v>13</v>
      </c>
      <c r="B65" t="b">
        <v>0</v>
      </c>
      <c r="C65" t="s">
        <v>2019</v>
      </c>
      <c r="D65">
        <v>5</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DE508-74B4-4567-99BF-917F280917A1}">
  <sheetPr codeName="Sheet7"/>
  <dimension ref="A1:G65"/>
  <sheetViews>
    <sheetView topLeftCell="C15" workbookViewId="0">
      <selection activeCell="C24" sqref="C24"/>
    </sheetView>
  </sheetViews>
  <sheetFormatPr defaultRowHeight="14.4" x14ac:dyDescent="0.3"/>
  <cols>
    <col min="1" max="1" width="31.109375" customWidth="1"/>
    <col min="2" max="2" width="43.6640625" bestFit="1" customWidth="1"/>
    <col min="3" max="3" width="27.109375" customWidth="1"/>
    <col min="4" max="4" width="22.21875" customWidth="1"/>
    <col min="5" max="5" width="12.33203125" customWidth="1"/>
    <col min="6" max="6" width="44.33203125" customWidth="1"/>
    <col min="7" max="7" width="25.44140625" customWidth="1"/>
  </cols>
  <sheetData>
    <row r="1" spans="1:7" ht="28.8" x14ac:dyDescent="0.3">
      <c r="A1" t="s">
        <v>994</v>
      </c>
      <c r="B1" t="s">
        <v>1954</v>
      </c>
      <c r="C1" t="s">
        <v>1955</v>
      </c>
      <c r="D1" t="s">
        <v>1950</v>
      </c>
      <c r="F1" s="3" t="e">
        <f ca="1">[1]!GetSelectedSlicerItems("Slicer_Type1")</f>
        <v>#NAME?</v>
      </c>
    </row>
    <row r="2" spans="1:7" ht="28.8" x14ac:dyDescent="0.3">
      <c r="A2" t="s">
        <v>891</v>
      </c>
      <c r="B2" t="b">
        <v>1</v>
      </c>
      <c r="C2" t="s">
        <v>1956</v>
      </c>
      <c r="D2" t="str">
        <f>"SplitAllFunc()"</f>
        <v>SplitAllFunc()</v>
      </c>
      <c r="F2" s="3" t="e">
        <f ca="1">[1]!GetSelectedSlicerItems("Slicer_____0_?_T_F")</f>
        <v>#NAME?</v>
      </c>
      <c r="G2" s="82"/>
    </row>
    <row r="3" spans="1:7" ht="28.8" x14ac:dyDescent="0.3">
      <c r="A3" t="s">
        <v>1884</v>
      </c>
      <c r="B3" t="b">
        <v>0</v>
      </c>
      <c r="C3" t="s">
        <v>1957</v>
      </c>
      <c r="D3" t="s">
        <v>891</v>
      </c>
      <c r="F3" s="3" t="e">
        <f ca="1">[1]!GetSelectedSlicerItems("Slicer_Room__area")</f>
        <v>#NAME?</v>
      </c>
    </row>
    <row r="4" spans="1:7" ht="43.2" x14ac:dyDescent="0.3">
      <c r="A4" t="s">
        <v>1886</v>
      </c>
      <c r="B4" t="b">
        <v>0</v>
      </c>
      <c r="C4" t="s">
        <v>1958</v>
      </c>
      <c r="D4" t="s">
        <v>1947</v>
      </c>
      <c r="F4" s="3" t="e">
        <f ca="1">[1]!GetSelectedSlicerItems("Slicer_Equipment_Category")</f>
        <v>#NAME?</v>
      </c>
    </row>
    <row r="5" spans="1:7" ht="43.2" x14ac:dyDescent="0.3">
      <c r="A5" t="s">
        <v>1885</v>
      </c>
      <c r="B5" t="b">
        <v>0</v>
      </c>
      <c r="C5" t="s">
        <v>1959</v>
      </c>
      <c r="D5" t="s">
        <v>1948</v>
      </c>
      <c r="F5" s="3" t="e">
        <f ca="1">CELL("contents",F4)</f>
        <v>#NAME?</v>
      </c>
    </row>
    <row r="6" spans="1:7" ht="43.2" x14ac:dyDescent="0.3">
      <c r="A6" t="s">
        <v>1888</v>
      </c>
      <c r="B6" t="b">
        <v>0</v>
      </c>
      <c r="C6" t="s">
        <v>1960</v>
      </c>
      <c r="D6" t="s">
        <v>1949</v>
      </c>
      <c r="F6" s="3" t="e">
        <f ca="1">CELL("contents",F4)</f>
        <v>#NAME?</v>
      </c>
    </row>
    <row r="7" spans="1:7" ht="43.2" x14ac:dyDescent="0.3">
      <c r="A7" t="s">
        <v>1887</v>
      </c>
      <c r="B7" t="b">
        <v>0</v>
      </c>
      <c r="C7" t="s">
        <v>1961</v>
      </c>
      <c r="D7" t="s">
        <v>1951</v>
      </c>
      <c r="F7" t="s">
        <v>2020</v>
      </c>
    </row>
    <row r="8" spans="1:7" ht="28.8" x14ac:dyDescent="0.3">
      <c r="A8" t="s">
        <v>1889</v>
      </c>
      <c r="B8" t="b">
        <v>0</v>
      </c>
      <c r="C8" t="s">
        <v>1962</v>
      </c>
      <c r="D8" t="s">
        <v>1952</v>
      </c>
      <c r="F8" s="82" t="e">
        <f ca="1">[1]!CSVitems(F7,", ")</f>
        <v>#NAME?</v>
      </c>
    </row>
    <row r="9" spans="1:7" ht="28.8" x14ac:dyDescent="0.3">
      <c r="A9" t="s">
        <v>1617</v>
      </c>
      <c r="B9" t="b">
        <v>1</v>
      </c>
      <c r="C9" t="s">
        <v>1963</v>
      </c>
      <c r="D9" t="s">
        <v>1953</v>
      </c>
    </row>
    <row r="10" spans="1:7" x14ac:dyDescent="0.3">
      <c r="A10" t="s">
        <v>1301</v>
      </c>
      <c r="B10" t="b">
        <v>0</v>
      </c>
      <c r="C10" t="s">
        <v>1964</v>
      </c>
    </row>
    <row r="11" spans="1:7" x14ac:dyDescent="0.3">
      <c r="A11" t="s">
        <v>1890</v>
      </c>
      <c r="B11" t="b">
        <v>0</v>
      </c>
      <c r="C11" t="s">
        <v>1965</v>
      </c>
    </row>
    <row r="12" spans="1:7" ht="28.8" x14ac:dyDescent="0.3">
      <c r="A12" t="s">
        <v>890</v>
      </c>
      <c r="B12" t="b">
        <v>0</v>
      </c>
      <c r="C12" t="s">
        <v>1966</v>
      </c>
    </row>
    <row r="13" spans="1:7" x14ac:dyDescent="0.3">
      <c r="A13" t="s">
        <v>1892</v>
      </c>
      <c r="B13" t="b">
        <v>0</v>
      </c>
      <c r="C13" t="s">
        <v>1967</v>
      </c>
    </row>
    <row r="14" spans="1:7" x14ac:dyDescent="0.3">
      <c r="A14" t="s">
        <v>1891</v>
      </c>
      <c r="B14" t="b">
        <v>1</v>
      </c>
      <c r="C14" t="s">
        <v>1968</v>
      </c>
    </row>
    <row r="15" spans="1:7" x14ac:dyDescent="0.3">
      <c r="A15" t="s">
        <v>1893</v>
      </c>
      <c r="B15" t="b">
        <v>0</v>
      </c>
      <c r="C15" t="s">
        <v>1969</v>
      </c>
    </row>
    <row r="16" spans="1:7" ht="28.8" x14ac:dyDescent="0.3">
      <c r="A16" t="s">
        <v>1302</v>
      </c>
      <c r="B16" t="b">
        <v>0</v>
      </c>
      <c r="C16" t="s">
        <v>1970</v>
      </c>
    </row>
    <row r="17" spans="1:3" x14ac:dyDescent="0.3">
      <c r="A17" t="s">
        <v>1609</v>
      </c>
      <c r="B17" t="b">
        <v>0</v>
      </c>
      <c r="C17" t="s">
        <v>1971</v>
      </c>
    </row>
    <row r="18" spans="1:3" x14ac:dyDescent="0.3">
      <c r="A18" t="s">
        <v>1611</v>
      </c>
      <c r="B18" t="b">
        <v>0</v>
      </c>
      <c r="C18" t="s">
        <v>1972</v>
      </c>
    </row>
    <row r="19" spans="1:3" x14ac:dyDescent="0.3">
      <c r="A19" t="s">
        <v>1883</v>
      </c>
      <c r="B19" t="b">
        <v>1</v>
      </c>
      <c r="C19" t="s">
        <v>1973</v>
      </c>
    </row>
    <row r="20" spans="1:3" x14ac:dyDescent="0.3">
      <c r="A20" t="s">
        <v>1608</v>
      </c>
      <c r="B20" t="b">
        <v>0</v>
      </c>
      <c r="C20" t="s">
        <v>1974</v>
      </c>
    </row>
    <row r="21" spans="1:3" x14ac:dyDescent="0.3">
      <c r="A21" s="50" t="s">
        <v>1012</v>
      </c>
      <c r="B21" t="b">
        <v>1</v>
      </c>
      <c r="C21" t="s">
        <v>1975</v>
      </c>
    </row>
    <row r="22" spans="1:3" ht="28.8" x14ac:dyDescent="0.3">
      <c r="A22" t="s">
        <v>1894</v>
      </c>
      <c r="B22" t="b">
        <v>0</v>
      </c>
      <c r="C22" t="s">
        <v>1976</v>
      </c>
    </row>
    <row r="23" spans="1:3" ht="28.8" x14ac:dyDescent="0.3">
      <c r="A23" t="s">
        <v>1895</v>
      </c>
      <c r="B23" t="b">
        <v>0</v>
      </c>
      <c r="C23" t="s">
        <v>1977</v>
      </c>
    </row>
    <row r="24" spans="1:3" x14ac:dyDescent="0.3">
      <c r="A24" t="s">
        <v>1610</v>
      </c>
      <c r="B24" t="b">
        <v>0</v>
      </c>
      <c r="C24" t="s">
        <v>1978</v>
      </c>
    </row>
    <row r="25" spans="1:3" ht="28.8" x14ac:dyDescent="0.3">
      <c r="A25" t="s">
        <v>1612</v>
      </c>
      <c r="B25" t="b">
        <v>0</v>
      </c>
      <c r="C25" t="s">
        <v>1979</v>
      </c>
    </row>
    <row r="26" spans="1:3" x14ac:dyDescent="0.3">
      <c r="A26" t="s">
        <v>995</v>
      </c>
      <c r="B26" t="b">
        <v>0</v>
      </c>
      <c r="C26" t="s">
        <v>1980</v>
      </c>
    </row>
    <row r="27" spans="1:3" ht="28.8" x14ac:dyDescent="0.3">
      <c r="A27" t="s">
        <v>1303</v>
      </c>
      <c r="B27" t="b">
        <v>0</v>
      </c>
      <c r="C27" t="s">
        <v>1981</v>
      </c>
    </row>
    <row r="28" spans="1:3" ht="28.8" x14ac:dyDescent="0.3">
      <c r="A28" t="s">
        <v>888</v>
      </c>
      <c r="B28" t="b">
        <v>0</v>
      </c>
      <c r="C28" t="s">
        <v>1982</v>
      </c>
    </row>
    <row r="29" spans="1:3" ht="28.8" x14ac:dyDescent="0.3">
      <c r="A29" t="s">
        <v>1606</v>
      </c>
      <c r="B29" t="b">
        <v>0</v>
      </c>
      <c r="C29" t="s">
        <v>1983</v>
      </c>
    </row>
    <row r="30" spans="1:3" ht="28.8" x14ac:dyDescent="0.3">
      <c r="A30" t="s">
        <v>1409</v>
      </c>
      <c r="B30" t="b">
        <v>0</v>
      </c>
      <c r="C30" t="s">
        <v>1984</v>
      </c>
    </row>
    <row r="31" spans="1:3" x14ac:dyDescent="0.3">
      <c r="A31" t="s">
        <v>12</v>
      </c>
      <c r="B31" t="b">
        <v>0</v>
      </c>
      <c r="C31" t="s">
        <v>1985</v>
      </c>
    </row>
    <row r="32" spans="1:3" ht="28.8" x14ac:dyDescent="0.3">
      <c r="A32" t="s">
        <v>1605</v>
      </c>
      <c r="B32" t="b">
        <v>0</v>
      </c>
      <c r="C32" t="s">
        <v>1986</v>
      </c>
    </row>
    <row r="33" spans="1:3" ht="28.8" x14ac:dyDescent="0.3">
      <c r="A33" t="s">
        <v>1896</v>
      </c>
      <c r="B33" t="b">
        <v>0</v>
      </c>
      <c r="C33" t="s">
        <v>1987</v>
      </c>
    </row>
    <row r="34" spans="1:3" x14ac:dyDescent="0.3">
      <c r="A34" t="s">
        <v>1603</v>
      </c>
      <c r="B34" t="b">
        <v>0</v>
      </c>
      <c r="C34" t="s">
        <v>1988</v>
      </c>
    </row>
    <row r="35" spans="1:3" x14ac:dyDescent="0.3">
      <c r="A35" t="s">
        <v>1013</v>
      </c>
      <c r="B35" t="b">
        <v>0</v>
      </c>
      <c r="C35" t="s">
        <v>1989</v>
      </c>
    </row>
    <row r="36" spans="1:3" x14ac:dyDescent="0.3">
      <c r="A36" t="s">
        <v>1613</v>
      </c>
      <c r="B36" t="b">
        <v>0</v>
      </c>
      <c r="C36" t="s">
        <v>1990</v>
      </c>
    </row>
    <row r="37" spans="1:3" ht="28.8" x14ac:dyDescent="0.3">
      <c r="A37" t="s">
        <v>1439</v>
      </c>
      <c r="B37" t="b">
        <v>0</v>
      </c>
      <c r="C37" t="s">
        <v>1991</v>
      </c>
    </row>
    <row r="38" spans="1:3" ht="28.8" x14ac:dyDescent="0.3">
      <c r="A38" t="s">
        <v>1043</v>
      </c>
      <c r="B38" t="b">
        <v>0</v>
      </c>
      <c r="C38" t="s">
        <v>1992</v>
      </c>
    </row>
    <row r="39" spans="1:3" ht="28.8" x14ac:dyDescent="0.3">
      <c r="A39" t="s">
        <v>16</v>
      </c>
      <c r="B39" t="b">
        <v>0</v>
      </c>
      <c r="C39" t="s">
        <v>1993</v>
      </c>
    </row>
    <row r="40" spans="1:3" x14ac:dyDescent="0.3">
      <c r="A40" t="s">
        <v>1014</v>
      </c>
      <c r="B40" t="b">
        <v>0</v>
      </c>
      <c r="C40" t="s">
        <v>1994</v>
      </c>
    </row>
    <row r="41" spans="1:3" ht="28.8" x14ac:dyDescent="0.3">
      <c r="A41" t="s">
        <v>1068</v>
      </c>
      <c r="B41" t="b">
        <v>0</v>
      </c>
      <c r="C41" t="s">
        <v>1995</v>
      </c>
    </row>
    <row r="42" spans="1:3" ht="28.8" x14ac:dyDescent="0.3">
      <c r="A42" t="s">
        <v>1042</v>
      </c>
      <c r="B42" t="b">
        <v>0</v>
      </c>
      <c r="C42" t="s">
        <v>1996</v>
      </c>
    </row>
    <row r="43" spans="1:3" ht="28.8" x14ac:dyDescent="0.3">
      <c r="A43" t="s">
        <v>1616</v>
      </c>
      <c r="B43" t="b">
        <v>0</v>
      </c>
      <c r="C43" t="s">
        <v>1997</v>
      </c>
    </row>
    <row r="44" spans="1:3" ht="28.8" x14ac:dyDescent="0.3">
      <c r="A44" t="s">
        <v>1066</v>
      </c>
      <c r="B44" t="b">
        <v>0</v>
      </c>
      <c r="C44" t="s">
        <v>1998</v>
      </c>
    </row>
    <row r="45" spans="1:3" x14ac:dyDescent="0.3">
      <c r="A45" t="s">
        <v>993</v>
      </c>
      <c r="B45" t="b">
        <v>0</v>
      </c>
      <c r="C45" t="s">
        <v>1999</v>
      </c>
    </row>
    <row r="46" spans="1:3" ht="28.8" x14ac:dyDescent="0.3">
      <c r="A46" t="s">
        <v>1180</v>
      </c>
      <c r="B46" t="b">
        <v>0</v>
      </c>
      <c r="C46" t="s">
        <v>2000</v>
      </c>
    </row>
    <row r="47" spans="1:3" ht="28.8" x14ac:dyDescent="0.3">
      <c r="A47" t="s">
        <v>1075</v>
      </c>
      <c r="B47" t="b">
        <v>0</v>
      </c>
      <c r="C47" t="s">
        <v>2001</v>
      </c>
    </row>
    <row r="48" spans="1:3" ht="28.8" x14ac:dyDescent="0.3">
      <c r="A48" t="s">
        <v>1615</v>
      </c>
      <c r="B48" t="b">
        <v>0</v>
      </c>
      <c r="C48" t="s">
        <v>2002</v>
      </c>
    </row>
    <row r="49" spans="1:3" ht="28.8" x14ac:dyDescent="0.3">
      <c r="A49" t="s">
        <v>1618</v>
      </c>
      <c r="B49" t="b">
        <v>0</v>
      </c>
      <c r="C49" t="s">
        <v>2003</v>
      </c>
    </row>
    <row r="50" spans="1:3" x14ac:dyDescent="0.3">
      <c r="A50" t="s">
        <v>11</v>
      </c>
      <c r="B50" t="b">
        <v>0</v>
      </c>
      <c r="C50" t="s">
        <v>2004</v>
      </c>
    </row>
    <row r="51" spans="1:3" x14ac:dyDescent="0.3">
      <c r="A51" t="s">
        <v>14</v>
      </c>
      <c r="B51" t="b">
        <v>0</v>
      </c>
      <c r="C51" t="s">
        <v>2005</v>
      </c>
    </row>
    <row r="52" spans="1:3" ht="28.8" x14ac:dyDescent="0.3">
      <c r="A52" t="s">
        <v>899</v>
      </c>
      <c r="B52" t="b">
        <v>0</v>
      </c>
      <c r="C52" t="s">
        <v>2006</v>
      </c>
    </row>
    <row r="53" spans="1:3" ht="28.8" x14ac:dyDescent="0.3">
      <c r="A53" t="s">
        <v>1067</v>
      </c>
      <c r="B53" t="b">
        <v>0</v>
      </c>
      <c r="C53" t="s">
        <v>2007</v>
      </c>
    </row>
    <row r="54" spans="1:3" ht="28.8" x14ac:dyDescent="0.3">
      <c r="A54" t="s">
        <v>1607</v>
      </c>
      <c r="B54" t="b">
        <v>0</v>
      </c>
      <c r="C54" t="s">
        <v>2008</v>
      </c>
    </row>
    <row r="55" spans="1:3" ht="28.8" x14ac:dyDescent="0.3">
      <c r="A55" t="s">
        <v>1614</v>
      </c>
      <c r="B55" t="b">
        <v>0</v>
      </c>
      <c r="C55" t="s">
        <v>2009</v>
      </c>
    </row>
    <row r="56" spans="1:3" x14ac:dyDescent="0.3">
      <c r="A56" t="s">
        <v>1654</v>
      </c>
      <c r="B56" t="b">
        <v>0</v>
      </c>
      <c r="C56" t="s">
        <v>2010</v>
      </c>
    </row>
    <row r="57" spans="1:3" x14ac:dyDescent="0.3">
      <c r="A57" t="s">
        <v>15</v>
      </c>
      <c r="B57" t="b">
        <v>0</v>
      </c>
      <c r="C57" t="s">
        <v>2011</v>
      </c>
    </row>
    <row r="58" spans="1:3" x14ac:dyDescent="0.3">
      <c r="A58" t="s">
        <v>1438</v>
      </c>
      <c r="B58" t="b">
        <v>0</v>
      </c>
      <c r="C58" t="s">
        <v>2012</v>
      </c>
    </row>
    <row r="59" spans="1:3" ht="28.8" x14ac:dyDescent="0.3">
      <c r="A59" t="s">
        <v>1604</v>
      </c>
      <c r="B59" t="b">
        <v>0</v>
      </c>
      <c r="C59" t="s">
        <v>2013</v>
      </c>
    </row>
    <row r="60" spans="1:3" ht="28.8" x14ac:dyDescent="0.3">
      <c r="A60" t="s">
        <v>887</v>
      </c>
      <c r="B60" t="b">
        <v>0</v>
      </c>
      <c r="C60" t="s">
        <v>2014</v>
      </c>
    </row>
    <row r="61" spans="1:3" ht="28.8" x14ac:dyDescent="0.3">
      <c r="A61" t="s">
        <v>898</v>
      </c>
      <c r="B61" t="b">
        <v>0</v>
      </c>
      <c r="C61" t="s">
        <v>2015</v>
      </c>
    </row>
    <row r="62" spans="1:3" ht="28.8" x14ac:dyDescent="0.3">
      <c r="A62" t="s">
        <v>1071</v>
      </c>
      <c r="B62" t="b">
        <v>0</v>
      </c>
      <c r="C62" t="s">
        <v>2016</v>
      </c>
    </row>
    <row r="63" spans="1:3" x14ac:dyDescent="0.3">
      <c r="A63" t="s">
        <v>1437</v>
      </c>
      <c r="B63" t="b">
        <v>0</v>
      </c>
      <c r="C63" t="s">
        <v>2017</v>
      </c>
    </row>
    <row r="64" spans="1:3" ht="28.8" x14ac:dyDescent="0.3">
      <c r="A64" t="s">
        <v>1410</v>
      </c>
      <c r="B64" t="b">
        <v>0</v>
      </c>
      <c r="C64" t="s">
        <v>2018</v>
      </c>
    </row>
    <row r="65" spans="1:3" x14ac:dyDescent="0.3">
      <c r="A65" t="s">
        <v>13</v>
      </c>
      <c r="B65" t="b">
        <v>0</v>
      </c>
      <c r="C65" t="s">
        <v>2019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D62FE9C6-5836-4D40-ABE6-DDEDC57718B6}">
  <ds:schemaRefs/>
</ds:datastoreItem>
</file>

<file path=customXml/itemProps2.xml><?xml version="1.0" encoding="utf-8"?>
<ds:datastoreItem xmlns:ds="http://schemas.openxmlformats.org/officeDocument/2006/customXml" ds:itemID="{9291C032-4AE1-47CD-9D0D-C5BC17F1C621}">
  <ds:schemaRefs/>
</ds:datastoreItem>
</file>

<file path=customXml/itemProps3.xml><?xml version="1.0" encoding="utf-8"?>
<ds:datastoreItem xmlns:ds="http://schemas.openxmlformats.org/officeDocument/2006/customXml" ds:itemID="{836257B9-3D35-44BC-87C1-C93D26FC420B}">
  <ds:schemaRefs/>
</ds:datastoreItem>
</file>

<file path=customXml/itemProps4.xml><?xml version="1.0" encoding="utf-8"?>
<ds:datastoreItem xmlns:ds="http://schemas.openxmlformats.org/officeDocument/2006/customXml" ds:itemID="{A97FBD7B-9360-4F89-AF8E-C5CF6EC8352C}">
  <ds:schemaRefs>
    <ds:schemaRef ds:uri="http://schemas.microsoft.com/DataMashup"/>
  </ds:schemaRefs>
</ds:datastoreItem>
</file>

<file path=customXml/itemProps5.xml><?xml version="1.0" encoding="utf-8"?>
<ds:datastoreItem xmlns:ds="http://schemas.openxmlformats.org/officeDocument/2006/customXml" ds:itemID="{29A767D3-F3D8-4399-9884-0792B3ED1573}">
  <ds:schemaRefs/>
</ds:datastoreItem>
</file>

<file path=customXml/itemProps6.xml><?xml version="1.0" encoding="utf-8"?>
<ds:datastoreItem xmlns:ds="http://schemas.openxmlformats.org/officeDocument/2006/customXml" ds:itemID="{3934DE86-7B7D-48B1-8B54-DCD0EA95FD36}">
  <ds:schemaRefs/>
</ds:datastoreItem>
</file>

<file path=customXml/itemProps7.xml><?xml version="1.0" encoding="utf-8"?>
<ds:datastoreItem xmlns:ds="http://schemas.openxmlformats.org/officeDocument/2006/customXml" ds:itemID="{9E74C1F1-40D0-4B9B-81CF-794290EA9CDE}">
  <ds:schemaRefs/>
</ds:datastoreItem>
</file>

<file path=customXml/itemProps8.xml><?xml version="1.0" encoding="utf-8"?>
<ds:datastoreItem xmlns:ds="http://schemas.openxmlformats.org/officeDocument/2006/customXml" ds:itemID="{5E3CE36A-B286-4582-8162-E50423BA0F57}">
  <ds:schemaRefs/>
</ds:datastoreItem>
</file>

<file path=customXml/itemProps9.xml><?xml version="1.0" encoding="utf-8"?>
<ds:datastoreItem xmlns:ds="http://schemas.openxmlformats.org/officeDocument/2006/customXml" ds:itemID="{EF833792-AE7E-43F7-9893-0D3348178610}">
  <ds:schemaRefs/>
</ds:datastoreItem>
</file>

<file path=customXml/itemProps10.xml><?xml version="1.0" encoding="utf-8"?>
<ds:datastoreItem xmlns:ds="http://schemas.openxmlformats.org/officeDocument/2006/customXml" ds:itemID="{899354A6-0500-4D51-BA0B-77A37C940623}">
  <ds:schemaRefs/>
</ds:datastoreItem>
</file>

<file path=customXml/itemProps11.xml><?xml version="1.0" encoding="utf-8"?>
<ds:datastoreItem xmlns:ds="http://schemas.openxmlformats.org/officeDocument/2006/customXml" ds:itemID="{6AB4CEEF-A55A-4268-AA52-BAC1B741751B}">
  <ds:schemaRefs/>
</ds:datastoreItem>
</file>

<file path=customXml/itemProps12.xml><?xml version="1.0" encoding="utf-8"?>
<ds:datastoreItem xmlns:ds="http://schemas.openxmlformats.org/officeDocument/2006/customXml" ds:itemID="{03EDCD96-3B56-45F4-BC4A-349818B7E513}">
  <ds:schemaRefs/>
</ds:datastoreItem>
</file>

<file path=customXml/itemProps13.xml><?xml version="1.0" encoding="utf-8"?>
<ds:datastoreItem xmlns:ds="http://schemas.openxmlformats.org/officeDocument/2006/customXml" ds:itemID="{CA8754EB-95F3-4435-B4DF-1AF878F97B74}">
  <ds:schemaRefs/>
</ds:datastoreItem>
</file>

<file path=customXml/itemProps14.xml><?xml version="1.0" encoding="utf-8"?>
<ds:datastoreItem xmlns:ds="http://schemas.openxmlformats.org/officeDocument/2006/customXml" ds:itemID="{F728FA94-0762-4038-B8FB-2499F032DCA1}">
  <ds:schemaRefs/>
</ds:datastoreItem>
</file>

<file path=customXml/itemProps15.xml><?xml version="1.0" encoding="utf-8"?>
<ds:datastoreItem xmlns:ds="http://schemas.openxmlformats.org/officeDocument/2006/customXml" ds:itemID="{D636087D-64FF-47F6-9D28-70EBAEE37164}">
  <ds:schemaRefs/>
</ds:datastoreItem>
</file>

<file path=customXml/itemProps16.xml><?xml version="1.0" encoding="utf-8"?>
<ds:datastoreItem xmlns:ds="http://schemas.openxmlformats.org/officeDocument/2006/customXml" ds:itemID="{6F1DCE29-DF47-4174-9865-6EC7CFA974B1}">
  <ds:schemaRefs/>
</ds:datastoreItem>
</file>

<file path=customXml/itemProps17.xml><?xml version="1.0" encoding="utf-8"?>
<ds:datastoreItem xmlns:ds="http://schemas.openxmlformats.org/officeDocument/2006/customXml" ds:itemID="{5640F613-BCA2-4941-8C31-6081879D0F39}">
  <ds:schemaRefs/>
</ds:datastoreItem>
</file>

<file path=customXml/itemProps18.xml><?xml version="1.0" encoding="utf-8"?>
<ds:datastoreItem xmlns:ds="http://schemas.openxmlformats.org/officeDocument/2006/customXml" ds:itemID="{4EAED6BF-8D2B-43EA-9FD3-7E1E5DFE802D}">
  <ds:schemaRefs/>
</ds:datastoreItem>
</file>

<file path=customXml/itemProps19.xml><?xml version="1.0" encoding="utf-8"?>
<ds:datastoreItem xmlns:ds="http://schemas.openxmlformats.org/officeDocument/2006/customXml" ds:itemID="{7C9F5434-E1A0-4F70-A852-9FAA5C46E7F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38</vt:i4>
      </vt:variant>
    </vt:vector>
  </HeadingPairs>
  <TitlesOfParts>
    <vt:vector size="60" baseType="lpstr">
      <vt:lpstr>OrganizedList</vt:lpstr>
      <vt:lpstr>Category Lookup</vt:lpstr>
      <vt:lpstr>FilterSpecs</vt:lpstr>
      <vt:lpstr>Distance Priority</vt:lpstr>
      <vt:lpstr>RawList</vt:lpstr>
      <vt:lpstr>Mouser</vt:lpstr>
      <vt:lpstr>Initial Order</vt:lpstr>
      <vt:lpstr>Primary</vt:lpstr>
      <vt:lpstr>Secondary</vt:lpstr>
      <vt:lpstr>Advanced&amp;Optional</vt:lpstr>
      <vt:lpstr>SmartHome&amp;IoT</vt:lpstr>
      <vt:lpstr>Hardware</vt:lpstr>
      <vt:lpstr>LowLevel</vt:lpstr>
      <vt:lpstr>Tools</vt:lpstr>
      <vt:lpstr>Sheet1</vt:lpstr>
      <vt:lpstr>Alternatives&amp;Extras</vt:lpstr>
      <vt:lpstr>ItemQty</vt:lpstr>
      <vt:lpstr>Connectors</vt:lpstr>
      <vt:lpstr>DesignSpecs</vt:lpstr>
      <vt:lpstr>PO List</vt:lpstr>
      <vt:lpstr>SlicerInfo</vt:lpstr>
      <vt:lpstr>SlicerInfoTable</vt:lpstr>
      <vt:lpstr>'Advanced&amp;Optional'!ColumnTitle1</vt:lpstr>
      <vt:lpstr>Hardware!ColumnTitle1</vt:lpstr>
      <vt:lpstr>'Initial Order'!ColumnTitle1</vt:lpstr>
      <vt:lpstr>LowLevel!ColumnTitle1</vt:lpstr>
      <vt:lpstr>Mouser!ColumnTitle1</vt:lpstr>
      <vt:lpstr>Primary!ColumnTitle1</vt:lpstr>
      <vt:lpstr>Tools!ColumnTitle1</vt:lpstr>
      <vt:lpstr>ColumnTitle1</vt:lpstr>
      <vt:lpstr>'Advanced&amp;Optional'!ColumnTitle2</vt:lpstr>
      <vt:lpstr>Hardware!ColumnTitle2</vt:lpstr>
      <vt:lpstr>'Initial Order'!ColumnTitle2</vt:lpstr>
      <vt:lpstr>LowLevel!ColumnTitle2</vt:lpstr>
      <vt:lpstr>Mouser!ColumnTitle2</vt:lpstr>
      <vt:lpstr>Primary!ColumnTitle2</vt:lpstr>
      <vt:lpstr>Tools!ColumnTitle2</vt:lpstr>
      <vt:lpstr>ColumnTitle2</vt:lpstr>
      <vt:lpstr>'Initial Order'!EquipmentList</vt:lpstr>
      <vt:lpstr>Mouser!EquipmentList</vt:lpstr>
      <vt:lpstr>EquipmentList</vt:lpstr>
      <vt:lpstr>'Initial Order'!EquipmentLookupDescriptions</vt:lpstr>
      <vt:lpstr>Mouser!EquipmentLookupDescriptions</vt:lpstr>
      <vt:lpstr>EquipmentLookupDescriptions</vt:lpstr>
      <vt:lpstr>'Category Lookup'!Print_Titles</vt:lpstr>
      <vt:lpstr>'PO List'!Print_Titles</vt:lpstr>
      <vt:lpstr>'Advanced&amp;Optional'!RoomList</vt:lpstr>
      <vt:lpstr>Hardware!RoomList</vt:lpstr>
      <vt:lpstr>'Initial Order'!RoomList</vt:lpstr>
      <vt:lpstr>LowLevel!RoomList</vt:lpstr>
      <vt:lpstr>Mouser!RoomList</vt:lpstr>
      <vt:lpstr>Primary!RoomList</vt:lpstr>
      <vt:lpstr>Tools!RoomList</vt:lpstr>
      <vt:lpstr>RoomList</vt:lpstr>
      <vt:lpstr>RowTitleRegion1..E2</vt:lpstr>
      <vt:lpstr>Hardware!Separating</vt:lpstr>
      <vt:lpstr>'Initial Order'!Separating</vt:lpstr>
      <vt:lpstr>LowLevel!Separating</vt:lpstr>
      <vt:lpstr>Mouser!Separating</vt:lpstr>
      <vt:lpstr>Separating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Blake</dc:creator>
  <cp:lastModifiedBy>Blake</cp:lastModifiedBy>
  <dcterms:created xsi:type="dcterms:W3CDTF">2017-07-30T14:13:04Z</dcterms:created>
  <dcterms:modified xsi:type="dcterms:W3CDTF">2017-11-26T03:50:14Z</dcterms:modified>
</cp:coreProperties>
</file>